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83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84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87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81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82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77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TAPOWER" sheetId="1" r:id="rId4"/>
    <sheet state="visible" name="ITC" sheetId="2" r:id="rId5"/>
    <sheet state="visible" name="HDFCBANK" sheetId="3" r:id="rId6"/>
    <sheet state="visible" name="SBIN" sheetId="4" r:id="rId7"/>
    <sheet state="visible" name="INDHOTEL" sheetId="5" r:id="rId8"/>
    <sheet state="visible" name="HDFC" sheetId="6" r:id="rId9"/>
    <sheet state="visible" name="TATAMOTORS" sheetId="7" r:id="rId10"/>
    <sheet state="visible" name="AMBUJACEM" sheetId="8" r:id="rId11"/>
    <sheet state="visible" name="TATACHEM" sheetId="9" r:id="rId12"/>
    <sheet state="visible" name="LT" sheetId="10" r:id="rId13"/>
    <sheet state="visible" name="HINDALCO" sheetId="11" r:id="rId14"/>
    <sheet state="visible" name="TATASTEEL" sheetId="12" r:id="rId15"/>
    <sheet state="visible" name="COLPAL" sheetId="13" r:id="rId16"/>
    <sheet state="visible" name="RELINFRA" sheetId="14" r:id="rId17"/>
    <sheet state="visible" name="HINDUNILVR" sheetId="15" r:id="rId18"/>
    <sheet state="visible" name="ACC" sheetId="16" r:id="rId19"/>
    <sheet state="visible" name="ABB" sheetId="17" r:id="rId20"/>
    <sheet state="visible" name="GLAXO" sheetId="18" r:id="rId21"/>
    <sheet state="visible" name="M&amp;M" sheetId="19" r:id="rId22"/>
    <sheet state="visible" name="BHEL" sheetId="20" r:id="rId23"/>
    <sheet state="visible" name="HINDPETRO" sheetId="21" r:id="rId24"/>
    <sheet state="visible" name="MTNL" sheetId="22" r:id="rId25"/>
    <sheet state="visible" name="CIPLA" sheetId="23" r:id="rId26"/>
    <sheet state="visible" name="HEROMOTOCO" sheetId="24" r:id="rId27"/>
    <sheet state="visible" name="INFY" sheetId="25" r:id="rId28"/>
    <sheet state="visible" name="NIITLTD" sheetId="26" r:id="rId29"/>
    <sheet state="visible" name="BRITANNIA" sheetId="27" r:id="rId30"/>
    <sheet state="visible" name="DRREDDY" sheetId="28" r:id="rId31"/>
    <sheet state="visible" name="DABUR" sheetId="29" r:id="rId32"/>
    <sheet state="visible" name="ZEEL" sheetId="30" r:id="rId33"/>
    <sheet state="visible" name="BPCL" sheetId="31" r:id="rId34"/>
    <sheet state="visible" name="HCLTECH" sheetId="32" r:id="rId35"/>
    <sheet state="visible" name="ICICIBANK" sheetId="33" r:id="rId36"/>
    <sheet state="visible" name="SCI" sheetId="34" r:id="rId37"/>
    <sheet state="visible" name="SUNPHARMA" sheetId="35" r:id="rId38"/>
    <sheet state="visible" name="WIPRO" sheetId="36" r:id="rId39"/>
    <sheet state="visible" name="BAJAJ-AUTO" sheetId="37" r:id="rId40"/>
    <sheet state="visible" name="GRASIM" sheetId="38" r:id="rId41"/>
    <sheet state="visible" name="RELIANCE" sheetId="39" r:id="rId42"/>
    <sheet state="visible" name="TATACONSUM" sheetId="40" r:id="rId43"/>
    <sheet state="visible" name="GAIL" sheetId="41" r:id="rId44"/>
    <sheet state="visible" name="NATIONALUM" sheetId="42" r:id="rId45"/>
    <sheet state="visible" name="SAIL" sheetId="43" r:id="rId46"/>
    <sheet state="visible" name="MARUTI" sheetId="44" r:id="rId47"/>
    <sheet state="visible" name="ONGC" sheetId="45" r:id="rId48"/>
    <sheet state="visible" name="PNB" sheetId="46" r:id="rId49"/>
    <sheet state="visible" name="TCS" sheetId="47" r:id="rId50"/>
    <sheet state="visible" name="JETAIRWAYS" sheetId="48" r:id="rId51"/>
    <sheet state="visible" name="SIEMENS" sheetId="49" r:id="rId52"/>
    <sheet state="visible" name="SUZLON" sheetId="50" r:id="rId53"/>
    <sheet state="visible" name="RCOM" sheetId="51" r:id="rId54"/>
    <sheet state="visible" name="NTPC" sheetId="52" r:id="rId55"/>
    <sheet state="visible" name="UNITECH" sheetId="53" r:id="rId56"/>
    <sheet state="visible" name="IDEA" sheetId="54" r:id="rId57"/>
    <sheet state="visible" name="DLF" sheetId="55" r:id="rId58"/>
    <sheet state="visible" name="POWERGRID" sheetId="56" r:id="rId59"/>
    <sheet state="visible" name="RPOWER" sheetId="57" r:id="rId60"/>
    <sheet state="visible" name="AXISBANK" sheetId="58" r:id="rId61"/>
    <sheet state="visible" name="IDFC" sheetId="59" r:id="rId62"/>
    <sheet state="visible" name="JPASSOCIAT" sheetId="60" r:id="rId63"/>
    <sheet state="visible" name="JINDALSTEL" sheetId="61" r:id="rId64"/>
    <sheet state="visible" name="RELCAPITAL" sheetId="62" r:id="rId65"/>
    <sheet state="visible" name="KOTAKBANK" sheetId="63" r:id="rId66"/>
    <sheet state="visible" name="VEDL" sheetId="64" r:id="rId67"/>
    <sheet state="visible" name="COALINDIA" sheetId="65" r:id="rId68"/>
    <sheet state="visible" name="ASIANPAINT" sheetId="66" r:id="rId69"/>
    <sheet state="visible" name="BANKBARODA" sheetId="67" r:id="rId70"/>
    <sheet state="visible" name="LUPIN" sheetId="68" r:id="rId71"/>
    <sheet state="visible" name="ULTRACEMCO" sheetId="69" r:id="rId72"/>
    <sheet state="visible" name="INDUSINDBK" sheetId="70" r:id="rId73"/>
    <sheet state="visible" name="NMDC" sheetId="71" r:id="rId74"/>
    <sheet state="visible" name="TECHM" sheetId="72" r:id="rId75"/>
    <sheet state="visible" name="ADANIPORTS" sheetId="73" r:id="rId76"/>
    <sheet state="visible" name="BOSCHLTD" sheetId="74" r:id="rId77"/>
    <sheet state="visible" name="YESBANK" sheetId="75" r:id="rId78"/>
    <sheet state="visible" name="AUROPHARMA" sheetId="76" r:id="rId79"/>
    <sheet state="visible" name="EICHERMOT" sheetId="77" r:id="rId80"/>
    <sheet state="visible" name="TATAMTRDVR" sheetId="78" r:id="rId81"/>
    <sheet state="visible" name="BAJFINANCE" sheetId="79" r:id="rId82"/>
    <sheet state="visible" name="IBULHSGFIN" sheetId="80" r:id="rId83"/>
    <sheet state="visible" name="IOC" sheetId="81" r:id="rId84"/>
    <sheet state="visible" name="UPL" sheetId="82" r:id="rId85"/>
    <sheet state="visible" name="BAJAJFINSV" sheetId="83" r:id="rId86"/>
    <sheet state="visible" name="JSWSTEEL" sheetId="84" r:id="rId87"/>
    <sheet state="visible" name="TITAN" sheetId="85" r:id="rId88"/>
    <sheet state="visible" name="NESTLEIND" sheetId="86" r:id="rId89"/>
    <sheet state="visible" name="SHREECEM" sheetId="87" r:id="rId90"/>
  </sheets>
  <definedNames/>
  <calcPr/>
</workbook>
</file>

<file path=xl/sharedStrings.xml><?xml version="1.0" encoding="utf-8"?>
<sst xmlns="http://schemas.openxmlformats.org/spreadsheetml/2006/main" count="954" uniqueCount="20">
  <si>
    <t>year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</si>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</sst>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1.0"/>
      <color theme="1"/>
      <name val="Arial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42" Type="http://schemas.openxmlformats.org/officeDocument/2006/relationships/worksheet" Target="worksheets/sheet39.xml"/><Relationship Id="rId86" Type="http://schemas.openxmlformats.org/officeDocument/2006/relationships/worksheet" Target="worksheets/sheet83.xml"/><Relationship Id="rId41" Type="http://schemas.openxmlformats.org/officeDocument/2006/relationships/worksheet" Target="worksheets/sheet38.xml"/><Relationship Id="rId85" Type="http://schemas.openxmlformats.org/officeDocument/2006/relationships/worksheet" Target="worksheets/sheet82.xml"/><Relationship Id="rId44" Type="http://schemas.openxmlformats.org/officeDocument/2006/relationships/worksheet" Target="worksheets/sheet41.xml"/><Relationship Id="rId88" Type="http://schemas.openxmlformats.org/officeDocument/2006/relationships/worksheet" Target="worksheets/sheet85.xml"/><Relationship Id="rId43" Type="http://schemas.openxmlformats.org/officeDocument/2006/relationships/worksheet" Target="worksheets/sheet40.xml"/><Relationship Id="rId87" Type="http://schemas.openxmlformats.org/officeDocument/2006/relationships/worksheet" Target="worksheets/sheet84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77" Type="http://schemas.openxmlformats.org/officeDocument/2006/relationships/worksheet" Target="worksheets/sheet74.xml"/><Relationship Id="rId32" Type="http://schemas.openxmlformats.org/officeDocument/2006/relationships/worksheet" Target="worksheets/sheet29.xml"/><Relationship Id="rId76" Type="http://schemas.openxmlformats.org/officeDocument/2006/relationships/worksheet" Target="worksheets/sheet73.xml"/><Relationship Id="rId35" Type="http://schemas.openxmlformats.org/officeDocument/2006/relationships/worksheet" Target="worksheets/sheet32.xml"/><Relationship Id="rId79" Type="http://schemas.openxmlformats.org/officeDocument/2006/relationships/worksheet" Target="worksheets/sheet76.xml"/><Relationship Id="rId34" Type="http://schemas.openxmlformats.org/officeDocument/2006/relationships/worksheet" Target="worksheets/sheet31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90" Type="http://schemas.openxmlformats.org/officeDocument/2006/relationships/worksheet" Target="worksheets/sheet87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IFERROR(__xludf.DUMMYFUNCTION("GOOGLEFINANCE(""NSE:TATAPOWER"",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IFERROR(__xludf.DUMMYFUNCTION("""COMPUTED_VALUE"""),11.92)</f>
        <v>11.92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IFERROR(__xludf.DUMMYFUNCTION("""COMPUTED_VALUE"""),12.04)</f>
        <v>12.04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IFERROR(__xludf.DUMMYFUNCTION("""COMPUTED_VALUE"""),12.47)</f>
        <v>12.47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IFERROR(__xludf.DUMMYFUNCTION("""COMPUTED_VALUE"""),12.62)</f>
        <v>12.62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IFERROR(__xludf.DUMMYFUNCTION("""COMPUTED_VALUE"""),11.41)</f>
        <v>11.41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IFERROR(__xludf.DUMMYFUNCTION("""COMPUTED_VALUE"""),12.29)</f>
        <v>12.29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IFERROR(__xludf.DUMMYFUNCTION("""COMPUTED_VALUE"""),12.94)</f>
        <v>12.94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IFERROR(__xludf.DUMMYFUNCTION("""COMPUTED_VALUE"""),13.14)</f>
        <v>13.14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IFERROR(__xludf.DUMMYFUNCTION("""COMPUTED_VALUE"""),13.05)</f>
        <v>13.05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IFERROR(__xludf.DUMMYFUNCTION("""COMPUTED_VALUE"""),12.76)</f>
        <v>12.76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IFERROR(__xludf.DUMMYFUNCTION("""COMPUTED_VALUE"""),11.84)</f>
        <v>11.84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IFERROR(__xludf.DUMMYFUNCTION("""COMPUTED_VALUE"""),11.85)</f>
        <v>11.85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IFERROR(__xludf.DUMMYFUNCTION("""COMPUTED_VALUE"""),11.12)</f>
        <v>11.12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IFERROR(__xludf.DUMMYFUNCTION("""COMPUTED_VALUE"""),11.37)</f>
        <v>11.37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IFERROR(__xludf.DUMMYFUNCTION("""COMPUTED_VALUE"""),11.7)</f>
        <v>11.7</v>
      </c>
    </row>
    <row r="17">
      <c r="B17" s="3">
        <f>IFERROR(__xludf.DUMMYFUNCTION("""COMPUTED_VALUE"""),37365.645833333336)</f>
        <v>37365.64583</v>
      </c>
      <c r="C17" s="2">
        <f>IFERROR(__xludf.DUMMYFUNCTION("""COMPUTED_VALUE"""),11.55)</f>
        <v>11.55</v>
      </c>
    </row>
    <row r="18">
      <c r="B18" s="3">
        <f>IFERROR(__xludf.DUMMYFUNCTION("""COMPUTED_VALUE"""),37372.645833333336)</f>
        <v>37372.64583</v>
      </c>
      <c r="C18" s="2">
        <f>IFERROR(__xludf.DUMMYFUNCTION("""COMPUTED_VALUE"""),11.08)</f>
        <v>11.08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IFERROR(__xludf.DUMMYFUNCTION("""COMPUTED_VALUE"""),11.71)</f>
        <v>11.71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IFERROR(__xludf.DUMMYFUNCTION("""COMPUTED_VALUE"""),12.12)</f>
        <v>12.12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IFERROR(__xludf.DUMMYFUNCTION("""COMPUTED_VALUE"""),12.13)</f>
        <v>12.13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IFERROR(__xludf.DUMMYFUNCTION("""COMPUTED_VALUE"""),11.54)</f>
        <v>11.54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IFERROR(__xludf.DUMMYFUNCTION("""COMPUTED_VALUE"""),11.56)</f>
        <v>11.56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IFERROR(__xludf.DUMMYFUNCTION("""COMPUTED_VALUE"""),12.41)</f>
        <v>12.41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IFERROR(__xludf.DUMMYFUNCTION("""COMPUTED_VALUE"""),13.32)</f>
        <v>13.32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IFERROR(__xludf.DUMMYFUNCTION("""COMPUTED_VALUE"""),13.04)</f>
        <v>13.04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IFERROR(__xludf.DUMMYFUNCTION("""COMPUTED_VALUE"""),12.69)</f>
        <v>12.69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IFERROR(__xludf.DUMMYFUNCTION("""COMPUTED_VALUE"""),12.99)</f>
        <v>12.99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IFERROR(__xludf.DUMMYFUNCTION("""COMPUTED_VALUE"""),12.23)</f>
        <v>12.23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IFERROR(__xludf.DUMMYFUNCTION("""COMPUTED_VALUE"""),11.42)</f>
        <v>11.42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IFERROR(__xludf.DUMMYFUNCTION("""COMPUTED_VALUE"""),10.98)</f>
        <v>10.98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IFERROR(__xludf.DUMMYFUNCTION("""COMPUTED_VALUE"""),10.36)</f>
        <v>10.36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IFERROR(__xludf.DUMMYFUNCTION("""COMPUTED_VALUE"""),10.48)</f>
        <v>10.48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IFERROR(__xludf.DUMMYFUNCTION("""COMPUTED_VALUE"""),10.1)</f>
        <v>10.1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IFERROR(__xludf.DUMMYFUNCTION("""COMPUTED_VALUE"""),10.16)</f>
        <v>10.16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IFERROR(__xludf.DUMMYFUNCTION("""COMPUTED_VALUE"""),10.01)</f>
        <v>10.01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IFERROR(__xludf.DUMMYFUNCTION("""COMPUTED_VALUE"""),10.06)</f>
        <v>10.06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IFERROR(__xludf.DUMMYFUNCTION("""COMPUTED_VALUE"""),9.92)</f>
        <v>9.92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IFERROR(__xludf.DUMMYFUNCTION("""COMPUTED_VALUE"""),9.85)</f>
        <v>9.85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IFERROR(__xludf.DUMMYFUNCTION("""COMPUTED_VALUE"""),9.63)</f>
        <v>9.63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IFERROR(__xludf.DUMMYFUNCTION("""COMPUTED_VALUE"""),9.37)</f>
        <v>9.37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IFERROR(__xludf.DUMMYFUNCTION("""COMPUTED_VALUE"""),9.72)</f>
        <v>9.72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IFERROR(__xludf.DUMMYFUNCTION("""COMPUTED_VALUE"""),10.02)</f>
        <v>10.02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IFERROR(__xludf.DUMMYFUNCTION("""COMPUTED_VALUE"""),10.02)</f>
        <v>10.02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IFERROR(__xludf.DUMMYFUNCTION("""COMPUTED_VALUE"""),9.44)</f>
        <v>9.44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IFERROR(__xludf.DUMMYFUNCTION("""COMPUTED_VALUE"""),9.49)</f>
        <v>9.49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IFERROR(__xludf.DUMMYFUNCTION("""COMPUTED_VALUE"""),9.73)</f>
        <v>9.73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IFERROR(__xludf.DUMMYFUNCTION("""COMPUTED_VALUE"""),9.88)</f>
        <v>9.88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IFERROR(__xludf.DUMMYFUNCTION("""COMPUTED_VALUE"""),10.37)</f>
        <v>10.37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IFERROR(__xludf.DUMMYFUNCTION("""COMPUTED_VALUE"""),10.45)</f>
        <v>10.45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IFERROR(__xludf.DUMMYFUNCTION("""COMPUTED_VALUE"""),10.54)</f>
        <v>10.54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IFERROR(__xludf.DUMMYFUNCTION("""COMPUTED_VALUE"""),10.48)</f>
        <v>10.48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IFERROR(__xludf.DUMMYFUNCTION("""COMPUTED_VALUE"""),10.98)</f>
        <v>10.98</v>
      </c>
    </row>
    <row r="54" ht="15.75" customHeight="1"/>
    <row r="55" ht="15.75" customHeight="1"/>
    <row r="56" ht="15.75" customHeight="1">
      <c r="B56" s="2" t="str">
        <f>IFERROR(__xludf.DUMMYFUNCTION("GOOGLEFINANCE(""NSE:TATAPOWER"",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IFERROR(__xludf.DUMMYFUNCTION("""COMPUTED_VALUE"""),10.86)</f>
        <v>10.86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IFERROR(__xludf.DUMMYFUNCTION("""COMPUTED_VALUE"""),10.74)</f>
        <v>10.74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IFERROR(__xludf.DUMMYFUNCTION("""COMPUTED_VALUE"""),10.78)</f>
        <v>10.78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IFERROR(__xludf.DUMMYFUNCTION("""COMPUTED_VALUE"""),11.08)</f>
        <v>11.08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IFERROR(__xludf.DUMMYFUNCTION("""COMPUTED_VALUE"""),10.89)</f>
        <v>10.89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IFERROR(__xludf.DUMMYFUNCTION("""COMPUTED_VALUE"""),11.63)</f>
        <v>11.63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IFERROR(__xludf.DUMMYFUNCTION("""COMPUTED_VALUE"""),11.71)</f>
        <v>11.71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IFERROR(__xludf.DUMMYFUNCTION("""COMPUTED_VALUE"""),12.03)</f>
        <v>12.03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IFERROR(__xludf.DUMMYFUNCTION("""COMPUTED_VALUE"""),12.19)</f>
        <v>12.19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IFERROR(__xludf.DUMMYFUNCTION("""COMPUTED_VALUE"""),11.91)</f>
        <v>11.91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IFERROR(__xludf.DUMMYFUNCTION("""COMPUTED_VALUE"""),11.17)</f>
        <v>11.17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IFERROR(__xludf.DUMMYFUNCTION("""COMPUTED_VALUE"""),11.35)</f>
        <v>11.35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IFERROR(__xludf.DUMMYFUNCTION("""COMPUTED_VALUE"""),11.54)</f>
        <v>11.54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IFERROR(__xludf.DUMMYFUNCTION("""COMPUTED_VALUE"""),11.64)</f>
        <v>11.64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IFERROR(__xludf.DUMMYFUNCTION("""COMPUTED_VALUE"""),11.54)</f>
        <v>11.54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IFERROR(__xludf.DUMMYFUNCTION("""COMPUTED_VALUE"""),11.47)</f>
        <v>11.47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IFERROR(__xludf.DUMMYFUNCTION("""COMPUTED_VALUE"""),11.65)</f>
        <v>11.65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IFERROR(__xludf.DUMMYFUNCTION("""COMPUTED_VALUE"""),11.94)</f>
        <v>11.94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IFERROR(__xludf.DUMMYFUNCTION("""COMPUTED_VALUE"""),12.43)</f>
        <v>12.43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IFERROR(__xludf.DUMMYFUNCTION("""COMPUTED_VALUE"""),12.89)</f>
        <v>12.89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IFERROR(__xludf.DUMMYFUNCTION("""COMPUTED_VALUE"""),12.95)</f>
        <v>12.95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IFERROR(__xludf.DUMMYFUNCTION("""COMPUTED_VALUE"""),13.1)</f>
        <v>13.1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IFERROR(__xludf.DUMMYFUNCTION("""COMPUTED_VALUE"""),14.16)</f>
        <v>14.16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IFERROR(__xludf.DUMMYFUNCTION("""COMPUTED_VALUE"""),14.56)</f>
        <v>14.56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IFERROR(__xludf.DUMMYFUNCTION("""COMPUTED_VALUE"""),14.84)</f>
        <v>14.84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IFERROR(__xludf.DUMMYFUNCTION("""COMPUTED_VALUE"""),16.05)</f>
        <v>16.05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IFERROR(__xludf.DUMMYFUNCTION("""COMPUTED_VALUE"""),15.32)</f>
        <v>15.32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IFERROR(__xludf.DUMMYFUNCTION("""COMPUTED_VALUE"""),15.03)</f>
        <v>15.03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IFERROR(__xludf.DUMMYFUNCTION("""COMPUTED_VALUE"""),14.43)</f>
        <v>14.43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IFERROR(__xludf.DUMMYFUNCTION("""COMPUTED_VALUE"""),14.73)</f>
        <v>14.73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IFERROR(__xludf.DUMMYFUNCTION("""COMPUTED_VALUE"""),15.89)</f>
        <v>15.89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IFERROR(__xludf.DUMMYFUNCTION("""COMPUTED_VALUE"""),16.77)</f>
        <v>16.77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IFERROR(__xludf.DUMMYFUNCTION("""COMPUTED_VALUE"""),18.02)</f>
        <v>18.02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IFERROR(__xludf.DUMMYFUNCTION("""COMPUTED_VALUE"""),19.0)</f>
        <v>19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IFERROR(__xludf.DUMMYFUNCTION("""COMPUTED_VALUE"""),19.21)</f>
        <v>19.21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IFERROR(__xludf.DUMMYFUNCTION("""COMPUTED_VALUE"""),18.95)</f>
        <v>18.95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IFERROR(__xludf.DUMMYFUNCTION("""COMPUTED_VALUE"""),18.45)</f>
        <v>18.45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IFERROR(__xludf.DUMMYFUNCTION("""COMPUTED_VALUE"""),17.06)</f>
        <v>17.06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IFERROR(__xludf.DUMMYFUNCTION("""COMPUTED_VALUE"""),18.06)</f>
        <v>18.06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IFERROR(__xludf.DUMMYFUNCTION("""COMPUTED_VALUE"""),20.51)</f>
        <v>20.51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IFERROR(__xludf.DUMMYFUNCTION("""COMPUTED_VALUE"""),21.68)</f>
        <v>21.68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IFERROR(__xludf.DUMMYFUNCTION("""COMPUTED_VALUE"""),22.86)</f>
        <v>22.86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IFERROR(__xludf.DUMMYFUNCTION("""COMPUTED_VALUE"""),24.71)</f>
        <v>24.71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IFERROR(__xludf.DUMMYFUNCTION("""COMPUTED_VALUE"""),26.3)</f>
        <v>26.3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IFERROR(__xludf.DUMMYFUNCTION("""COMPUTED_VALUE"""),26.09)</f>
        <v>26.09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IFERROR(__xludf.DUMMYFUNCTION("""COMPUTED_VALUE"""),27.26)</f>
        <v>27.26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IFERROR(__xludf.DUMMYFUNCTION("""COMPUTED_VALUE"""),27.26)</f>
        <v>27.26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IFERROR(__xludf.DUMMYFUNCTION("""COMPUTED_VALUE"""),27.78)</f>
        <v>27.78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IFERROR(__xludf.DUMMYFUNCTION("""COMPUTED_VALUE"""),28.8)</f>
        <v>28.8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IFERROR(__xludf.DUMMYFUNCTION("GOOGLEFINANCE(""NSE:TATAPOWER"",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IFERROR(__xludf.DUMMYFUNCTION("""COMPUTED_VALUE"""),31.89)</f>
        <v>31.89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IFERROR(__xludf.DUMMYFUNCTION("""COMPUTED_VALUE"""),43.35)</f>
        <v>43.35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IFERROR(__xludf.DUMMYFUNCTION("""COMPUTED_VALUE"""),41.88)</f>
        <v>41.88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IFERROR(__xludf.DUMMYFUNCTION("""COMPUTED_VALUE"""),39.98)</f>
        <v>39.98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IFERROR(__xludf.DUMMYFUNCTION("""COMPUTED_VALUE"""),39.56)</f>
        <v>39.56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IFERROR(__xludf.DUMMYFUNCTION("""COMPUTED_VALUE"""),37.1)</f>
        <v>37.1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IFERROR(__xludf.DUMMYFUNCTION("""COMPUTED_VALUE"""),38.25)</f>
        <v>38.25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IFERROR(__xludf.DUMMYFUNCTION("""COMPUTED_VALUE"""),38.87)</f>
        <v>38.87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IFERROR(__xludf.DUMMYFUNCTION("""COMPUTED_VALUE"""),37.48)</f>
        <v>37.48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IFERROR(__xludf.DUMMYFUNCTION("""COMPUTED_VALUE"""),38.24)</f>
        <v>38.24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IFERROR(__xludf.DUMMYFUNCTION("""COMPUTED_VALUE"""),39.6)</f>
        <v>39.6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IFERROR(__xludf.DUMMYFUNCTION("""COMPUTED_VALUE"""),38.73)</f>
        <v>38.73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IFERROR(__xludf.DUMMYFUNCTION("""COMPUTED_VALUE"""),35.99)</f>
        <v>35.99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IFERROR(__xludf.DUMMYFUNCTION("""COMPUTED_VALUE"""),38.05)</f>
        <v>38.05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IFERROR(__xludf.DUMMYFUNCTION("""COMPUTED_VALUE"""),40.5)</f>
        <v>40.5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IFERROR(__xludf.DUMMYFUNCTION("""COMPUTED_VALUE"""),41.43)</f>
        <v>41.43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IFERROR(__xludf.DUMMYFUNCTION("""COMPUTED_VALUE"""),39.38)</f>
        <v>39.38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IFERROR(__xludf.DUMMYFUNCTION("""COMPUTED_VALUE"""),37.92)</f>
        <v>37.92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IFERROR(__xludf.DUMMYFUNCTION("""COMPUTED_VALUE"""),36.98)</f>
        <v>36.98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IFERROR(__xludf.DUMMYFUNCTION("""COMPUTED_VALUE"""),31.51)</f>
        <v>31.51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IFERROR(__xludf.DUMMYFUNCTION("""COMPUTED_VALUE"""),30.23)</f>
        <v>30.23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IFERROR(__xludf.DUMMYFUNCTION("""COMPUTED_VALUE"""),26.43)</f>
        <v>26.43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IFERROR(__xludf.DUMMYFUNCTION("""COMPUTED_VALUE"""),23.89)</f>
        <v>23.89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IFERROR(__xludf.DUMMYFUNCTION("""COMPUTED_VALUE"""),23.79)</f>
        <v>23.79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IFERROR(__xludf.DUMMYFUNCTION("""COMPUTED_VALUE"""),23.07)</f>
        <v>23.07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IFERROR(__xludf.DUMMYFUNCTION("""COMPUTED_VALUE"""),23.32)</f>
        <v>23.32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IFERROR(__xludf.DUMMYFUNCTION("""COMPUTED_VALUE"""),25.81)</f>
        <v>25.81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IFERROR(__xludf.DUMMYFUNCTION("""COMPUTED_VALUE"""),24.96)</f>
        <v>24.96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IFERROR(__xludf.DUMMYFUNCTION("""COMPUTED_VALUE"""),26.78)</f>
        <v>26.78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IFERROR(__xludf.DUMMYFUNCTION("""COMPUTED_VALUE"""),26.39)</f>
        <v>26.39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IFERROR(__xludf.DUMMYFUNCTION("""COMPUTED_VALUE"""),26.42)</f>
        <v>26.42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IFERROR(__xludf.DUMMYFUNCTION("""COMPUTED_VALUE"""),26.69)</f>
        <v>26.69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IFERROR(__xludf.DUMMYFUNCTION("""COMPUTED_VALUE"""),26.35)</f>
        <v>26.35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IFERROR(__xludf.DUMMYFUNCTION("""COMPUTED_VALUE"""),25.34)</f>
        <v>25.34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IFERROR(__xludf.DUMMYFUNCTION("""COMPUTED_VALUE"""),27.13)</f>
        <v>27.13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IFERROR(__xludf.DUMMYFUNCTION("""COMPUTED_VALUE"""),27.98)</f>
        <v>27.98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IFERROR(__xludf.DUMMYFUNCTION("""COMPUTED_VALUE"""),29.28)</f>
        <v>29.28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IFERROR(__xludf.DUMMYFUNCTION("""COMPUTED_VALUE"""),30.44)</f>
        <v>30.44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IFERROR(__xludf.DUMMYFUNCTION("""COMPUTED_VALUE"""),30.91)</f>
        <v>30.91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IFERROR(__xludf.DUMMYFUNCTION("""COMPUTED_VALUE"""),31.79)</f>
        <v>31.79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IFERROR(__xludf.DUMMYFUNCTION("""COMPUTED_VALUE"""),30.88)</f>
        <v>30.88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IFERROR(__xludf.DUMMYFUNCTION("""COMPUTED_VALUE"""),30.32)</f>
        <v>30.32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IFERROR(__xludf.DUMMYFUNCTION("""COMPUTED_VALUE"""),30.88)</f>
        <v>30.88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IFERROR(__xludf.DUMMYFUNCTION("""COMPUTED_VALUE"""),31.31)</f>
        <v>31.31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IFERROR(__xludf.DUMMYFUNCTION("""COMPUTED_VALUE"""),31.4)</f>
        <v>31.4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IFERROR(__xludf.DUMMYFUNCTION("""COMPUTED_VALUE"""),33.44)</f>
        <v>33.44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IFERROR(__xludf.DUMMYFUNCTION("""COMPUTED_VALUE"""),34.28)</f>
        <v>34.28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IFERROR(__xludf.DUMMYFUNCTION("""COMPUTED_VALUE"""),34.44)</f>
        <v>34.44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IFERROR(__xludf.DUMMYFUNCTION("""COMPUTED_VALUE"""),35.94)</f>
        <v>35.94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IFERROR(__xludf.DUMMYFUNCTION("""COMPUTED_VALUE"""),37.48)</f>
        <v>37.48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IFERROR(__xludf.DUMMYFUNCTION("""COMPUTED_VALUE"""),38.06)</f>
        <v>38.06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IFERROR(__xludf.DUMMYFUNCTION("GOOGLEFINANCE(""NSE:TATAPOWER"",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IFERROR(__xludf.DUMMYFUNCTION("""COMPUTED_VALUE"""),39.2)</f>
        <v>39.2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IFERROR(__xludf.DUMMYFUNCTION("""COMPUTED_VALUE"""),36.42)</f>
        <v>36.42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IFERROR(__xludf.DUMMYFUNCTION("""COMPUTED_VALUE"""),36.5)</f>
        <v>36.5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IFERROR(__xludf.DUMMYFUNCTION("""COMPUTED_VALUE"""),36.83)</f>
        <v>36.83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IFERROR(__xludf.DUMMYFUNCTION("""COMPUTED_VALUE"""),38.82)</f>
        <v>38.82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IFERROR(__xludf.DUMMYFUNCTION("""COMPUTED_VALUE"""),39.51)</f>
        <v>39.51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IFERROR(__xludf.DUMMYFUNCTION("""COMPUTED_VALUE"""),40.94)</f>
        <v>40.94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IFERROR(__xludf.DUMMYFUNCTION("""COMPUTED_VALUE"""),39.99)</f>
        <v>39.99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IFERROR(__xludf.DUMMYFUNCTION("""COMPUTED_VALUE"""),39.58)</f>
        <v>39.58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IFERROR(__xludf.DUMMYFUNCTION("""COMPUTED_VALUE"""),39.16)</f>
        <v>39.16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IFERROR(__xludf.DUMMYFUNCTION("""COMPUTED_VALUE"""),38.07)</f>
        <v>38.07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IFERROR(__xludf.DUMMYFUNCTION("""COMPUTED_VALUE"""),37.04)</f>
        <v>37.04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IFERROR(__xludf.DUMMYFUNCTION("""COMPUTED_VALUE"""),35.16)</f>
        <v>35.16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IFERROR(__xludf.DUMMYFUNCTION("""COMPUTED_VALUE"""),35.27)</f>
        <v>35.27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IFERROR(__xludf.DUMMYFUNCTION("""COMPUTED_VALUE"""),34.11)</f>
        <v>34.11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IFERROR(__xludf.DUMMYFUNCTION("""COMPUTED_VALUE"""),35.17)</f>
        <v>35.17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IFERROR(__xludf.DUMMYFUNCTION("""COMPUTED_VALUE"""),34.81)</f>
        <v>34.81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IFERROR(__xludf.DUMMYFUNCTION("""COMPUTED_VALUE"""),35.17)</f>
        <v>35.17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IFERROR(__xludf.DUMMYFUNCTION("""COMPUTED_VALUE"""),36.08)</f>
        <v>36.08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IFERROR(__xludf.DUMMYFUNCTION("""COMPUTED_VALUE"""),36.12)</f>
        <v>36.12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IFERROR(__xludf.DUMMYFUNCTION("""COMPUTED_VALUE"""),37.82)</f>
        <v>37.82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IFERROR(__xludf.DUMMYFUNCTION("""COMPUTED_VALUE"""),37.39)</f>
        <v>37.39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IFERROR(__xludf.DUMMYFUNCTION("""COMPUTED_VALUE"""),37.84)</f>
        <v>37.84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IFERROR(__xludf.DUMMYFUNCTION("""COMPUTED_VALUE"""),37.0)</f>
        <v>37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IFERROR(__xludf.DUMMYFUNCTION("""COMPUTED_VALUE"""),37.39)</f>
        <v>37.39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IFERROR(__xludf.DUMMYFUNCTION("""COMPUTED_VALUE"""),38.88)</f>
        <v>38.88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IFERROR(__xludf.DUMMYFUNCTION("""COMPUTED_VALUE"""),40.16)</f>
        <v>40.16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IFERROR(__xludf.DUMMYFUNCTION("""COMPUTED_VALUE"""),40.47)</f>
        <v>40.47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IFERROR(__xludf.DUMMYFUNCTION("""COMPUTED_VALUE"""),39.38)</f>
        <v>39.38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IFERROR(__xludf.DUMMYFUNCTION("""COMPUTED_VALUE"""),41.62)</f>
        <v>41.62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IFERROR(__xludf.DUMMYFUNCTION("""COMPUTED_VALUE"""),42.2)</f>
        <v>42.2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IFERROR(__xludf.DUMMYFUNCTION("""COMPUTED_VALUE"""),41.91)</f>
        <v>41.91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IFERROR(__xludf.DUMMYFUNCTION("""COMPUTED_VALUE"""),42.01)</f>
        <v>42.01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IFERROR(__xludf.DUMMYFUNCTION("""COMPUTED_VALUE"""),45.46)</f>
        <v>45.46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IFERROR(__xludf.DUMMYFUNCTION("""COMPUTED_VALUE"""),46.1)</f>
        <v>46.1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IFERROR(__xludf.DUMMYFUNCTION("""COMPUTED_VALUE"""),45.57)</f>
        <v>45.57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IFERROR(__xludf.DUMMYFUNCTION("""COMPUTED_VALUE"""),45.07)</f>
        <v>45.07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IFERROR(__xludf.DUMMYFUNCTION("""COMPUTED_VALUE"""),47.79)</f>
        <v>47.79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IFERROR(__xludf.DUMMYFUNCTION("""COMPUTED_VALUE"""),47.5)</f>
        <v>47.5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IFERROR(__xludf.DUMMYFUNCTION("""COMPUTED_VALUE"""),45.76)</f>
        <v>45.76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IFERROR(__xludf.DUMMYFUNCTION("""COMPUTED_VALUE"""),43.14)</f>
        <v>43.14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IFERROR(__xludf.DUMMYFUNCTION("""COMPUTED_VALUE"""),41.91)</f>
        <v>41.91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IFERROR(__xludf.DUMMYFUNCTION("""COMPUTED_VALUE"""),39.79)</f>
        <v>39.79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IFERROR(__xludf.DUMMYFUNCTION("""COMPUTED_VALUE"""),42.4)</f>
        <v>42.4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IFERROR(__xludf.DUMMYFUNCTION("""COMPUTED_VALUE"""),43.79)</f>
        <v>43.79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IFERROR(__xludf.DUMMYFUNCTION("""COMPUTED_VALUE"""),44.85)</f>
        <v>44.85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IFERROR(__xludf.DUMMYFUNCTION("""COMPUTED_VALUE"""),43.36)</f>
        <v>43.36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IFERROR(__xludf.DUMMYFUNCTION("""COMPUTED_VALUE"""),44.01)</f>
        <v>44.01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IFERROR(__xludf.DUMMYFUNCTION("""COMPUTED_VALUE"""),44.23)</f>
        <v>44.23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IFERROR(__xludf.DUMMYFUNCTION("""COMPUTED_VALUE"""),42.3)</f>
        <v>42.3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IFERROR(__xludf.DUMMYFUNCTION("GOOGLEFINANCE(""NSE:TATAPOWER"",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IFERROR(__xludf.DUMMYFUNCTION("""COMPUTED_VALUE"""),43.75)</f>
        <v>43.75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IFERROR(__xludf.DUMMYFUNCTION("""COMPUTED_VALUE"""),44.71)</f>
        <v>44.71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IFERROR(__xludf.DUMMYFUNCTION("""COMPUTED_VALUE"""),44.32)</f>
        <v>44.32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IFERROR(__xludf.DUMMYFUNCTION("""COMPUTED_VALUE"""),44.7)</f>
        <v>44.7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IFERROR(__xludf.DUMMYFUNCTION("""COMPUTED_VALUE"""),47.17)</f>
        <v>47.17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IFERROR(__xludf.DUMMYFUNCTION("""COMPUTED_VALUE"""),48.93)</f>
        <v>48.93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IFERROR(__xludf.DUMMYFUNCTION("""COMPUTED_VALUE"""),49.61)</f>
        <v>49.61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IFERROR(__xludf.DUMMYFUNCTION("""COMPUTED_VALUE"""),50.22)</f>
        <v>50.22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IFERROR(__xludf.DUMMYFUNCTION("""COMPUTED_VALUE"""),53.0)</f>
        <v>53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IFERROR(__xludf.DUMMYFUNCTION("""COMPUTED_VALUE"""),56.99)</f>
        <v>56.99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IFERROR(__xludf.DUMMYFUNCTION("""COMPUTED_VALUE"""),56.87)</f>
        <v>56.87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IFERROR(__xludf.DUMMYFUNCTION("""COMPUTED_VALUE"""),56.84)</f>
        <v>56.84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IFERROR(__xludf.DUMMYFUNCTION("""COMPUTED_VALUE"""),58.46)</f>
        <v>58.46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IFERROR(__xludf.DUMMYFUNCTION("""COMPUTED_VALUE"""),59.05)</f>
        <v>59.05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IFERROR(__xludf.DUMMYFUNCTION("""COMPUTED_VALUE"""),58.19)</f>
        <v>58.19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IFERROR(__xludf.DUMMYFUNCTION("""COMPUTED_VALUE"""),58.09)</f>
        <v>58.09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IFERROR(__xludf.DUMMYFUNCTION("""COMPUTED_VALUE"""),56.82)</f>
        <v>56.82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IFERROR(__xludf.DUMMYFUNCTION("""COMPUTED_VALUE"""),56.64)</f>
        <v>56.64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IFERROR(__xludf.DUMMYFUNCTION("""COMPUTED_VALUE"""),56.84)</f>
        <v>56.84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IFERROR(__xludf.DUMMYFUNCTION("""COMPUTED_VALUE"""),54.92)</f>
        <v>54.92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IFERROR(__xludf.DUMMYFUNCTION("""COMPUTED_VALUE"""),50.1)</f>
        <v>50.1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IFERROR(__xludf.DUMMYFUNCTION("""COMPUTED_VALUE"""),46.74)</f>
        <v>46.74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IFERROR(__xludf.DUMMYFUNCTION("""COMPUTED_VALUE"""),43.26)</f>
        <v>43.26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IFERROR(__xludf.DUMMYFUNCTION("""COMPUTED_VALUE"""),44.23)</f>
        <v>44.23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IFERROR(__xludf.DUMMYFUNCTION("""COMPUTED_VALUE"""),48.16)</f>
        <v>48.16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IFERROR(__xludf.DUMMYFUNCTION("""COMPUTED_VALUE"""),48.37)</f>
        <v>48.37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IFERROR(__xludf.DUMMYFUNCTION("""COMPUTED_VALUE"""),47.98)</f>
        <v>47.98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IFERROR(__xludf.DUMMYFUNCTION("""COMPUTED_VALUE"""),47.47)</f>
        <v>47.47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IFERROR(__xludf.DUMMYFUNCTION("""COMPUTED_VALUE"""),49.57)</f>
        <v>49.57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IFERROR(__xludf.DUMMYFUNCTION("""COMPUTED_VALUE"""),49.47)</f>
        <v>49.47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IFERROR(__xludf.DUMMYFUNCTION("""COMPUTED_VALUE"""),49.33)</f>
        <v>49.33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IFERROR(__xludf.DUMMYFUNCTION("""COMPUTED_VALUE"""),50.75)</f>
        <v>50.75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IFERROR(__xludf.DUMMYFUNCTION("""COMPUTED_VALUE"""),51.94)</f>
        <v>51.94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IFERROR(__xludf.DUMMYFUNCTION("""COMPUTED_VALUE"""),53.0)</f>
        <v>53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IFERROR(__xludf.DUMMYFUNCTION("""COMPUTED_VALUE"""),52.8)</f>
        <v>52.8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IFERROR(__xludf.DUMMYFUNCTION("""COMPUTED_VALUE"""),51.74)</f>
        <v>51.74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IFERROR(__xludf.DUMMYFUNCTION("""COMPUTED_VALUE"""),51.55)</f>
        <v>51.55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IFERROR(__xludf.DUMMYFUNCTION("""COMPUTED_VALUE"""),55.02)</f>
        <v>55.02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IFERROR(__xludf.DUMMYFUNCTION("""COMPUTED_VALUE"""),54.78)</f>
        <v>54.78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IFERROR(__xludf.DUMMYFUNCTION("""COMPUTED_VALUE"""),52.88)</f>
        <v>52.88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IFERROR(__xludf.DUMMYFUNCTION("""COMPUTED_VALUE"""),51.74)</f>
        <v>51.74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IFERROR(__xludf.DUMMYFUNCTION("""COMPUTED_VALUE"""),53.73)</f>
        <v>53.73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IFERROR(__xludf.DUMMYFUNCTION("""COMPUTED_VALUE"""),53.86)</f>
        <v>53.86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IFERROR(__xludf.DUMMYFUNCTION("""COMPUTED_VALUE"""),54.92)</f>
        <v>54.92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IFERROR(__xludf.DUMMYFUNCTION("""COMPUTED_VALUE"""),56.03)</f>
        <v>56.03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IFERROR(__xludf.DUMMYFUNCTION("""COMPUTED_VALUE"""),58.29)</f>
        <v>58.29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IFERROR(__xludf.DUMMYFUNCTION("""COMPUTED_VALUE"""),59.93)</f>
        <v>59.93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IFERROR(__xludf.DUMMYFUNCTION("""COMPUTED_VALUE"""),57.72)</f>
        <v>57.72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IFERROR(__xludf.DUMMYFUNCTION("""COMPUTED_VALUE"""),59.25)</f>
        <v>59.25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IFERROR(__xludf.DUMMYFUNCTION("""COMPUTED_VALUE"""),54.87)</f>
        <v>54.87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IFERROR(__xludf.DUMMYFUNCTION("GOOGLEFINANCE(""NSE:TATAPOWER"",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IFERROR(__xludf.DUMMYFUNCTION("""COMPUTED_VALUE"""),54.92)</f>
        <v>54.92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IFERROR(__xludf.DUMMYFUNCTION("""COMPUTED_VALUE"""),56.18)</f>
        <v>56.18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IFERROR(__xludf.DUMMYFUNCTION("""COMPUTED_VALUE"""),56.7)</f>
        <v>56.7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IFERROR(__xludf.DUMMYFUNCTION("""COMPUTED_VALUE"""),60.7)</f>
        <v>60.7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IFERROR(__xludf.DUMMYFUNCTION("""COMPUTED_VALUE"""),61.67)</f>
        <v>61.67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IFERROR(__xludf.DUMMYFUNCTION("""COMPUTED_VALUE"""),60.13)</f>
        <v>60.13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IFERROR(__xludf.DUMMYFUNCTION("""COMPUTED_VALUE"""),60.22)</f>
        <v>60.22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IFERROR(__xludf.DUMMYFUNCTION("""COMPUTED_VALUE"""),59.88)</f>
        <v>59.88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IFERROR(__xludf.DUMMYFUNCTION("""COMPUTED_VALUE"""),56.75)</f>
        <v>56.75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IFERROR(__xludf.DUMMYFUNCTION("""COMPUTED_VALUE"""),50.78)</f>
        <v>50.78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IFERROR(__xludf.DUMMYFUNCTION("""COMPUTED_VALUE"""),50.88)</f>
        <v>50.88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IFERROR(__xludf.DUMMYFUNCTION("""COMPUTED_VALUE"""),50.34)</f>
        <v>50.34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IFERROR(__xludf.DUMMYFUNCTION("""COMPUTED_VALUE"""),50.74)</f>
        <v>50.74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IFERROR(__xludf.DUMMYFUNCTION("""COMPUTED_VALUE"""),50.1)</f>
        <v>50.1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IFERROR(__xludf.DUMMYFUNCTION("""COMPUTED_VALUE"""),51.95)</f>
        <v>51.95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IFERROR(__xludf.DUMMYFUNCTION("""COMPUTED_VALUE"""),54.09)</f>
        <v>54.09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IFERROR(__xludf.DUMMYFUNCTION("""COMPUTED_VALUE"""),58.68)</f>
        <v>58.68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IFERROR(__xludf.DUMMYFUNCTION("""COMPUTED_VALUE"""),58.87)</f>
        <v>58.87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IFERROR(__xludf.DUMMYFUNCTION("""COMPUTED_VALUE"""),58.7)</f>
        <v>58.7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IFERROR(__xludf.DUMMYFUNCTION("""COMPUTED_VALUE"""),58.78)</f>
        <v>58.78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IFERROR(__xludf.DUMMYFUNCTION("""COMPUTED_VALUE"""),60.07)</f>
        <v>60.07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IFERROR(__xludf.DUMMYFUNCTION("""COMPUTED_VALUE"""),59.55)</f>
        <v>59.55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IFERROR(__xludf.DUMMYFUNCTION("""COMPUTED_VALUE"""),59.94)</f>
        <v>59.94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IFERROR(__xludf.DUMMYFUNCTION("""COMPUTED_VALUE"""),58.33)</f>
        <v>58.33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IFERROR(__xludf.DUMMYFUNCTION("""COMPUTED_VALUE"""),62.51)</f>
        <v>62.51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IFERROR(__xludf.DUMMYFUNCTION("""COMPUTED_VALUE"""),66.1)</f>
        <v>66.1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IFERROR(__xludf.DUMMYFUNCTION("""COMPUTED_VALUE"""),65.43)</f>
        <v>65.43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IFERROR(__xludf.DUMMYFUNCTION("""COMPUTED_VALUE"""),68.24)</f>
        <v>68.24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IFERROR(__xludf.DUMMYFUNCTION("""COMPUTED_VALUE"""),67.29)</f>
        <v>67.29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IFERROR(__xludf.DUMMYFUNCTION("""COMPUTED_VALUE"""),68.94)</f>
        <v>68.94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IFERROR(__xludf.DUMMYFUNCTION("""COMPUTED_VALUE"""),71.62)</f>
        <v>71.62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IFERROR(__xludf.DUMMYFUNCTION("""COMPUTED_VALUE"""),70.31)</f>
        <v>70.31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IFERROR(__xludf.DUMMYFUNCTION("""COMPUTED_VALUE"""),76.29)</f>
        <v>76.29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IFERROR(__xludf.DUMMYFUNCTION("""COMPUTED_VALUE"""),69.57)</f>
        <v>69.57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IFERROR(__xludf.DUMMYFUNCTION("""COMPUTED_VALUE"""),67.55)</f>
        <v>67.55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IFERROR(__xludf.DUMMYFUNCTION("""COMPUTED_VALUE"""),71.49)</f>
        <v>71.49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IFERROR(__xludf.DUMMYFUNCTION("""COMPUTED_VALUE"""),74.94)</f>
        <v>74.94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IFERROR(__xludf.DUMMYFUNCTION("""COMPUTED_VALUE"""),75.89)</f>
        <v>75.89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IFERROR(__xludf.DUMMYFUNCTION("""COMPUTED_VALUE"""),90.57)</f>
        <v>90.57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IFERROR(__xludf.DUMMYFUNCTION("""COMPUTED_VALUE"""),110.23)</f>
        <v>110.23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IFERROR(__xludf.DUMMYFUNCTION("""COMPUTED_VALUE"""),110.78)</f>
        <v>110.78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IFERROR(__xludf.DUMMYFUNCTION("""COMPUTED_VALUE"""),134.89)</f>
        <v>134.89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IFERROR(__xludf.DUMMYFUNCTION("""COMPUTED_VALUE"""),110.81)</f>
        <v>110.81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IFERROR(__xludf.DUMMYFUNCTION("""COMPUTED_VALUE"""),127.19)</f>
        <v>127.19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IFERROR(__xludf.DUMMYFUNCTION("""COMPUTED_VALUE"""),129.01)</f>
        <v>129.01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IFERROR(__xludf.DUMMYFUNCTION("""COMPUTED_VALUE"""),125.94)</f>
        <v>125.94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IFERROR(__xludf.DUMMYFUNCTION("""COMPUTED_VALUE"""),115.53)</f>
        <v>115.53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IFERROR(__xludf.DUMMYFUNCTION("""COMPUTED_VALUE"""),130.55)</f>
        <v>130.55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IFERROR(__xludf.DUMMYFUNCTION("""COMPUTED_VALUE"""),132.97)</f>
        <v>132.97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IFERROR(__xludf.DUMMYFUNCTION("""COMPUTED_VALUE"""),127.06)</f>
        <v>127.06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IFERROR(__xludf.DUMMYFUNCTION("""COMPUTED_VALUE"""),135.37)</f>
        <v>135.37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IFERROR(__xludf.DUMMYFUNCTION("GOOGLEFINANCE(""NSE:TATAPOWER"",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IFERROR(__xludf.DUMMYFUNCTION("""COMPUTED_VALUE"""),158.97)</f>
        <v>158.97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IFERROR(__xludf.DUMMYFUNCTION("""COMPUTED_VALUE"""),156.96)</f>
        <v>156.96</v>
      </c>
    </row>
    <row r="334" ht="15.75" customHeight="1">
      <c r="B334" s="3">
        <f>IFERROR(__xludf.DUMMYFUNCTION("""COMPUTED_VALUE"""),39465.645833333336)</f>
        <v>39465.64583</v>
      </c>
      <c r="C334" s="2">
        <f>IFERROR(__xludf.DUMMYFUNCTION("""COMPUTED_VALUE"""),152.71)</f>
        <v>152.71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IFERROR(__xludf.DUMMYFUNCTION("""COMPUTED_VALUE"""),138.66)</f>
        <v>138.66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IFERROR(__xludf.DUMMYFUNCTION("""COMPUTED_VALUE"""),131.04)</f>
        <v>131.04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IFERROR(__xludf.DUMMYFUNCTION("""COMPUTED_VALUE"""),141.45)</f>
        <v>141.45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IFERROR(__xludf.DUMMYFUNCTION("""COMPUTED_VALUE"""),128.97)</f>
        <v>128.97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IFERROR(__xludf.DUMMYFUNCTION("""COMPUTED_VALUE"""),134.9)</f>
        <v>134.9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IFERROR(__xludf.DUMMYFUNCTION("""COMPUTED_VALUE"""),137.71)</f>
        <v>137.71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IFERROR(__xludf.DUMMYFUNCTION("""COMPUTED_VALUE"""),133.55)</f>
        <v>133.55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IFERROR(__xludf.DUMMYFUNCTION("""COMPUTED_VALUE"""),120.83)</f>
        <v>120.83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IFERROR(__xludf.DUMMYFUNCTION("""COMPUTED_VALUE"""),113.99)</f>
        <v>113.99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IFERROR(__xludf.DUMMYFUNCTION("""COMPUTED_VALUE"""),118.42)</f>
        <v>118.42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IFERROR(__xludf.DUMMYFUNCTION("""COMPUTED_VALUE"""),119.48)</f>
        <v>119.48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IFERROR(__xludf.DUMMYFUNCTION("""COMPUTED_VALUE"""),121.39)</f>
        <v>121.39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IFERROR(__xludf.DUMMYFUNCTION("""COMPUTED_VALUE"""),128.12)</f>
        <v>128.12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IFERROR(__xludf.DUMMYFUNCTION("""COMPUTED_VALUE"""),132.87)</f>
        <v>132.87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IFERROR(__xludf.DUMMYFUNCTION("""COMPUTED_VALUE"""),139.23)</f>
        <v>139.23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IFERROR(__xludf.DUMMYFUNCTION("""COMPUTED_VALUE"""),138.46)</f>
        <v>138.46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IFERROR(__xludf.DUMMYFUNCTION("""COMPUTED_VALUE"""),140.37)</f>
        <v>140.37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IFERROR(__xludf.DUMMYFUNCTION("""COMPUTED_VALUE"""),145.59)</f>
        <v>145.59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IFERROR(__xludf.DUMMYFUNCTION("""COMPUTED_VALUE"""),137.79)</f>
        <v>137.79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IFERROR(__xludf.DUMMYFUNCTION("""COMPUTED_VALUE"""),133.64)</f>
        <v>133.64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IFERROR(__xludf.DUMMYFUNCTION("""COMPUTED_VALUE"""),127.57)</f>
        <v>127.57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IFERROR(__xludf.DUMMYFUNCTION("""COMPUTED_VALUE"""),127.38)</f>
        <v>127.38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IFERROR(__xludf.DUMMYFUNCTION("""COMPUTED_VALUE"""),119.96)</f>
        <v>119.96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IFERROR(__xludf.DUMMYFUNCTION("""COMPUTED_VALUE"""),110.62)</f>
        <v>110.62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IFERROR(__xludf.DUMMYFUNCTION("""COMPUTED_VALUE"""),108.87)</f>
        <v>108.87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IFERROR(__xludf.DUMMYFUNCTION("""COMPUTED_VALUE"""),99.05)</f>
        <v>99.05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IFERROR(__xludf.DUMMYFUNCTION("""COMPUTED_VALUE"""),116.59)</f>
        <v>116.59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IFERROR(__xludf.DUMMYFUNCTION("""COMPUTED_VALUE"""),113.22)</f>
        <v>113.22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IFERROR(__xludf.DUMMYFUNCTION("""COMPUTED_VALUE"""),111.68)</f>
        <v>111.68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IFERROR(__xludf.DUMMYFUNCTION("""COMPUTED_VALUE"""),105.03)</f>
        <v>105.03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IFERROR(__xludf.DUMMYFUNCTION("""COMPUTED_VALUE"""),101.64)</f>
        <v>101.64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IFERROR(__xludf.DUMMYFUNCTION("""COMPUTED_VALUE"""),103.53)</f>
        <v>103.53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IFERROR(__xludf.DUMMYFUNCTION("""COMPUTED_VALUE"""),105.99)</f>
        <v>105.99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IFERROR(__xludf.DUMMYFUNCTION("""COMPUTED_VALUE"""),112.54)</f>
        <v>112.54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IFERROR(__xludf.DUMMYFUNCTION("""COMPUTED_VALUE"""),100.69)</f>
        <v>100.69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IFERROR(__xludf.DUMMYFUNCTION("""COMPUTED_VALUE"""),101.17)</f>
        <v>101.17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IFERROR(__xludf.DUMMYFUNCTION("""COMPUTED_VALUE"""),96.16)</f>
        <v>96.16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IFERROR(__xludf.DUMMYFUNCTION("""COMPUTED_VALUE"""),84.7)</f>
        <v>84.7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IFERROR(__xludf.DUMMYFUNCTION("""COMPUTED_VALUE"""),83.28)</f>
        <v>83.28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IFERROR(__xludf.DUMMYFUNCTION("""COMPUTED_VALUE"""),77.08)</f>
        <v>77.08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IFERROR(__xludf.DUMMYFUNCTION("""COMPUTED_VALUE"""),68.22)</f>
        <v>68.22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IFERROR(__xludf.DUMMYFUNCTION("""COMPUTED_VALUE"""),76.02)</f>
        <v>76.02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IFERROR(__xludf.DUMMYFUNCTION("""COMPUTED_VALUE"""),79.78)</f>
        <v>79.78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IFERROR(__xludf.DUMMYFUNCTION("""COMPUTED_VALUE"""),73.21)</f>
        <v>73.21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IFERROR(__xludf.DUMMYFUNCTION("""COMPUTED_VALUE"""),65.99)</f>
        <v>65.99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IFERROR(__xludf.DUMMYFUNCTION("""COMPUTED_VALUE"""),68.22)</f>
        <v>68.22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IFERROR(__xludf.DUMMYFUNCTION("""COMPUTED_VALUE"""),73.23)</f>
        <v>73.23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IFERROR(__xludf.DUMMYFUNCTION("""COMPUTED_VALUE"""),74.38)</f>
        <v>74.38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IFERROR(__xludf.DUMMYFUNCTION("""COMPUTED_VALUE"""),72.15)</f>
        <v>72.15</v>
      </c>
    </row>
    <row r="384" ht="15.75" customHeight="1"/>
    <row r="385" ht="15.75" customHeight="1"/>
    <row r="386" ht="15.75" customHeight="1">
      <c r="B386" s="2" t="str">
        <f>IFERROR(__xludf.DUMMYFUNCTION("GOOGLEFINANCE(""NSE:TATAPOWER"",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IFERROR(__xludf.DUMMYFUNCTION("""COMPUTED_VALUE"""),76.48)</f>
        <v>76.48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IFERROR(__xludf.DUMMYFUNCTION("""COMPUTED_VALUE"""),81.03)</f>
        <v>81.03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IFERROR(__xludf.DUMMYFUNCTION("""COMPUTED_VALUE"""),75.3)</f>
        <v>75.3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IFERROR(__xludf.DUMMYFUNCTION("""COMPUTED_VALUE"""),76.84)</f>
        <v>76.84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IFERROR(__xludf.DUMMYFUNCTION("""COMPUTED_VALUE"""),74.38)</f>
        <v>74.38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IFERROR(__xludf.DUMMYFUNCTION("""COMPUTED_VALUE"""),73.97)</f>
        <v>73.97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IFERROR(__xludf.DUMMYFUNCTION("""COMPUTED_VALUE"""),78.89)</f>
        <v>78.89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IFERROR(__xludf.DUMMYFUNCTION("""COMPUTED_VALUE"""),76.8)</f>
        <v>76.8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IFERROR(__xludf.DUMMYFUNCTION("""COMPUTED_VALUE"""),72.84)</f>
        <v>72.84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IFERROR(__xludf.DUMMYFUNCTION("""COMPUTED_VALUE"""),69.52)</f>
        <v>69.52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IFERROR(__xludf.DUMMYFUNCTION("""COMPUTED_VALUE"""),64.37)</f>
        <v>64.37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IFERROR(__xludf.DUMMYFUNCTION("""COMPUTED_VALUE"""),67.21)</f>
        <v>67.21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IFERROR(__xludf.DUMMYFUNCTION("""COMPUTED_VALUE"""),76.7)</f>
        <v>76.7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IFERROR(__xludf.DUMMYFUNCTION("""COMPUTED_VALUE"""),82.87)</f>
        <v>82.87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IFERROR(__xludf.DUMMYFUNCTION("""COMPUTED_VALUE"""),87.2)</f>
        <v>87.2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IFERROR(__xludf.DUMMYFUNCTION("""COMPUTED_VALUE"""),90.02)</f>
        <v>90.02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IFERROR(__xludf.DUMMYFUNCTION("""COMPUTED_VALUE"""),86.62)</f>
        <v>86.62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IFERROR(__xludf.DUMMYFUNCTION("""COMPUTED_VALUE"""),87.2)</f>
        <v>87.2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IFERROR(__xludf.DUMMYFUNCTION("""COMPUTED_VALUE"""),90.57)</f>
        <v>90.57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IFERROR(__xludf.DUMMYFUNCTION("""COMPUTED_VALUE"""),88.49)</f>
        <v>88.49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IFERROR(__xludf.DUMMYFUNCTION("""COMPUTED_VALUE"""),107.05)</f>
        <v>107.05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IFERROR(__xludf.DUMMYFUNCTION("""COMPUTED_VALUE"""),108.66)</f>
        <v>108.66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IFERROR(__xludf.DUMMYFUNCTION("""COMPUTED_VALUE"""),108.01)</f>
        <v>108.01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IFERROR(__xludf.DUMMYFUNCTION("""COMPUTED_VALUE"""),118.52)</f>
        <v>118.52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IFERROR(__xludf.DUMMYFUNCTION("""COMPUTED_VALUE"""),116.68)</f>
        <v>116.68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IFERROR(__xludf.DUMMYFUNCTION("""COMPUTED_VALUE"""),114.28)</f>
        <v>114.28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IFERROR(__xludf.DUMMYFUNCTION("""COMPUTED_VALUE"""),115.72)</f>
        <v>115.72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IFERROR(__xludf.DUMMYFUNCTION("""COMPUTED_VALUE"""),116.59)</f>
        <v>116.59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IFERROR(__xludf.DUMMYFUNCTION("""COMPUTED_VALUE"""),113.89)</f>
        <v>113.89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IFERROR(__xludf.DUMMYFUNCTION("""COMPUTED_VALUE"""),114.12)</f>
        <v>114.12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IFERROR(__xludf.DUMMYFUNCTION("""COMPUTED_VALUE"""),127.96)</f>
        <v>127.96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IFERROR(__xludf.DUMMYFUNCTION("""COMPUTED_VALUE"""),131.43)</f>
        <v>131.43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IFERROR(__xludf.DUMMYFUNCTION("""COMPUTED_VALUE"""),126.6)</f>
        <v>126.6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IFERROR(__xludf.DUMMYFUNCTION("""COMPUTED_VALUE"""),126.23)</f>
        <v>126.23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IFERROR(__xludf.DUMMYFUNCTION("""COMPUTED_VALUE"""),132.01)</f>
        <v>132.01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IFERROR(__xludf.DUMMYFUNCTION("""COMPUTED_VALUE"""),129.12)</f>
        <v>129.12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IFERROR(__xludf.DUMMYFUNCTION("""COMPUTED_VALUE"""),128.62)</f>
        <v>128.62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IFERROR(__xludf.DUMMYFUNCTION("""COMPUTED_VALUE"""),129.79)</f>
        <v>129.79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IFERROR(__xludf.DUMMYFUNCTION("""COMPUTED_VALUE"""),129.64)</f>
        <v>129.64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IFERROR(__xludf.DUMMYFUNCTION("""COMPUTED_VALUE"""),128.63)</f>
        <v>128.63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IFERROR(__xludf.DUMMYFUNCTION("""COMPUTED_VALUE"""),127.67)</f>
        <v>127.67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IFERROR(__xludf.DUMMYFUNCTION("""COMPUTED_VALUE"""),142.11)</f>
        <v>142.11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IFERROR(__xludf.DUMMYFUNCTION("""COMPUTED_VALUE"""),143.57)</f>
        <v>143.57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IFERROR(__xludf.DUMMYFUNCTION("""COMPUTED_VALUE"""),132.27)</f>
        <v>132.27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IFERROR(__xludf.DUMMYFUNCTION("""COMPUTED_VALUE"""),130.07)</f>
        <v>130.07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IFERROR(__xludf.DUMMYFUNCTION("""COMPUTED_VALUE"""),130.05)</f>
        <v>130.05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IFERROR(__xludf.DUMMYFUNCTION("""COMPUTED_VALUE"""),131.56)</f>
        <v>131.56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IFERROR(__xludf.DUMMYFUNCTION("""COMPUTED_VALUE"""),132.76)</f>
        <v>132.76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IFERROR(__xludf.DUMMYFUNCTION("""COMPUTED_VALUE"""),132.97)</f>
        <v>132.97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IFERROR(__xludf.DUMMYFUNCTION("""COMPUTED_VALUE"""),132.44)</f>
        <v>132.44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IFERROR(__xludf.DUMMYFUNCTION("""COMPUTED_VALUE"""),130.95)</f>
        <v>130.95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IFERROR(__xludf.DUMMYFUNCTION("""COMPUTED_VALUE"""),133.92)</f>
        <v>133.92</v>
      </c>
    </row>
    <row r="439" ht="15.75" customHeight="1"/>
    <row r="440" ht="15.75" customHeight="1"/>
    <row r="441" ht="15.75" customHeight="1">
      <c r="B441" s="2" t="str">
        <f>IFERROR(__xludf.DUMMYFUNCTION("GOOGLEFINANCE(""NSE:TATAPOWER"",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IFERROR(__xludf.DUMMYFUNCTION("""COMPUTED_VALUE"""),144.73)</f>
        <v>144.73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IFERROR(__xludf.DUMMYFUNCTION("""COMPUTED_VALUE"""),146.24)</f>
        <v>146.24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IFERROR(__xludf.DUMMYFUNCTION("""COMPUTED_VALUE"""),144.28)</f>
        <v>144.28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IFERROR(__xludf.DUMMYFUNCTION("""COMPUTED_VALUE"""),128.9)</f>
        <v>128.9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IFERROR(__xludf.DUMMYFUNCTION("""COMPUTED_VALUE"""),128.29)</f>
        <v>128.29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IFERROR(__xludf.DUMMYFUNCTION("""COMPUTED_VALUE"""),123.51)</f>
        <v>123.51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IFERROR(__xludf.DUMMYFUNCTION("""COMPUTED_VALUE"""),122.63)</f>
        <v>122.63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IFERROR(__xludf.DUMMYFUNCTION("""COMPUTED_VALUE"""),130.06)</f>
        <v>130.06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IFERROR(__xludf.DUMMYFUNCTION("""COMPUTED_VALUE"""),131.52)</f>
        <v>131.52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IFERROR(__xludf.DUMMYFUNCTION("""COMPUTED_VALUE"""),134.51)</f>
        <v>134.51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IFERROR(__xludf.DUMMYFUNCTION("""COMPUTED_VALUE"""),132.19)</f>
        <v>132.19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IFERROR(__xludf.DUMMYFUNCTION("""COMPUTED_VALUE"""),134.7)</f>
        <v>134.7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IFERROR(__xludf.DUMMYFUNCTION("""COMPUTED_VALUE"""),135.71)</f>
        <v>135.71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IFERROR(__xludf.DUMMYFUNCTION("""COMPUTED_VALUE"""),132.97)</f>
        <v>132.97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IFERROR(__xludf.DUMMYFUNCTION("""COMPUTED_VALUE"""),132.0)</f>
        <v>132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IFERROR(__xludf.DUMMYFUNCTION("""COMPUTED_VALUE"""),133.84)</f>
        <v>133.84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IFERROR(__xludf.DUMMYFUNCTION("""COMPUTED_VALUE"""),131.43)</f>
        <v>131.43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IFERROR(__xludf.DUMMYFUNCTION("""COMPUTED_VALUE"""),131.5)</f>
        <v>131.5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IFERROR(__xludf.DUMMYFUNCTION("""COMPUTED_VALUE"""),128.35)</f>
        <v>128.35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IFERROR(__xludf.DUMMYFUNCTION("""COMPUTED_VALUE"""),123.33)</f>
        <v>123.33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IFERROR(__xludf.DUMMYFUNCTION("""COMPUTED_VALUE"""),124.3)</f>
        <v>124.3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IFERROR(__xludf.DUMMYFUNCTION("""COMPUTED_VALUE"""),121.21)</f>
        <v>121.21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IFERROR(__xludf.DUMMYFUNCTION("""COMPUTED_VALUE"""),123.81)</f>
        <v>123.81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IFERROR(__xludf.DUMMYFUNCTION("""COMPUTED_VALUE"""),128.15)</f>
        <v>128.15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IFERROR(__xludf.DUMMYFUNCTION("""COMPUTED_VALUE"""),131.04)</f>
        <v>131.04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IFERROR(__xludf.DUMMYFUNCTION("""COMPUTED_VALUE"""),127.67)</f>
        <v>127.67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IFERROR(__xludf.DUMMYFUNCTION("""COMPUTED_VALUE"""),129.69)</f>
        <v>129.69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IFERROR(__xludf.DUMMYFUNCTION("""COMPUTED_VALUE"""),129.09)</f>
        <v>129.09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IFERROR(__xludf.DUMMYFUNCTION("""COMPUTED_VALUE"""),129.88)</f>
        <v>129.88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IFERROR(__xludf.DUMMYFUNCTION("""COMPUTED_VALUE"""),129.5)</f>
        <v>129.5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IFERROR(__xludf.DUMMYFUNCTION("""COMPUTED_VALUE"""),130.56)</f>
        <v>130.56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IFERROR(__xludf.DUMMYFUNCTION("""COMPUTED_VALUE"""),127.57)</f>
        <v>127.57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IFERROR(__xludf.DUMMYFUNCTION("""COMPUTED_VALUE"""),126.02)</f>
        <v>126.02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IFERROR(__xludf.DUMMYFUNCTION("""COMPUTED_VALUE"""),122.43)</f>
        <v>122.43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IFERROR(__xludf.DUMMYFUNCTION("""COMPUTED_VALUE"""),124.78)</f>
        <v>124.78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IFERROR(__xludf.DUMMYFUNCTION("""COMPUTED_VALUE"""),123.82)</f>
        <v>123.82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IFERROR(__xludf.DUMMYFUNCTION("""COMPUTED_VALUE"""),128.54)</f>
        <v>128.54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IFERROR(__xludf.DUMMYFUNCTION("""COMPUTED_VALUE"""),134.51)</f>
        <v>134.51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IFERROR(__xludf.DUMMYFUNCTION("""COMPUTED_VALUE"""),141.49)</f>
        <v>141.49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IFERROR(__xludf.DUMMYFUNCTION("""COMPUTED_VALUE"""),139.81)</f>
        <v>139.81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IFERROR(__xludf.DUMMYFUNCTION("""COMPUTED_VALUE"""),139.11)</f>
        <v>139.11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IFERROR(__xludf.DUMMYFUNCTION("""COMPUTED_VALUE"""),138.75)</f>
        <v>138.75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IFERROR(__xludf.DUMMYFUNCTION("""COMPUTED_VALUE"""),137.77)</f>
        <v>137.77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IFERROR(__xludf.DUMMYFUNCTION("""COMPUTED_VALUE"""),136.73)</f>
        <v>136.73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IFERROR(__xludf.DUMMYFUNCTION("""COMPUTED_VALUE"""),134.65)</f>
        <v>134.65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IFERROR(__xludf.DUMMYFUNCTION("""COMPUTED_VALUE"""),130.56)</f>
        <v>130.56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IFERROR(__xludf.DUMMYFUNCTION("""COMPUTED_VALUE"""),129.5)</f>
        <v>129.5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IFERROR(__xludf.DUMMYFUNCTION("""COMPUTED_VALUE"""),126.65)</f>
        <v>126.65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IFERROR(__xludf.DUMMYFUNCTION("""COMPUTED_VALUE"""),128.06)</f>
        <v>128.06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IFERROR(__xludf.DUMMYFUNCTION("""COMPUTED_VALUE"""),126.22)</f>
        <v>126.22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IFERROR(__xludf.DUMMYFUNCTION("""COMPUTED_VALUE"""),133.24)</f>
        <v>133.24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IFERROR(__xludf.DUMMYFUNCTION("GOOGLEFINANCE(""NSE:TATAPOWER"",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IFERROR(__xludf.DUMMYFUNCTION("""COMPUTED_VALUE"""),135.96)</f>
        <v>135.96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IFERROR(__xludf.DUMMYFUNCTION("""COMPUTED_VALUE"""),135.27)</f>
        <v>135.27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IFERROR(__xludf.DUMMYFUNCTION("""COMPUTED_VALUE"""),131.79)</f>
        <v>131.79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IFERROR(__xludf.DUMMYFUNCTION("""COMPUTED_VALUE"""),127.95)</f>
        <v>127.95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IFERROR(__xludf.DUMMYFUNCTION("""COMPUTED_VALUE"""),120.45)</f>
        <v>120.45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IFERROR(__xludf.DUMMYFUNCTION("""COMPUTED_VALUE"""),119.19)</f>
        <v>119.19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IFERROR(__xludf.DUMMYFUNCTION("""COMPUTED_VALUE"""),125.07)</f>
        <v>125.07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IFERROR(__xludf.DUMMYFUNCTION("""COMPUTED_VALUE"""),122.14)</f>
        <v>122.14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IFERROR(__xludf.DUMMYFUNCTION("""COMPUTED_VALUE"""),118.73)</f>
        <v>118.73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IFERROR(__xludf.DUMMYFUNCTION("""COMPUTED_VALUE"""),120.35)</f>
        <v>120.35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IFERROR(__xludf.DUMMYFUNCTION("""COMPUTED_VALUE"""),120.93)</f>
        <v>120.93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IFERROR(__xludf.DUMMYFUNCTION("""COMPUTED_VALUE"""),127.38)</f>
        <v>127.38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IFERROR(__xludf.DUMMYFUNCTION("""COMPUTED_VALUE"""),130.08)</f>
        <v>130.08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IFERROR(__xludf.DUMMYFUNCTION("""COMPUTED_VALUE"""),129.6)</f>
        <v>129.6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IFERROR(__xludf.DUMMYFUNCTION("""COMPUTED_VALUE"""),129.47)</f>
        <v>129.47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IFERROR(__xludf.DUMMYFUNCTION("""COMPUTED_VALUE"""),129.06)</f>
        <v>129.06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IFERROR(__xludf.DUMMYFUNCTION("""COMPUTED_VALUE"""),129.59)</f>
        <v>129.59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IFERROR(__xludf.DUMMYFUNCTION("""COMPUTED_VALUE"""),130.57)</f>
        <v>130.57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IFERROR(__xludf.DUMMYFUNCTION("""COMPUTED_VALUE"""),121.65)</f>
        <v>121.65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IFERROR(__xludf.DUMMYFUNCTION("""COMPUTED_VALUE"""),121.02)</f>
        <v>121.02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IFERROR(__xludf.DUMMYFUNCTION("""COMPUTED_VALUE"""),118.71)</f>
        <v>118.71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IFERROR(__xludf.DUMMYFUNCTION("""COMPUTED_VALUE"""),122.21)</f>
        <v>122.21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IFERROR(__xludf.DUMMYFUNCTION("""COMPUTED_VALUE"""),121.31)</f>
        <v>121.31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IFERROR(__xludf.DUMMYFUNCTION("""COMPUTED_VALUE"""),121.89)</f>
        <v>121.89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IFERROR(__xludf.DUMMYFUNCTION("""COMPUTED_VALUE"""),123.99)</f>
        <v>123.99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IFERROR(__xludf.DUMMYFUNCTION("""COMPUTED_VALUE"""),127.38)</f>
        <v>127.38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IFERROR(__xludf.DUMMYFUNCTION("""COMPUTED_VALUE"""),127.77)</f>
        <v>127.77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IFERROR(__xludf.DUMMYFUNCTION("""COMPUTED_VALUE"""),126.03)</f>
        <v>126.03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IFERROR(__xludf.DUMMYFUNCTION("""COMPUTED_VALUE"""),127.57)</f>
        <v>127.57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IFERROR(__xludf.DUMMYFUNCTION("""COMPUTED_VALUE"""),127.47)</f>
        <v>127.47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IFERROR(__xludf.DUMMYFUNCTION("""COMPUTED_VALUE"""),126.2)</f>
        <v>126.2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IFERROR(__xludf.DUMMYFUNCTION("""COMPUTED_VALUE"""),118.71)</f>
        <v>118.71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IFERROR(__xludf.DUMMYFUNCTION("""COMPUTED_VALUE"""),106.46)</f>
        <v>106.46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IFERROR(__xludf.DUMMYFUNCTION("""COMPUTED_VALUE"""),105.99)</f>
        <v>105.99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IFERROR(__xludf.DUMMYFUNCTION("""COMPUTED_VALUE"""),104.09)</f>
        <v>104.09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IFERROR(__xludf.DUMMYFUNCTION("""COMPUTED_VALUE"""),101.53)</f>
        <v>101.53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IFERROR(__xludf.DUMMYFUNCTION("""COMPUTED_VALUE"""),97.41)</f>
        <v>97.41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IFERROR(__xludf.DUMMYFUNCTION("""COMPUTED_VALUE"""),97.41)</f>
        <v>97.41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IFERROR(__xludf.DUMMYFUNCTION("""COMPUTED_VALUE"""),99.63)</f>
        <v>99.63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IFERROR(__xludf.DUMMYFUNCTION("""COMPUTED_VALUE"""),99.54)</f>
        <v>99.54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IFERROR(__xludf.DUMMYFUNCTION("""COMPUTED_VALUE"""),102.38)</f>
        <v>102.38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IFERROR(__xludf.DUMMYFUNCTION("""COMPUTED_VALUE"""),97.61)</f>
        <v>97.61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IFERROR(__xludf.DUMMYFUNCTION("""COMPUTED_VALUE"""),102.33)</f>
        <v>102.33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IFERROR(__xludf.DUMMYFUNCTION("""COMPUTED_VALUE"""),102.14)</f>
        <v>102.14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IFERROR(__xludf.DUMMYFUNCTION("""COMPUTED_VALUE"""),100.69)</f>
        <v>100.69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IFERROR(__xludf.DUMMYFUNCTION("""COMPUTED_VALUE"""),99.29)</f>
        <v>99.29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IFERROR(__xludf.DUMMYFUNCTION("""COMPUTED_VALUE"""),94.43)</f>
        <v>94.43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IFERROR(__xludf.DUMMYFUNCTION("""COMPUTED_VALUE"""),96.79)</f>
        <v>96.79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IFERROR(__xludf.DUMMYFUNCTION("""COMPUTED_VALUE"""),97.27)</f>
        <v>97.27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IFERROR(__xludf.DUMMYFUNCTION("""COMPUTED_VALUE"""),92.98)</f>
        <v>92.98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IFERROR(__xludf.DUMMYFUNCTION("""COMPUTED_VALUE"""),87.68)</f>
        <v>87.68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IFERROR(__xludf.DUMMYFUNCTION("""COMPUTED_VALUE"""),90.77)</f>
        <v>90.77</v>
      </c>
    </row>
    <row r="549" ht="15.75" customHeight="1"/>
    <row r="550" ht="15.75" customHeight="1"/>
    <row r="551" ht="15.75" customHeight="1">
      <c r="B551" s="2" t="str">
        <f>IFERROR(__xludf.DUMMYFUNCTION("GOOGLEFINANCE(""NSE:TATAPOWER"",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IFERROR(__xludf.DUMMYFUNCTION("""COMPUTED_VALUE"""),94.81)</f>
        <v>94.81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IFERROR(__xludf.DUMMYFUNCTION("""COMPUTED_VALUE"""),102.86)</f>
        <v>102.86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IFERROR(__xludf.DUMMYFUNCTION("""COMPUTED_VALUE"""),104.55)</f>
        <v>104.55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IFERROR(__xludf.DUMMYFUNCTION("""COMPUTED_VALUE"""),111.24)</f>
        <v>111.24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IFERROR(__xludf.DUMMYFUNCTION("""COMPUTED_VALUE"""),110.81)</f>
        <v>110.81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IFERROR(__xludf.DUMMYFUNCTION("""COMPUTED_VALUE"""),115.82)</f>
        <v>115.82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IFERROR(__xludf.DUMMYFUNCTION("""COMPUTED_VALUE"""),116.78)</f>
        <v>116.78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IFERROR(__xludf.DUMMYFUNCTION("""COMPUTED_VALUE"""),112.25)</f>
        <v>112.25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IFERROR(__xludf.DUMMYFUNCTION("""COMPUTED_VALUE"""),107.53)</f>
        <v>107.53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IFERROR(__xludf.DUMMYFUNCTION("""COMPUTED_VALUE"""),102.57)</f>
        <v>102.57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IFERROR(__xludf.DUMMYFUNCTION("""COMPUTED_VALUE"""),98.96)</f>
        <v>98.96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IFERROR(__xludf.DUMMYFUNCTION("""COMPUTED_VALUE"""),100.79)</f>
        <v>100.79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IFERROR(__xludf.DUMMYFUNCTION("""COMPUTED_VALUE"""),101.94)</f>
        <v>101.94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IFERROR(__xludf.DUMMYFUNCTION("""COMPUTED_VALUE"""),105.27)</f>
        <v>105.27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IFERROR(__xludf.DUMMYFUNCTION("""COMPUTED_VALUE"""),102.57)</f>
        <v>102.57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IFERROR(__xludf.DUMMYFUNCTION("""COMPUTED_VALUE"""),98.76)</f>
        <v>98.76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IFERROR(__xludf.DUMMYFUNCTION("""COMPUTED_VALUE"""),92.98)</f>
        <v>92.98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IFERROR(__xludf.DUMMYFUNCTION("""COMPUTED_VALUE"""),93.51)</f>
        <v>93.51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IFERROR(__xludf.DUMMYFUNCTION("""COMPUTED_VALUE"""),92.02)</f>
        <v>92.02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IFERROR(__xludf.DUMMYFUNCTION("""COMPUTED_VALUE"""),91.63)</f>
        <v>91.63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IFERROR(__xludf.DUMMYFUNCTION("""COMPUTED_VALUE"""),94.91)</f>
        <v>94.91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IFERROR(__xludf.DUMMYFUNCTION("""COMPUTED_VALUE"""),91.73)</f>
        <v>91.73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IFERROR(__xludf.DUMMYFUNCTION("""COMPUTED_VALUE"""),101.65)</f>
        <v>101.65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IFERROR(__xludf.DUMMYFUNCTION("""COMPUTED_VALUE"""),102.33)</f>
        <v>102.33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IFERROR(__xludf.DUMMYFUNCTION("""COMPUTED_VALUE"""),99.73)</f>
        <v>99.73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IFERROR(__xludf.DUMMYFUNCTION("""COMPUTED_VALUE"""),97.61)</f>
        <v>97.61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IFERROR(__xludf.DUMMYFUNCTION("""COMPUTED_VALUE"""),96.84)</f>
        <v>96.84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IFERROR(__xludf.DUMMYFUNCTION("""COMPUTED_VALUE"""),96.84)</f>
        <v>96.84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IFERROR(__xludf.DUMMYFUNCTION("""COMPUTED_VALUE"""),97.32)</f>
        <v>97.32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IFERROR(__xludf.DUMMYFUNCTION("""COMPUTED_VALUE"""),99.25)</f>
        <v>99.25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IFERROR(__xludf.DUMMYFUNCTION("""COMPUTED_VALUE"""),96.93)</f>
        <v>96.93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IFERROR(__xludf.DUMMYFUNCTION("""COMPUTED_VALUE"""),97.61)</f>
        <v>97.61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IFERROR(__xludf.DUMMYFUNCTION("""COMPUTED_VALUE"""),95.58)</f>
        <v>95.58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IFERROR(__xludf.DUMMYFUNCTION("""COMPUTED_VALUE"""),100.69)</f>
        <v>100.69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IFERROR(__xludf.DUMMYFUNCTION("""COMPUTED_VALUE"""),106.57)</f>
        <v>106.57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IFERROR(__xludf.DUMMYFUNCTION("""COMPUTED_VALUE"""),103.53)</f>
        <v>103.53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IFERROR(__xludf.DUMMYFUNCTION("""COMPUTED_VALUE"""),100.21)</f>
        <v>100.21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IFERROR(__xludf.DUMMYFUNCTION("""COMPUTED_VALUE"""),103.77)</f>
        <v>103.77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IFERROR(__xludf.DUMMYFUNCTION("""COMPUTED_VALUE"""),103.0)</f>
        <v>103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IFERROR(__xludf.DUMMYFUNCTION("""COMPUTED_VALUE"""),103.73)</f>
        <v>103.73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IFERROR(__xludf.DUMMYFUNCTION("""COMPUTED_VALUE"""),103.0)</f>
        <v>103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IFERROR(__xludf.DUMMYFUNCTION("""COMPUTED_VALUE"""),98.28)</f>
        <v>98.28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IFERROR(__xludf.DUMMYFUNCTION("""COMPUTED_VALUE"""),98.67)</f>
        <v>98.67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IFERROR(__xludf.DUMMYFUNCTION("""COMPUTED_VALUE"""),104.55)</f>
        <v>104.55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IFERROR(__xludf.DUMMYFUNCTION("""COMPUTED_VALUE"""),109.03)</f>
        <v>109.03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IFERROR(__xludf.DUMMYFUNCTION("""COMPUTED_VALUE"""),106.81)</f>
        <v>106.81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IFERROR(__xludf.DUMMYFUNCTION("""COMPUTED_VALUE"""),104.26)</f>
        <v>104.26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IFERROR(__xludf.DUMMYFUNCTION("""COMPUTED_VALUE"""),105.89)</f>
        <v>105.89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IFERROR(__xludf.DUMMYFUNCTION("GOOGLEFINANCE(""NSE:TATAPOWER"",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IFERROR(__xludf.DUMMYFUNCTION("""COMPUTED_VALUE"""),108.45)</f>
        <v>108.45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IFERROR(__xludf.DUMMYFUNCTION("""COMPUTED_VALUE"""),106.81)</f>
        <v>106.81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IFERROR(__xludf.DUMMYFUNCTION("""COMPUTED_VALUE"""),104.83)</f>
        <v>104.83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IFERROR(__xludf.DUMMYFUNCTION("""COMPUTED_VALUE"""),106.57)</f>
        <v>106.57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IFERROR(__xludf.DUMMYFUNCTION("""COMPUTED_VALUE"""),103.92)</f>
        <v>103.92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IFERROR(__xludf.DUMMYFUNCTION("""COMPUTED_VALUE"""),99.78)</f>
        <v>99.78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IFERROR(__xludf.DUMMYFUNCTION("""COMPUTED_VALUE"""),94.77)</f>
        <v>94.77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IFERROR(__xludf.DUMMYFUNCTION("""COMPUTED_VALUE"""),94.91)</f>
        <v>94.91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IFERROR(__xludf.DUMMYFUNCTION("""COMPUTED_VALUE"""),95.34)</f>
        <v>95.34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IFERROR(__xludf.DUMMYFUNCTION("""COMPUTED_VALUE"""),96.02)</f>
        <v>96.02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IFERROR(__xludf.DUMMYFUNCTION("""COMPUTED_VALUE"""),98.86)</f>
        <v>98.86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IFERROR(__xludf.DUMMYFUNCTION("""COMPUTED_VALUE"""),97.27)</f>
        <v>97.27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IFERROR(__xludf.DUMMYFUNCTION("""COMPUTED_VALUE"""),93.99)</f>
        <v>93.99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IFERROR(__xludf.DUMMYFUNCTION("""COMPUTED_VALUE"""),97.7)</f>
        <v>97.7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IFERROR(__xludf.DUMMYFUNCTION("""COMPUTED_VALUE"""),93.75)</f>
        <v>93.75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IFERROR(__xludf.DUMMYFUNCTION("""COMPUTED_VALUE"""),95.87)</f>
        <v>95.87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IFERROR(__xludf.DUMMYFUNCTION("""COMPUTED_VALUE"""),92.5)</f>
        <v>92.5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IFERROR(__xludf.DUMMYFUNCTION("""COMPUTED_VALUE"""),92.6)</f>
        <v>92.6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IFERROR(__xludf.DUMMYFUNCTION("""COMPUTED_VALUE"""),91.39)</f>
        <v>91.39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IFERROR(__xludf.DUMMYFUNCTION("""COMPUTED_VALUE"""),91.25)</f>
        <v>91.25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IFERROR(__xludf.DUMMYFUNCTION("""COMPUTED_VALUE"""),88.89)</f>
        <v>88.89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IFERROR(__xludf.DUMMYFUNCTION("""COMPUTED_VALUE"""),86.48)</f>
        <v>86.48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IFERROR(__xludf.DUMMYFUNCTION("""COMPUTED_VALUE"""),86.14)</f>
        <v>86.14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IFERROR(__xludf.DUMMYFUNCTION("""COMPUTED_VALUE"""),81.81)</f>
        <v>81.81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IFERROR(__xludf.DUMMYFUNCTION("""COMPUTED_VALUE"""),83.49)</f>
        <v>83.49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IFERROR(__xludf.DUMMYFUNCTION("""COMPUTED_VALUE"""),85.76)</f>
        <v>85.76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IFERROR(__xludf.DUMMYFUNCTION("""COMPUTED_VALUE"""),86.62)</f>
        <v>86.62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IFERROR(__xludf.DUMMYFUNCTION("""COMPUTED_VALUE"""),90.04)</f>
        <v>90.04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IFERROR(__xludf.DUMMYFUNCTION("""COMPUTED_VALUE"""),91.73)</f>
        <v>91.73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IFERROR(__xludf.DUMMYFUNCTION("""COMPUTED_VALUE"""),87.25)</f>
        <v>87.25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IFERROR(__xludf.DUMMYFUNCTION("""COMPUTED_VALUE"""),82.38)</f>
        <v>82.38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IFERROR(__xludf.DUMMYFUNCTION("""COMPUTED_VALUE"""),75.64)</f>
        <v>75.64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IFERROR(__xludf.DUMMYFUNCTION("""COMPUTED_VALUE"""),75.64)</f>
        <v>75.64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IFERROR(__xludf.DUMMYFUNCTION("""COMPUTED_VALUE"""),78.77)</f>
        <v>78.77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IFERROR(__xludf.DUMMYFUNCTION("""COMPUTED_VALUE"""),74.1)</f>
        <v>74.1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IFERROR(__xludf.DUMMYFUNCTION("""COMPUTED_VALUE"""),76.22)</f>
        <v>76.22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IFERROR(__xludf.DUMMYFUNCTION("""COMPUTED_VALUE"""),81.9)</f>
        <v>81.9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IFERROR(__xludf.DUMMYFUNCTION("""COMPUTED_VALUE"""),80.75)</f>
        <v>80.75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IFERROR(__xludf.DUMMYFUNCTION("""COMPUTED_VALUE"""),78.82)</f>
        <v>78.82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IFERROR(__xludf.DUMMYFUNCTION("""COMPUTED_VALUE"""),82.87)</f>
        <v>82.87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IFERROR(__xludf.DUMMYFUNCTION("""COMPUTED_VALUE"""),79.44)</f>
        <v>79.44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IFERROR(__xludf.DUMMYFUNCTION("""COMPUTED_VALUE"""),80.84)</f>
        <v>80.84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IFERROR(__xludf.DUMMYFUNCTION("""COMPUTED_VALUE"""),79.97)</f>
        <v>79.97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IFERROR(__xludf.DUMMYFUNCTION("""COMPUTED_VALUE"""),82.67)</f>
        <v>82.67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IFERROR(__xludf.DUMMYFUNCTION("""COMPUTED_VALUE"""),79.4)</f>
        <v>79.4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IFERROR(__xludf.DUMMYFUNCTION("""COMPUTED_VALUE"""),77.66)</f>
        <v>77.66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IFERROR(__xludf.DUMMYFUNCTION("""COMPUTED_VALUE"""),77.23)</f>
        <v>77.23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IFERROR(__xludf.DUMMYFUNCTION("""COMPUTED_VALUE"""),86.62)</f>
        <v>86.62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IFERROR(__xludf.DUMMYFUNCTION("""COMPUTED_VALUE"""),89.23)</f>
        <v>89.23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IFERROR(__xludf.DUMMYFUNCTION("""COMPUTED_VALUE"""),89.23)</f>
        <v>89.23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IFERROR(__xludf.DUMMYFUNCTION("""COMPUTED_VALUE"""),87.68)</f>
        <v>87.68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IFERROR(__xludf.DUMMYFUNCTION("GOOGLEFINANCE(""NSE:TATAPOWER"",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IFERROR(__xludf.DUMMYFUNCTION("""COMPUTED_VALUE"""),88.65)</f>
        <v>88.65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IFERROR(__xludf.DUMMYFUNCTION("""COMPUTED_VALUE"""),81.08)</f>
        <v>81.08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IFERROR(__xludf.DUMMYFUNCTION("""COMPUTED_VALUE"""),78.24)</f>
        <v>78.24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IFERROR(__xludf.DUMMYFUNCTION("""COMPUTED_VALUE"""),75.88)</f>
        <v>75.88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IFERROR(__xludf.DUMMYFUNCTION("""COMPUTED_VALUE"""),72.46)</f>
        <v>72.46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IFERROR(__xludf.DUMMYFUNCTION("""COMPUTED_VALUE"""),73.95)</f>
        <v>73.95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IFERROR(__xludf.DUMMYFUNCTION("""COMPUTED_VALUE"""),73.9)</f>
        <v>73.9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IFERROR(__xludf.DUMMYFUNCTION("""COMPUTED_VALUE"""),77.18)</f>
        <v>77.18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IFERROR(__xludf.DUMMYFUNCTION("""COMPUTED_VALUE"""),81.28)</f>
        <v>81.28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IFERROR(__xludf.DUMMYFUNCTION("""COMPUTED_VALUE"""),77.81)</f>
        <v>77.81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IFERROR(__xludf.DUMMYFUNCTION("""COMPUTED_VALUE"""),82.48)</f>
        <v>82.48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IFERROR(__xludf.DUMMYFUNCTION("""COMPUTED_VALUE"""),86.95)</f>
        <v>86.95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IFERROR(__xludf.DUMMYFUNCTION("""COMPUTED_VALUE"""),87.9)</f>
        <v>87.9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IFERROR(__xludf.DUMMYFUNCTION("""COMPUTED_VALUE"""),87.9)</f>
        <v>87.9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IFERROR(__xludf.DUMMYFUNCTION("""COMPUTED_VALUE"""),87.0)</f>
        <v>87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IFERROR(__xludf.DUMMYFUNCTION("""COMPUTED_VALUE"""),85.35)</f>
        <v>85.35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IFERROR(__xludf.DUMMYFUNCTION("""COMPUTED_VALUE"""),84.15)</f>
        <v>84.15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IFERROR(__xludf.DUMMYFUNCTION("""COMPUTED_VALUE"""),81.0)</f>
        <v>81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IFERROR(__xludf.DUMMYFUNCTION("""COMPUTED_VALUE"""),93.0)</f>
        <v>93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IFERROR(__xludf.DUMMYFUNCTION("""COMPUTED_VALUE"""),106.7)</f>
        <v>106.7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IFERROR(__xludf.DUMMYFUNCTION("""COMPUTED_VALUE"""),109.3)</f>
        <v>109.3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IFERROR(__xludf.DUMMYFUNCTION("""COMPUTED_VALUE"""),112.4)</f>
        <v>112.4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IFERROR(__xludf.DUMMYFUNCTION("""COMPUTED_VALUE"""),115.6)</f>
        <v>115.6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IFERROR(__xludf.DUMMYFUNCTION("""COMPUTED_VALUE"""),108.3)</f>
        <v>108.3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IFERROR(__xludf.DUMMYFUNCTION("""COMPUTED_VALUE"""),105.7)</f>
        <v>105.7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IFERROR(__xludf.DUMMYFUNCTION("""COMPUTED_VALUE"""),110.0)</f>
        <v>110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IFERROR(__xludf.DUMMYFUNCTION("""COMPUTED_VALUE"""),112.2)</f>
        <v>112.2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IFERROR(__xludf.DUMMYFUNCTION("""COMPUTED_VALUE"""),109.8)</f>
        <v>109.8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IFERROR(__xludf.DUMMYFUNCTION("""COMPUTED_VALUE"""),106.75)</f>
        <v>106.75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IFERROR(__xludf.DUMMYFUNCTION("""COMPUTED_VALUE"""),102.2)</f>
        <v>102.2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IFERROR(__xludf.DUMMYFUNCTION("""COMPUTED_VALUE"""),97.95)</f>
        <v>97.95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IFERROR(__xludf.DUMMYFUNCTION("""COMPUTED_VALUE"""),93.5)</f>
        <v>93.5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IFERROR(__xludf.DUMMYFUNCTION("""COMPUTED_VALUE"""),96.4)</f>
        <v>96.4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IFERROR(__xludf.DUMMYFUNCTION("""COMPUTED_VALUE"""),94.15)</f>
        <v>94.15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IFERROR(__xludf.DUMMYFUNCTION("""COMPUTED_VALUE"""),91.15)</f>
        <v>91.15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IFERROR(__xludf.DUMMYFUNCTION("""COMPUTED_VALUE"""),91.35)</f>
        <v>91.35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IFERROR(__xludf.DUMMYFUNCTION("""COMPUTED_VALUE"""),90.25)</f>
        <v>90.25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IFERROR(__xludf.DUMMYFUNCTION("""COMPUTED_VALUE"""),87.75)</f>
        <v>87.75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IFERROR(__xludf.DUMMYFUNCTION("""COMPUTED_VALUE"""),85.1)</f>
        <v>85.1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IFERROR(__xludf.DUMMYFUNCTION("""COMPUTED_VALUE"""),84.75)</f>
        <v>84.75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IFERROR(__xludf.DUMMYFUNCTION("""COMPUTED_VALUE"""),87.65)</f>
        <v>87.65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IFERROR(__xludf.DUMMYFUNCTION("""COMPUTED_VALUE"""),88.95)</f>
        <v>88.95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IFERROR(__xludf.DUMMYFUNCTION("""COMPUTED_VALUE"""),94.5)</f>
        <v>94.5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IFERROR(__xludf.DUMMYFUNCTION("""COMPUTED_VALUE"""),94.9)</f>
        <v>94.9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IFERROR(__xludf.DUMMYFUNCTION("""COMPUTED_VALUE"""),94.2)</f>
        <v>94.2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IFERROR(__xludf.DUMMYFUNCTION("""COMPUTED_VALUE"""),90.65)</f>
        <v>90.65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IFERROR(__xludf.DUMMYFUNCTION("""COMPUTED_VALUE"""),93.8)</f>
        <v>93.8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IFERROR(__xludf.DUMMYFUNCTION("""COMPUTED_VALUE"""),93.25)</f>
        <v>93.25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IFERROR(__xludf.DUMMYFUNCTION("""COMPUTED_VALUE"""),91.2)</f>
        <v>91.2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IFERROR(__xludf.DUMMYFUNCTION("""COMPUTED_VALUE"""),85.45)</f>
        <v>85.45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IFERROR(__xludf.DUMMYFUNCTION("""COMPUTED_VALUE"""),84.6)</f>
        <v>84.6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IFERROR(__xludf.DUMMYFUNCTION("GOOGLEFINANCE(""NSE:TATAPOWER"",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IFERROR(__xludf.DUMMYFUNCTION("""COMPUTED_VALUE"""),83.75)</f>
        <v>83.75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IFERROR(__xludf.DUMMYFUNCTION("""COMPUTED_VALUE"""),84.6)</f>
        <v>84.6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IFERROR(__xludf.DUMMYFUNCTION("""COMPUTED_VALUE"""),83.0)</f>
        <v>83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IFERROR(__xludf.DUMMYFUNCTION("""COMPUTED_VALUE"""),90.85)</f>
        <v>90.85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IFERROR(__xludf.DUMMYFUNCTION("""COMPUTED_VALUE"""),91.55)</f>
        <v>91.55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IFERROR(__xludf.DUMMYFUNCTION("""COMPUTED_VALUE"""),92.45)</f>
        <v>92.45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IFERROR(__xludf.DUMMYFUNCTION("""COMPUTED_VALUE"""),84.65)</f>
        <v>84.65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IFERROR(__xludf.DUMMYFUNCTION("""COMPUTED_VALUE"""),88.8)</f>
        <v>88.8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IFERROR(__xludf.DUMMYFUNCTION("""COMPUTED_VALUE"""),88.3)</f>
        <v>88.3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IFERROR(__xludf.DUMMYFUNCTION("""COMPUTED_VALUE"""),84.85)</f>
        <v>84.85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IFERROR(__xludf.DUMMYFUNCTION("""COMPUTED_VALUE"""),82.1)</f>
        <v>82.1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IFERROR(__xludf.DUMMYFUNCTION("""COMPUTED_VALUE"""),79.6)</f>
        <v>79.6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IFERROR(__xludf.DUMMYFUNCTION("""COMPUTED_VALUE"""),77.9)</f>
        <v>77.9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IFERROR(__xludf.DUMMYFUNCTION("""COMPUTED_VALUE"""),79.6)</f>
        <v>79.6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IFERROR(__xludf.DUMMYFUNCTION("""COMPUTED_VALUE"""),82.35)</f>
        <v>82.35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IFERROR(__xludf.DUMMYFUNCTION("""COMPUTED_VALUE"""),81.05)</f>
        <v>81.05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IFERROR(__xludf.DUMMYFUNCTION("""COMPUTED_VALUE"""),79.2)</f>
        <v>79.2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IFERROR(__xludf.DUMMYFUNCTION("""COMPUTED_VALUE"""),77.7)</f>
        <v>77.7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IFERROR(__xludf.DUMMYFUNCTION("""COMPUTED_VALUE"""),74.8)</f>
        <v>74.8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IFERROR(__xludf.DUMMYFUNCTION("""COMPUTED_VALUE"""),79.6)</f>
        <v>79.6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IFERROR(__xludf.DUMMYFUNCTION("""COMPUTED_VALUE"""),76.05)</f>
        <v>76.05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IFERROR(__xludf.DUMMYFUNCTION("""COMPUTED_VALUE"""),76.35)</f>
        <v>76.35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IFERROR(__xludf.DUMMYFUNCTION("""COMPUTED_VALUE"""),74.6)</f>
        <v>74.6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IFERROR(__xludf.DUMMYFUNCTION("""COMPUTED_VALUE"""),74.5)</f>
        <v>74.5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IFERROR(__xludf.DUMMYFUNCTION("""COMPUTED_VALUE"""),75.8)</f>
        <v>75.8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IFERROR(__xludf.DUMMYFUNCTION("""COMPUTED_VALUE"""),75.5)</f>
        <v>75.5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IFERROR(__xludf.DUMMYFUNCTION("""COMPUTED_VALUE"""),75.35)</f>
        <v>75.35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IFERROR(__xludf.DUMMYFUNCTION("""COMPUTED_VALUE"""),76.85)</f>
        <v>76.85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IFERROR(__xludf.DUMMYFUNCTION("""COMPUTED_VALUE"""),74.95)</f>
        <v>74.95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IFERROR(__xludf.DUMMYFUNCTION("""COMPUTED_VALUE"""),72.2)</f>
        <v>72.2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IFERROR(__xludf.DUMMYFUNCTION("""COMPUTED_VALUE"""),70.95)</f>
        <v>70.95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IFERROR(__xludf.DUMMYFUNCTION("""COMPUTED_VALUE"""),70.75)</f>
        <v>70.75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IFERROR(__xludf.DUMMYFUNCTION("""COMPUTED_VALUE"""),70.0)</f>
        <v>70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IFERROR(__xludf.DUMMYFUNCTION("""COMPUTED_VALUE"""),66.8)</f>
        <v>66.8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IFERROR(__xludf.DUMMYFUNCTION("""COMPUTED_VALUE"""),62.2)</f>
        <v>62.2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IFERROR(__xludf.DUMMYFUNCTION("""COMPUTED_VALUE"""),61.5)</f>
        <v>61.5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IFERROR(__xludf.DUMMYFUNCTION("""COMPUTED_VALUE"""),65.0)</f>
        <v>65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IFERROR(__xludf.DUMMYFUNCTION("""COMPUTED_VALUE"""),66.45)</f>
        <v>66.45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IFERROR(__xludf.DUMMYFUNCTION("""COMPUTED_VALUE"""),67.0)</f>
        <v>67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IFERROR(__xludf.DUMMYFUNCTION("""COMPUTED_VALUE"""),71.05)</f>
        <v>71.05</v>
      </c>
    </row>
    <row r="757" ht="15.75" customHeight="1">
      <c r="B757" s="3">
        <f>IFERROR(__xludf.DUMMYFUNCTION("""COMPUTED_VALUE"""),42293.64583333333)</f>
        <v>42293.64583</v>
      </c>
      <c r="C757" s="2">
        <f>IFERROR(__xludf.DUMMYFUNCTION("""COMPUTED_VALUE"""),71.25)</f>
        <v>71.25</v>
      </c>
    </row>
    <row r="758" ht="15.75" customHeight="1">
      <c r="B758" s="3">
        <f>IFERROR(__xludf.DUMMYFUNCTION("""COMPUTED_VALUE"""),42300.64583333333)</f>
        <v>42300.64583</v>
      </c>
      <c r="C758" s="2">
        <f>IFERROR(__xludf.DUMMYFUNCTION("""COMPUTED_VALUE"""),72.5)</f>
        <v>72.5</v>
      </c>
    </row>
    <row r="759" ht="15.75" customHeight="1">
      <c r="B759" s="3">
        <f>IFERROR(__xludf.DUMMYFUNCTION("""COMPUTED_VALUE"""),42307.64583333333)</f>
        <v>42307.64583</v>
      </c>
      <c r="C759" s="2">
        <f>IFERROR(__xludf.DUMMYFUNCTION("""COMPUTED_VALUE"""),71.9)</f>
        <v>71.9</v>
      </c>
    </row>
    <row r="760" ht="15.75" customHeight="1">
      <c r="B760" s="3">
        <f>IFERROR(__xludf.DUMMYFUNCTION("""COMPUTED_VALUE"""),42314.64583333333)</f>
        <v>42314.64583</v>
      </c>
      <c r="C760" s="2">
        <f>IFERROR(__xludf.DUMMYFUNCTION("""COMPUTED_VALUE"""),69.6)</f>
        <v>69.6</v>
      </c>
    </row>
    <row r="761" ht="15.75" customHeight="1">
      <c r="B761" s="3">
        <f>IFERROR(__xludf.DUMMYFUNCTION("""COMPUTED_VALUE"""),42321.64583333333)</f>
        <v>42321.64583</v>
      </c>
      <c r="C761" s="2">
        <f>IFERROR(__xludf.DUMMYFUNCTION("""COMPUTED_VALUE"""),69.8)</f>
        <v>69.8</v>
      </c>
    </row>
    <row r="762" ht="15.75" customHeight="1">
      <c r="B762" s="3">
        <f>IFERROR(__xludf.DUMMYFUNCTION("""COMPUTED_VALUE"""),42328.64583333333)</f>
        <v>42328.64583</v>
      </c>
      <c r="C762" s="2">
        <f>IFERROR(__xludf.DUMMYFUNCTION("""COMPUTED_VALUE"""),68.55)</f>
        <v>68.55</v>
      </c>
    </row>
    <row r="763" ht="15.75" customHeight="1">
      <c r="B763" s="3">
        <f>IFERROR(__xludf.DUMMYFUNCTION("""COMPUTED_VALUE"""),42335.64583333333)</f>
        <v>42335.64583</v>
      </c>
      <c r="C763" s="2">
        <f>IFERROR(__xludf.DUMMYFUNCTION("""COMPUTED_VALUE"""),67.35)</f>
        <v>67.35</v>
      </c>
    </row>
    <row r="764" ht="15.75" customHeight="1">
      <c r="B764" s="3">
        <f>IFERROR(__xludf.DUMMYFUNCTION("""COMPUTED_VALUE"""),42342.64583333333)</f>
        <v>42342.64583</v>
      </c>
      <c r="C764" s="2">
        <f>IFERROR(__xludf.DUMMYFUNCTION("""COMPUTED_VALUE"""),68.0)</f>
        <v>68</v>
      </c>
    </row>
    <row r="765" ht="15.75" customHeight="1">
      <c r="B765" s="3">
        <f>IFERROR(__xludf.DUMMYFUNCTION("""COMPUTED_VALUE"""),42349.64583333333)</f>
        <v>42349.64583</v>
      </c>
      <c r="C765" s="2">
        <f>IFERROR(__xludf.DUMMYFUNCTION("""COMPUTED_VALUE"""),64.95)</f>
        <v>64.95</v>
      </c>
    </row>
    <row r="766" ht="15.75" customHeight="1">
      <c r="B766" s="3">
        <f>IFERROR(__xludf.DUMMYFUNCTION("""COMPUTED_VALUE"""),42356.64583333333)</f>
        <v>42356.64583</v>
      </c>
      <c r="C766" s="2">
        <f>IFERROR(__xludf.DUMMYFUNCTION("""COMPUTED_VALUE"""),66.0)</f>
        <v>66</v>
      </c>
    </row>
    <row r="767" ht="15.75" customHeight="1">
      <c r="B767" s="3">
        <f>IFERROR(__xludf.DUMMYFUNCTION("""COMPUTED_VALUE"""),42362.64583333333)</f>
        <v>42362.64583</v>
      </c>
      <c r="C767" s="2">
        <f>IFERROR(__xludf.DUMMYFUNCTION("""COMPUTED_VALUE"""),66.8)</f>
        <v>66.8</v>
      </c>
    </row>
    <row r="768" ht="15.75" customHeight="1">
      <c r="B768" s="3">
        <f>IFERROR(__xludf.DUMMYFUNCTION("""COMPUTED_VALUE"""),42370.64583333333)</f>
        <v>42370.64583</v>
      </c>
      <c r="C768" s="2">
        <f>IFERROR(__xludf.DUMMYFUNCTION("""COMPUTED_VALUE"""),69.45)</f>
        <v>69.45</v>
      </c>
    </row>
    <row r="769" ht="15.75" customHeight="1"/>
    <row r="770" ht="15.75" customHeight="1"/>
    <row r="771" ht="15.75" customHeight="1">
      <c r="B771" s="2" t="str">
        <f>IFERROR(__xludf.DUMMYFUNCTION("GOOGLEFINANCE(""NSE:TATAPOWER"",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IFERROR(__xludf.DUMMYFUNCTION("""COMPUTED_VALUE"""),70.7)</f>
        <v>70.7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IFERROR(__xludf.DUMMYFUNCTION("""COMPUTED_VALUE"""),68.25)</f>
        <v>68.25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IFERROR(__xludf.DUMMYFUNCTION("""COMPUTED_VALUE"""),64.95)</f>
        <v>64.95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IFERROR(__xludf.DUMMYFUNCTION("""COMPUTED_VALUE"""),62.55)</f>
        <v>62.55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IFERROR(__xludf.DUMMYFUNCTION("""COMPUTED_VALUE"""),61.0)</f>
        <v>61</v>
      </c>
    </row>
    <row r="777" ht="15.75" customHeight="1">
      <c r="B777" s="3">
        <f>IFERROR(__xludf.DUMMYFUNCTION("""COMPUTED_VALUE"""),42412.64583333333)</f>
        <v>42412.64583</v>
      </c>
      <c r="C777" s="2">
        <f>IFERROR(__xludf.DUMMYFUNCTION("""COMPUTED_VALUE"""),60.8)</f>
        <v>60.8</v>
      </c>
    </row>
    <row r="778" ht="15.75" customHeight="1">
      <c r="B778" s="3">
        <f>IFERROR(__xludf.DUMMYFUNCTION("""COMPUTED_VALUE"""),42419.64583333333)</f>
        <v>42419.64583</v>
      </c>
      <c r="C778" s="2">
        <f>IFERROR(__xludf.DUMMYFUNCTION("""COMPUTED_VALUE"""),61.9)</f>
        <v>61.9</v>
      </c>
    </row>
    <row r="779" ht="15.75" customHeight="1">
      <c r="B779" s="3">
        <f>IFERROR(__xludf.DUMMYFUNCTION("""COMPUTED_VALUE"""),42426.64583333333)</f>
        <v>42426.64583</v>
      </c>
      <c r="C779" s="2">
        <f>IFERROR(__xludf.DUMMYFUNCTION("""COMPUTED_VALUE"""),59.45)</f>
        <v>59.45</v>
      </c>
    </row>
    <row r="780" ht="15.75" customHeight="1">
      <c r="B780" s="3">
        <f>IFERROR(__xludf.DUMMYFUNCTION("""COMPUTED_VALUE"""),42433.64583333333)</f>
        <v>42433.64583</v>
      </c>
      <c r="C780" s="2">
        <f>IFERROR(__xludf.DUMMYFUNCTION("""COMPUTED_VALUE"""),59.9)</f>
        <v>59.9</v>
      </c>
    </row>
    <row r="781" ht="15.75" customHeight="1">
      <c r="B781" s="3">
        <f>IFERROR(__xludf.DUMMYFUNCTION("""COMPUTED_VALUE"""),42440.64583333333)</f>
        <v>42440.64583</v>
      </c>
      <c r="C781" s="2">
        <f>IFERROR(__xludf.DUMMYFUNCTION("""COMPUTED_VALUE"""),59.8)</f>
        <v>59.8</v>
      </c>
    </row>
    <row r="782" ht="15.75" customHeight="1">
      <c r="B782" s="3">
        <f>IFERROR(__xludf.DUMMYFUNCTION("""COMPUTED_VALUE"""),42447.64583333333)</f>
        <v>42447.64583</v>
      </c>
      <c r="C782" s="2">
        <f>IFERROR(__xludf.DUMMYFUNCTION("""COMPUTED_VALUE"""),59.65)</f>
        <v>59.65</v>
      </c>
    </row>
    <row r="783" ht="15.75" customHeight="1">
      <c r="B783" s="3">
        <f>IFERROR(__xludf.DUMMYFUNCTION("""COMPUTED_VALUE"""),42452.64583333333)</f>
        <v>42452.64583</v>
      </c>
      <c r="C783" s="2">
        <f>IFERROR(__xludf.DUMMYFUNCTION("""COMPUTED_VALUE"""),63.4)</f>
        <v>63.4</v>
      </c>
    </row>
    <row r="784" ht="15.75" customHeight="1">
      <c r="B784" s="3">
        <f>IFERROR(__xludf.DUMMYFUNCTION("""COMPUTED_VALUE"""),42461.64583333333)</f>
        <v>42461.64583</v>
      </c>
      <c r="C784" s="2">
        <f>IFERROR(__xludf.DUMMYFUNCTION("""COMPUTED_VALUE"""),65.5)</f>
        <v>65.5</v>
      </c>
    </row>
    <row r="785" ht="15.75" customHeight="1">
      <c r="B785" s="3">
        <f>IFERROR(__xludf.DUMMYFUNCTION("""COMPUTED_VALUE"""),42468.64583333333)</f>
        <v>42468.64583</v>
      </c>
      <c r="C785" s="2">
        <f>IFERROR(__xludf.DUMMYFUNCTION("""COMPUTED_VALUE"""),70.1)</f>
        <v>70.1</v>
      </c>
    </row>
    <row r="786" ht="15.75" customHeight="1">
      <c r="B786" s="3">
        <f>IFERROR(__xludf.DUMMYFUNCTION("""COMPUTED_VALUE"""),42473.64583333333)</f>
        <v>42473.64583</v>
      </c>
      <c r="C786" s="2">
        <f>IFERROR(__xludf.DUMMYFUNCTION("""COMPUTED_VALUE"""),70.25)</f>
        <v>70.25</v>
      </c>
    </row>
    <row r="787" ht="15.75" customHeight="1">
      <c r="B787" s="3">
        <f>IFERROR(__xludf.DUMMYFUNCTION("""COMPUTED_VALUE"""),42482.64583333333)</f>
        <v>42482.64583</v>
      </c>
      <c r="C787" s="2">
        <f>IFERROR(__xludf.DUMMYFUNCTION("""COMPUTED_VALUE"""),71.5)</f>
        <v>71.5</v>
      </c>
    </row>
    <row r="788" ht="15.75" customHeight="1">
      <c r="B788" s="3">
        <f>IFERROR(__xludf.DUMMYFUNCTION("""COMPUTED_VALUE"""),42489.64583333333)</f>
        <v>42489.64583</v>
      </c>
      <c r="C788" s="2">
        <f>IFERROR(__xludf.DUMMYFUNCTION("""COMPUTED_VALUE"""),72.3)</f>
        <v>72.3</v>
      </c>
    </row>
    <row r="789" ht="15.75" customHeight="1">
      <c r="B789" s="3">
        <f>IFERROR(__xludf.DUMMYFUNCTION("""COMPUTED_VALUE"""),42496.64583333333)</f>
        <v>42496.64583</v>
      </c>
      <c r="C789" s="2">
        <f>IFERROR(__xludf.DUMMYFUNCTION("""COMPUTED_VALUE"""),73.5)</f>
        <v>73.5</v>
      </c>
    </row>
    <row r="790" ht="15.75" customHeight="1">
      <c r="B790" s="3">
        <f>IFERROR(__xludf.DUMMYFUNCTION("""COMPUTED_VALUE"""),42503.64583333333)</f>
        <v>42503.64583</v>
      </c>
      <c r="C790" s="2">
        <f>IFERROR(__xludf.DUMMYFUNCTION("""COMPUTED_VALUE"""),74.0)</f>
        <v>74</v>
      </c>
    </row>
    <row r="791" ht="15.75" customHeight="1">
      <c r="B791" s="3">
        <f>IFERROR(__xludf.DUMMYFUNCTION("""COMPUTED_VALUE"""),42510.64583333333)</f>
        <v>42510.64583</v>
      </c>
      <c r="C791" s="2">
        <f>IFERROR(__xludf.DUMMYFUNCTION("""COMPUTED_VALUE"""),70.9)</f>
        <v>70.9</v>
      </c>
    </row>
    <row r="792" ht="15.75" customHeight="1">
      <c r="B792" s="3">
        <f>IFERROR(__xludf.DUMMYFUNCTION("""COMPUTED_VALUE"""),42517.64583333333)</f>
        <v>42517.64583</v>
      </c>
      <c r="C792" s="2">
        <f>IFERROR(__xludf.DUMMYFUNCTION("""COMPUTED_VALUE"""),74.8)</f>
        <v>74.8</v>
      </c>
    </row>
    <row r="793" ht="15.75" customHeight="1">
      <c r="B793" s="3">
        <f>IFERROR(__xludf.DUMMYFUNCTION("""COMPUTED_VALUE"""),42524.64583333333)</f>
        <v>42524.64583</v>
      </c>
      <c r="C793" s="2">
        <f>IFERROR(__xludf.DUMMYFUNCTION("""COMPUTED_VALUE"""),76.0)</f>
        <v>76</v>
      </c>
    </row>
    <row r="794" ht="15.75" customHeight="1">
      <c r="B794" s="3">
        <f>IFERROR(__xludf.DUMMYFUNCTION("""COMPUTED_VALUE"""),42531.64583333333)</f>
        <v>42531.64583</v>
      </c>
      <c r="C794" s="2">
        <f>IFERROR(__xludf.DUMMYFUNCTION("""COMPUTED_VALUE"""),77.2)</f>
        <v>77.2</v>
      </c>
    </row>
    <row r="795" ht="15.75" customHeight="1">
      <c r="B795" s="3">
        <f>IFERROR(__xludf.DUMMYFUNCTION("""COMPUTED_VALUE"""),42538.64583333333)</f>
        <v>42538.64583</v>
      </c>
      <c r="C795" s="2">
        <f>IFERROR(__xludf.DUMMYFUNCTION("""COMPUTED_VALUE"""),77.4)</f>
        <v>77.4</v>
      </c>
    </row>
    <row r="796" ht="15.75" customHeight="1">
      <c r="B796" s="3">
        <f>IFERROR(__xludf.DUMMYFUNCTION("""COMPUTED_VALUE"""),42545.64583333333)</f>
        <v>42545.64583</v>
      </c>
      <c r="C796" s="2">
        <f>IFERROR(__xludf.DUMMYFUNCTION("""COMPUTED_VALUE"""),75.9)</f>
        <v>75.9</v>
      </c>
    </row>
    <row r="797" ht="15.75" customHeight="1">
      <c r="B797" s="3">
        <f>IFERROR(__xludf.DUMMYFUNCTION("""COMPUTED_VALUE"""),42552.64583333333)</f>
        <v>42552.64583</v>
      </c>
      <c r="C797" s="2">
        <f>IFERROR(__xludf.DUMMYFUNCTION("""COMPUTED_VALUE"""),74.85)</f>
        <v>74.85</v>
      </c>
    </row>
    <row r="798" ht="15.75" customHeight="1">
      <c r="B798" s="3">
        <f>IFERROR(__xludf.DUMMYFUNCTION("""COMPUTED_VALUE"""),42559.64583333333)</f>
        <v>42559.64583</v>
      </c>
      <c r="C798" s="2">
        <f>IFERROR(__xludf.DUMMYFUNCTION("""COMPUTED_VALUE"""),75.55)</f>
        <v>75.55</v>
      </c>
    </row>
    <row r="799" ht="15.75" customHeight="1">
      <c r="B799" s="3">
        <f>IFERROR(__xludf.DUMMYFUNCTION("""COMPUTED_VALUE"""),42566.64583333333)</f>
        <v>42566.64583</v>
      </c>
      <c r="C799" s="2">
        <f>IFERROR(__xludf.DUMMYFUNCTION("""COMPUTED_VALUE"""),74.3)</f>
        <v>74.3</v>
      </c>
    </row>
    <row r="800" ht="15.75" customHeight="1">
      <c r="B800" s="3">
        <f>IFERROR(__xludf.DUMMYFUNCTION("""COMPUTED_VALUE"""),42573.64583333333)</f>
        <v>42573.64583</v>
      </c>
      <c r="C800" s="2">
        <f>IFERROR(__xludf.DUMMYFUNCTION("""COMPUTED_VALUE"""),73.15)</f>
        <v>73.15</v>
      </c>
    </row>
    <row r="801" ht="15.75" customHeight="1">
      <c r="B801" s="3">
        <f>IFERROR(__xludf.DUMMYFUNCTION("""COMPUTED_VALUE"""),42580.64583333333)</f>
        <v>42580.64583</v>
      </c>
      <c r="C801" s="2">
        <f>IFERROR(__xludf.DUMMYFUNCTION("""COMPUTED_VALUE"""),73.0)</f>
        <v>73</v>
      </c>
    </row>
    <row r="802" ht="15.75" customHeight="1">
      <c r="B802" s="3">
        <f>IFERROR(__xludf.DUMMYFUNCTION("""COMPUTED_VALUE"""),42587.64583333333)</f>
        <v>42587.64583</v>
      </c>
      <c r="C802" s="2">
        <f>IFERROR(__xludf.DUMMYFUNCTION("""COMPUTED_VALUE"""),73.05)</f>
        <v>73.05</v>
      </c>
    </row>
    <row r="803" ht="15.75" customHeight="1">
      <c r="B803" s="3">
        <f>IFERROR(__xludf.DUMMYFUNCTION("""COMPUTED_VALUE"""),42594.64583333333)</f>
        <v>42594.64583</v>
      </c>
      <c r="C803" s="2">
        <f>IFERROR(__xludf.DUMMYFUNCTION("""COMPUTED_VALUE"""),76.4)</f>
        <v>76.4</v>
      </c>
    </row>
    <row r="804" ht="15.75" customHeight="1">
      <c r="B804" s="3">
        <f>IFERROR(__xludf.DUMMYFUNCTION("""COMPUTED_VALUE"""),42601.64583333333)</f>
        <v>42601.64583</v>
      </c>
      <c r="C804" s="2">
        <f>IFERROR(__xludf.DUMMYFUNCTION("""COMPUTED_VALUE"""),78.6)</f>
        <v>78.6</v>
      </c>
    </row>
    <row r="805" ht="15.75" customHeight="1">
      <c r="B805" s="3">
        <f>IFERROR(__xludf.DUMMYFUNCTION("""COMPUTED_VALUE"""),42608.64583333333)</f>
        <v>42608.64583</v>
      </c>
      <c r="C805" s="2">
        <f>IFERROR(__xludf.DUMMYFUNCTION("""COMPUTED_VALUE"""),79.15)</f>
        <v>79.15</v>
      </c>
    </row>
    <row r="806" ht="15.75" customHeight="1">
      <c r="B806" s="3">
        <f>IFERROR(__xludf.DUMMYFUNCTION("""COMPUTED_VALUE"""),42615.64583333333)</f>
        <v>42615.64583</v>
      </c>
      <c r="C806" s="2">
        <f>IFERROR(__xludf.DUMMYFUNCTION("""COMPUTED_VALUE"""),80.35)</f>
        <v>80.35</v>
      </c>
    </row>
    <row r="807" ht="15.75" customHeight="1">
      <c r="B807" s="3">
        <f>IFERROR(__xludf.DUMMYFUNCTION("""COMPUTED_VALUE"""),42622.64583333333)</f>
        <v>42622.64583</v>
      </c>
      <c r="C807" s="2">
        <f>IFERROR(__xludf.DUMMYFUNCTION("""COMPUTED_VALUE"""),79.5)</f>
        <v>79.5</v>
      </c>
    </row>
    <row r="808" ht="15.75" customHeight="1">
      <c r="B808" s="3">
        <f>IFERROR(__xludf.DUMMYFUNCTION("""COMPUTED_VALUE"""),42629.64583333333)</f>
        <v>42629.64583</v>
      </c>
      <c r="C808" s="2">
        <f>IFERROR(__xludf.DUMMYFUNCTION("""COMPUTED_VALUE"""),76.95)</f>
        <v>76.95</v>
      </c>
    </row>
    <row r="809" ht="15.75" customHeight="1">
      <c r="B809" s="3">
        <f>IFERROR(__xludf.DUMMYFUNCTION("""COMPUTED_VALUE"""),42636.64583333333)</f>
        <v>42636.64583</v>
      </c>
      <c r="C809" s="2">
        <f>IFERROR(__xludf.DUMMYFUNCTION("""COMPUTED_VALUE"""),77.45)</f>
        <v>77.45</v>
      </c>
    </row>
    <row r="810" ht="15.75" customHeight="1">
      <c r="B810" s="3">
        <f>IFERROR(__xludf.DUMMYFUNCTION("""COMPUTED_VALUE"""),42643.64583333333)</f>
        <v>42643.64583</v>
      </c>
      <c r="C810" s="2">
        <f>IFERROR(__xludf.DUMMYFUNCTION("""COMPUTED_VALUE"""),76.65)</f>
        <v>76.65</v>
      </c>
    </row>
    <row r="811" ht="15.75" customHeight="1">
      <c r="B811" s="3">
        <f>IFERROR(__xludf.DUMMYFUNCTION("""COMPUTED_VALUE"""),42650.64583333333)</f>
        <v>42650.64583</v>
      </c>
      <c r="C811" s="2">
        <f>IFERROR(__xludf.DUMMYFUNCTION("""COMPUTED_VALUE"""),81.1)</f>
        <v>81.1</v>
      </c>
    </row>
    <row r="812" ht="15.75" customHeight="1">
      <c r="B812" s="3">
        <f>IFERROR(__xludf.DUMMYFUNCTION("""COMPUTED_VALUE"""),42657.64583333333)</f>
        <v>42657.64583</v>
      </c>
      <c r="C812" s="2">
        <f>IFERROR(__xludf.DUMMYFUNCTION("""COMPUTED_VALUE"""),82.0)</f>
        <v>82</v>
      </c>
    </row>
    <row r="813" ht="15.75" customHeight="1">
      <c r="B813" s="3">
        <f>IFERROR(__xludf.DUMMYFUNCTION("""COMPUTED_VALUE"""),42664.64583333333)</f>
        <v>42664.64583</v>
      </c>
      <c r="C813" s="2">
        <f>IFERROR(__xludf.DUMMYFUNCTION("""COMPUTED_VALUE"""),84.0)</f>
        <v>84</v>
      </c>
    </row>
    <row r="814" ht="15.75" customHeight="1">
      <c r="B814" s="3">
        <f>IFERROR(__xludf.DUMMYFUNCTION("""COMPUTED_VALUE"""),42671.64583333333)</f>
        <v>42671.64583</v>
      </c>
      <c r="C814" s="2">
        <f>IFERROR(__xludf.DUMMYFUNCTION("""COMPUTED_VALUE"""),84.4)</f>
        <v>84.4</v>
      </c>
    </row>
    <row r="815" ht="15.75" customHeight="1">
      <c r="B815" s="3">
        <f>IFERROR(__xludf.DUMMYFUNCTION("""COMPUTED_VALUE"""),42678.64583333333)</f>
        <v>42678.64583</v>
      </c>
      <c r="C815" s="2">
        <f>IFERROR(__xludf.DUMMYFUNCTION("""COMPUTED_VALUE"""),79.5)</f>
        <v>79.5</v>
      </c>
    </row>
    <row r="816" ht="15.75" customHeight="1">
      <c r="B816" s="3">
        <f>IFERROR(__xludf.DUMMYFUNCTION("""COMPUTED_VALUE"""),42685.64583333333)</f>
        <v>42685.64583</v>
      </c>
      <c r="C816" s="2">
        <f>IFERROR(__xludf.DUMMYFUNCTION("""COMPUTED_VALUE"""),77.25)</f>
        <v>77.25</v>
      </c>
    </row>
    <row r="817" ht="15.75" customHeight="1">
      <c r="B817" s="3">
        <f>IFERROR(__xludf.DUMMYFUNCTION("""COMPUTED_VALUE"""),42692.64583333333)</f>
        <v>42692.64583</v>
      </c>
      <c r="C817" s="2">
        <f>IFERROR(__xludf.DUMMYFUNCTION("""COMPUTED_VALUE"""),72.55)</f>
        <v>72.55</v>
      </c>
    </row>
    <row r="818" ht="15.75" customHeight="1">
      <c r="B818" s="3">
        <f>IFERROR(__xludf.DUMMYFUNCTION("""COMPUTED_VALUE"""),42699.64583333333)</f>
        <v>42699.64583</v>
      </c>
      <c r="C818" s="2">
        <f>IFERROR(__xludf.DUMMYFUNCTION("""COMPUTED_VALUE"""),70.8)</f>
        <v>70.8</v>
      </c>
    </row>
    <row r="819" ht="15.75" customHeight="1">
      <c r="B819" s="3">
        <f>IFERROR(__xludf.DUMMYFUNCTION("""COMPUTED_VALUE"""),42706.64583333333)</f>
        <v>42706.64583</v>
      </c>
      <c r="C819" s="2">
        <f>IFERROR(__xludf.DUMMYFUNCTION("""COMPUTED_VALUE"""),75.1)</f>
        <v>75.1</v>
      </c>
    </row>
    <row r="820" ht="15.75" customHeight="1">
      <c r="B820" s="3">
        <f>IFERROR(__xludf.DUMMYFUNCTION("""COMPUTED_VALUE"""),42713.64583333333)</f>
        <v>42713.64583</v>
      </c>
      <c r="C820" s="2">
        <f>IFERROR(__xludf.DUMMYFUNCTION("""COMPUTED_VALUE"""),78.0)</f>
        <v>78</v>
      </c>
    </row>
    <row r="821" ht="15.75" customHeight="1">
      <c r="B821" s="3">
        <f>IFERROR(__xludf.DUMMYFUNCTION("""COMPUTED_VALUE"""),42720.64583333333)</f>
        <v>42720.64583</v>
      </c>
      <c r="C821" s="2">
        <f>IFERROR(__xludf.DUMMYFUNCTION("""COMPUTED_VALUE"""),80.25)</f>
        <v>80.25</v>
      </c>
    </row>
    <row r="822" ht="15.75" customHeight="1">
      <c r="B822" s="3">
        <f>IFERROR(__xludf.DUMMYFUNCTION("""COMPUTED_VALUE"""),42727.64583333333)</f>
        <v>42727.64583</v>
      </c>
      <c r="C822" s="2">
        <f>IFERROR(__xludf.DUMMYFUNCTION("""COMPUTED_VALUE"""),79.3)</f>
        <v>79.3</v>
      </c>
    </row>
    <row r="823" ht="15.75" customHeight="1">
      <c r="B823" s="3">
        <f>IFERROR(__xludf.DUMMYFUNCTION("""COMPUTED_VALUE"""),42734.64583333333)</f>
        <v>42734.64583</v>
      </c>
      <c r="C823" s="2">
        <f>IFERROR(__xludf.DUMMYFUNCTION("""COMPUTED_VALUE"""),78.05)</f>
        <v>78.05</v>
      </c>
    </row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IFERROR(__xludf.DUMMYFUNCTION("GOOGLEFINANCE(""NSE:LT"",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IFERROR(__xludf.DUMMYFUNCTION("""COMPUTED_VALUE"""),22.21)</f>
        <v>22.21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IFERROR(__xludf.DUMMYFUNCTION("""COMPUTED_VALUE"""),22.64)</f>
        <v>22.64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IFERROR(__xludf.DUMMYFUNCTION("""COMPUTED_VALUE"""),23.27)</f>
        <v>23.27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IFERROR(__xludf.DUMMYFUNCTION("""COMPUTED_VALUE"""),22.74)</f>
        <v>22.74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IFERROR(__xludf.DUMMYFUNCTION("""COMPUTED_VALUE"""),22.21)</f>
        <v>22.21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IFERROR(__xludf.DUMMYFUNCTION("""COMPUTED_VALUE"""),23.38)</f>
        <v>23.38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IFERROR(__xludf.DUMMYFUNCTION("""COMPUTED_VALUE"""),24.31)</f>
        <v>24.31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IFERROR(__xludf.DUMMYFUNCTION("""COMPUTED_VALUE"""),24.28)</f>
        <v>24.28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IFERROR(__xludf.DUMMYFUNCTION("""COMPUTED_VALUE"""),23.16)</f>
        <v>23.16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IFERROR(__xludf.DUMMYFUNCTION("""COMPUTED_VALUE"""),22.67)</f>
        <v>22.67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IFERROR(__xludf.DUMMYFUNCTION("""COMPUTED_VALUE"""),21.71)</f>
        <v>21.71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IFERROR(__xludf.DUMMYFUNCTION("""COMPUTED_VALUE"""),21.54)</f>
        <v>21.54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IFERROR(__xludf.DUMMYFUNCTION("""COMPUTED_VALUE"""),20.78)</f>
        <v>20.78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IFERROR(__xludf.DUMMYFUNCTION("""COMPUTED_VALUE"""),20.69)</f>
        <v>20.69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IFERROR(__xludf.DUMMYFUNCTION("""COMPUTED_VALUE"""),20.48)</f>
        <v>20.48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IFERROR(__xludf.DUMMYFUNCTION("""COMPUTED_VALUE"""),19.76)</f>
        <v>19.76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IFERROR(__xludf.DUMMYFUNCTION("""COMPUTED_VALUE"""),19.22)</f>
        <v>19.22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IFERROR(__xludf.DUMMYFUNCTION("""COMPUTED_VALUE"""),19.56)</f>
        <v>19.56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IFERROR(__xludf.DUMMYFUNCTION("""COMPUTED_VALUE"""),20.36)</f>
        <v>20.36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IFERROR(__xludf.DUMMYFUNCTION("""COMPUTED_VALUE"""),21.11)</f>
        <v>21.11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IFERROR(__xludf.DUMMYFUNCTION("""COMPUTED_VALUE"""),20.16)</f>
        <v>20.16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IFERROR(__xludf.DUMMYFUNCTION("""COMPUTED_VALUE"""),20.16)</f>
        <v>20.16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IFERROR(__xludf.DUMMYFUNCTION("""COMPUTED_VALUE"""),19.75)</f>
        <v>19.75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IFERROR(__xludf.DUMMYFUNCTION("""COMPUTED_VALUE"""),21.1)</f>
        <v>21.1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IFERROR(__xludf.DUMMYFUNCTION("""COMPUTED_VALUE"""),20.53)</f>
        <v>20.53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IFERROR(__xludf.DUMMYFUNCTION("""COMPUTED_VALUE"""),20.08)</f>
        <v>20.08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IFERROR(__xludf.DUMMYFUNCTION("""COMPUTED_VALUE"""),20.47)</f>
        <v>20.47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IFERROR(__xludf.DUMMYFUNCTION("""COMPUTED_VALUE"""),20.61)</f>
        <v>20.61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IFERROR(__xludf.DUMMYFUNCTION("""COMPUTED_VALUE"""),20.19)</f>
        <v>20.19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IFERROR(__xludf.DUMMYFUNCTION("""COMPUTED_VALUE"""),19.3)</f>
        <v>19.3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IFERROR(__xludf.DUMMYFUNCTION("""COMPUTED_VALUE"""),18.33)</f>
        <v>18.33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IFERROR(__xludf.DUMMYFUNCTION("""COMPUTED_VALUE"""),18.86)</f>
        <v>18.86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IFERROR(__xludf.DUMMYFUNCTION("""COMPUTED_VALUE"""),19.11)</f>
        <v>19.11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IFERROR(__xludf.DUMMYFUNCTION("""COMPUTED_VALUE"""),20.06)</f>
        <v>20.06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IFERROR(__xludf.DUMMYFUNCTION("""COMPUTED_VALUE"""),20.89)</f>
        <v>20.89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IFERROR(__xludf.DUMMYFUNCTION("""COMPUTED_VALUE"""),20.78)</f>
        <v>20.78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IFERROR(__xludf.DUMMYFUNCTION("""COMPUTED_VALUE"""),20.86)</f>
        <v>20.86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IFERROR(__xludf.DUMMYFUNCTION("""COMPUTED_VALUE"""),20.42)</f>
        <v>20.42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IFERROR(__xludf.DUMMYFUNCTION("""COMPUTED_VALUE"""),20.25)</f>
        <v>20.25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IFERROR(__xludf.DUMMYFUNCTION("""COMPUTED_VALUE"""),18.98)</f>
        <v>18.98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IFERROR(__xludf.DUMMYFUNCTION("""COMPUTED_VALUE"""),19.38)</f>
        <v>19.38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IFERROR(__xludf.DUMMYFUNCTION("""COMPUTED_VALUE"""),21.22)</f>
        <v>21.22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IFERROR(__xludf.DUMMYFUNCTION("""COMPUTED_VALUE"""),21.39)</f>
        <v>21.39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IFERROR(__xludf.DUMMYFUNCTION("""COMPUTED_VALUE"""),21.14)</f>
        <v>21.14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IFERROR(__xludf.DUMMYFUNCTION("""COMPUTED_VALUE"""),21.92)</f>
        <v>21.92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IFERROR(__xludf.DUMMYFUNCTION("""COMPUTED_VALUE"""),21.88)</f>
        <v>21.88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IFERROR(__xludf.DUMMYFUNCTION("""COMPUTED_VALUE"""),22.87)</f>
        <v>22.87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IFERROR(__xludf.DUMMYFUNCTION("""COMPUTED_VALUE"""),23.22)</f>
        <v>23.22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IFERROR(__xludf.DUMMYFUNCTION("""COMPUTED_VALUE"""),23.76)</f>
        <v>23.76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IFERROR(__xludf.DUMMYFUNCTION("""COMPUTED_VALUE"""),22.78)</f>
        <v>22.78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IFERROR(__xludf.DUMMYFUNCTION("""COMPUTED_VALUE"""),22.58)</f>
        <v>22.58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IFERROR(__xludf.DUMMYFUNCTION("""COMPUTED_VALUE"""),23.06)</f>
        <v>23.06</v>
      </c>
    </row>
    <row r="54" ht="15.75" customHeight="1"/>
    <row r="55" ht="15.75" customHeight="1"/>
    <row r="56" ht="15.75" customHeight="1">
      <c r="B56" s="2" t="str">
        <f>IFERROR(__xludf.DUMMYFUNCTION("GOOGLEFINANCE(""NSE:LT"",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IFERROR(__xludf.DUMMYFUNCTION("""COMPUTED_VALUE"""),23.82)</f>
        <v>23.82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IFERROR(__xludf.DUMMYFUNCTION("""COMPUTED_VALUE"""),23.31)</f>
        <v>23.31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IFERROR(__xludf.DUMMYFUNCTION("""COMPUTED_VALUE"""),23.16)</f>
        <v>23.16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IFERROR(__xludf.DUMMYFUNCTION("""COMPUTED_VALUE"""),22.61)</f>
        <v>22.61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IFERROR(__xludf.DUMMYFUNCTION("""COMPUTED_VALUE"""),21.78)</f>
        <v>21.78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IFERROR(__xludf.DUMMYFUNCTION("""COMPUTED_VALUE"""),21.78)</f>
        <v>21.78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IFERROR(__xludf.DUMMYFUNCTION("""COMPUTED_VALUE"""),21.93)</f>
        <v>21.93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IFERROR(__xludf.DUMMYFUNCTION("""COMPUTED_VALUE"""),21.81)</f>
        <v>21.81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IFERROR(__xludf.DUMMYFUNCTION("""COMPUTED_VALUE"""),22.97)</f>
        <v>22.97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IFERROR(__xludf.DUMMYFUNCTION("""COMPUTED_VALUE"""),22.72)</f>
        <v>22.72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IFERROR(__xludf.DUMMYFUNCTION("""COMPUTED_VALUE"""),21.56)</f>
        <v>21.56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IFERROR(__xludf.DUMMYFUNCTION("""COMPUTED_VALUE"""),21.18)</f>
        <v>21.18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IFERROR(__xludf.DUMMYFUNCTION("""COMPUTED_VALUE"""),20.83)</f>
        <v>20.83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IFERROR(__xludf.DUMMYFUNCTION("""COMPUTED_VALUE"""),21.59)</f>
        <v>21.59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IFERROR(__xludf.DUMMYFUNCTION("""COMPUTED_VALUE"""),21.63)</f>
        <v>21.63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IFERROR(__xludf.DUMMYFUNCTION("""COMPUTED_VALUE"""),21.33)</f>
        <v>21.33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IFERROR(__xludf.DUMMYFUNCTION("""COMPUTED_VALUE"""),22.67)</f>
        <v>22.67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IFERROR(__xludf.DUMMYFUNCTION("""COMPUTED_VALUE"""),23.06)</f>
        <v>23.06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IFERROR(__xludf.DUMMYFUNCTION("""COMPUTED_VALUE"""),23.33)</f>
        <v>23.33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IFERROR(__xludf.DUMMYFUNCTION("""COMPUTED_VALUE"""),26.68)</f>
        <v>26.68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IFERROR(__xludf.DUMMYFUNCTION("""COMPUTED_VALUE"""),24.84)</f>
        <v>24.84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IFERROR(__xludf.DUMMYFUNCTION("""COMPUTED_VALUE"""),25.28)</f>
        <v>25.28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IFERROR(__xludf.DUMMYFUNCTION("""COMPUTED_VALUE"""),26.0)</f>
        <v>26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IFERROR(__xludf.DUMMYFUNCTION("""COMPUTED_VALUE"""),27.57)</f>
        <v>27.57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IFERROR(__xludf.DUMMYFUNCTION("""COMPUTED_VALUE"""),27.78)</f>
        <v>27.78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IFERROR(__xludf.DUMMYFUNCTION("""COMPUTED_VALUE"""),28.59)</f>
        <v>28.59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IFERROR(__xludf.DUMMYFUNCTION("""COMPUTED_VALUE"""),30.37)</f>
        <v>30.37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IFERROR(__xludf.DUMMYFUNCTION("""COMPUTED_VALUE"""),30.82)</f>
        <v>30.82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IFERROR(__xludf.DUMMYFUNCTION("""COMPUTED_VALUE"""),30.67)</f>
        <v>30.67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IFERROR(__xludf.DUMMYFUNCTION("""COMPUTED_VALUE"""),32.66)</f>
        <v>32.66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IFERROR(__xludf.DUMMYFUNCTION("""COMPUTED_VALUE"""),32.6)</f>
        <v>32.6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IFERROR(__xludf.DUMMYFUNCTION("""COMPUTED_VALUE"""),31.38)</f>
        <v>31.38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IFERROR(__xludf.DUMMYFUNCTION("""COMPUTED_VALUE"""),32.31)</f>
        <v>32.31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IFERROR(__xludf.DUMMYFUNCTION("""COMPUTED_VALUE"""),32.94)</f>
        <v>32.94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IFERROR(__xludf.DUMMYFUNCTION("""COMPUTED_VALUE"""),34.43)</f>
        <v>34.43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IFERROR(__xludf.DUMMYFUNCTION("""COMPUTED_VALUE"""),34.63)</f>
        <v>34.63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IFERROR(__xludf.DUMMYFUNCTION("""COMPUTED_VALUE"""),34.39)</f>
        <v>34.39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IFERROR(__xludf.DUMMYFUNCTION("""COMPUTED_VALUE"""),34.91)</f>
        <v>34.91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IFERROR(__xludf.DUMMYFUNCTION("""COMPUTED_VALUE"""),37.99)</f>
        <v>37.99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IFERROR(__xludf.DUMMYFUNCTION("""COMPUTED_VALUE"""),42.44)</f>
        <v>42.44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IFERROR(__xludf.DUMMYFUNCTION("""COMPUTED_VALUE"""),44.87)</f>
        <v>44.87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IFERROR(__xludf.DUMMYFUNCTION("""COMPUTED_VALUE"""),45.38)</f>
        <v>45.38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IFERROR(__xludf.DUMMYFUNCTION("""COMPUTED_VALUE"""),47.64)</f>
        <v>47.64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IFERROR(__xludf.DUMMYFUNCTION("""COMPUTED_VALUE"""),44.66)</f>
        <v>44.66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IFERROR(__xludf.DUMMYFUNCTION("""COMPUTED_VALUE"""),44.72)</f>
        <v>44.72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IFERROR(__xludf.DUMMYFUNCTION("""COMPUTED_VALUE"""),46.91)</f>
        <v>46.91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IFERROR(__xludf.DUMMYFUNCTION("""COMPUTED_VALUE"""),49.32)</f>
        <v>49.32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IFERROR(__xludf.DUMMYFUNCTION("""COMPUTED_VALUE"""),55.78)</f>
        <v>55.78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IFERROR(__xludf.DUMMYFUNCTION("""COMPUTED_VALUE"""),59.3)</f>
        <v>59.3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IFERROR(__xludf.DUMMYFUNCTION("GOOGLEFINANCE(""NSE:LT"",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IFERROR(__xludf.DUMMYFUNCTION("""COMPUTED_VALUE"""),66.56)</f>
        <v>66.56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IFERROR(__xludf.DUMMYFUNCTION("""COMPUTED_VALUE"""),66.67)</f>
        <v>66.67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IFERROR(__xludf.DUMMYFUNCTION("""COMPUTED_VALUE"""),66.32)</f>
        <v>66.32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IFERROR(__xludf.DUMMYFUNCTION("""COMPUTED_VALUE"""),61.85)</f>
        <v>61.85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IFERROR(__xludf.DUMMYFUNCTION("""COMPUTED_VALUE"""),61.72)</f>
        <v>61.72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IFERROR(__xludf.DUMMYFUNCTION("""COMPUTED_VALUE"""),58.67)</f>
        <v>58.67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IFERROR(__xludf.DUMMYFUNCTION("""COMPUTED_VALUE"""),58.89)</f>
        <v>58.89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IFERROR(__xludf.DUMMYFUNCTION("""COMPUTED_VALUE"""),62.54)</f>
        <v>62.54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IFERROR(__xludf.DUMMYFUNCTION("""COMPUTED_VALUE"""),63.33)</f>
        <v>63.33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IFERROR(__xludf.DUMMYFUNCTION("""COMPUTED_VALUE"""),66.74)</f>
        <v>66.74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IFERROR(__xludf.DUMMYFUNCTION("""COMPUTED_VALUE"""),68.19)</f>
        <v>68.19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IFERROR(__xludf.DUMMYFUNCTION("""COMPUTED_VALUE"""),66.44)</f>
        <v>66.44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IFERROR(__xludf.DUMMYFUNCTION("""COMPUTED_VALUE"""),64.86)</f>
        <v>64.86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IFERROR(__xludf.DUMMYFUNCTION("""COMPUTED_VALUE"""),65.94)</f>
        <v>65.94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IFERROR(__xludf.DUMMYFUNCTION("""COMPUTED_VALUE"""),69.1)</f>
        <v>69.1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IFERROR(__xludf.DUMMYFUNCTION("""COMPUTED_VALUE"""),71.4)</f>
        <v>71.4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IFERROR(__xludf.DUMMYFUNCTION("""COMPUTED_VALUE"""),68.68)</f>
        <v>68.68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IFERROR(__xludf.DUMMYFUNCTION("""COMPUTED_VALUE"""),67.78)</f>
        <v>67.78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IFERROR(__xludf.DUMMYFUNCTION("""COMPUTED_VALUE"""),64.21)</f>
        <v>64.21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IFERROR(__xludf.DUMMYFUNCTION("""COMPUTED_VALUE"""),57.78)</f>
        <v>57.78</v>
      </c>
    </row>
    <row r="132" ht="15.75" customHeight="1">
      <c r="B132" s="3">
        <f>IFERROR(__xludf.DUMMYFUNCTION("""COMPUTED_VALUE"""),38163.645833333336)</f>
        <v>38163.64583</v>
      </c>
      <c r="C132" s="2">
        <f>IFERROR(__xludf.DUMMYFUNCTION("""COMPUTED_VALUE"""),82.78)</f>
        <v>82.78</v>
      </c>
    </row>
    <row r="133" ht="15.75" customHeight="1">
      <c r="B133" s="3">
        <f>IFERROR(__xludf.DUMMYFUNCTION("""COMPUTED_VALUE"""),38170.645833333336)</f>
        <v>38170.64583</v>
      </c>
      <c r="C133" s="2">
        <f>IFERROR(__xludf.DUMMYFUNCTION("""COMPUTED_VALUE"""),86.67)</f>
        <v>86.67</v>
      </c>
    </row>
    <row r="134" ht="15.75" customHeight="1">
      <c r="B134" s="3">
        <f>IFERROR(__xludf.DUMMYFUNCTION("""COMPUTED_VALUE"""),38177.645833333336)</f>
        <v>38177.64583</v>
      </c>
      <c r="C134" s="2">
        <f>IFERROR(__xludf.DUMMYFUNCTION("""COMPUTED_VALUE"""),83.11)</f>
        <v>83.11</v>
      </c>
    </row>
    <row r="135" ht="15.75" customHeight="1">
      <c r="B135" s="3">
        <f>IFERROR(__xludf.DUMMYFUNCTION("""COMPUTED_VALUE"""),38184.645833333336)</f>
        <v>38184.64583</v>
      </c>
      <c r="C135" s="2">
        <f>IFERROR(__xludf.DUMMYFUNCTION("""COMPUTED_VALUE"""),84.88)</f>
        <v>84.88</v>
      </c>
    </row>
    <row r="136" ht="15.75" customHeight="1">
      <c r="B136" s="3">
        <f>IFERROR(__xludf.DUMMYFUNCTION("""COMPUTED_VALUE"""),38191.645833333336)</f>
        <v>38191.64583</v>
      </c>
      <c r="C136" s="2">
        <f>IFERROR(__xludf.DUMMYFUNCTION("""COMPUTED_VALUE"""),89.63)</f>
        <v>89.63</v>
      </c>
    </row>
    <row r="137" ht="15.75" customHeight="1">
      <c r="B137" s="3">
        <f>IFERROR(__xludf.DUMMYFUNCTION("""COMPUTED_VALUE"""),38198.645833333336)</f>
        <v>38198.64583</v>
      </c>
      <c r="C137" s="2">
        <f>IFERROR(__xludf.DUMMYFUNCTION("""COMPUTED_VALUE"""),92.78)</f>
        <v>92.78</v>
      </c>
    </row>
    <row r="138" ht="15.75" customHeight="1">
      <c r="B138" s="3">
        <f>IFERROR(__xludf.DUMMYFUNCTION("""COMPUTED_VALUE"""),38205.645833333336)</f>
        <v>38205.64583</v>
      </c>
      <c r="C138" s="2">
        <f>IFERROR(__xludf.DUMMYFUNCTION("""COMPUTED_VALUE"""),91.38)</f>
        <v>91.38</v>
      </c>
    </row>
    <row r="139" ht="15.75" customHeight="1">
      <c r="B139" s="3">
        <f>IFERROR(__xludf.DUMMYFUNCTION("""COMPUTED_VALUE"""),38212.645833333336)</f>
        <v>38212.64583</v>
      </c>
      <c r="C139" s="2">
        <f>IFERROR(__xludf.DUMMYFUNCTION("""COMPUTED_VALUE"""),91.33)</f>
        <v>91.33</v>
      </c>
    </row>
    <row r="140" ht="15.75" customHeight="1">
      <c r="B140" s="3">
        <f>IFERROR(__xludf.DUMMYFUNCTION("""COMPUTED_VALUE"""),38219.645833333336)</f>
        <v>38219.64583</v>
      </c>
      <c r="C140" s="2">
        <f>IFERROR(__xludf.DUMMYFUNCTION("""COMPUTED_VALUE"""),90.56)</f>
        <v>90.56</v>
      </c>
    </row>
    <row r="141" ht="15.75" customHeight="1">
      <c r="B141" s="3">
        <f>IFERROR(__xludf.DUMMYFUNCTION("""COMPUTED_VALUE"""),38226.645833333336)</f>
        <v>38226.64583</v>
      </c>
      <c r="C141" s="2">
        <f>IFERROR(__xludf.DUMMYFUNCTION("""COMPUTED_VALUE"""),93.89)</f>
        <v>93.89</v>
      </c>
    </row>
    <row r="142" ht="15.75" customHeight="1">
      <c r="B142" s="3">
        <f>IFERROR(__xludf.DUMMYFUNCTION("""COMPUTED_VALUE"""),38233.645833333336)</f>
        <v>38233.64583</v>
      </c>
      <c r="C142" s="2">
        <f>IFERROR(__xludf.DUMMYFUNCTION("""COMPUTED_VALUE"""),99.81)</f>
        <v>99.81</v>
      </c>
    </row>
    <row r="143" ht="15.75" customHeight="1">
      <c r="B143" s="3">
        <f>IFERROR(__xludf.DUMMYFUNCTION("""COMPUTED_VALUE"""),38240.645833333336)</f>
        <v>38240.64583</v>
      </c>
      <c r="C143" s="2">
        <f>IFERROR(__xludf.DUMMYFUNCTION("""COMPUTED_VALUE"""),97.33)</f>
        <v>97.33</v>
      </c>
    </row>
    <row r="144" ht="15.75" customHeight="1">
      <c r="B144" s="3">
        <f>IFERROR(__xludf.DUMMYFUNCTION("""COMPUTED_VALUE"""),38247.645833333336)</f>
        <v>38247.64583</v>
      </c>
      <c r="C144" s="2">
        <f>IFERROR(__xludf.DUMMYFUNCTION("""COMPUTED_VALUE"""),96.43)</f>
        <v>96.43</v>
      </c>
    </row>
    <row r="145" ht="15.75" customHeight="1">
      <c r="B145" s="3">
        <f>IFERROR(__xludf.DUMMYFUNCTION("""COMPUTED_VALUE"""),38254.645833333336)</f>
        <v>38254.64583</v>
      </c>
      <c r="C145" s="2">
        <f>IFERROR(__xludf.DUMMYFUNCTION("""COMPUTED_VALUE"""),98.0)</f>
        <v>98</v>
      </c>
    </row>
    <row r="146" ht="15.75" customHeight="1">
      <c r="B146" s="3">
        <f>IFERROR(__xludf.DUMMYFUNCTION("""COMPUTED_VALUE"""),38261.645833333336)</f>
        <v>38261.64583</v>
      </c>
      <c r="C146" s="2">
        <f>IFERROR(__xludf.DUMMYFUNCTION("""COMPUTED_VALUE"""),98.89)</f>
        <v>98.89</v>
      </c>
    </row>
    <row r="147" ht="15.75" customHeight="1">
      <c r="B147" s="3">
        <f>IFERROR(__xludf.DUMMYFUNCTION("""COMPUTED_VALUE"""),38275.645833333336)</f>
        <v>38275.64583</v>
      </c>
      <c r="C147" s="2">
        <f>IFERROR(__xludf.DUMMYFUNCTION("""COMPUTED_VALUE"""),97.06)</f>
        <v>97.06</v>
      </c>
    </row>
    <row r="148" ht="15.75" customHeight="1">
      <c r="B148" s="3">
        <f>IFERROR(__xludf.DUMMYFUNCTION("""COMPUTED_VALUE"""),38281.645833333336)</f>
        <v>38281.64583</v>
      </c>
      <c r="C148" s="2">
        <f>IFERROR(__xludf.DUMMYFUNCTION("""COMPUTED_VALUE"""),94.44)</f>
        <v>94.44</v>
      </c>
    </row>
    <row r="149" ht="15.75" customHeight="1">
      <c r="B149" s="3">
        <f>IFERROR(__xludf.DUMMYFUNCTION("""COMPUTED_VALUE"""),38289.645833333336)</f>
        <v>38289.64583</v>
      </c>
      <c r="C149" s="2">
        <f>IFERROR(__xludf.DUMMYFUNCTION("""COMPUTED_VALUE"""),92.98)</f>
        <v>92.98</v>
      </c>
    </row>
    <row r="150" ht="15.75" customHeight="1">
      <c r="B150" s="3">
        <f>IFERROR(__xludf.DUMMYFUNCTION("""COMPUTED_VALUE"""),38296.645833333336)</f>
        <v>38296.64583</v>
      </c>
      <c r="C150" s="2">
        <f>IFERROR(__xludf.DUMMYFUNCTION("""COMPUTED_VALUE"""),94.11)</f>
        <v>94.11</v>
      </c>
    </row>
    <row r="151" ht="15.75" customHeight="1">
      <c r="B151" s="3">
        <f>IFERROR(__xludf.DUMMYFUNCTION("""COMPUTED_VALUE"""),38303.645833333336)</f>
        <v>38303.64583</v>
      </c>
      <c r="C151" s="2">
        <f>IFERROR(__xludf.DUMMYFUNCTION("""COMPUTED_VALUE"""),96.56)</f>
        <v>96.56</v>
      </c>
    </row>
    <row r="152" ht="15.75" customHeight="1">
      <c r="B152" s="3">
        <f>IFERROR(__xludf.DUMMYFUNCTION("""COMPUTED_VALUE"""),38310.645833333336)</f>
        <v>38310.64583</v>
      </c>
      <c r="C152" s="2">
        <f>IFERROR(__xludf.DUMMYFUNCTION("""COMPUTED_VALUE"""),96.94)</f>
        <v>96.94</v>
      </c>
    </row>
    <row r="153" ht="15.75" customHeight="1">
      <c r="B153" s="3">
        <f>IFERROR(__xludf.DUMMYFUNCTION("""COMPUTED_VALUE"""),38316.645833333336)</f>
        <v>38316.64583</v>
      </c>
      <c r="C153" s="2">
        <f>IFERROR(__xludf.DUMMYFUNCTION("""COMPUTED_VALUE"""),97.56)</f>
        <v>97.56</v>
      </c>
    </row>
    <row r="154" ht="15.75" customHeight="1">
      <c r="B154" s="3">
        <f>IFERROR(__xludf.DUMMYFUNCTION("""COMPUTED_VALUE"""),38324.645833333336)</f>
        <v>38324.64583</v>
      </c>
      <c r="C154" s="2">
        <f>IFERROR(__xludf.DUMMYFUNCTION("""COMPUTED_VALUE"""),111.66)</f>
        <v>111.66</v>
      </c>
    </row>
    <row r="155" ht="15.75" customHeight="1">
      <c r="B155" s="3">
        <f>IFERROR(__xludf.DUMMYFUNCTION("""COMPUTED_VALUE"""),38331.645833333336)</f>
        <v>38331.64583</v>
      </c>
      <c r="C155" s="2">
        <f>IFERROR(__xludf.DUMMYFUNCTION("""COMPUTED_VALUE"""),112.21)</f>
        <v>112.21</v>
      </c>
    </row>
    <row r="156" ht="15.75" customHeight="1">
      <c r="B156" s="3">
        <f>IFERROR(__xludf.DUMMYFUNCTION("""COMPUTED_VALUE"""),38338.645833333336)</f>
        <v>38338.64583</v>
      </c>
      <c r="C156" s="2">
        <f>IFERROR(__xludf.DUMMYFUNCTION("""COMPUTED_VALUE"""),110.66)</f>
        <v>110.66</v>
      </c>
    </row>
    <row r="157" ht="15.75" customHeight="1">
      <c r="B157" s="3">
        <f>IFERROR(__xludf.DUMMYFUNCTION("""COMPUTED_VALUE"""),38345.645833333336)</f>
        <v>38345.64583</v>
      </c>
      <c r="C157" s="2">
        <f>IFERROR(__xludf.DUMMYFUNCTION("""COMPUTED_VALUE"""),111.0)</f>
        <v>111</v>
      </c>
    </row>
    <row r="158" ht="15.75" customHeight="1">
      <c r="B158" s="3">
        <f>IFERROR(__xludf.DUMMYFUNCTION("""COMPUTED_VALUE"""),38352.645833333336)</f>
        <v>38352.64583</v>
      </c>
      <c r="C158" s="2">
        <f>IFERROR(__xludf.DUMMYFUNCTION("""COMPUTED_VALUE"""),113.44)</f>
        <v>113.44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IFERROR(__xludf.DUMMYFUNCTION("GOOGLEFINANCE(""NSE:LT"",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IFERROR(__xludf.DUMMYFUNCTION("""COMPUTED_VALUE"""),111.0)</f>
        <v>111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IFERROR(__xludf.DUMMYFUNCTION("""COMPUTED_VALUE"""),109.98)</f>
        <v>109.98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IFERROR(__xludf.DUMMYFUNCTION("""COMPUTED_VALUE"""),106.33)</f>
        <v>106.33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IFERROR(__xludf.DUMMYFUNCTION("""COMPUTED_VALUE"""),109.37)</f>
        <v>109.37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IFERROR(__xludf.DUMMYFUNCTION("""COMPUTED_VALUE"""),112.22)</f>
        <v>112.22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IFERROR(__xludf.DUMMYFUNCTION("""COMPUTED_VALUE"""),111.67)</f>
        <v>111.67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IFERROR(__xludf.DUMMYFUNCTION("""COMPUTED_VALUE"""),115.17)</f>
        <v>115.17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IFERROR(__xludf.DUMMYFUNCTION("""COMPUTED_VALUE"""),122.66)</f>
        <v>122.66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IFERROR(__xludf.DUMMYFUNCTION("""COMPUTED_VALUE"""),127.75)</f>
        <v>127.75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IFERROR(__xludf.DUMMYFUNCTION("""COMPUTED_VALUE"""),126.0)</f>
        <v>126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IFERROR(__xludf.DUMMYFUNCTION("""COMPUTED_VALUE"""),123.33)</f>
        <v>123.33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IFERROR(__xludf.DUMMYFUNCTION("""COMPUTED_VALUE"""),116.33)</f>
        <v>116.33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IFERROR(__xludf.DUMMYFUNCTION("""COMPUTED_VALUE"""),114.11)</f>
        <v>114.11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IFERROR(__xludf.DUMMYFUNCTION("""COMPUTED_VALUE"""),117.22)</f>
        <v>117.22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IFERROR(__xludf.DUMMYFUNCTION("""COMPUTED_VALUE"""),110.31)</f>
        <v>110.31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IFERROR(__xludf.DUMMYFUNCTION("""COMPUTED_VALUE"""),110.89)</f>
        <v>110.89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IFERROR(__xludf.DUMMYFUNCTION("""COMPUTED_VALUE"""),111.08)</f>
        <v>111.08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IFERROR(__xludf.DUMMYFUNCTION("""COMPUTED_VALUE"""),116.0)</f>
        <v>116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IFERROR(__xludf.DUMMYFUNCTION("""COMPUTED_VALUE"""),114.43)</f>
        <v>114.43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IFERROR(__xludf.DUMMYFUNCTION("""COMPUTED_VALUE"""),120.77)</f>
        <v>120.77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IFERROR(__xludf.DUMMYFUNCTION("""COMPUTED_VALUE"""),126.1)</f>
        <v>126.1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IFERROR(__xludf.DUMMYFUNCTION("""COMPUTED_VALUE"""),127.78)</f>
        <v>127.78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IFERROR(__xludf.DUMMYFUNCTION("""COMPUTED_VALUE"""),128.33)</f>
        <v>128.33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IFERROR(__xludf.DUMMYFUNCTION("""COMPUTED_VALUE"""),127.11)</f>
        <v>127.11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IFERROR(__xludf.DUMMYFUNCTION("""COMPUTED_VALUE"""),132.44)</f>
        <v>132.44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IFERROR(__xludf.DUMMYFUNCTION("""COMPUTED_VALUE"""),137.11)</f>
        <v>137.11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IFERROR(__xludf.DUMMYFUNCTION("""COMPUTED_VALUE"""),140.94)</f>
        <v>140.94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IFERROR(__xludf.DUMMYFUNCTION("""COMPUTED_VALUE"""),145.39)</f>
        <v>145.39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IFERROR(__xludf.DUMMYFUNCTION("""COMPUTED_VALUE"""),142.44)</f>
        <v>142.44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IFERROR(__xludf.DUMMYFUNCTION("""COMPUTED_VALUE"""),152.67)</f>
        <v>152.67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IFERROR(__xludf.DUMMYFUNCTION("""COMPUTED_VALUE"""),150.33)</f>
        <v>150.33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IFERROR(__xludf.DUMMYFUNCTION("""COMPUTED_VALUE"""),153.32)</f>
        <v>153.32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IFERROR(__xludf.DUMMYFUNCTION("""COMPUTED_VALUE"""),151.42)</f>
        <v>151.42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IFERROR(__xludf.DUMMYFUNCTION("""COMPUTED_VALUE"""),152.43)</f>
        <v>152.43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IFERROR(__xludf.DUMMYFUNCTION("""COMPUTED_VALUE"""),149.89)</f>
        <v>149.89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IFERROR(__xludf.DUMMYFUNCTION("""COMPUTED_VALUE"""),151.67)</f>
        <v>151.67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IFERROR(__xludf.DUMMYFUNCTION("""COMPUTED_VALUE"""),158.33)</f>
        <v>158.33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IFERROR(__xludf.DUMMYFUNCTION("""COMPUTED_VALUE"""),177.67)</f>
        <v>177.67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IFERROR(__xludf.DUMMYFUNCTION("""COMPUTED_VALUE"""),175.0)</f>
        <v>175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IFERROR(__xludf.DUMMYFUNCTION("""COMPUTED_VALUE"""),168.33)</f>
        <v>168.33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IFERROR(__xludf.DUMMYFUNCTION("""COMPUTED_VALUE"""),162.0)</f>
        <v>162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IFERROR(__xludf.DUMMYFUNCTION("""COMPUTED_VALUE"""),154.22)</f>
        <v>154.22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IFERROR(__xludf.DUMMYFUNCTION("""COMPUTED_VALUE"""),168.33)</f>
        <v>168.33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IFERROR(__xludf.DUMMYFUNCTION("""COMPUTED_VALUE"""),177.64)</f>
        <v>177.64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IFERROR(__xludf.DUMMYFUNCTION("""COMPUTED_VALUE"""),176.63)</f>
        <v>176.63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IFERROR(__xludf.DUMMYFUNCTION("""COMPUTED_VALUE"""),201.11)</f>
        <v>201.11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IFERROR(__xludf.DUMMYFUNCTION("""COMPUTED_VALUE"""),197.78)</f>
        <v>197.78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IFERROR(__xludf.DUMMYFUNCTION("""COMPUTED_VALUE"""),199.67)</f>
        <v>199.67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IFERROR(__xludf.DUMMYFUNCTION("""COMPUTED_VALUE"""),197.11)</f>
        <v>197.11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IFERROR(__xludf.DUMMYFUNCTION("""COMPUTED_VALUE"""),205.56)</f>
        <v>205.56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IFERROR(__xludf.DUMMYFUNCTION("GOOGLEFINANCE(""NSE:LT"",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IFERROR(__xludf.DUMMYFUNCTION("""COMPUTED_VALUE"""),208.87)</f>
        <v>208.87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IFERROR(__xludf.DUMMYFUNCTION("""COMPUTED_VALUE"""),207.11)</f>
        <v>207.11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IFERROR(__xludf.DUMMYFUNCTION("""COMPUTED_VALUE"""),213.89)</f>
        <v>213.89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IFERROR(__xludf.DUMMYFUNCTION("""COMPUTED_VALUE"""),239.56)</f>
        <v>239.56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IFERROR(__xludf.DUMMYFUNCTION("""COMPUTED_VALUE"""),265.0)</f>
        <v>265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IFERROR(__xludf.DUMMYFUNCTION("""COMPUTED_VALUE"""),257.78)</f>
        <v>257.78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IFERROR(__xludf.DUMMYFUNCTION("""COMPUTED_VALUE"""),280.0)</f>
        <v>280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IFERROR(__xludf.DUMMYFUNCTION("""COMPUTED_VALUE"""),268.89)</f>
        <v>268.89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IFERROR(__xludf.DUMMYFUNCTION("""COMPUTED_VALUE"""),283.22)</f>
        <v>283.22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IFERROR(__xludf.DUMMYFUNCTION("""COMPUTED_VALUE"""),283.86)</f>
        <v>283.86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IFERROR(__xludf.DUMMYFUNCTION("""COMPUTED_VALUE"""),290.56)</f>
        <v>290.56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IFERROR(__xludf.DUMMYFUNCTION("""COMPUTED_VALUE"""),279.44)</f>
        <v>279.44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IFERROR(__xludf.DUMMYFUNCTION("""COMPUTED_VALUE"""),278.34)</f>
        <v>278.34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IFERROR(__xludf.DUMMYFUNCTION("""COMPUTED_VALUE"""),305.0)</f>
        <v>305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IFERROR(__xludf.DUMMYFUNCTION("""COMPUTED_VALUE"""),297.22)</f>
        <v>297.22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IFERROR(__xludf.DUMMYFUNCTION("""COMPUTED_VALUE"""),302.78)</f>
        <v>302.78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IFERROR(__xludf.DUMMYFUNCTION("""COMPUTED_VALUE"""),308.0)</f>
        <v>308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IFERROR(__xludf.DUMMYFUNCTION("""COMPUTED_VALUE"""),323.22)</f>
        <v>323.22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IFERROR(__xludf.DUMMYFUNCTION("""COMPUTED_VALUE"""),315.56)</f>
        <v>315.56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IFERROR(__xludf.DUMMYFUNCTION("""COMPUTED_VALUE"""),284.61)</f>
        <v>284.61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IFERROR(__xludf.DUMMYFUNCTION("""COMPUTED_VALUE"""),277.78)</f>
        <v>277.78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IFERROR(__xludf.DUMMYFUNCTION("""COMPUTED_VALUE"""),258.33)</f>
        <v>258.33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IFERROR(__xludf.DUMMYFUNCTION("""COMPUTED_VALUE"""),246.44)</f>
        <v>246.44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IFERROR(__xludf.DUMMYFUNCTION("""COMPUTED_VALUE"""),244.44)</f>
        <v>244.44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IFERROR(__xludf.DUMMYFUNCTION("""COMPUTED_VALUE"""),249.91)</f>
        <v>249.91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IFERROR(__xludf.DUMMYFUNCTION("""COMPUTED_VALUE"""),261.22)</f>
        <v>261.22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IFERROR(__xludf.DUMMYFUNCTION("""COMPUTED_VALUE"""),252.11)</f>
        <v>252.11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IFERROR(__xludf.DUMMYFUNCTION("""COMPUTED_VALUE"""),243.82)</f>
        <v>243.82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IFERROR(__xludf.DUMMYFUNCTION("""COMPUTED_VALUE"""),246.56)</f>
        <v>246.56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IFERROR(__xludf.DUMMYFUNCTION("""COMPUTED_VALUE"""),265.56)</f>
        <v>265.56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IFERROR(__xludf.DUMMYFUNCTION("""COMPUTED_VALUE"""),266.56)</f>
        <v>266.56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IFERROR(__xludf.DUMMYFUNCTION("""COMPUTED_VALUE"""),268.67)</f>
        <v>268.67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IFERROR(__xludf.DUMMYFUNCTION("""COMPUTED_VALUE"""),269.44)</f>
        <v>269.44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IFERROR(__xludf.DUMMYFUNCTION("""COMPUTED_VALUE"""),283.33)</f>
        <v>283.33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IFERROR(__xludf.DUMMYFUNCTION("""COMPUTED_VALUE"""),291.55)</f>
        <v>291.55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IFERROR(__xludf.DUMMYFUNCTION("""COMPUTED_VALUE"""),295.54)</f>
        <v>295.54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IFERROR(__xludf.DUMMYFUNCTION("""COMPUTED_VALUE"""),303.22)</f>
        <v>303.22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IFERROR(__xludf.DUMMYFUNCTION("""COMPUTED_VALUE"""),299.31)</f>
        <v>299.31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IFERROR(__xludf.DUMMYFUNCTION("""COMPUTED_VALUE"""),301.56)</f>
        <v>301.56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IFERROR(__xludf.DUMMYFUNCTION("""COMPUTED_VALUE"""),289.89)</f>
        <v>289.89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IFERROR(__xludf.DUMMYFUNCTION("""COMPUTED_VALUE"""),287.76)</f>
        <v>287.76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IFERROR(__xludf.DUMMYFUNCTION("""COMPUTED_VALUE"""),299.78)</f>
        <v>299.78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IFERROR(__xludf.DUMMYFUNCTION("""COMPUTED_VALUE"""),300.89)</f>
        <v>300.89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IFERROR(__xludf.DUMMYFUNCTION("""COMPUTED_VALUE"""),310.0)</f>
        <v>310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IFERROR(__xludf.DUMMYFUNCTION("""COMPUTED_VALUE"""),316.21)</f>
        <v>316.21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IFERROR(__xludf.DUMMYFUNCTION("""COMPUTED_VALUE"""),312.67)</f>
        <v>312.67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IFERROR(__xludf.DUMMYFUNCTION("""COMPUTED_VALUE"""),331.11)</f>
        <v>331.11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IFERROR(__xludf.DUMMYFUNCTION("""COMPUTED_VALUE"""),330.82)</f>
        <v>330.82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IFERROR(__xludf.DUMMYFUNCTION("""COMPUTED_VALUE"""),328.82)</f>
        <v>328.82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IFERROR(__xludf.DUMMYFUNCTION("""COMPUTED_VALUE"""),327.56)</f>
        <v>327.56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IFERROR(__xludf.DUMMYFUNCTION("GOOGLEFINANCE(""NSE:LT"",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IFERROR(__xludf.DUMMYFUNCTION("""COMPUTED_VALUE"""),334.22)</f>
        <v>334.22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IFERROR(__xludf.DUMMYFUNCTION("""COMPUTED_VALUE"""),330.0)</f>
        <v>330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IFERROR(__xludf.DUMMYFUNCTION("""COMPUTED_VALUE"""),355.56)</f>
        <v>355.56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IFERROR(__xludf.DUMMYFUNCTION("""COMPUTED_VALUE"""),360.67)</f>
        <v>360.67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IFERROR(__xludf.DUMMYFUNCTION("""COMPUTED_VALUE"""),376.0)</f>
        <v>376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IFERROR(__xludf.DUMMYFUNCTION("""COMPUTED_VALUE"""),394.64)</f>
        <v>394.64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IFERROR(__xludf.DUMMYFUNCTION("""COMPUTED_VALUE"""),383.31)</f>
        <v>383.31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IFERROR(__xludf.DUMMYFUNCTION("""COMPUTED_VALUE"""),384.16)</f>
        <v>384.16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IFERROR(__xludf.DUMMYFUNCTION("""COMPUTED_VALUE"""),361.78)</f>
        <v>361.78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IFERROR(__xludf.DUMMYFUNCTION("""COMPUTED_VALUE"""),355.53)</f>
        <v>355.53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IFERROR(__xludf.DUMMYFUNCTION("""COMPUTED_VALUE"""),341.11)</f>
        <v>341.11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IFERROR(__xludf.DUMMYFUNCTION("""COMPUTED_VALUE"""),364.67)</f>
        <v>364.67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IFERROR(__xludf.DUMMYFUNCTION("""COMPUTED_VALUE"""),364.89)</f>
        <v>364.89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IFERROR(__xludf.DUMMYFUNCTION("""COMPUTED_VALUE"""),353.33)</f>
        <v>353.33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IFERROR(__xludf.DUMMYFUNCTION("""COMPUTED_VALUE"""),359.64)</f>
        <v>359.64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IFERROR(__xludf.DUMMYFUNCTION("""COMPUTED_VALUE"""),377.77)</f>
        <v>377.77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IFERROR(__xludf.DUMMYFUNCTION("""COMPUTED_VALUE"""),383.33)</f>
        <v>383.33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IFERROR(__xludf.DUMMYFUNCTION("""COMPUTED_VALUE"""),390.9)</f>
        <v>390.9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IFERROR(__xludf.DUMMYFUNCTION("""COMPUTED_VALUE"""),384.89)</f>
        <v>384.89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IFERROR(__xludf.DUMMYFUNCTION("""COMPUTED_VALUE"""),386.89)</f>
        <v>386.89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IFERROR(__xludf.DUMMYFUNCTION("""COMPUTED_VALUE"""),394.67)</f>
        <v>394.67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IFERROR(__xludf.DUMMYFUNCTION("""COMPUTED_VALUE"""),457.78)</f>
        <v>457.78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IFERROR(__xludf.DUMMYFUNCTION("""COMPUTED_VALUE"""),451.11)</f>
        <v>451.11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IFERROR(__xludf.DUMMYFUNCTION("""COMPUTED_VALUE"""),436.89)</f>
        <v>436.89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IFERROR(__xludf.DUMMYFUNCTION("""COMPUTED_VALUE"""),477.78)</f>
        <v>477.78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IFERROR(__xludf.DUMMYFUNCTION("""COMPUTED_VALUE"""),490.41)</f>
        <v>490.41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IFERROR(__xludf.DUMMYFUNCTION("""COMPUTED_VALUE"""),530.67)</f>
        <v>530.67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IFERROR(__xludf.DUMMYFUNCTION("""COMPUTED_VALUE"""),544.44)</f>
        <v>544.44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IFERROR(__xludf.DUMMYFUNCTION("""COMPUTED_VALUE"""),555.56)</f>
        <v>555.56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IFERROR(__xludf.DUMMYFUNCTION("""COMPUTED_VALUE"""),607.11)</f>
        <v>607.11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IFERROR(__xludf.DUMMYFUNCTION("""COMPUTED_VALUE"""),584.44)</f>
        <v>584.44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IFERROR(__xludf.DUMMYFUNCTION("""COMPUTED_VALUE"""),562.89)</f>
        <v>562.89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IFERROR(__xludf.DUMMYFUNCTION("""COMPUTED_VALUE"""),548.0)</f>
        <v>548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IFERROR(__xludf.DUMMYFUNCTION("""COMPUTED_VALUE"""),548.44)</f>
        <v>548.44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IFERROR(__xludf.DUMMYFUNCTION("""COMPUTED_VALUE"""),584.22)</f>
        <v>584.22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IFERROR(__xludf.DUMMYFUNCTION("""COMPUTED_VALUE"""),588.44)</f>
        <v>588.44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IFERROR(__xludf.DUMMYFUNCTION("""COMPUTED_VALUE"""),584.67)</f>
        <v>584.67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IFERROR(__xludf.DUMMYFUNCTION("""COMPUTED_VALUE"""),623.33)</f>
        <v>623.33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IFERROR(__xludf.DUMMYFUNCTION("""COMPUTED_VALUE"""),655.56)</f>
        <v>655.56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IFERROR(__xludf.DUMMYFUNCTION("""COMPUTED_VALUE"""),710.89)</f>
        <v>710.89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IFERROR(__xludf.DUMMYFUNCTION("""COMPUTED_VALUE"""),779.56)</f>
        <v>779.56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IFERROR(__xludf.DUMMYFUNCTION("""COMPUTED_VALUE"""),767.36)</f>
        <v>767.36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IFERROR(__xludf.DUMMYFUNCTION("""COMPUTED_VALUE"""),865.56)</f>
        <v>865.56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IFERROR(__xludf.DUMMYFUNCTION("""COMPUTED_VALUE"""),1042.22)</f>
        <v>1042.22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IFERROR(__xludf.DUMMYFUNCTION("""COMPUTED_VALUE"""),1013.33)</f>
        <v>1013.33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IFERROR(__xludf.DUMMYFUNCTION("""COMPUTED_VALUE"""),991.11)</f>
        <v>991.11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IFERROR(__xludf.DUMMYFUNCTION("""COMPUTED_VALUE"""),1024.09)</f>
        <v>1024.09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IFERROR(__xludf.DUMMYFUNCTION("""COMPUTED_VALUE"""),979.53)</f>
        <v>979.53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IFERROR(__xludf.DUMMYFUNCTION("""COMPUTED_VALUE"""),965.49)</f>
        <v>965.49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IFERROR(__xludf.DUMMYFUNCTION("""COMPUTED_VALUE"""),943.56)</f>
        <v>943.56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IFERROR(__xludf.DUMMYFUNCTION("""COMPUTED_VALUE"""),943.6)</f>
        <v>943.6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IFERROR(__xludf.DUMMYFUNCTION("GOOGLEFINANCE(""NSE:LT"",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IFERROR(__xludf.DUMMYFUNCTION("""COMPUTED_VALUE"""),951.11)</f>
        <v>951.11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IFERROR(__xludf.DUMMYFUNCTION("""COMPUTED_VALUE"""),980.0)</f>
        <v>980</v>
      </c>
    </row>
    <row r="334" ht="15.75" customHeight="1">
      <c r="B334" s="3">
        <f>IFERROR(__xludf.DUMMYFUNCTION("""COMPUTED_VALUE"""),39465.645833333336)</f>
        <v>39465.64583</v>
      </c>
      <c r="C334" s="2">
        <f>IFERROR(__xludf.DUMMYFUNCTION("""COMPUTED_VALUE"""),950.0)</f>
        <v>950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IFERROR(__xludf.DUMMYFUNCTION("""COMPUTED_VALUE"""),875.37)</f>
        <v>875.37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IFERROR(__xludf.DUMMYFUNCTION("""COMPUTED_VALUE"""),877.78)</f>
        <v>877.78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IFERROR(__xludf.DUMMYFUNCTION("""COMPUTED_VALUE"""),861.33)</f>
        <v>861.33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IFERROR(__xludf.DUMMYFUNCTION("""COMPUTED_VALUE"""),799.73)</f>
        <v>799.73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IFERROR(__xludf.DUMMYFUNCTION("""COMPUTED_VALUE"""),799.64)</f>
        <v>799.64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IFERROR(__xludf.DUMMYFUNCTION("""COMPUTED_VALUE"""),821.78)</f>
        <v>821.78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IFERROR(__xludf.DUMMYFUNCTION("""COMPUTED_VALUE"""),768.84)</f>
        <v>768.84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IFERROR(__xludf.DUMMYFUNCTION("""COMPUTED_VALUE"""),655.56)</f>
        <v>655.56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IFERROR(__xludf.DUMMYFUNCTION("""COMPUTED_VALUE"""),647.78)</f>
        <v>647.78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IFERROR(__xludf.DUMMYFUNCTION("""COMPUTED_VALUE"""),706.76)</f>
        <v>706.76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IFERROR(__xludf.DUMMYFUNCTION("""COMPUTED_VALUE"""),696.67)</f>
        <v>696.67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IFERROR(__xludf.DUMMYFUNCTION("""COMPUTED_VALUE"""),624.44)</f>
        <v>624.44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IFERROR(__xludf.DUMMYFUNCTION("""COMPUTED_VALUE"""),639.78)</f>
        <v>639.78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IFERROR(__xludf.DUMMYFUNCTION("""COMPUTED_VALUE"""),664.53)</f>
        <v>664.53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IFERROR(__xludf.DUMMYFUNCTION("""COMPUTED_VALUE"""),700.0)</f>
        <v>700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IFERROR(__xludf.DUMMYFUNCTION("""COMPUTED_VALUE"""),726.44)</f>
        <v>726.44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IFERROR(__xludf.DUMMYFUNCTION("""COMPUTED_VALUE"""),675.33)</f>
        <v>675.33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IFERROR(__xludf.DUMMYFUNCTION("""COMPUTED_VALUE"""),673.32)</f>
        <v>673.32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IFERROR(__xludf.DUMMYFUNCTION("""COMPUTED_VALUE"""),677.73)</f>
        <v>677.73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IFERROR(__xludf.DUMMYFUNCTION("""COMPUTED_VALUE"""),675.42)</f>
        <v>675.42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IFERROR(__xludf.DUMMYFUNCTION("""COMPUTED_VALUE"""),610.88)</f>
        <v>610.88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IFERROR(__xludf.DUMMYFUNCTION("""COMPUTED_VALUE"""),636.89)</f>
        <v>636.89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IFERROR(__xludf.DUMMYFUNCTION("""COMPUTED_VALUE"""),567.78)</f>
        <v>567.78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IFERROR(__xludf.DUMMYFUNCTION("""COMPUTED_VALUE"""),532.22)</f>
        <v>532.22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IFERROR(__xludf.DUMMYFUNCTION("""COMPUTED_VALUE"""),574.44)</f>
        <v>574.44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IFERROR(__xludf.DUMMYFUNCTION("""COMPUTED_VALUE"""),571.11)</f>
        <v>571.11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IFERROR(__xludf.DUMMYFUNCTION("""COMPUTED_VALUE"""),625.49)</f>
        <v>625.49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IFERROR(__xludf.DUMMYFUNCTION("""COMPUTED_VALUE"""),622.22)</f>
        <v>622.22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IFERROR(__xludf.DUMMYFUNCTION("""COMPUTED_VALUE"""),633.33)</f>
        <v>633.33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IFERROR(__xludf.DUMMYFUNCTION("""COMPUTED_VALUE"""),646.89)</f>
        <v>646.89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IFERROR(__xludf.DUMMYFUNCTION("""COMPUTED_VALUE"""),606.0)</f>
        <v>606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IFERROR(__xludf.DUMMYFUNCTION("""COMPUTED_VALUE"""),594.67)</f>
        <v>594.67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IFERROR(__xludf.DUMMYFUNCTION("""COMPUTED_VALUE"""),601.4)</f>
        <v>601.4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IFERROR(__xludf.DUMMYFUNCTION("""COMPUTED_VALUE"""),641.96)</f>
        <v>641.96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IFERROR(__xludf.DUMMYFUNCTION("""COMPUTED_VALUE"""),600.23)</f>
        <v>600.23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IFERROR(__xludf.DUMMYFUNCTION("""COMPUTED_VALUE"""),597.87)</f>
        <v>597.87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IFERROR(__xludf.DUMMYFUNCTION("""COMPUTED_VALUE"""),568.89)</f>
        <v>568.89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IFERROR(__xludf.DUMMYFUNCTION("""COMPUTED_VALUE"""),506.67)</f>
        <v>506.67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IFERROR(__xludf.DUMMYFUNCTION("""COMPUTED_VALUE"""),479.11)</f>
        <v>479.11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IFERROR(__xludf.DUMMYFUNCTION("""COMPUTED_VALUE"""),402.09)</f>
        <v>402.09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IFERROR(__xludf.DUMMYFUNCTION("""COMPUTED_VALUE"""),364.89)</f>
        <v>364.89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IFERROR(__xludf.DUMMYFUNCTION("""COMPUTED_VALUE"""),426.67)</f>
        <v>426.67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IFERROR(__xludf.DUMMYFUNCTION("""COMPUTED_VALUE"""),417.07)</f>
        <v>417.07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IFERROR(__xludf.DUMMYFUNCTION("""COMPUTED_VALUE"""),357.78)</f>
        <v>357.78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IFERROR(__xludf.DUMMYFUNCTION("""COMPUTED_VALUE"""),351.11)</f>
        <v>351.11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IFERROR(__xludf.DUMMYFUNCTION("""COMPUTED_VALUE"""),339.78)</f>
        <v>339.78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IFERROR(__xludf.DUMMYFUNCTION("""COMPUTED_VALUE"""),357.33)</f>
        <v>357.33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IFERROR(__xludf.DUMMYFUNCTION("""COMPUTED_VALUE"""),375.11)</f>
        <v>375.11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IFERROR(__xludf.DUMMYFUNCTION("""COMPUTED_VALUE"""),371.56)</f>
        <v>371.56</v>
      </c>
    </row>
    <row r="384" ht="15.75" customHeight="1"/>
    <row r="385" ht="15.75" customHeight="1"/>
    <row r="386" ht="15.75" customHeight="1">
      <c r="B386" s="2" t="str">
        <f>IFERROR(__xludf.DUMMYFUNCTION("GOOGLEFINANCE(""NSE:LT"",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IFERROR(__xludf.DUMMYFUNCTION("""COMPUTED_VALUE"""),372.76)</f>
        <v>372.76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IFERROR(__xludf.DUMMYFUNCTION("""COMPUTED_VALUE"""),386.62)</f>
        <v>386.62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IFERROR(__xludf.DUMMYFUNCTION("""COMPUTED_VALUE"""),324.44)</f>
        <v>324.44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IFERROR(__xludf.DUMMYFUNCTION("""COMPUTED_VALUE"""),327.33)</f>
        <v>327.33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IFERROR(__xludf.DUMMYFUNCTION("""COMPUTED_VALUE"""),308.89)</f>
        <v>308.89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IFERROR(__xludf.DUMMYFUNCTION("""COMPUTED_VALUE"""),310.22)</f>
        <v>310.22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IFERROR(__xludf.DUMMYFUNCTION("""COMPUTED_VALUE"""),315.76)</f>
        <v>315.76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IFERROR(__xludf.DUMMYFUNCTION("""COMPUTED_VALUE"""),315.56)</f>
        <v>315.56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IFERROR(__xludf.DUMMYFUNCTION("""COMPUTED_VALUE"""),288.0)</f>
        <v>288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IFERROR(__xludf.DUMMYFUNCTION("""COMPUTED_VALUE"""),270.22)</f>
        <v>270.22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IFERROR(__xludf.DUMMYFUNCTION("""COMPUTED_VALUE"""),275.11)</f>
        <v>275.11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IFERROR(__xludf.DUMMYFUNCTION("""COMPUTED_VALUE"""),288.44)</f>
        <v>288.44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IFERROR(__xludf.DUMMYFUNCTION("""COMPUTED_VALUE"""),307.73)</f>
        <v>307.73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IFERROR(__xludf.DUMMYFUNCTION("""COMPUTED_VALUE"""),326.93)</f>
        <v>326.93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IFERROR(__xludf.DUMMYFUNCTION("""COMPUTED_VALUE"""),378.67)</f>
        <v>378.67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IFERROR(__xludf.DUMMYFUNCTION("""COMPUTED_VALUE"""),400.89)</f>
        <v>400.89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IFERROR(__xludf.DUMMYFUNCTION("""COMPUTED_VALUE"""),399.56)</f>
        <v>399.56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IFERROR(__xludf.DUMMYFUNCTION("""COMPUTED_VALUE"""),410.89)</f>
        <v>410.89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IFERROR(__xludf.DUMMYFUNCTION("""COMPUTED_VALUE"""),448.89)</f>
        <v>448.89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IFERROR(__xludf.DUMMYFUNCTION("""COMPUTED_VALUE"""),451.42)</f>
        <v>451.42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IFERROR(__xludf.DUMMYFUNCTION("""COMPUTED_VALUE"""),656.44)</f>
        <v>656.44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IFERROR(__xludf.DUMMYFUNCTION("""COMPUTED_VALUE"""),630.22)</f>
        <v>630.22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IFERROR(__xludf.DUMMYFUNCTION("""COMPUTED_VALUE"""),688.89)</f>
        <v>688.89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IFERROR(__xludf.DUMMYFUNCTION("""COMPUTED_VALUE"""),754.98)</f>
        <v>754.98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IFERROR(__xludf.DUMMYFUNCTION("""COMPUTED_VALUE"""),704.93)</f>
        <v>704.93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IFERROR(__xludf.DUMMYFUNCTION("""COMPUTED_VALUE"""),719.42)</f>
        <v>719.42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IFERROR(__xludf.DUMMYFUNCTION("""COMPUTED_VALUE"""),737.78)</f>
        <v>737.78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IFERROR(__xludf.DUMMYFUNCTION("""COMPUTED_VALUE"""),738.62)</f>
        <v>738.62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IFERROR(__xludf.DUMMYFUNCTION("""COMPUTED_VALUE"""),660.89)</f>
        <v>660.89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IFERROR(__xludf.DUMMYFUNCTION("""COMPUTED_VALUE"""),675.07)</f>
        <v>675.07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IFERROR(__xludf.DUMMYFUNCTION("""COMPUTED_VALUE"""),682.62)</f>
        <v>682.62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IFERROR(__xludf.DUMMYFUNCTION("""COMPUTED_VALUE"""),686.09)</f>
        <v>686.09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IFERROR(__xludf.DUMMYFUNCTION("""COMPUTED_VALUE"""),674.67)</f>
        <v>674.67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IFERROR(__xludf.DUMMYFUNCTION("""COMPUTED_VALUE"""),675.11)</f>
        <v>675.11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IFERROR(__xludf.DUMMYFUNCTION("""COMPUTED_VALUE"""),722.22)</f>
        <v>722.22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IFERROR(__xludf.DUMMYFUNCTION("""COMPUTED_VALUE"""),715.56)</f>
        <v>715.56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IFERROR(__xludf.DUMMYFUNCTION("""COMPUTED_VALUE"""),727.07)</f>
        <v>727.07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IFERROR(__xludf.DUMMYFUNCTION("""COMPUTED_VALUE"""),739.42)</f>
        <v>739.42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IFERROR(__xludf.DUMMYFUNCTION("""COMPUTED_VALUE"""),746.09)</f>
        <v>746.09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IFERROR(__xludf.DUMMYFUNCTION("""COMPUTED_VALUE"""),754.44)</f>
        <v>754.44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IFERROR(__xludf.DUMMYFUNCTION("""COMPUTED_VALUE"""),768.62)</f>
        <v>768.62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IFERROR(__xludf.DUMMYFUNCTION("""COMPUTED_VALUE"""),759.87)</f>
        <v>759.87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IFERROR(__xludf.DUMMYFUNCTION("""COMPUTED_VALUE"""),717.33)</f>
        <v>717.33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IFERROR(__xludf.DUMMYFUNCTION("""COMPUTED_VALUE"""),711.13)</f>
        <v>711.13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IFERROR(__xludf.DUMMYFUNCTION("""COMPUTED_VALUE"""),740.8)</f>
        <v>740.8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IFERROR(__xludf.DUMMYFUNCTION("""COMPUTED_VALUE"""),742.22)</f>
        <v>742.22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IFERROR(__xludf.DUMMYFUNCTION("""COMPUTED_VALUE"""),737.33)</f>
        <v>737.33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IFERROR(__xludf.DUMMYFUNCTION("""COMPUTED_VALUE"""),728.89)</f>
        <v>728.89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IFERROR(__xludf.DUMMYFUNCTION("""COMPUTED_VALUE"""),756.67)</f>
        <v>756.67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IFERROR(__xludf.DUMMYFUNCTION("""COMPUTED_VALUE"""),764.44)</f>
        <v>764.44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IFERROR(__xludf.DUMMYFUNCTION("""COMPUTED_VALUE"""),751.56)</f>
        <v>751.56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IFERROR(__xludf.DUMMYFUNCTION("""COMPUTED_VALUE"""),755.56)</f>
        <v>755.56</v>
      </c>
    </row>
    <row r="439" ht="15.75" customHeight="1"/>
    <row r="440" ht="15.75" customHeight="1"/>
    <row r="441" ht="15.75" customHeight="1">
      <c r="B441" s="2" t="str">
        <f>IFERROR(__xludf.DUMMYFUNCTION("GOOGLEFINANCE(""NSE:LT"",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IFERROR(__xludf.DUMMYFUNCTION("""COMPUTED_VALUE"""),760.18)</f>
        <v>760.18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IFERROR(__xludf.DUMMYFUNCTION("""COMPUTED_VALUE"""),755.56)</f>
        <v>755.56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IFERROR(__xludf.DUMMYFUNCTION("""COMPUTED_VALUE"""),743.56)</f>
        <v>743.56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IFERROR(__xludf.DUMMYFUNCTION("""COMPUTED_VALUE"""),666.22)</f>
        <v>666.22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IFERROR(__xludf.DUMMYFUNCTION("""COMPUTED_VALUE"""),656.44)</f>
        <v>656.44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IFERROR(__xludf.DUMMYFUNCTION("""COMPUTED_VALUE"""),664.0)</f>
        <v>664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IFERROR(__xludf.DUMMYFUNCTION("""COMPUTED_VALUE"""),703.56)</f>
        <v>703.56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IFERROR(__xludf.DUMMYFUNCTION("""COMPUTED_VALUE"""),723.87)</f>
        <v>723.87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IFERROR(__xludf.DUMMYFUNCTION("""COMPUTED_VALUE"""),717.89)</f>
        <v>717.89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IFERROR(__xludf.DUMMYFUNCTION("""COMPUTED_VALUE"""),726.67)</f>
        <v>726.67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IFERROR(__xludf.DUMMYFUNCTION("""COMPUTED_VALUE"""),734.13)</f>
        <v>734.13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IFERROR(__xludf.DUMMYFUNCTION("""COMPUTED_VALUE"""),742.22)</f>
        <v>742.22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IFERROR(__xludf.DUMMYFUNCTION("""COMPUTED_VALUE"""),738.6)</f>
        <v>738.6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IFERROR(__xludf.DUMMYFUNCTION("""COMPUTED_VALUE"""),731.11)</f>
        <v>731.11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IFERROR(__xludf.DUMMYFUNCTION("""COMPUTED_VALUE"""),720.89)</f>
        <v>720.89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IFERROR(__xludf.DUMMYFUNCTION("""COMPUTED_VALUE"""),728.76)</f>
        <v>728.76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IFERROR(__xludf.DUMMYFUNCTION("""COMPUTED_VALUE"""),715.56)</f>
        <v>715.56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IFERROR(__xludf.DUMMYFUNCTION("""COMPUTED_VALUE"""),734.91)</f>
        <v>734.91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IFERROR(__xludf.DUMMYFUNCTION("""COMPUTED_VALUE"""),748.76)</f>
        <v>748.76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IFERROR(__xludf.DUMMYFUNCTION("""COMPUTED_VALUE"""),732.89)</f>
        <v>732.89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IFERROR(__xludf.DUMMYFUNCTION("""COMPUTED_VALUE"""),744.89)</f>
        <v>744.89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IFERROR(__xludf.DUMMYFUNCTION("""COMPUTED_VALUE"""),748.89)</f>
        <v>748.89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IFERROR(__xludf.DUMMYFUNCTION("""COMPUTED_VALUE"""),807.78)</f>
        <v>807.78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IFERROR(__xludf.DUMMYFUNCTION("""COMPUTED_VALUE"""),819.11)</f>
        <v>819.11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IFERROR(__xludf.DUMMYFUNCTION("""COMPUTED_VALUE"""),807.56)</f>
        <v>807.56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IFERROR(__xludf.DUMMYFUNCTION("""COMPUTED_VALUE"""),816.93)</f>
        <v>816.93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IFERROR(__xludf.DUMMYFUNCTION("""COMPUTED_VALUE"""),843.47)</f>
        <v>843.47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IFERROR(__xludf.DUMMYFUNCTION("""COMPUTED_VALUE"""),864.47)</f>
        <v>864.47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IFERROR(__xludf.DUMMYFUNCTION("""COMPUTED_VALUE"""),866.98)</f>
        <v>866.98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IFERROR(__xludf.DUMMYFUNCTION("""COMPUTED_VALUE"""),813.2)</f>
        <v>813.2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IFERROR(__xludf.DUMMYFUNCTION("""COMPUTED_VALUE"""),817.31)</f>
        <v>817.31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IFERROR(__xludf.DUMMYFUNCTION("""COMPUTED_VALUE"""),833.29)</f>
        <v>833.29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IFERROR(__xludf.DUMMYFUNCTION("""COMPUTED_VALUE"""),838.44)</f>
        <v>838.44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IFERROR(__xludf.DUMMYFUNCTION("""COMPUTED_VALUE"""),833.2)</f>
        <v>833.2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IFERROR(__xludf.DUMMYFUNCTION("""COMPUTED_VALUE"""),839.42)</f>
        <v>839.42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IFERROR(__xludf.DUMMYFUNCTION("""COMPUTED_VALUE"""),875.56)</f>
        <v>875.56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IFERROR(__xludf.DUMMYFUNCTION("""COMPUTED_VALUE"""),922.22)</f>
        <v>922.22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IFERROR(__xludf.DUMMYFUNCTION("""COMPUTED_VALUE"""),936.8)</f>
        <v>936.8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IFERROR(__xludf.DUMMYFUNCTION("""COMPUTED_VALUE"""),942.18)</f>
        <v>942.18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IFERROR(__xludf.DUMMYFUNCTION("""COMPUTED_VALUE"""),929.64)</f>
        <v>929.64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IFERROR(__xludf.DUMMYFUNCTION("""COMPUTED_VALUE"""),910.67)</f>
        <v>910.67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IFERROR(__xludf.DUMMYFUNCTION("""COMPUTED_VALUE"""),910.98)</f>
        <v>910.98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IFERROR(__xludf.DUMMYFUNCTION("""COMPUTED_VALUE"""),983.42)</f>
        <v>983.42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IFERROR(__xludf.DUMMYFUNCTION("""COMPUTED_VALUE"""),972.89)</f>
        <v>972.89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IFERROR(__xludf.DUMMYFUNCTION("""COMPUTED_VALUE"""),929.33)</f>
        <v>929.33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IFERROR(__xludf.DUMMYFUNCTION("""COMPUTED_VALUE"""),917.78)</f>
        <v>917.78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IFERROR(__xludf.DUMMYFUNCTION("""COMPUTED_VALUE"""),917.33)</f>
        <v>917.33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IFERROR(__xludf.DUMMYFUNCTION("""COMPUTED_VALUE"""),911.56)</f>
        <v>911.56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IFERROR(__xludf.DUMMYFUNCTION("""COMPUTED_VALUE"""),897.78)</f>
        <v>897.78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IFERROR(__xludf.DUMMYFUNCTION("""COMPUTED_VALUE"""),894.16)</f>
        <v>894.16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IFERROR(__xludf.DUMMYFUNCTION("""COMPUTED_VALUE"""),890.22)</f>
        <v>890.22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IFERROR(__xludf.DUMMYFUNCTION("GOOGLEFINANCE(""NSE:LT"",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IFERROR(__xludf.DUMMYFUNCTION("""COMPUTED_VALUE"""),888.0)</f>
        <v>888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IFERROR(__xludf.DUMMYFUNCTION("""COMPUTED_VALUE"""),818.98)</f>
        <v>818.98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IFERROR(__xludf.DUMMYFUNCTION("""COMPUTED_VALUE"""),770.09)</f>
        <v>770.09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IFERROR(__xludf.DUMMYFUNCTION("""COMPUTED_VALUE"""),755.56)</f>
        <v>755.56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IFERROR(__xludf.DUMMYFUNCTION("""COMPUTED_VALUE"""),738.84)</f>
        <v>738.84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IFERROR(__xludf.DUMMYFUNCTION("""COMPUTED_VALUE"""),704.44)</f>
        <v>704.44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IFERROR(__xludf.DUMMYFUNCTION("""COMPUTED_VALUE"""),766.67)</f>
        <v>766.67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IFERROR(__xludf.DUMMYFUNCTION("""COMPUTED_VALUE"""),746.0)</f>
        <v>746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IFERROR(__xludf.DUMMYFUNCTION("""COMPUTED_VALUE"""),747.78)</f>
        <v>747.78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IFERROR(__xludf.DUMMYFUNCTION("""COMPUTED_VALUE"""),710.98)</f>
        <v>710.98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IFERROR(__xludf.DUMMYFUNCTION("""COMPUTED_VALUE"""),695.56)</f>
        <v>695.56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IFERROR(__xludf.DUMMYFUNCTION("""COMPUTED_VALUE"""),714.58)</f>
        <v>714.58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IFERROR(__xludf.DUMMYFUNCTION("""COMPUTED_VALUE"""),754.02)</f>
        <v>754.02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IFERROR(__xludf.DUMMYFUNCTION("""COMPUTED_VALUE"""),757.78)</f>
        <v>757.78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IFERROR(__xludf.DUMMYFUNCTION("""COMPUTED_VALUE"""),785.78)</f>
        <v>785.78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IFERROR(__xludf.DUMMYFUNCTION("""COMPUTED_VALUE"""),785.27)</f>
        <v>785.27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IFERROR(__xludf.DUMMYFUNCTION("""COMPUTED_VALUE"""),771.11)</f>
        <v>771.11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IFERROR(__xludf.DUMMYFUNCTION("""COMPUTED_VALUE"""),716.76)</f>
        <v>716.76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IFERROR(__xludf.DUMMYFUNCTION("""COMPUTED_VALUE"""),695.51)</f>
        <v>695.51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IFERROR(__xludf.DUMMYFUNCTION("""COMPUTED_VALUE"""),742.22)</f>
        <v>742.22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IFERROR(__xludf.DUMMYFUNCTION("""COMPUTED_VALUE"""),740.0)</f>
        <v>740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IFERROR(__xludf.DUMMYFUNCTION("""COMPUTED_VALUE"""),764.31)</f>
        <v>764.31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IFERROR(__xludf.DUMMYFUNCTION("""COMPUTED_VALUE"""),771.58)</f>
        <v>771.58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IFERROR(__xludf.DUMMYFUNCTION("""COMPUTED_VALUE"""),770.53)</f>
        <v>770.53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IFERROR(__xludf.DUMMYFUNCTION("""COMPUTED_VALUE"""),775.56)</f>
        <v>775.56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IFERROR(__xludf.DUMMYFUNCTION("""COMPUTED_VALUE"""),821.78)</f>
        <v>821.78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IFERROR(__xludf.DUMMYFUNCTION("""COMPUTED_VALUE"""),830.42)</f>
        <v>830.42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IFERROR(__xludf.DUMMYFUNCTION("""COMPUTED_VALUE"""),821.91)</f>
        <v>821.91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IFERROR(__xludf.DUMMYFUNCTION("""COMPUTED_VALUE"""),813.33)</f>
        <v>813.33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IFERROR(__xludf.DUMMYFUNCTION("""COMPUTED_VALUE"""),828.67)</f>
        <v>828.67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IFERROR(__xludf.DUMMYFUNCTION("""COMPUTED_VALUE"""),785.44)</f>
        <v>785.44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IFERROR(__xludf.DUMMYFUNCTION("""COMPUTED_VALUE"""),744.04)</f>
        <v>744.04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IFERROR(__xludf.DUMMYFUNCTION("""COMPUTED_VALUE"""),741.78)</f>
        <v>741.78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IFERROR(__xludf.DUMMYFUNCTION("""COMPUTED_VALUE"""),715.42)</f>
        <v>715.42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IFERROR(__xludf.DUMMYFUNCTION("""COMPUTED_VALUE"""),732.0)</f>
        <v>732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IFERROR(__xludf.DUMMYFUNCTION("""COMPUTED_VALUE"""),765.78)</f>
        <v>765.78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IFERROR(__xludf.DUMMYFUNCTION("""COMPUTED_VALUE"""),743.58)</f>
        <v>743.58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IFERROR(__xludf.DUMMYFUNCTION("""COMPUTED_VALUE"""),710.22)</f>
        <v>710.22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IFERROR(__xludf.DUMMYFUNCTION("""COMPUTED_VALUE"""),649.78)</f>
        <v>649.78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IFERROR(__xludf.DUMMYFUNCTION("""COMPUTED_VALUE"""),621.56)</f>
        <v>621.56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IFERROR(__xludf.DUMMYFUNCTION("""COMPUTED_VALUE"""),644.44)</f>
        <v>644.44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IFERROR(__xludf.DUMMYFUNCTION("""COMPUTED_VALUE"""),630.62)</f>
        <v>630.62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IFERROR(__xludf.DUMMYFUNCTION("""COMPUTED_VALUE"""),632.0)</f>
        <v>632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IFERROR(__xludf.DUMMYFUNCTION("""COMPUTED_VALUE"""),635.11)</f>
        <v>635.11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IFERROR(__xludf.DUMMYFUNCTION("""COMPUTED_VALUE"""),624.44)</f>
        <v>624.44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IFERROR(__xludf.DUMMYFUNCTION("""COMPUTED_VALUE"""),599.96)</f>
        <v>599.96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IFERROR(__xludf.DUMMYFUNCTION("""COMPUTED_VALUE"""),571.47)</f>
        <v>571.47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IFERROR(__xludf.DUMMYFUNCTION("""COMPUTED_VALUE"""),589.29)</f>
        <v>589.29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IFERROR(__xludf.DUMMYFUNCTION("""COMPUTED_VALUE"""),593.33)</f>
        <v>593.33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IFERROR(__xludf.DUMMYFUNCTION("""COMPUTED_VALUE"""),552.04)</f>
        <v>552.04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IFERROR(__xludf.DUMMYFUNCTION("""COMPUTED_VALUE"""),474.22)</f>
        <v>474.22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IFERROR(__xludf.DUMMYFUNCTION("""COMPUTED_VALUE"""),466.44)</f>
        <v>466.44</v>
      </c>
    </row>
    <row r="549" ht="15.75" customHeight="1"/>
    <row r="550" ht="15.75" customHeight="1"/>
    <row r="551" ht="15.75" customHeight="1">
      <c r="B551" s="2" t="str">
        <f>IFERROR(__xludf.DUMMYFUNCTION("GOOGLEFINANCE(""NSE:LT"",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IFERROR(__xludf.DUMMYFUNCTION("""COMPUTED_VALUE"""),523.53)</f>
        <v>523.53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IFERROR(__xludf.DUMMYFUNCTION("""COMPUTED_VALUE"""),574.67)</f>
        <v>574.67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IFERROR(__xludf.DUMMYFUNCTION("""COMPUTED_VALUE"""),616.89)</f>
        <v>616.89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IFERROR(__xludf.DUMMYFUNCTION("""COMPUTED_VALUE"""),611.98)</f>
        <v>611.98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IFERROR(__xludf.DUMMYFUNCTION("""COMPUTED_VALUE"""),621.07)</f>
        <v>621.07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IFERROR(__xludf.DUMMYFUNCTION("""COMPUTED_VALUE"""),680.8)</f>
        <v>680.8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IFERROR(__xludf.DUMMYFUNCTION("""COMPUTED_VALUE"""),657.22)</f>
        <v>657.22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IFERROR(__xludf.DUMMYFUNCTION("""COMPUTED_VALUE"""),582.22)</f>
        <v>582.22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IFERROR(__xludf.DUMMYFUNCTION("""COMPUTED_VALUE"""),625.67)</f>
        <v>625.67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IFERROR(__xludf.DUMMYFUNCTION("""COMPUTED_VALUE"""),606.18)</f>
        <v>606.18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IFERROR(__xludf.DUMMYFUNCTION("""COMPUTED_VALUE"""),588.0)</f>
        <v>588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IFERROR(__xludf.DUMMYFUNCTION("""COMPUTED_VALUE"""),607.64)</f>
        <v>607.64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IFERROR(__xludf.DUMMYFUNCTION("""COMPUTED_VALUE"""),591.98)</f>
        <v>591.98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IFERROR(__xludf.DUMMYFUNCTION("""COMPUTED_VALUE"""),600.42)</f>
        <v>600.42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IFERROR(__xludf.DUMMYFUNCTION("""COMPUTED_VALUE"""),550.22)</f>
        <v>550.22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IFERROR(__xludf.DUMMYFUNCTION("""COMPUTED_VALUE"""),539.96)</f>
        <v>539.96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IFERROR(__xludf.DUMMYFUNCTION("""COMPUTED_VALUE"""),548.44)</f>
        <v>548.44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IFERROR(__xludf.DUMMYFUNCTION("""COMPUTED_VALUE"""),537.78)</f>
        <v>537.78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IFERROR(__xludf.DUMMYFUNCTION("""COMPUTED_VALUE"""),541.27)</f>
        <v>541.27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IFERROR(__xludf.DUMMYFUNCTION("""COMPUTED_VALUE"""),586.67)</f>
        <v>586.67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IFERROR(__xludf.DUMMYFUNCTION("""COMPUTED_VALUE"""),609.6)</f>
        <v>609.6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IFERROR(__xludf.DUMMYFUNCTION("""COMPUTED_VALUE"""),612.8)</f>
        <v>612.8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IFERROR(__xludf.DUMMYFUNCTION("""COMPUTED_VALUE"""),622.67)</f>
        <v>622.67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IFERROR(__xludf.DUMMYFUNCTION("""COMPUTED_VALUE"""),637.67)</f>
        <v>637.67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IFERROR(__xludf.DUMMYFUNCTION("""COMPUTED_VALUE"""),640.89)</f>
        <v>640.89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IFERROR(__xludf.DUMMYFUNCTION("""COMPUTED_VALUE"""),631.58)</f>
        <v>631.58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IFERROR(__xludf.DUMMYFUNCTION("""COMPUTED_VALUE"""),618.58)</f>
        <v>618.58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IFERROR(__xludf.DUMMYFUNCTION("""COMPUTED_VALUE"""),620.73)</f>
        <v>620.73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IFERROR(__xludf.DUMMYFUNCTION("""COMPUTED_VALUE"""),635.11)</f>
        <v>635.11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IFERROR(__xludf.DUMMYFUNCTION("""COMPUTED_VALUE"""),658.53)</f>
        <v>658.53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IFERROR(__xludf.DUMMYFUNCTION("""COMPUTED_VALUE"""),654.24)</f>
        <v>654.24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IFERROR(__xludf.DUMMYFUNCTION("""COMPUTED_VALUE"""),631.11)</f>
        <v>631.11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IFERROR(__xludf.DUMMYFUNCTION("""COMPUTED_VALUE"""),663.56)</f>
        <v>663.56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IFERROR(__xludf.DUMMYFUNCTION("""COMPUTED_VALUE"""),709.78)</f>
        <v>709.78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IFERROR(__xludf.DUMMYFUNCTION("""COMPUTED_VALUE"""),719.91)</f>
        <v>719.91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IFERROR(__xludf.DUMMYFUNCTION("""COMPUTED_VALUE"""),733.29)</f>
        <v>733.29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IFERROR(__xludf.DUMMYFUNCTION("""COMPUTED_VALUE"""),739.96)</f>
        <v>739.96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IFERROR(__xludf.DUMMYFUNCTION("""COMPUTED_VALUE"""),737.69)</f>
        <v>737.69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IFERROR(__xludf.DUMMYFUNCTION("""COMPUTED_VALUE"""),764.29)</f>
        <v>764.29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IFERROR(__xludf.DUMMYFUNCTION("""COMPUTED_VALUE"""),764.44)</f>
        <v>764.44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IFERROR(__xludf.DUMMYFUNCTION("""COMPUTED_VALUE"""),751.11)</f>
        <v>751.11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IFERROR(__xludf.DUMMYFUNCTION("""COMPUTED_VALUE"""),724.89)</f>
        <v>724.89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IFERROR(__xludf.DUMMYFUNCTION("""COMPUTED_VALUE"""),711.11)</f>
        <v>711.11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IFERROR(__xludf.DUMMYFUNCTION("""COMPUTED_VALUE"""),745.31)</f>
        <v>745.31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IFERROR(__xludf.DUMMYFUNCTION("""COMPUTED_VALUE"""),755.11)</f>
        <v>755.11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IFERROR(__xludf.DUMMYFUNCTION("""COMPUTED_VALUE"""),747.8)</f>
        <v>747.8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IFERROR(__xludf.DUMMYFUNCTION("""COMPUTED_VALUE"""),743.78)</f>
        <v>743.78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IFERROR(__xludf.DUMMYFUNCTION("""COMPUTED_VALUE"""),725.67)</f>
        <v>725.67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IFERROR(__xludf.DUMMYFUNCTION("GOOGLEFINANCE(""NSE:LT"",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IFERROR(__xludf.DUMMYFUNCTION("""COMPUTED_VALUE"""),738.36)</f>
        <v>738.36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IFERROR(__xludf.DUMMYFUNCTION("""COMPUTED_VALUE"""),725.78)</f>
        <v>725.78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IFERROR(__xludf.DUMMYFUNCTION("""COMPUTED_VALUE"""),700.31)</f>
        <v>700.31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IFERROR(__xludf.DUMMYFUNCTION("""COMPUTED_VALUE"""),718.49)</f>
        <v>718.49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IFERROR(__xludf.DUMMYFUNCTION("""COMPUTED_VALUE"""),717.53)</f>
        <v>717.53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IFERROR(__xludf.DUMMYFUNCTION("""COMPUTED_VALUE"""),688.8)</f>
        <v>688.8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IFERROR(__xludf.DUMMYFUNCTION("""COMPUTED_VALUE"""),673.36)</f>
        <v>673.36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IFERROR(__xludf.DUMMYFUNCTION("""COMPUTED_VALUE"""),656.33)</f>
        <v>656.33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IFERROR(__xludf.DUMMYFUNCTION("""COMPUTED_VALUE"""),643.22)</f>
        <v>643.22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IFERROR(__xludf.DUMMYFUNCTION("""COMPUTED_VALUE"""),670.64)</f>
        <v>670.64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IFERROR(__xludf.DUMMYFUNCTION("""COMPUTED_VALUE"""),681.02)</f>
        <v>681.02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IFERROR(__xludf.DUMMYFUNCTION("""COMPUTED_VALUE"""),676.27)</f>
        <v>676.27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IFERROR(__xludf.DUMMYFUNCTION("""COMPUTED_VALUE"""),631.49)</f>
        <v>631.49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IFERROR(__xludf.DUMMYFUNCTION("""COMPUTED_VALUE"""),636.44)</f>
        <v>636.44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IFERROR(__xludf.DUMMYFUNCTION("""COMPUTED_VALUE"""),616.44)</f>
        <v>616.44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IFERROR(__xludf.DUMMYFUNCTION("""COMPUTED_VALUE"""),659.93)</f>
        <v>659.93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IFERROR(__xludf.DUMMYFUNCTION("""COMPUTED_VALUE"""),687.0)</f>
        <v>687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IFERROR(__xludf.DUMMYFUNCTION("""COMPUTED_VALUE"""),704.0)</f>
        <v>704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IFERROR(__xludf.DUMMYFUNCTION("""COMPUTED_VALUE"""),724.78)</f>
        <v>724.78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IFERROR(__xludf.DUMMYFUNCTION("""COMPUTED_VALUE"""),734.22)</f>
        <v>734.22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IFERROR(__xludf.DUMMYFUNCTION("""COMPUTED_VALUE"""),656.98)</f>
        <v>656.98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IFERROR(__xludf.DUMMYFUNCTION("""COMPUTED_VALUE"""),642.2)</f>
        <v>642.2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IFERROR(__xludf.DUMMYFUNCTION("""COMPUTED_VALUE"""),642.22)</f>
        <v>642.22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IFERROR(__xludf.DUMMYFUNCTION("""COMPUTED_VALUE"""),650.67)</f>
        <v>650.67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IFERROR(__xludf.DUMMYFUNCTION("""COMPUTED_VALUE"""),626.67)</f>
        <v>626.67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IFERROR(__xludf.DUMMYFUNCTION("""COMPUTED_VALUE"""),647.56)</f>
        <v>647.56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IFERROR(__xludf.DUMMYFUNCTION("""COMPUTED_VALUE"""),666.0)</f>
        <v>666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IFERROR(__xludf.DUMMYFUNCTION("""COMPUTED_VALUE"""),673.93)</f>
        <v>673.93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IFERROR(__xludf.DUMMYFUNCTION("""COMPUTED_VALUE"""),658.53)</f>
        <v>658.53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IFERROR(__xludf.DUMMYFUNCTION("""COMPUTED_VALUE"""),576.6)</f>
        <v>576.6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IFERROR(__xludf.DUMMYFUNCTION("""COMPUTED_VALUE"""),558.47)</f>
        <v>558.47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IFERROR(__xludf.DUMMYFUNCTION("""COMPUTED_VALUE"""),541.07)</f>
        <v>541.07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IFERROR(__xludf.DUMMYFUNCTION("""COMPUTED_VALUE"""),513.97)</f>
        <v>513.97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IFERROR(__xludf.DUMMYFUNCTION("""COMPUTED_VALUE"""),506.27)</f>
        <v>506.27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IFERROR(__xludf.DUMMYFUNCTION("""COMPUTED_VALUE"""),507.6)</f>
        <v>507.6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IFERROR(__xludf.DUMMYFUNCTION("""COMPUTED_VALUE"""),559.33)</f>
        <v>559.33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IFERROR(__xludf.DUMMYFUNCTION("""COMPUTED_VALUE"""),599.1)</f>
        <v>599.1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IFERROR(__xludf.DUMMYFUNCTION("""COMPUTED_VALUE"""),566.67)</f>
        <v>566.67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IFERROR(__xludf.DUMMYFUNCTION("""COMPUTED_VALUE"""),556.67)</f>
        <v>556.67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IFERROR(__xludf.DUMMYFUNCTION("""COMPUTED_VALUE"""),589.93)</f>
        <v>589.93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IFERROR(__xludf.DUMMYFUNCTION("""COMPUTED_VALUE"""),596.1)</f>
        <v>596.1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IFERROR(__xludf.DUMMYFUNCTION("""COMPUTED_VALUE"""),649.0)</f>
        <v>649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IFERROR(__xludf.DUMMYFUNCTION("""COMPUTED_VALUE"""),657.33)</f>
        <v>657.33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IFERROR(__xludf.DUMMYFUNCTION("""COMPUTED_VALUE"""),659.93)</f>
        <v>659.93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IFERROR(__xludf.DUMMYFUNCTION("""COMPUTED_VALUE"""),647.93)</f>
        <v>647.93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IFERROR(__xludf.DUMMYFUNCTION("""COMPUTED_VALUE"""),665.33)</f>
        <v>665.33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IFERROR(__xludf.DUMMYFUNCTION("""COMPUTED_VALUE"""),699.2)</f>
        <v>699.2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IFERROR(__xludf.DUMMYFUNCTION("""COMPUTED_VALUE"""),733.33)</f>
        <v>733.33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IFERROR(__xludf.DUMMYFUNCTION("""COMPUTED_VALUE"""),769.6)</f>
        <v>769.6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IFERROR(__xludf.DUMMYFUNCTION("""COMPUTED_VALUE"""),737.8)</f>
        <v>737.8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IFERROR(__xludf.DUMMYFUNCTION("""COMPUTED_VALUE"""),726.0)</f>
        <v>726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IFERROR(__xludf.DUMMYFUNCTION("GOOGLEFINANCE(""NSE:LT"",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IFERROR(__xludf.DUMMYFUNCTION("""COMPUTED_VALUE"""),721.33)</f>
        <v>721.33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IFERROR(__xludf.DUMMYFUNCTION("""COMPUTED_VALUE"""),685.7)</f>
        <v>685.7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IFERROR(__xludf.DUMMYFUNCTION("""COMPUTED_VALUE"""),675.3)</f>
        <v>675.3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IFERROR(__xludf.DUMMYFUNCTION("""COMPUTED_VALUE"""),695.6)</f>
        <v>695.6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IFERROR(__xludf.DUMMYFUNCTION("""COMPUTED_VALUE"""),670.67)</f>
        <v>670.67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IFERROR(__xludf.DUMMYFUNCTION("""COMPUTED_VALUE"""),659.8)</f>
        <v>659.8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IFERROR(__xludf.DUMMYFUNCTION("""COMPUTED_VALUE"""),678.63)</f>
        <v>678.63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IFERROR(__xludf.DUMMYFUNCTION("""COMPUTED_VALUE"""),704.67)</f>
        <v>704.67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IFERROR(__xludf.DUMMYFUNCTION("""COMPUTED_VALUE"""),743.13)</f>
        <v>743.13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IFERROR(__xludf.DUMMYFUNCTION("""COMPUTED_VALUE"""),815.33)</f>
        <v>815.33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IFERROR(__xludf.DUMMYFUNCTION("""COMPUTED_VALUE"""),842.3)</f>
        <v>842.3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IFERROR(__xludf.DUMMYFUNCTION("""COMPUTED_VALUE"""),864.07)</f>
        <v>864.07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IFERROR(__xludf.DUMMYFUNCTION("""COMPUTED_VALUE"""),873.33)</f>
        <v>873.33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IFERROR(__xludf.DUMMYFUNCTION("""COMPUTED_VALUE"""),884.83)</f>
        <v>884.83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IFERROR(__xludf.DUMMYFUNCTION("""COMPUTED_VALUE"""),874.4)</f>
        <v>874.4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IFERROR(__xludf.DUMMYFUNCTION("""COMPUTED_VALUE"""),925.67)</f>
        <v>925.67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IFERROR(__xludf.DUMMYFUNCTION("""COMPUTED_VALUE"""),909.27)</f>
        <v>909.27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IFERROR(__xludf.DUMMYFUNCTION("""COMPUTED_VALUE"""),899.3)</f>
        <v>899.3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IFERROR(__xludf.DUMMYFUNCTION("""COMPUTED_VALUE"""),996.67)</f>
        <v>996.67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IFERROR(__xludf.DUMMYFUNCTION("""COMPUTED_VALUE"""),1025.27)</f>
        <v>1025.27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IFERROR(__xludf.DUMMYFUNCTION("""COMPUTED_VALUE"""),1084.9)</f>
        <v>1084.9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IFERROR(__xludf.DUMMYFUNCTION("""COMPUTED_VALUE"""),1133.33)</f>
        <v>1133.33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IFERROR(__xludf.DUMMYFUNCTION("""COMPUTED_VALUE"""),1184.4)</f>
        <v>1184.4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IFERROR(__xludf.DUMMYFUNCTION("""COMPUTED_VALUE"""),1138.67)</f>
        <v>1138.67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IFERROR(__xludf.DUMMYFUNCTION("""COMPUTED_VALUE"""),1133.0)</f>
        <v>1133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IFERROR(__xludf.DUMMYFUNCTION("""COMPUTED_VALUE"""),1177.27)</f>
        <v>1177.27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IFERROR(__xludf.DUMMYFUNCTION("""COMPUTED_VALUE"""),1174.53)</f>
        <v>1174.53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IFERROR(__xludf.DUMMYFUNCTION("""COMPUTED_VALUE"""),1130.57)</f>
        <v>1130.57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IFERROR(__xludf.DUMMYFUNCTION("""COMPUTED_VALUE"""),1132.53)</f>
        <v>1132.53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IFERROR(__xludf.DUMMYFUNCTION("""COMPUTED_VALUE"""),1112.93)</f>
        <v>1112.93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IFERROR(__xludf.DUMMYFUNCTION("""COMPUTED_VALUE"""),1007.2)</f>
        <v>1007.2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IFERROR(__xludf.DUMMYFUNCTION("""COMPUTED_VALUE"""),995.33)</f>
        <v>995.33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IFERROR(__xludf.DUMMYFUNCTION("""COMPUTED_VALUE"""),1038.6)</f>
        <v>1038.6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IFERROR(__xludf.DUMMYFUNCTION("""COMPUTED_VALUE"""),1033.33)</f>
        <v>1033.33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IFERROR(__xludf.DUMMYFUNCTION("""COMPUTED_VALUE"""),1080.83)</f>
        <v>1080.83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IFERROR(__xludf.DUMMYFUNCTION("""COMPUTED_VALUE"""),1088.47)</f>
        <v>1088.47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IFERROR(__xludf.DUMMYFUNCTION("""COMPUTED_VALUE"""),1059.63)</f>
        <v>1059.63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IFERROR(__xludf.DUMMYFUNCTION("""COMPUTED_VALUE"""),1028.67)</f>
        <v>1028.67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IFERROR(__xludf.DUMMYFUNCTION("""COMPUTED_VALUE"""),999.87)</f>
        <v>999.87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IFERROR(__xludf.DUMMYFUNCTION("""COMPUTED_VALUE"""),995.0)</f>
        <v>995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IFERROR(__xludf.DUMMYFUNCTION("""COMPUTED_VALUE"""),974.87)</f>
        <v>974.87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IFERROR(__xludf.DUMMYFUNCTION("""COMPUTED_VALUE"""),1043.33)</f>
        <v>1043.33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IFERROR(__xludf.DUMMYFUNCTION("""COMPUTED_VALUE"""),1109.0)</f>
        <v>1109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IFERROR(__xludf.DUMMYFUNCTION("""COMPUTED_VALUE"""),1128.6)</f>
        <v>1128.6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IFERROR(__xludf.DUMMYFUNCTION("""COMPUTED_VALUE"""),1097.2)</f>
        <v>1097.2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IFERROR(__xludf.DUMMYFUNCTION("""COMPUTED_VALUE"""),1116.6)</f>
        <v>1116.6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IFERROR(__xludf.DUMMYFUNCTION("""COMPUTED_VALUE"""),1121.3)</f>
        <v>1121.3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IFERROR(__xludf.DUMMYFUNCTION("""COMPUTED_VALUE"""),1103.33)</f>
        <v>1103.33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IFERROR(__xludf.DUMMYFUNCTION("""COMPUTED_VALUE"""),1090.77)</f>
        <v>1090.77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IFERROR(__xludf.DUMMYFUNCTION("""COMPUTED_VALUE"""),1031.13)</f>
        <v>1031.13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IFERROR(__xludf.DUMMYFUNCTION("""COMPUTED_VALUE"""),1029.27)</f>
        <v>1029.27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IFERROR(__xludf.DUMMYFUNCTION("GOOGLEFINANCE(""NSE:LT"",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IFERROR(__xludf.DUMMYFUNCTION("""COMPUTED_VALUE"""),1026.0)</f>
        <v>1026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IFERROR(__xludf.DUMMYFUNCTION("""COMPUTED_VALUE"""),1047.33)</f>
        <v>1047.33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IFERROR(__xludf.DUMMYFUNCTION("""COMPUTED_VALUE"""),1074.67)</f>
        <v>1074.67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IFERROR(__xludf.DUMMYFUNCTION("""COMPUTED_VALUE"""),1143.97)</f>
        <v>1143.97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IFERROR(__xludf.DUMMYFUNCTION("""COMPUTED_VALUE"""),1166.67)</f>
        <v>1166.67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IFERROR(__xludf.DUMMYFUNCTION("""COMPUTED_VALUE"""),1166.6)</f>
        <v>1166.6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IFERROR(__xludf.DUMMYFUNCTION("""COMPUTED_VALUE"""),1116.0)</f>
        <v>1116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IFERROR(__xludf.DUMMYFUNCTION("""COMPUTED_VALUE"""),1143.2)</f>
        <v>1143.2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IFERROR(__xludf.DUMMYFUNCTION("""COMPUTED_VALUE"""),1262.53)</f>
        <v>1262.53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IFERROR(__xludf.DUMMYFUNCTION("""COMPUTED_VALUE"""),1214.4)</f>
        <v>1214.4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IFERROR(__xludf.DUMMYFUNCTION("""COMPUTED_VALUE"""),1159.3)</f>
        <v>1159.3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IFERROR(__xludf.DUMMYFUNCTION("""COMPUTED_VALUE"""),1126.67)</f>
        <v>1126.67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IFERROR(__xludf.DUMMYFUNCTION("""COMPUTED_VALUE"""),1164.67)</f>
        <v>1164.67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IFERROR(__xludf.DUMMYFUNCTION("""COMPUTED_VALUE"""),1192.0)</f>
        <v>1192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IFERROR(__xludf.DUMMYFUNCTION("""COMPUTED_VALUE"""),1213.3)</f>
        <v>1213.3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IFERROR(__xludf.DUMMYFUNCTION("""COMPUTED_VALUE"""),1174.93)</f>
        <v>1174.93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IFERROR(__xludf.DUMMYFUNCTION("""COMPUTED_VALUE"""),1130.57)</f>
        <v>1130.57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IFERROR(__xludf.DUMMYFUNCTION("""COMPUTED_VALUE"""),1110.0)</f>
        <v>1110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IFERROR(__xludf.DUMMYFUNCTION("""COMPUTED_VALUE"""),1088.0)</f>
        <v>1088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IFERROR(__xludf.DUMMYFUNCTION("""COMPUTED_VALUE"""),1108.0)</f>
        <v>1108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IFERROR(__xludf.DUMMYFUNCTION("""COMPUTED_VALUE"""),1113.17)</f>
        <v>1113.17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IFERROR(__xludf.DUMMYFUNCTION("""COMPUTED_VALUE"""),1145.2)</f>
        <v>1145.2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IFERROR(__xludf.DUMMYFUNCTION("""COMPUTED_VALUE"""),1149.63)</f>
        <v>1149.63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IFERROR(__xludf.DUMMYFUNCTION("""COMPUTED_VALUE"""),1161.4)</f>
        <v>1161.4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IFERROR(__xludf.DUMMYFUNCTION("""COMPUTED_VALUE"""),1211.33)</f>
        <v>1211.33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IFERROR(__xludf.DUMMYFUNCTION("""COMPUTED_VALUE"""),1216.67)</f>
        <v>1216.67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IFERROR(__xludf.DUMMYFUNCTION("""COMPUTED_VALUE"""),1253.33)</f>
        <v>1253.33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IFERROR(__xludf.DUMMYFUNCTION("""COMPUTED_VALUE"""),1258.67)</f>
        <v>1258.67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IFERROR(__xludf.DUMMYFUNCTION("""COMPUTED_VALUE"""),1255.33)</f>
        <v>1255.33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IFERROR(__xludf.DUMMYFUNCTION("""COMPUTED_VALUE"""),1210.57)</f>
        <v>1210.57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IFERROR(__xludf.DUMMYFUNCTION("""COMPUTED_VALUE"""),1229.33)</f>
        <v>1229.33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IFERROR(__xludf.DUMMYFUNCTION("""COMPUTED_VALUE"""),1229.47)</f>
        <v>1229.47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IFERROR(__xludf.DUMMYFUNCTION("""COMPUTED_VALUE"""),1213.33)</f>
        <v>1213.33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IFERROR(__xludf.DUMMYFUNCTION("""COMPUTED_VALUE"""),1132.0)</f>
        <v>1132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IFERROR(__xludf.DUMMYFUNCTION("""COMPUTED_VALUE"""),1086.67)</f>
        <v>1086.67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IFERROR(__xludf.DUMMYFUNCTION("""COMPUTED_VALUE"""),1086.4)</f>
        <v>1086.4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IFERROR(__xludf.DUMMYFUNCTION("""COMPUTED_VALUE"""),1079.33)</f>
        <v>1079.33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IFERROR(__xludf.DUMMYFUNCTION("""COMPUTED_VALUE"""),1041.27)</f>
        <v>1041.27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IFERROR(__xludf.DUMMYFUNCTION("""COMPUTED_VALUE"""),996.43)</f>
        <v>996.43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IFERROR(__xludf.DUMMYFUNCTION("""COMPUTED_VALUE"""),1043.3)</f>
        <v>1043.3</v>
      </c>
    </row>
    <row r="757" ht="15.75" customHeight="1">
      <c r="B757" s="3">
        <f>IFERROR(__xludf.DUMMYFUNCTION("""COMPUTED_VALUE"""),42300.64583333333)</f>
        <v>42300.64583</v>
      </c>
      <c r="C757" s="2">
        <f>IFERROR(__xludf.DUMMYFUNCTION("""COMPUTED_VALUE"""),1073.33)</f>
        <v>1073.33</v>
      </c>
    </row>
    <row r="758" ht="15.75" customHeight="1">
      <c r="B758" s="3">
        <f>IFERROR(__xludf.DUMMYFUNCTION("""COMPUTED_VALUE"""),42307.64583333333)</f>
        <v>42307.64583</v>
      </c>
      <c r="C758" s="2">
        <f>IFERROR(__xludf.DUMMYFUNCTION("""COMPUTED_VALUE"""),1020.0)</f>
        <v>1020</v>
      </c>
    </row>
    <row r="759" ht="15.75" customHeight="1">
      <c r="B759" s="3">
        <f>IFERROR(__xludf.DUMMYFUNCTION("""COMPUTED_VALUE"""),42314.64583333333)</f>
        <v>42314.64583</v>
      </c>
      <c r="C759" s="2">
        <f>IFERROR(__xludf.DUMMYFUNCTION("""COMPUTED_VALUE"""),936.0)</f>
        <v>936</v>
      </c>
    </row>
    <row r="760" ht="15.75" customHeight="1">
      <c r="B760" s="3">
        <f>IFERROR(__xludf.DUMMYFUNCTION("""COMPUTED_VALUE"""),42321.64583333333)</f>
        <v>42321.64583</v>
      </c>
      <c r="C760" s="2">
        <f>IFERROR(__xludf.DUMMYFUNCTION("""COMPUTED_VALUE"""),911.67)</f>
        <v>911.67</v>
      </c>
    </row>
    <row r="761" ht="15.75" customHeight="1">
      <c r="B761" s="3">
        <f>IFERROR(__xludf.DUMMYFUNCTION("""COMPUTED_VALUE"""),42328.64583333333)</f>
        <v>42328.64583</v>
      </c>
      <c r="C761" s="2">
        <f>IFERROR(__xludf.DUMMYFUNCTION("""COMPUTED_VALUE"""),915.6)</f>
        <v>915.6</v>
      </c>
    </row>
    <row r="762" ht="15.75" customHeight="1">
      <c r="B762" s="3">
        <f>IFERROR(__xludf.DUMMYFUNCTION("""COMPUTED_VALUE"""),42335.64583333333)</f>
        <v>42335.64583</v>
      </c>
      <c r="C762" s="2">
        <f>IFERROR(__xludf.DUMMYFUNCTION("""COMPUTED_VALUE"""),922.6)</f>
        <v>922.6</v>
      </c>
    </row>
    <row r="763" ht="15.75" customHeight="1">
      <c r="B763" s="3">
        <f>IFERROR(__xludf.DUMMYFUNCTION("""COMPUTED_VALUE"""),42342.64583333333)</f>
        <v>42342.64583</v>
      </c>
      <c r="C763" s="2">
        <f>IFERROR(__xludf.DUMMYFUNCTION("""COMPUTED_VALUE"""),921.93)</f>
        <v>921.93</v>
      </c>
    </row>
    <row r="764" ht="15.75" customHeight="1">
      <c r="B764" s="3">
        <f>IFERROR(__xludf.DUMMYFUNCTION("""COMPUTED_VALUE"""),42349.64583333333)</f>
        <v>42349.64583</v>
      </c>
      <c r="C764" s="2">
        <f>IFERROR(__xludf.DUMMYFUNCTION("""COMPUTED_VALUE"""),901.0)</f>
        <v>901</v>
      </c>
    </row>
    <row r="765" ht="15.75" customHeight="1">
      <c r="B765" s="3">
        <f>IFERROR(__xludf.DUMMYFUNCTION("""COMPUTED_VALUE"""),42356.64583333333)</f>
        <v>42356.64583</v>
      </c>
      <c r="C765" s="2">
        <f>IFERROR(__xludf.DUMMYFUNCTION("""COMPUTED_VALUE"""),872.4)</f>
        <v>872.4</v>
      </c>
    </row>
    <row r="766" ht="15.75" customHeight="1">
      <c r="B766" s="3">
        <f>IFERROR(__xludf.DUMMYFUNCTION("""COMPUTED_VALUE"""),42362.64583333333)</f>
        <v>42362.64583</v>
      </c>
      <c r="C766" s="2">
        <f>IFERROR(__xludf.DUMMYFUNCTION("""COMPUTED_VALUE"""),867.67)</f>
        <v>867.67</v>
      </c>
    </row>
    <row r="767" ht="15.75" customHeight="1">
      <c r="B767" s="3">
        <f>IFERROR(__xludf.DUMMYFUNCTION("""COMPUTED_VALUE"""),42370.64583333333)</f>
        <v>42370.64583</v>
      </c>
      <c r="C767" s="2">
        <f>IFERROR(__xludf.DUMMYFUNCTION("""COMPUTED_VALUE"""),867.33)</f>
        <v>867.33</v>
      </c>
    </row>
    <row r="768" ht="15.75" customHeight="1"/>
    <row r="769" ht="15.75" customHeight="1"/>
    <row r="770" ht="15.75" customHeight="1"/>
    <row r="771" ht="15.75" customHeight="1">
      <c r="B771" s="2" t="str">
        <f>IFERROR(__xludf.DUMMYFUNCTION("GOOGLEFINANCE(""NSE:LT"",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IFERROR(__xludf.DUMMYFUNCTION("""COMPUTED_VALUE"""),859.97)</f>
        <v>859.97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IFERROR(__xludf.DUMMYFUNCTION("""COMPUTED_VALUE"""),800.0)</f>
        <v>800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IFERROR(__xludf.DUMMYFUNCTION("""COMPUTED_VALUE"""),763.33)</f>
        <v>763.33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IFERROR(__xludf.DUMMYFUNCTION("""COMPUTED_VALUE"""),771.9)</f>
        <v>771.9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IFERROR(__xludf.DUMMYFUNCTION("""COMPUTED_VALUE"""),772.63)</f>
        <v>772.63</v>
      </c>
    </row>
    <row r="777" ht="15.75" customHeight="1">
      <c r="B777" s="3">
        <f>IFERROR(__xludf.DUMMYFUNCTION("""COMPUTED_VALUE"""),42419.64583333333)</f>
        <v>42419.64583</v>
      </c>
      <c r="C777" s="2">
        <f>IFERROR(__xludf.DUMMYFUNCTION("""COMPUTED_VALUE"""),783.3)</f>
        <v>783.3</v>
      </c>
    </row>
    <row r="778" ht="15.75" customHeight="1">
      <c r="B778" s="3">
        <f>IFERROR(__xludf.DUMMYFUNCTION("""COMPUTED_VALUE"""),42426.64583333333)</f>
        <v>42426.64583</v>
      </c>
      <c r="C778" s="2">
        <f>IFERROR(__xludf.DUMMYFUNCTION("""COMPUTED_VALUE"""),778.83)</f>
        <v>778.83</v>
      </c>
    </row>
    <row r="779" ht="15.75" customHeight="1">
      <c r="B779" s="3">
        <f>IFERROR(__xludf.DUMMYFUNCTION("""COMPUTED_VALUE"""),42433.64583333333)</f>
        <v>42433.64583</v>
      </c>
      <c r="C779" s="2">
        <f>IFERROR(__xludf.DUMMYFUNCTION("""COMPUTED_VALUE"""),815.97)</f>
        <v>815.97</v>
      </c>
    </row>
    <row r="780" ht="15.75" customHeight="1">
      <c r="B780" s="3">
        <f>IFERROR(__xludf.DUMMYFUNCTION("""COMPUTED_VALUE"""),42440.64583333333)</f>
        <v>42440.64583</v>
      </c>
      <c r="C780" s="2">
        <f>IFERROR(__xludf.DUMMYFUNCTION("""COMPUTED_VALUE"""),814.33)</f>
        <v>814.33</v>
      </c>
    </row>
    <row r="781" ht="15.75" customHeight="1">
      <c r="B781" s="3">
        <f>IFERROR(__xludf.DUMMYFUNCTION("""COMPUTED_VALUE"""),42447.64583333333)</f>
        <v>42447.64583</v>
      </c>
      <c r="C781" s="2">
        <f>IFERROR(__xludf.DUMMYFUNCTION("""COMPUTED_VALUE"""),804.43)</f>
        <v>804.43</v>
      </c>
    </row>
    <row r="782" ht="15.75" customHeight="1">
      <c r="B782" s="3">
        <f>IFERROR(__xludf.DUMMYFUNCTION("""COMPUTED_VALUE"""),42452.64583333333)</f>
        <v>42452.64583</v>
      </c>
      <c r="C782" s="2">
        <f>IFERROR(__xludf.DUMMYFUNCTION("""COMPUTED_VALUE"""),832.67)</f>
        <v>832.67</v>
      </c>
    </row>
    <row r="783" ht="15.75" customHeight="1">
      <c r="B783" s="3">
        <f>IFERROR(__xludf.DUMMYFUNCTION("""COMPUTED_VALUE"""),42461.64583333333)</f>
        <v>42461.64583</v>
      </c>
      <c r="C783" s="2">
        <f>IFERROR(__xludf.DUMMYFUNCTION("""COMPUTED_VALUE"""),832.2)</f>
        <v>832.2</v>
      </c>
    </row>
    <row r="784" ht="15.75" customHeight="1">
      <c r="B784" s="3">
        <f>IFERROR(__xludf.DUMMYFUNCTION("""COMPUTED_VALUE"""),42468.64583333333)</f>
        <v>42468.64583</v>
      </c>
      <c r="C784" s="2">
        <f>IFERROR(__xludf.DUMMYFUNCTION("""COMPUTED_VALUE"""),833.33)</f>
        <v>833.33</v>
      </c>
    </row>
    <row r="785" ht="15.75" customHeight="1">
      <c r="B785" s="3">
        <f>IFERROR(__xludf.DUMMYFUNCTION("""COMPUTED_VALUE"""),42473.64583333333)</f>
        <v>42473.64583</v>
      </c>
      <c r="C785" s="2">
        <f>IFERROR(__xludf.DUMMYFUNCTION("""COMPUTED_VALUE"""),835.33)</f>
        <v>835.33</v>
      </c>
    </row>
    <row r="786" ht="15.75" customHeight="1">
      <c r="B786" s="3">
        <f>IFERROR(__xludf.DUMMYFUNCTION("""COMPUTED_VALUE"""),42482.64583333333)</f>
        <v>42482.64583</v>
      </c>
      <c r="C786" s="2">
        <f>IFERROR(__xludf.DUMMYFUNCTION("""COMPUTED_VALUE"""),850.0)</f>
        <v>850</v>
      </c>
    </row>
    <row r="787" ht="15.75" customHeight="1">
      <c r="B787" s="3">
        <f>IFERROR(__xludf.DUMMYFUNCTION("""COMPUTED_VALUE"""),42489.64583333333)</f>
        <v>42489.64583</v>
      </c>
      <c r="C787" s="2">
        <f>IFERROR(__xludf.DUMMYFUNCTION("""COMPUTED_VALUE"""),859.17)</f>
        <v>859.17</v>
      </c>
    </row>
    <row r="788" ht="15.75" customHeight="1">
      <c r="B788" s="3">
        <f>IFERROR(__xludf.DUMMYFUNCTION("""COMPUTED_VALUE"""),42496.64583333333)</f>
        <v>42496.64583</v>
      </c>
      <c r="C788" s="2">
        <f>IFERROR(__xludf.DUMMYFUNCTION("""COMPUTED_VALUE"""),855.43)</f>
        <v>855.43</v>
      </c>
    </row>
    <row r="789" ht="15.75" customHeight="1">
      <c r="B789" s="3">
        <f>IFERROR(__xludf.DUMMYFUNCTION("""COMPUTED_VALUE"""),42503.64583333333)</f>
        <v>42503.64583</v>
      </c>
      <c r="C789" s="2">
        <f>IFERROR(__xludf.DUMMYFUNCTION("""COMPUTED_VALUE"""),893.27)</f>
        <v>893.27</v>
      </c>
    </row>
    <row r="790" ht="15.75" customHeight="1">
      <c r="B790" s="3">
        <f>IFERROR(__xludf.DUMMYFUNCTION("""COMPUTED_VALUE"""),42510.64583333333)</f>
        <v>42510.64583</v>
      </c>
      <c r="C790" s="2">
        <f>IFERROR(__xludf.DUMMYFUNCTION("""COMPUTED_VALUE"""),874.8)</f>
        <v>874.8</v>
      </c>
    </row>
    <row r="791" ht="15.75" customHeight="1">
      <c r="B791" s="3">
        <f>IFERROR(__xludf.DUMMYFUNCTION("""COMPUTED_VALUE"""),42517.64583333333)</f>
        <v>42517.64583</v>
      </c>
      <c r="C791" s="2">
        <f>IFERROR(__xludf.DUMMYFUNCTION("""COMPUTED_VALUE"""),991.57)</f>
        <v>991.57</v>
      </c>
    </row>
    <row r="792" ht="15.75" customHeight="1">
      <c r="B792" s="3">
        <f>IFERROR(__xludf.DUMMYFUNCTION("""COMPUTED_VALUE"""),42524.64583333333)</f>
        <v>42524.64583</v>
      </c>
      <c r="C792" s="2">
        <f>IFERROR(__xludf.DUMMYFUNCTION("""COMPUTED_VALUE"""),997.63)</f>
        <v>997.63</v>
      </c>
    </row>
    <row r="793" ht="15.75" customHeight="1">
      <c r="B793" s="3">
        <f>IFERROR(__xludf.DUMMYFUNCTION("""COMPUTED_VALUE"""),42531.64583333333)</f>
        <v>42531.64583</v>
      </c>
      <c r="C793" s="2">
        <f>IFERROR(__xludf.DUMMYFUNCTION("""COMPUTED_VALUE"""),1009.8)</f>
        <v>1009.8</v>
      </c>
    </row>
    <row r="794" ht="15.75" customHeight="1">
      <c r="B794" s="3">
        <f>IFERROR(__xludf.DUMMYFUNCTION("""COMPUTED_VALUE"""),42538.64583333333)</f>
        <v>42538.64583</v>
      </c>
      <c r="C794" s="2">
        <f>IFERROR(__xludf.DUMMYFUNCTION("""COMPUTED_VALUE"""),1011.33)</f>
        <v>1011.33</v>
      </c>
    </row>
    <row r="795" ht="15.75" customHeight="1">
      <c r="B795" s="3">
        <f>IFERROR(__xludf.DUMMYFUNCTION("""COMPUTED_VALUE"""),42545.64583333333)</f>
        <v>42545.64583</v>
      </c>
      <c r="C795" s="2">
        <f>IFERROR(__xludf.DUMMYFUNCTION("""COMPUTED_VALUE"""),1007.27)</f>
        <v>1007.27</v>
      </c>
    </row>
    <row r="796" ht="15.75" customHeight="1">
      <c r="B796" s="3">
        <f>IFERROR(__xludf.DUMMYFUNCTION("""COMPUTED_VALUE"""),42552.64583333333)</f>
        <v>42552.64583</v>
      </c>
      <c r="C796" s="2">
        <f>IFERROR(__xludf.DUMMYFUNCTION("""COMPUTED_VALUE"""),1030.0)</f>
        <v>1030</v>
      </c>
    </row>
    <row r="797" ht="15.75" customHeight="1">
      <c r="B797" s="3">
        <f>IFERROR(__xludf.DUMMYFUNCTION("""COMPUTED_VALUE"""),42559.64583333333)</f>
        <v>42559.64583</v>
      </c>
      <c r="C797" s="2">
        <f>IFERROR(__xludf.DUMMYFUNCTION("""COMPUTED_VALUE"""),1054.67)</f>
        <v>1054.67</v>
      </c>
    </row>
    <row r="798" ht="15.75" customHeight="1">
      <c r="B798" s="3">
        <f>IFERROR(__xludf.DUMMYFUNCTION("""COMPUTED_VALUE"""),42566.64583333333)</f>
        <v>42566.64583</v>
      </c>
      <c r="C798" s="2">
        <f>IFERROR(__xludf.DUMMYFUNCTION("""COMPUTED_VALUE"""),1063.33)</f>
        <v>1063.33</v>
      </c>
    </row>
    <row r="799" ht="15.75" customHeight="1">
      <c r="B799" s="3">
        <f>IFERROR(__xludf.DUMMYFUNCTION("""COMPUTED_VALUE"""),42573.64583333333)</f>
        <v>42573.64583</v>
      </c>
      <c r="C799" s="2">
        <f>IFERROR(__xludf.DUMMYFUNCTION("""COMPUTED_VALUE"""),1069.1)</f>
        <v>1069.1</v>
      </c>
    </row>
    <row r="800" ht="15.75" customHeight="1">
      <c r="B800" s="3">
        <f>IFERROR(__xludf.DUMMYFUNCTION("""COMPUTED_VALUE"""),42580.64583333333)</f>
        <v>42580.64583</v>
      </c>
      <c r="C800" s="2">
        <f>IFERROR(__xludf.DUMMYFUNCTION("""COMPUTED_VALUE"""),1076.67)</f>
        <v>1076.67</v>
      </c>
    </row>
    <row r="801" ht="15.75" customHeight="1">
      <c r="B801" s="3">
        <f>IFERROR(__xludf.DUMMYFUNCTION("""COMPUTED_VALUE"""),42587.64583333333)</f>
        <v>42587.64583</v>
      </c>
      <c r="C801" s="2">
        <f>IFERROR(__xludf.DUMMYFUNCTION("""COMPUTED_VALUE"""),1057.33)</f>
        <v>1057.33</v>
      </c>
    </row>
    <row r="802" ht="15.75" customHeight="1">
      <c r="B802" s="3">
        <f>IFERROR(__xludf.DUMMYFUNCTION("""COMPUTED_VALUE"""),42594.64583333333)</f>
        <v>42594.64583</v>
      </c>
      <c r="C802" s="2">
        <f>IFERROR(__xludf.DUMMYFUNCTION("""COMPUTED_VALUE"""),1016.43)</f>
        <v>1016.43</v>
      </c>
    </row>
    <row r="803" ht="15.75" customHeight="1">
      <c r="B803" s="3">
        <f>IFERROR(__xludf.DUMMYFUNCTION("""COMPUTED_VALUE"""),42601.64583333333)</f>
        <v>42601.64583</v>
      </c>
      <c r="C803" s="2">
        <f>IFERROR(__xludf.DUMMYFUNCTION("""COMPUTED_VALUE"""),1009.5)</f>
        <v>1009.5</v>
      </c>
    </row>
    <row r="804" ht="15.75" customHeight="1">
      <c r="B804" s="3">
        <f>IFERROR(__xludf.DUMMYFUNCTION("""COMPUTED_VALUE"""),42608.64583333333)</f>
        <v>42608.64583</v>
      </c>
      <c r="C804" s="2">
        <f>IFERROR(__xludf.DUMMYFUNCTION("""COMPUTED_VALUE"""),1002.67)</f>
        <v>1002.67</v>
      </c>
    </row>
    <row r="805" ht="15.75" customHeight="1">
      <c r="B805" s="3">
        <f>IFERROR(__xludf.DUMMYFUNCTION("""COMPUTED_VALUE"""),42615.64583333333)</f>
        <v>42615.64583</v>
      </c>
      <c r="C805" s="2">
        <f>IFERROR(__xludf.DUMMYFUNCTION("""COMPUTED_VALUE"""),1011.97)</f>
        <v>1011.97</v>
      </c>
    </row>
    <row r="806" ht="15.75" customHeight="1">
      <c r="B806" s="3">
        <f>IFERROR(__xludf.DUMMYFUNCTION("""COMPUTED_VALUE"""),42622.64583333333)</f>
        <v>42622.64583</v>
      </c>
      <c r="C806" s="2">
        <f>IFERROR(__xludf.DUMMYFUNCTION("""COMPUTED_VALUE"""),1030.63)</f>
        <v>1030.63</v>
      </c>
    </row>
    <row r="807" ht="15.75" customHeight="1">
      <c r="B807" s="3">
        <f>IFERROR(__xludf.DUMMYFUNCTION("""COMPUTED_VALUE"""),42629.64583333333)</f>
        <v>42629.64583</v>
      </c>
      <c r="C807" s="2">
        <f>IFERROR(__xludf.DUMMYFUNCTION("""COMPUTED_VALUE"""),999.33)</f>
        <v>999.33</v>
      </c>
    </row>
    <row r="808" ht="15.75" customHeight="1">
      <c r="B808" s="3">
        <f>IFERROR(__xludf.DUMMYFUNCTION("""COMPUTED_VALUE"""),42636.64583333333)</f>
        <v>42636.64583</v>
      </c>
      <c r="C808" s="2">
        <f>IFERROR(__xludf.DUMMYFUNCTION("""COMPUTED_VALUE"""),1011.67)</f>
        <v>1011.67</v>
      </c>
    </row>
    <row r="809" ht="15.75" customHeight="1">
      <c r="B809" s="3">
        <f>IFERROR(__xludf.DUMMYFUNCTION("""COMPUTED_VALUE"""),42643.64583333333)</f>
        <v>42643.64583</v>
      </c>
      <c r="C809" s="2">
        <f>IFERROR(__xludf.DUMMYFUNCTION("""COMPUTED_VALUE"""),1007.97)</f>
        <v>1007.97</v>
      </c>
    </row>
    <row r="810" ht="15.75" customHeight="1">
      <c r="B810" s="3">
        <f>IFERROR(__xludf.DUMMYFUNCTION("""COMPUTED_VALUE"""),42650.64583333333)</f>
        <v>42650.64583</v>
      </c>
      <c r="C810" s="2">
        <f>IFERROR(__xludf.DUMMYFUNCTION("""COMPUTED_VALUE"""),986.37)</f>
        <v>986.37</v>
      </c>
    </row>
    <row r="811" ht="15.75" customHeight="1">
      <c r="B811" s="3">
        <f>IFERROR(__xludf.DUMMYFUNCTION("""COMPUTED_VALUE"""),42657.64583333333)</f>
        <v>42657.64583</v>
      </c>
      <c r="C811" s="2">
        <f>IFERROR(__xludf.DUMMYFUNCTION("""COMPUTED_VALUE"""),984.93)</f>
        <v>984.93</v>
      </c>
    </row>
    <row r="812" ht="15.75" customHeight="1">
      <c r="B812" s="3">
        <f>IFERROR(__xludf.DUMMYFUNCTION("""COMPUTED_VALUE"""),42664.64583333333)</f>
        <v>42664.64583</v>
      </c>
      <c r="C812" s="2">
        <f>IFERROR(__xludf.DUMMYFUNCTION("""COMPUTED_VALUE"""),1009.4)</f>
        <v>1009.4</v>
      </c>
    </row>
    <row r="813" ht="15.75" customHeight="1">
      <c r="B813" s="3">
        <f>IFERROR(__xludf.DUMMYFUNCTION("""COMPUTED_VALUE"""),42671.64583333333)</f>
        <v>42671.64583</v>
      </c>
      <c r="C813" s="2">
        <f>IFERROR(__xludf.DUMMYFUNCTION("""COMPUTED_VALUE"""),1013.33)</f>
        <v>1013.33</v>
      </c>
    </row>
    <row r="814" ht="15.75" customHeight="1">
      <c r="B814" s="3">
        <f>IFERROR(__xludf.DUMMYFUNCTION("""COMPUTED_VALUE"""),42678.64583333333)</f>
        <v>42678.64583</v>
      </c>
      <c r="C814" s="2">
        <f>IFERROR(__xludf.DUMMYFUNCTION("""COMPUTED_VALUE"""),991.27)</f>
        <v>991.27</v>
      </c>
    </row>
    <row r="815" ht="15.75" customHeight="1">
      <c r="B815" s="3">
        <f>IFERROR(__xludf.DUMMYFUNCTION("""COMPUTED_VALUE"""),42685.64583333333)</f>
        <v>42685.64583</v>
      </c>
      <c r="C815" s="2">
        <f>IFERROR(__xludf.DUMMYFUNCTION("""COMPUTED_VALUE"""),954.47)</f>
        <v>954.47</v>
      </c>
    </row>
    <row r="816" ht="15.75" customHeight="1">
      <c r="B816" s="3">
        <f>IFERROR(__xludf.DUMMYFUNCTION("""COMPUTED_VALUE"""),42692.64583333333)</f>
        <v>42692.64583</v>
      </c>
      <c r="C816" s="2">
        <f>IFERROR(__xludf.DUMMYFUNCTION("""COMPUTED_VALUE"""),938.33)</f>
        <v>938.33</v>
      </c>
    </row>
    <row r="817" ht="15.75" customHeight="1">
      <c r="B817" s="3">
        <f>IFERROR(__xludf.DUMMYFUNCTION("""COMPUTED_VALUE"""),42699.64583333333)</f>
        <v>42699.64583</v>
      </c>
      <c r="C817" s="2">
        <f>IFERROR(__xludf.DUMMYFUNCTION("""COMPUTED_VALUE"""),923.33)</f>
        <v>923.33</v>
      </c>
    </row>
    <row r="818" ht="15.75" customHeight="1">
      <c r="B818" s="3">
        <f>IFERROR(__xludf.DUMMYFUNCTION("""COMPUTED_VALUE"""),42706.64583333333)</f>
        <v>42706.64583</v>
      </c>
      <c r="C818" s="2">
        <f>IFERROR(__xludf.DUMMYFUNCTION("""COMPUTED_VALUE"""),935.0)</f>
        <v>935</v>
      </c>
    </row>
    <row r="819" ht="15.75" customHeight="1">
      <c r="B819" s="3">
        <f>IFERROR(__xludf.DUMMYFUNCTION("""COMPUTED_VALUE"""),42713.64583333333)</f>
        <v>42713.64583</v>
      </c>
      <c r="C819" s="2">
        <f>IFERROR(__xludf.DUMMYFUNCTION("""COMPUTED_VALUE"""),917.17)</f>
        <v>917.17</v>
      </c>
    </row>
    <row r="820" ht="15.75" customHeight="1">
      <c r="B820" s="3">
        <f>IFERROR(__xludf.DUMMYFUNCTION("""COMPUTED_VALUE"""),42720.64583333333)</f>
        <v>42720.64583</v>
      </c>
      <c r="C820" s="2">
        <f>IFERROR(__xludf.DUMMYFUNCTION("""COMPUTED_VALUE"""),921.27)</f>
        <v>921.27</v>
      </c>
    </row>
    <row r="821" ht="15.75" customHeight="1">
      <c r="B821" s="3">
        <f>IFERROR(__xludf.DUMMYFUNCTION("""COMPUTED_VALUE"""),42727.64583333333)</f>
        <v>42727.64583</v>
      </c>
      <c r="C821" s="2">
        <f>IFERROR(__xludf.DUMMYFUNCTION("""COMPUTED_VALUE"""),907.47)</f>
        <v>907.47</v>
      </c>
    </row>
    <row r="822" ht="15.75" customHeight="1">
      <c r="B822" s="3">
        <f>IFERROR(__xludf.DUMMYFUNCTION("""COMPUTED_VALUE"""),42734.64583333333)</f>
        <v>42734.64583</v>
      </c>
      <c r="C822" s="2">
        <f>IFERROR(__xludf.DUMMYFUNCTION("""COMPUTED_VALUE"""),908.83)</f>
        <v>908.83</v>
      </c>
    </row>
    <row r="823" ht="15.75" customHeight="1"/>
    <row r="824" ht="15.75" customHeight="1"/>
    <row r="825" ht="15.75" customHeight="1"/>
    <row r="826" ht="15.75" customHeight="1">
      <c r="B826" s="2" t="str">
        <f>IFERROR(__xludf.DUMMYFUNCTION("GOOGLEFINANCE(""NSE:LT"",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IFERROR(__xludf.DUMMYFUNCTION("""COMPUTED_VALUE"""),935.8)</f>
        <v>935.8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IFERROR(__xludf.DUMMYFUNCTION("""COMPUTED_VALUE"""),973.33)</f>
        <v>973.33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IFERROR(__xludf.DUMMYFUNCTION("""COMPUTED_VALUE"""),979.33)</f>
        <v>979.33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IFERROR(__xludf.DUMMYFUNCTION("""COMPUTED_VALUE"""),980.17)</f>
        <v>980.17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IFERROR(__xludf.DUMMYFUNCTION("""COMPUTED_VALUE"""),996.57)</f>
        <v>996.57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IFERROR(__xludf.DUMMYFUNCTION("""COMPUTED_VALUE"""),1007.33)</f>
        <v>1007.33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IFERROR(__xludf.DUMMYFUNCTION("""COMPUTED_VALUE"""),1006.0)</f>
        <v>1006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IFERROR(__xludf.DUMMYFUNCTION("""COMPUTED_VALUE"""),1004.0)</f>
        <v>1004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IFERROR(__xludf.DUMMYFUNCTION("""COMPUTED_VALUE"""),1000.0)</f>
        <v>1000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IFERROR(__xludf.DUMMYFUNCTION("""COMPUTED_VALUE"""),998.33)</f>
        <v>998.33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IFERROR(__xludf.DUMMYFUNCTION("""COMPUTED_VALUE"""),1050.0)</f>
        <v>1050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IFERROR(__xludf.DUMMYFUNCTION("""COMPUTED_VALUE"""),1043.07)</f>
        <v>1043.07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IFERROR(__xludf.DUMMYFUNCTION("""COMPUTED_VALUE"""),1062.43)</f>
        <v>1062.43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IFERROR(__xludf.DUMMYFUNCTION("""COMPUTED_VALUE"""),1146.63)</f>
        <v>1146.63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IFERROR(__xludf.DUMMYFUNCTION("""COMPUTED_VALUE"""),1141.0)</f>
        <v>1141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IFERROR(__xludf.DUMMYFUNCTION("""COMPUTED_VALUE"""),1134.47)</f>
        <v>1134.47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IFERROR(__xludf.DUMMYFUNCTION("""COMPUTED_VALUE"""),1182.67)</f>
        <v>1182.67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IFERROR(__xludf.DUMMYFUNCTION("""COMPUTED_VALUE"""),1178.0)</f>
        <v>1178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IFERROR(__xludf.DUMMYFUNCTION("""COMPUTED_VALUE"""),1176.67)</f>
        <v>1176.67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IFERROR(__xludf.DUMMYFUNCTION("""COMPUTED_VALUE"""),1176.0)</f>
        <v>1176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IFERROR(__xludf.DUMMYFUNCTION("""COMPUTED_VALUE"""),1199.33)</f>
        <v>1199.33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IFERROR(__xludf.DUMMYFUNCTION("""COMPUTED_VALUE"""),1222.63)</f>
        <v>1222.63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IFERROR(__xludf.DUMMYFUNCTION("""COMPUTED_VALUE"""),1206.27)</f>
        <v>1206.27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IFERROR(__xludf.DUMMYFUNCTION("""COMPUTED_VALUE"""),1185.33)</f>
        <v>1185.33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IFERROR(__xludf.DUMMYFUNCTION("""COMPUTED_VALUE"""),1188.0)</f>
        <v>1188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IFERROR(__xludf.DUMMYFUNCTION("""COMPUTED_VALUE"""),1158.63)</f>
        <v>1158.63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IFERROR(__xludf.DUMMYFUNCTION("""COMPUTED_VALUE"""),1145.27)</f>
        <v>1145.27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IFERROR(__xludf.DUMMYFUNCTION("""COMPUTED_VALUE"""),1183.0)</f>
        <v>1183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IFERROR(__xludf.DUMMYFUNCTION("""COMPUTED_VALUE"""),1194.45)</f>
        <v>1194.45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IFERROR(__xludf.DUMMYFUNCTION("""COMPUTED_VALUE"""),1194.9)</f>
        <v>1194.9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IFERROR(__xludf.DUMMYFUNCTION("""COMPUTED_VALUE"""),1207.5)</f>
        <v>1207.5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IFERROR(__xludf.DUMMYFUNCTION("""COMPUTED_VALUE"""),1186.0)</f>
        <v>1186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IFERROR(__xludf.DUMMYFUNCTION("""COMPUTED_VALUE"""),1157.0)</f>
        <v>1157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IFERROR(__xludf.DUMMYFUNCTION("""COMPUTED_VALUE"""),1140.0)</f>
        <v>1140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IFERROR(__xludf.DUMMYFUNCTION("""COMPUTED_VALUE"""),1155.0)</f>
        <v>1155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IFERROR(__xludf.DUMMYFUNCTION("""COMPUTED_VALUE"""),1182.0)</f>
        <v>1182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IFERROR(__xludf.DUMMYFUNCTION("""COMPUTED_VALUE"""),1234.0)</f>
        <v>1234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IFERROR(__xludf.DUMMYFUNCTION("""COMPUTED_VALUE"""),1250.5)</f>
        <v>1250.5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IFERROR(__xludf.DUMMYFUNCTION("""COMPUTED_VALUE"""),1187.0)</f>
        <v>1187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IFERROR(__xludf.DUMMYFUNCTION("""COMPUTED_VALUE"""),1157.75)</f>
        <v>1157.75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IFERROR(__xludf.DUMMYFUNCTION("""COMPUTED_VALUE"""),1158.25)</f>
        <v>1158.25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IFERROR(__xludf.DUMMYFUNCTION("""COMPUTED_VALUE"""),1156.9)</f>
        <v>1156.9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IFERROR(__xludf.DUMMYFUNCTION("""COMPUTED_VALUE"""),1243.5)</f>
        <v>1243.5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IFERROR(__xludf.DUMMYFUNCTION("""COMPUTED_VALUE"""),1247.15)</f>
        <v>1247.15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IFERROR(__xludf.DUMMYFUNCTION("""COMPUTED_VALUE"""),1274.95)</f>
        <v>1274.95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IFERROR(__xludf.DUMMYFUNCTION("""COMPUTED_VALUE"""),1259.95)</f>
        <v>1259.95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IFERROR(__xludf.DUMMYFUNCTION("""COMPUTED_VALUE"""),1248.0)</f>
        <v>1248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IFERROR(__xludf.DUMMYFUNCTION("""COMPUTED_VALUE"""),1235.0)</f>
        <v>1235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IFERROR(__xludf.DUMMYFUNCTION("""COMPUTED_VALUE"""),1228.45)</f>
        <v>1228.45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IFERROR(__xludf.DUMMYFUNCTION("""COMPUTED_VALUE"""),1229.0)</f>
        <v>1229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IFERROR(__xludf.DUMMYFUNCTION("""COMPUTED_VALUE"""),1270.0)</f>
        <v>1270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IFERROR(__xludf.DUMMYFUNCTION("""COMPUTED_VALUE"""),1275.95)</f>
        <v>1275.95</v>
      </c>
    </row>
    <row r="879" ht="15.75" customHeight="1"/>
    <row r="880" ht="15.75" customHeight="1"/>
    <row r="881" ht="15.75" customHeight="1">
      <c r="B881" s="2" t="str">
        <f>IFERROR(__xludf.DUMMYFUNCTION("GOOGLEFINANCE(""NSE:LT"",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IFERROR(__xludf.DUMMYFUNCTION("""COMPUTED_VALUE"""),1328.95)</f>
        <v>1328.95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IFERROR(__xludf.DUMMYFUNCTION("""COMPUTED_VALUE"""),1345.95)</f>
        <v>1345.95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IFERROR(__xludf.DUMMYFUNCTION("""COMPUTED_VALUE"""),1385.0)</f>
        <v>1385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IFERROR(__xludf.DUMMYFUNCTION("""COMPUTED_VALUE"""),1427.05)</f>
        <v>1427.05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IFERROR(__xludf.DUMMYFUNCTION("""COMPUTED_VALUE"""),1470.0)</f>
        <v>1470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IFERROR(__xludf.DUMMYFUNCTION("""COMPUTED_VALUE"""),1400.0)</f>
        <v>1400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IFERROR(__xludf.DUMMYFUNCTION("""COMPUTED_VALUE"""),1372.5)</f>
        <v>1372.5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IFERROR(__xludf.DUMMYFUNCTION("""COMPUTED_VALUE"""),1330.95)</f>
        <v>1330.95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IFERROR(__xludf.DUMMYFUNCTION("""COMPUTED_VALUE"""),1355.8)</f>
        <v>1355.8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IFERROR(__xludf.DUMMYFUNCTION("""COMPUTED_VALUE"""),1318.9)</f>
        <v>1318.9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IFERROR(__xludf.DUMMYFUNCTION("""COMPUTED_VALUE"""),1322.95)</f>
        <v>1322.95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IFERROR(__xludf.DUMMYFUNCTION("""COMPUTED_VALUE"""),1321.4)</f>
        <v>1321.4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IFERROR(__xludf.DUMMYFUNCTION("""COMPUTED_VALUE"""),1325.0)</f>
        <v>1325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IFERROR(__xludf.DUMMYFUNCTION("""COMPUTED_VALUE"""),1339.5)</f>
        <v>1339.5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IFERROR(__xludf.DUMMYFUNCTION("""COMPUTED_VALUE"""),1364.35)</f>
        <v>1364.35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IFERROR(__xludf.DUMMYFUNCTION("""COMPUTED_VALUE"""),1388.1)</f>
        <v>1388.1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IFERROR(__xludf.DUMMYFUNCTION("""COMPUTED_VALUE"""),1383.0)</f>
        <v>1383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IFERROR(__xludf.DUMMYFUNCTION("""COMPUTED_VALUE"""),1423.75)</f>
        <v>1423.75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IFERROR(__xludf.DUMMYFUNCTION("""COMPUTED_VALUE"""),1393.9)</f>
        <v>1393.9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IFERROR(__xludf.DUMMYFUNCTION("""COMPUTED_VALUE"""),1403.0)</f>
        <v>1403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IFERROR(__xludf.DUMMYFUNCTION("""COMPUTED_VALUE"""),1350.0)</f>
        <v>1350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IFERROR(__xludf.DUMMYFUNCTION("""COMPUTED_VALUE"""),1424.95)</f>
        <v>1424.95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IFERROR(__xludf.DUMMYFUNCTION("""COMPUTED_VALUE"""),1385.0)</f>
        <v>1385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IFERROR(__xludf.DUMMYFUNCTION("""COMPUTED_VALUE"""),1368.45)</f>
        <v>1368.45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IFERROR(__xludf.DUMMYFUNCTION("""COMPUTED_VALUE"""),1337.4)</f>
        <v>1337.4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IFERROR(__xludf.DUMMYFUNCTION("""COMPUTED_VALUE"""),1303.75)</f>
        <v>1303.75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IFERROR(__xludf.DUMMYFUNCTION("""COMPUTED_VALUE"""),1278.25)</f>
        <v>1278.25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IFERROR(__xludf.DUMMYFUNCTION("""COMPUTED_VALUE"""),1319.0)</f>
        <v>1319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IFERROR(__xludf.DUMMYFUNCTION("""COMPUTED_VALUE"""),1308.0)</f>
        <v>1308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IFERROR(__xludf.DUMMYFUNCTION("""COMPUTED_VALUE"""),1346.9)</f>
        <v>1346.9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IFERROR(__xludf.DUMMYFUNCTION("""COMPUTED_VALUE"""),1316.5)</f>
        <v>1316.5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IFERROR(__xludf.DUMMYFUNCTION("""COMPUTED_VALUE"""),1308.8)</f>
        <v>1308.8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IFERROR(__xludf.DUMMYFUNCTION("""COMPUTED_VALUE"""),1278.8)</f>
        <v>1278.8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IFERROR(__xludf.DUMMYFUNCTION("""COMPUTED_VALUE"""),1363.9)</f>
        <v>1363.9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IFERROR(__xludf.DUMMYFUNCTION("""COMPUTED_VALUE"""),1374.0)</f>
        <v>1374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IFERROR(__xludf.DUMMYFUNCTION("""COMPUTED_VALUE"""),1390.0)</f>
        <v>1390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IFERROR(__xludf.DUMMYFUNCTION("""COMPUTED_VALUE"""),1367.2)</f>
        <v>1367.2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IFERROR(__xludf.DUMMYFUNCTION("""COMPUTED_VALUE"""),1353.8)</f>
        <v>1353.8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IFERROR(__xludf.DUMMYFUNCTION("""COMPUTED_VALUE"""),1338.8)</f>
        <v>1338.8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IFERROR(__xludf.DUMMYFUNCTION("""COMPUTED_VALUE"""),1292.9)</f>
        <v>1292.9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IFERROR(__xludf.DUMMYFUNCTION("""COMPUTED_VALUE"""),1265.9)</f>
        <v>1265.9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IFERROR(__xludf.DUMMYFUNCTION("""COMPUTED_VALUE"""),1238.0)</f>
        <v>1238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IFERROR(__xludf.DUMMYFUNCTION("""COMPUTED_VALUE"""),1222.3)</f>
        <v>1222.3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IFERROR(__xludf.DUMMYFUNCTION("""COMPUTED_VALUE"""),1384.0)</f>
        <v>1384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IFERROR(__xludf.DUMMYFUNCTION("""COMPUTED_VALUE"""),1379.0)</f>
        <v>1379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IFERROR(__xludf.DUMMYFUNCTION("""COMPUTED_VALUE"""),1414.0)</f>
        <v>1414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IFERROR(__xludf.DUMMYFUNCTION("""COMPUTED_VALUE"""),1423.1)</f>
        <v>1423.1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IFERROR(__xludf.DUMMYFUNCTION("""COMPUTED_VALUE"""),1438.15)</f>
        <v>1438.15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IFERROR(__xludf.DUMMYFUNCTION("""COMPUTED_VALUE"""),1439.95)</f>
        <v>1439.95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IFERROR(__xludf.DUMMYFUNCTION("""COMPUTED_VALUE"""),1429.0)</f>
        <v>1429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IFERROR(__xludf.DUMMYFUNCTION("""COMPUTED_VALUE"""),1459.7)</f>
        <v>1459.7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IFERROR(__xludf.DUMMYFUNCTION("""COMPUTED_VALUE"""),1448.0)</f>
        <v>1448</v>
      </c>
    </row>
    <row r="934" ht="15.75" customHeight="1"/>
    <row r="935" ht="15.75" customHeight="1"/>
    <row r="936" ht="15.75" customHeight="1">
      <c r="B936" s="2" t="str">
        <f>IFERROR(__xludf.DUMMYFUNCTION("GOOGLEFINANCE(""NSE:LT"",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IFERROR(__xludf.DUMMYFUNCTION("""COMPUTED_VALUE"""),1450.0)</f>
        <v>1450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IFERROR(__xludf.DUMMYFUNCTION("""COMPUTED_VALUE"""),1408.6)</f>
        <v>1408.6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IFERROR(__xludf.DUMMYFUNCTION("""COMPUTED_VALUE"""),1367.2)</f>
        <v>1367.2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IFERROR(__xludf.DUMMYFUNCTION("""COMPUTED_VALUE"""),1337.25)</f>
        <v>1337.25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IFERROR(__xludf.DUMMYFUNCTION("""COMPUTED_VALUE"""),1337.9)</f>
        <v>1337.9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IFERROR(__xludf.DUMMYFUNCTION("""COMPUTED_VALUE"""),1326.85)</f>
        <v>1326.85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IFERROR(__xludf.DUMMYFUNCTION("""COMPUTED_VALUE"""),1264.9)</f>
        <v>1264.9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IFERROR(__xludf.DUMMYFUNCTION("""COMPUTED_VALUE"""),1291.5)</f>
        <v>1291.5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IFERROR(__xludf.DUMMYFUNCTION("""COMPUTED_VALUE"""),1311.95)</f>
        <v>1311.95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IFERROR(__xludf.DUMMYFUNCTION("""COMPUTED_VALUE"""),1363.0)</f>
        <v>1363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IFERROR(__xludf.DUMMYFUNCTION("""COMPUTED_VALUE"""),1410.8)</f>
        <v>1410.8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IFERROR(__xludf.DUMMYFUNCTION("""COMPUTED_VALUE"""),1415.0)</f>
        <v>1415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IFERROR(__xludf.DUMMYFUNCTION("""COMPUTED_VALUE"""),1405.0)</f>
        <v>1405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IFERROR(__xludf.DUMMYFUNCTION("""COMPUTED_VALUE"""),1426.95)</f>
        <v>1426.95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IFERROR(__xludf.DUMMYFUNCTION("""COMPUTED_VALUE"""),1387.95)</f>
        <v>1387.95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IFERROR(__xludf.DUMMYFUNCTION("""COMPUTED_VALUE"""),1390.9)</f>
        <v>1390.9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IFERROR(__xludf.DUMMYFUNCTION("""COMPUTED_VALUE"""),1380.55)</f>
        <v>1380.55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IFERROR(__xludf.DUMMYFUNCTION("""COMPUTED_VALUE"""),1376.5)</f>
        <v>1376.5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IFERROR(__xludf.DUMMYFUNCTION("""COMPUTED_VALUE"""),1374.35)</f>
        <v>1374.35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IFERROR(__xludf.DUMMYFUNCTION("""COMPUTED_VALUE"""),1371.5)</f>
        <v>1371.5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IFERROR(__xludf.DUMMYFUNCTION("""COMPUTED_VALUE"""),1562.4)</f>
        <v>1562.4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IFERROR(__xludf.DUMMYFUNCTION("""COMPUTED_VALUE"""),1607.0)</f>
        <v>1607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IFERROR(__xludf.DUMMYFUNCTION("""COMPUTED_VALUE"""),1585.0)</f>
        <v>1585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IFERROR(__xludf.DUMMYFUNCTION("""COMPUTED_VALUE"""),1542.0)</f>
        <v>1542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IFERROR(__xludf.DUMMYFUNCTION("""COMPUTED_VALUE"""),1569.95)</f>
        <v>1569.95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IFERROR(__xludf.DUMMYFUNCTION("""COMPUTED_VALUE"""),1573.9)</f>
        <v>1573.9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IFERROR(__xludf.DUMMYFUNCTION("""COMPUTED_VALUE"""),1591.65)</f>
        <v>1591.65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IFERROR(__xludf.DUMMYFUNCTION("""COMPUTED_VALUE"""),1551.25)</f>
        <v>1551.25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IFERROR(__xludf.DUMMYFUNCTION("""COMPUTED_VALUE"""),1473.95)</f>
        <v>1473.95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IFERROR(__xludf.DUMMYFUNCTION("""COMPUTED_VALUE"""),1420.2)</f>
        <v>1420.2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IFERROR(__xludf.DUMMYFUNCTION("""COMPUTED_VALUE"""),1398.0)</f>
        <v>1398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IFERROR(__xludf.DUMMYFUNCTION("""COMPUTED_VALUE"""),1399.4)</f>
        <v>1399.4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IFERROR(__xludf.DUMMYFUNCTION("""COMPUTED_VALUE"""),1370.0)</f>
        <v>1370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IFERROR(__xludf.DUMMYFUNCTION("""COMPUTED_VALUE"""),1360.95)</f>
        <v>1360.95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IFERROR(__xludf.DUMMYFUNCTION("""COMPUTED_VALUE"""),1379.95)</f>
        <v>1379.95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IFERROR(__xludf.DUMMYFUNCTION("""COMPUTED_VALUE"""),1338.0)</f>
        <v>1338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IFERROR(__xludf.DUMMYFUNCTION("""COMPUTED_VALUE"""),1383.8)</f>
        <v>1383.8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IFERROR(__xludf.DUMMYFUNCTION("""COMPUTED_VALUE"""),1416.45)</f>
        <v>1416.45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IFERROR(__xludf.DUMMYFUNCTION("""COMPUTED_VALUE"""),1551.0)</f>
        <v>1551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IFERROR(__xludf.DUMMYFUNCTION("""COMPUTED_VALUE"""),1496.45)</f>
        <v>1496.45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IFERROR(__xludf.DUMMYFUNCTION("""COMPUTED_VALUE"""),1450.0)</f>
        <v>1450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IFERROR(__xludf.DUMMYFUNCTION("""COMPUTED_VALUE"""),1457.0)</f>
        <v>1457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IFERROR(__xludf.DUMMYFUNCTION("""COMPUTED_VALUE"""),1467.8)</f>
        <v>1467.8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IFERROR(__xludf.DUMMYFUNCTION("""COMPUTED_VALUE"""),1491.95)</f>
        <v>1491.95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IFERROR(__xludf.DUMMYFUNCTION("""COMPUTED_VALUE"""),1468.0)</f>
        <v>1468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IFERROR(__xludf.DUMMYFUNCTION("""COMPUTED_VALUE"""),1430.75)</f>
        <v>1430.75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IFERROR(__xludf.DUMMYFUNCTION("""COMPUTED_VALUE"""),1417.9)</f>
        <v>1417.9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IFERROR(__xludf.DUMMYFUNCTION("""COMPUTED_VALUE"""),1389.0)</f>
        <v>1389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IFERROR(__xludf.DUMMYFUNCTION("""COMPUTED_VALUE"""),1342.9)</f>
        <v>1342.9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IFERROR(__xludf.DUMMYFUNCTION("""COMPUTED_VALUE"""),1308.0)</f>
        <v>1308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IFERROR(__xludf.DUMMYFUNCTION("""COMPUTED_VALUE"""),1327.9)</f>
        <v>1327.9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IFERROR(__xludf.DUMMYFUNCTION("""COMPUTED_VALUE"""),1322.0)</f>
        <v>1322</v>
      </c>
    </row>
    <row r="989" ht="15.75" customHeight="1"/>
    <row r="990" ht="15.75" customHeight="1"/>
    <row r="991" ht="15.75" customHeight="1">
      <c r="B991" s="2" t="str">
        <f>IFERROR(__xludf.DUMMYFUNCTION("GOOGLEFINANCE(""NSE:LT"",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IFERROR(__xludf.DUMMYFUNCTION("""COMPUTED_VALUE"""),1348.0)</f>
        <v>1348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IFERROR(__xludf.DUMMYFUNCTION("""COMPUTED_VALUE"""),1339.5)</f>
        <v>1339.5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IFERROR(__xludf.DUMMYFUNCTION("""COMPUTED_VALUE"""),1339.4)</f>
        <v>1339.4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IFERROR(__xludf.DUMMYFUNCTION("""COMPUTED_VALUE"""),1367.85)</f>
        <v>1367.85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IFERROR(__xludf.DUMMYFUNCTION("""COMPUTED_VALUE"""),1383.7)</f>
        <v>1383.7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IFERROR(__xludf.DUMMYFUNCTION("""COMPUTED_VALUE"""),1325.0)</f>
        <v>1325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IFERROR(__xludf.DUMMYFUNCTION("""COMPUTED_VALUE"""),1304.95)</f>
        <v>1304.95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IFERROR(__xludf.DUMMYFUNCTION("""COMPUTED_VALUE"""),1299.0)</f>
        <v>1299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IFERROR(__xludf.DUMMYFUNCTION("""COMPUTED_VALUE"""),1271.9)</f>
        <v>1271.9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IFERROR(__xludf.DUMMYFUNCTION("""COMPUTED_VALUE"""),1212.35)</f>
        <v>1212.35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IFERROR(__xludf.DUMMYFUNCTION("""COMPUTED_VALUE"""),1135.8)</f>
        <v>1135.8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IFERROR(__xludf.DUMMYFUNCTION("""COMPUTED_VALUE"""),1042.0)</f>
        <v>1042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IFERROR(__xludf.DUMMYFUNCTION("""COMPUTED_VALUE"""),890.0)</f>
        <v>890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IFERROR(__xludf.DUMMYFUNCTION("""COMPUTED_VALUE"""),823.0)</f>
        <v>823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IFERROR(__xludf.DUMMYFUNCTION("""COMPUTED_VALUE"""),834.35)</f>
        <v>834.35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IFERROR(__xludf.DUMMYFUNCTION("""COMPUTED_VALUE"""),940.0)</f>
        <v>940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IFERROR(__xludf.DUMMYFUNCTION("""COMPUTED_VALUE"""),943.0)</f>
        <v>943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IFERROR(__xludf.DUMMYFUNCTION("""COMPUTED_VALUE"""),916.8)</f>
        <v>916.8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IFERROR(__xludf.DUMMYFUNCTION("""COMPUTED_VALUE"""),880.0)</f>
        <v>880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IFERROR(__xludf.DUMMYFUNCTION("""COMPUTED_VALUE"""),885.0)</f>
        <v>885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IFERROR(__xludf.DUMMYFUNCTION("""COMPUTED_VALUE"""),870.0)</f>
        <v>870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IFERROR(__xludf.DUMMYFUNCTION("""COMPUTED_VALUE"""),937.5)</f>
        <v>937.5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IFERROR(__xludf.DUMMYFUNCTION("""COMPUTED_VALUE"""),974.15)</f>
        <v>974.15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IFERROR(__xludf.DUMMYFUNCTION("""COMPUTED_VALUE"""),995.0)</f>
        <v>995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IFERROR(__xludf.DUMMYFUNCTION("""COMPUTED_VALUE"""),929.45)</f>
        <v>929.45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IFERROR(__xludf.DUMMYFUNCTION("""COMPUTED_VALUE"""),989.9)</f>
        <v>989.9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IFERROR(__xludf.DUMMYFUNCTION("""COMPUTED_VALUE"""),956.1)</f>
        <v>956.1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IFERROR(__xludf.DUMMYFUNCTION("""COMPUTED_VALUE"""),964.4)</f>
        <v>964.4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IFERROR(__xludf.DUMMYFUNCTION("""COMPUTED_VALUE"""),944.8)</f>
        <v>944.8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IFERROR(__xludf.DUMMYFUNCTION("""COMPUTED_VALUE"""),942.3)</f>
        <v>942.3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IFERROR(__xludf.DUMMYFUNCTION("""COMPUTED_VALUE"""),940.85)</f>
        <v>940.85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IFERROR(__xludf.DUMMYFUNCTION("""COMPUTED_VALUE"""),934.5)</f>
        <v>934.5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IFERROR(__xludf.DUMMYFUNCTION("""COMPUTED_VALUE"""),1017.0)</f>
        <v>1017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IFERROR(__xludf.DUMMYFUNCTION("""COMPUTED_VALUE"""),1024.95)</f>
        <v>1024.95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IFERROR(__xludf.DUMMYFUNCTION("""COMPUTED_VALUE"""),1004.7)</f>
        <v>1004.7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IFERROR(__xludf.DUMMYFUNCTION("""COMPUTED_VALUE"""),995.4)</f>
        <v>995.4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IFERROR(__xludf.DUMMYFUNCTION("""COMPUTED_VALUE"""),950.75)</f>
        <v>950.75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IFERROR(__xludf.DUMMYFUNCTION("""COMPUTED_VALUE"""),924.0)</f>
        <v>924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IFERROR(__xludf.DUMMYFUNCTION("""COMPUTED_VALUE"""),903.8)</f>
        <v>903.8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IFERROR(__xludf.DUMMYFUNCTION("""COMPUTED_VALUE"""),917.5)</f>
        <v>917.5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IFERROR(__xludf.DUMMYFUNCTION("""COMPUTED_VALUE"""),914.95)</f>
        <v>914.95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IFERROR(__xludf.DUMMYFUNCTION("""COMPUTED_VALUE"""),925.75)</f>
        <v>925.75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IFERROR(__xludf.DUMMYFUNCTION("""COMPUTED_VALUE"""),948.5)</f>
        <v>948.5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IFERROR(__xludf.DUMMYFUNCTION("""COMPUTED_VALUE"""),994.65)</f>
        <v>994.65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IFERROR(__xludf.DUMMYFUNCTION("""COMPUTED_VALUE"""),967.5)</f>
        <v>967.5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IFERROR(__xludf.DUMMYFUNCTION("""COMPUTED_VALUE"""),1177.0)</f>
        <v>1177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IFERROR(__xludf.DUMMYFUNCTION("""COMPUTED_VALUE"""),1147.85)</f>
        <v>1147.85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IFERROR(__xludf.DUMMYFUNCTION("""COMPUTED_VALUE"""),1162.0)</f>
        <v>1162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IFERROR(__xludf.DUMMYFUNCTION("""COMPUTED_VALUE"""),1216.8)</f>
        <v>1216.8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IFERROR(__xludf.DUMMYFUNCTION("""COMPUTED_VALUE"""),1301.0)</f>
        <v>1301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IFERROR(__xludf.DUMMYFUNCTION("""COMPUTED_VALUE"""),1338.5)</f>
        <v>1338.5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IFERROR(__xludf.DUMMYFUNCTION("""COMPUTED_VALUE"""),1304.0)</f>
        <v>1304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IFERROR(__xludf.DUMMYFUNCTION("GOOGLEFINANCE(""NSE:HINDALCO"",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IFERROR(__xludf.DUMMYFUNCTION("""COMPUTED_VALUE"""),57.48)</f>
        <v>57.48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IFERROR(__xludf.DUMMYFUNCTION("""COMPUTED_VALUE"""),61.42)</f>
        <v>61.42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IFERROR(__xludf.DUMMYFUNCTION("""COMPUTED_VALUE"""),62.76)</f>
        <v>62.76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IFERROR(__xludf.DUMMYFUNCTION("""COMPUTED_VALUE"""),63.12)</f>
        <v>63.12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IFERROR(__xludf.DUMMYFUNCTION("""COMPUTED_VALUE"""),62.27)</f>
        <v>62.27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IFERROR(__xludf.DUMMYFUNCTION("""COMPUTED_VALUE"""),64.83)</f>
        <v>64.83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IFERROR(__xludf.DUMMYFUNCTION("""COMPUTED_VALUE"""),64.4)</f>
        <v>64.4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IFERROR(__xludf.DUMMYFUNCTION("""COMPUTED_VALUE"""),68.13)</f>
        <v>68.13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IFERROR(__xludf.DUMMYFUNCTION("""COMPUTED_VALUE"""),73.51)</f>
        <v>73.51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IFERROR(__xludf.DUMMYFUNCTION("""COMPUTED_VALUE"""),69.1)</f>
        <v>69.1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IFERROR(__xludf.DUMMYFUNCTION("""COMPUTED_VALUE"""),66.02)</f>
        <v>66.02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IFERROR(__xludf.DUMMYFUNCTION("""COMPUTED_VALUE"""),68.16)</f>
        <v>68.16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IFERROR(__xludf.DUMMYFUNCTION("""COMPUTED_VALUE"""),66.52)</f>
        <v>66.52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IFERROR(__xludf.DUMMYFUNCTION("""COMPUTED_VALUE"""),66.96)</f>
        <v>66.96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IFERROR(__xludf.DUMMYFUNCTION("""COMPUTED_VALUE"""),63.88)</f>
        <v>63.88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IFERROR(__xludf.DUMMYFUNCTION("""COMPUTED_VALUE"""),64.32)</f>
        <v>64.32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IFERROR(__xludf.DUMMYFUNCTION("""COMPUTED_VALUE"""),63.12)</f>
        <v>63.12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IFERROR(__xludf.DUMMYFUNCTION("""COMPUTED_VALUE"""),63.12)</f>
        <v>63.12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IFERROR(__xludf.DUMMYFUNCTION("""COMPUTED_VALUE"""),63.97)</f>
        <v>63.97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IFERROR(__xludf.DUMMYFUNCTION("""COMPUTED_VALUE"""),64.32)</f>
        <v>64.32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IFERROR(__xludf.DUMMYFUNCTION("""COMPUTED_VALUE"""),64.4)</f>
        <v>64.4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IFERROR(__xludf.DUMMYFUNCTION("""COMPUTED_VALUE"""),63.98)</f>
        <v>63.98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IFERROR(__xludf.DUMMYFUNCTION("""COMPUTED_VALUE"""),60.57)</f>
        <v>60.57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IFERROR(__xludf.DUMMYFUNCTION("""COMPUTED_VALUE"""),60.74)</f>
        <v>60.74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IFERROR(__xludf.DUMMYFUNCTION("""COMPUTED_VALUE"""),62.19)</f>
        <v>62.19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IFERROR(__xludf.DUMMYFUNCTION("""COMPUTED_VALUE"""),61.82)</f>
        <v>61.82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IFERROR(__xludf.DUMMYFUNCTION("""COMPUTED_VALUE"""),61.08)</f>
        <v>61.08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IFERROR(__xludf.DUMMYFUNCTION("""COMPUTED_VALUE"""),60.99)</f>
        <v>60.99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IFERROR(__xludf.DUMMYFUNCTION("""COMPUTED_VALUE"""),59.37)</f>
        <v>59.37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IFERROR(__xludf.DUMMYFUNCTION("""COMPUTED_VALUE"""),64.83)</f>
        <v>64.83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IFERROR(__xludf.DUMMYFUNCTION("""COMPUTED_VALUE"""),59.63)</f>
        <v>59.63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IFERROR(__xludf.DUMMYFUNCTION("""COMPUTED_VALUE"""),52.04)</f>
        <v>52.04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IFERROR(__xludf.DUMMYFUNCTION("""COMPUTED_VALUE"""),51.01)</f>
        <v>51.01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IFERROR(__xludf.DUMMYFUNCTION("""COMPUTED_VALUE"""),51.61)</f>
        <v>51.61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IFERROR(__xludf.DUMMYFUNCTION("""COMPUTED_VALUE"""),51.57)</f>
        <v>51.57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IFERROR(__xludf.DUMMYFUNCTION("""COMPUTED_VALUE"""),51.18)</f>
        <v>51.18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IFERROR(__xludf.DUMMYFUNCTION("""COMPUTED_VALUE"""),50.84)</f>
        <v>50.84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IFERROR(__xludf.DUMMYFUNCTION("""COMPUTED_VALUE"""),50.76)</f>
        <v>50.76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IFERROR(__xludf.DUMMYFUNCTION("""COMPUTED_VALUE"""),55.87)</f>
        <v>55.87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IFERROR(__xludf.DUMMYFUNCTION("""COMPUTED_VALUE"""),46.06)</f>
        <v>46.06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IFERROR(__xludf.DUMMYFUNCTION("""COMPUTED_VALUE"""),51.69)</f>
        <v>51.69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IFERROR(__xludf.DUMMYFUNCTION("""COMPUTED_VALUE"""),43.08)</f>
        <v>43.08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IFERROR(__xludf.DUMMYFUNCTION("""COMPUTED_VALUE"""),42.65)</f>
        <v>42.65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IFERROR(__xludf.DUMMYFUNCTION("""COMPUTED_VALUE"""),47.26)</f>
        <v>47.26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IFERROR(__xludf.DUMMYFUNCTION("""COMPUTED_VALUE"""),44.17)</f>
        <v>44.17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IFERROR(__xludf.DUMMYFUNCTION("""COMPUTED_VALUE"""),46.3)</f>
        <v>46.3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IFERROR(__xludf.DUMMYFUNCTION("""COMPUTED_VALUE"""),47.86)</f>
        <v>47.86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IFERROR(__xludf.DUMMYFUNCTION("""COMPUTED_VALUE"""),46.64)</f>
        <v>46.64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IFERROR(__xludf.DUMMYFUNCTION("""COMPUTED_VALUE"""),48.52)</f>
        <v>48.52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IFERROR(__xludf.DUMMYFUNCTION("""COMPUTED_VALUE"""),51.01)</f>
        <v>51.01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IFERROR(__xludf.DUMMYFUNCTION("""COMPUTED_VALUE"""),51.1)</f>
        <v>51.1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IFERROR(__xludf.DUMMYFUNCTION("""COMPUTED_VALUE"""),51.01)</f>
        <v>51.01</v>
      </c>
    </row>
    <row r="54" ht="15.75" customHeight="1"/>
    <row r="55" ht="15.75" customHeight="1"/>
    <row r="56" ht="15.75" customHeight="1">
      <c r="B56" s="2" t="str">
        <f>IFERROR(__xludf.DUMMYFUNCTION("GOOGLEFINANCE(""NSE:HINDALCO"",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IFERROR(__xludf.DUMMYFUNCTION("""COMPUTED_VALUE"""),50.56)</f>
        <v>50.56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IFERROR(__xludf.DUMMYFUNCTION("""COMPUTED_VALUE"""),51.01)</f>
        <v>51.01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IFERROR(__xludf.DUMMYFUNCTION("""COMPUTED_VALUE"""),51.91)</f>
        <v>51.91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IFERROR(__xludf.DUMMYFUNCTION("""COMPUTED_VALUE"""),52.89)</f>
        <v>52.89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IFERROR(__xludf.DUMMYFUNCTION("""COMPUTED_VALUE"""),52.19)</f>
        <v>52.19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IFERROR(__xludf.DUMMYFUNCTION("""COMPUTED_VALUE"""),56.13)</f>
        <v>56.13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IFERROR(__xludf.DUMMYFUNCTION("""COMPUTED_VALUE"""),52.46)</f>
        <v>52.46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IFERROR(__xludf.DUMMYFUNCTION("""COMPUTED_VALUE"""),51.91)</f>
        <v>51.91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IFERROR(__xludf.DUMMYFUNCTION("""COMPUTED_VALUE"""),50.33)</f>
        <v>50.33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IFERROR(__xludf.DUMMYFUNCTION("""COMPUTED_VALUE"""),51.18)</f>
        <v>51.18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IFERROR(__xludf.DUMMYFUNCTION("""COMPUTED_VALUE"""),50.07)</f>
        <v>50.07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IFERROR(__xludf.DUMMYFUNCTION("""COMPUTED_VALUE"""),47.94)</f>
        <v>47.94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IFERROR(__xludf.DUMMYFUNCTION("""COMPUTED_VALUE"""),47.43)</f>
        <v>47.43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IFERROR(__xludf.DUMMYFUNCTION("""COMPUTED_VALUE"""),51.18)</f>
        <v>51.18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IFERROR(__xludf.DUMMYFUNCTION("""COMPUTED_VALUE"""),51.52)</f>
        <v>51.52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IFERROR(__xludf.DUMMYFUNCTION("""COMPUTED_VALUE"""),53.31)</f>
        <v>53.31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IFERROR(__xludf.DUMMYFUNCTION("""COMPUTED_VALUE"""),54.08)</f>
        <v>54.08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IFERROR(__xludf.DUMMYFUNCTION("""COMPUTED_VALUE"""),54.24)</f>
        <v>54.24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IFERROR(__xludf.DUMMYFUNCTION("""COMPUTED_VALUE"""),55.61)</f>
        <v>55.61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IFERROR(__xludf.DUMMYFUNCTION("""COMPUTED_VALUE"""),59.88)</f>
        <v>59.88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IFERROR(__xludf.DUMMYFUNCTION("""COMPUTED_VALUE"""),60.31)</f>
        <v>60.31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IFERROR(__xludf.DUMMYFUNCTION("""COMPUTED_VALUE"""),59.63)</f>
        <v>59.63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IFERROR(__xludf.DUMMYFUNCTION("""COMPUTED_VALUE"""),61.83)</f>
        <v>61.83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IFERROR(__xludf.DUMMYFUNCTION("""COMPUTED_VALUE"""),65.94)</f>
        <v>65.94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IFERROR(__xludf.DUMMYFUNCTION("""COMPUTED_VALUE"""),64.49)</f>
        <v>64.49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IFERROR(__xludf.DUMMYFUNCTION("""COMPUTED_VALUE"""),64.49)</f>
        <v>64.49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IFERROR(__xludf.DUMMYFUNCTION("""COMPUTED_VALUE"""),67.05)</f>
        <v>67.05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IFERROR(__xludf.DUMMYFUNCTION("""COMPUTED_VALUE"""),68.75)</f>
        <v>68.75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IFERROR(__xludf.DUMMYFUNCTION("""COMPUTED_VALUE"""),68.75)</f>
        <v>68.75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IFERROR(__xludf.DUMMYFUNCTION("""COMPUTED_VALUE"""),72.51)</f>
        <v>72.51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IFERROR(__xludf.DUMMYFUNCTION("""COMPUTED_VALUE"""),75.15)</f>
        <v>75.15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IFERROR(__xludf.DUMMYFUNCTION("""COMPUTED_VALUE"""),77.11)</f>
        <v>77.11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IFERROR(__xludf.DUMMYFUNCTION("""COMPUTED_VALUE"""),80.17)</f>
        <v>80.17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IFERROR(__xludf.DUMMYFUNCTION("""COMPUTED_VALUE"""),79.76)</f>
        <v>79.76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IFERROR(__xludf.DUMMYFUNCTION("""COMPUTED_VALUE"""),81.63)</f>
        <v>81.63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IFERROR(__xludf.DUMMYFUNCTION("""COMPUTED_VALUE"""),79.16)</f>
        <v>79.16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IFERROR(__xludf.DUMMYFUNCTION("""COMPUTED_VALUE"""),78.65)</f>
        <v>78.65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IFERROR(__xludf.DUMMYFUNCTION("""COMPUTED_VALUE"""),77.53)</f>
        <v>77.53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IFERROR(__xludf.DUMMYFUNCTION("""COMPUTED_VALUE"""),83.6)</f>
        <v>83.6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IFERROR(__xludf.DUMMYFUNCTION("""COMPUTED_VALUE"""),93.83)</f>
        <v>93.83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IFERROR(__xludf.DUMMYFUNCTION("""COMPUTED_VALUE"""),96.22)</f>
        <v>96.22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IFERROR(__xludf.DUMMYFUNCTION("""COMPUTED_VALUE"""),94.6)</f>
        <v>94.6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IFERROR(__xludf.DUMMYFUNCTION("""COMPUTED_VALUE"""),107.99)</f>
        <v>107.99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IFERROR(__xludf.DUMMYFUNCTION("""COMPUTED_VALUE"""),104.92)</f>
        <v>104.92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IFERROR(__xludf.DUMMYFUNCTION("""COMPUTED_VALUE"""),106.63)</f>
        <v>106.63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IFERROR(__xludf.DUMMYFUNCTION("""COMPUTED_VALUE"""),113.2)</f>
        <v>113.2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IFERROR(__xludf.DUMMYFUNCTION("""COMPUTED_VALUE"""),115.24)</f>
        <v>115.24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IFERROR(__xludf.DUMMYFUNCTION("""COMPUTED_VALUE"""),115.84)</f>
        <v>115.84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IFERROR(__xludf.DUMMYFUNCTION("""COMPUTED_VALUE"""),117.29)</f>
        <v>117.29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IFERROR(__xludf.DUMMYFUNCTION("GOOGLEFINANCE(""NSE:HINDALCO"",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IFERROR(__xludf.DUMMYFUNCTION("""COMPUTED_VALUE"""),126.25)</f>
        <v>126.25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IFERROR(__xludf.DUMMYFUNCTION("""COMPUTED_VALUE"""),136.4)</f>
        <v>136.4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IFERROR(__xludf.DUMMYFUNCTION("""COMPUTED_VALUE"""),126.59)</f>
        <v>126.59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IFERROR(__xludf.DUMMYFUNCTION("""COMPUTED_VALUE"""),121.3)</f>
        <v>121.3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IFERROR(__xludf.DUMMYFUNCTION("""COMPUTED_VALUE"""),113.88)</f>
        <v>113.88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IFERROR(__xludf.DUMMYFUNCTION("""COMPUTED_VALUE"""),106.63)</f>
        <v>106.63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IFERROR(__xludf.DUMMYFUNCTION("""COMPUTED_VALUE"""),119.42)</f>
        <v>119.42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IFERROR(__xludf.DUMMYFUNCTION("""COMPUTED_VALUE"""),118.46)</f>
        <v>118.46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IFERROR(__xludf.DUMMYFUNCTION("""COMPUTED_VALUE"""),114.73)</f>
        <v>114.73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IFERROR(__xludf.DUMMYFUNCTION("""COMPUTED_VALUE"""),114.6)</f>
        <v>114.6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IFERROR(__xludf.DUMMYFUNCTION("""COMPUTED_VALUE"""),113.45)</f>
        <v>113.45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IFERROR(__xludf.DUMMYFUNCTION("""COMPUTED_VALUE"""),112.6)</f>
        <v>112.6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IFERROR(__xludf.DUMMYFUNCTION("""COMPUTED_VALUE"""),111.75)</f>
        <v>111.75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IFERROR(__xludf.DUMMYFUNCTION("""COMPUTED_VALUE"""),113.03)</f>
        <v>113.03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IFERROR(__xludf.DUMMYFUNCTION("""COMPUTED_VALUE"""),117.21)</f>
        <v>117.21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IFERROR(__xludf.DUMMYFUNCTION("""COMPUTED_VALUE"""),114.3)</f>
        <v>114.3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IFERROR(__xludf.DUMMYFUNCTION("""COMPUTED_VALUE"""),111.07)</f>
        <v>111.07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IFERROR(__xludf.DUMMYFUNCTION("""COMPUTED_VALUE"""),98.44)</f>
        <v>98.44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IFERROR(__xludf.DUMMYFUNCTION("""COMPUTED_VALUE"""),92.13)</f>
        <v>92.13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IFERROR(__xludf.DUMMYFUNCTION("""COMPUTED_VALUE"""),82.21)</f>
        <v>82.21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IFERROR(__xludf.DUMMYFUNCTION("""COMPUTED_VALUE"""),84.11)</f>
        <v>84.11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IFERROR(__xludf.DUMMYFUNCTION("""COMPUTED_VALUE"""),85.3)</f>
        <v>85.3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IFERROR(__xludf.DUMMYFUNCTION("""COMPUTED_VALUE"""),85.3)</f>
        <v>85.3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IFERROR(__xludf.DUMMYFUNCTION("""COMPUTED_VALUE"""),84.45)</f>
        <v>84.45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IFERROR(__xludf.DUMMYFUNCTION("""COMPUTED_VALUE"""),83.26)</f>
        <v>83.26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IFERROR(__xludf.DUMMYFUNCTION("""COMPUTED_VALUE"""),87.86)</f>
        <v>87.86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IFERROR(__xludf.DUMMYFUNCTION("""COMPUTED_VALUE"""),98.09)</f>
        <v>98.09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IFERROR(__xludf.DUMMYFUNCTION("""COMPUTED_VALUE"""),108.34)</f>
        <v>108.34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IFERROR(__xludf.DUMMYFUNCTION("""COMPUTED_VALUE"""),93.75)</f>
        <v>93.75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IFERROR(__xludf.DUMMYFUNCTION("""COMPUTED_VALUE"""),94.49)</f>
        <v>94.49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IFERROR(__xludf.DUMMYFUNCTION("""COMPUTED_VALUE"""),93.32)</f>
        <v>93.32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IFERROR(__xludf.DUMMYFUNCTION("""COMPUTED_VALUE"""),100.23)</f>
        <v>100.23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IFERROR(__xludf.DUMMYFUNCTION("""COMPUTED_VALUE"""),97.5)</f>
        <v>97.5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IFERROR(__xludf.DUMMYFUNCTION("""COMPUTED_VALUE"""),101.5)</f>
        <v>101.5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IFERROR(__xludf.DUMMYFUNCTION("""COMPUTED_VALUE"""),101.68)</f>
        <v>101.68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IFERROR(__xludf.DUMMYFUNCTION("""COMPUTED_VALUE"""),103.3)</f>
        <v>103.3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IFERROR(__xludf.DUMMYFUNCTION("""COMPUTED_VALUE"""),105.78)</f>
        <v>105.78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IFERROR(__xludf.DUMMYFUNCTION("""COMPUTED_VALUE"""),110.72)</f>
        <v>110.72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IFERROR(__xludf.DUMMYFUNCTION("""COMPUTED_VALUE"""),119.0)</f>
        <v>119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IFERROR(__xludf.DUMMYFUNCTION("""COMPUTED_VALUE"""),117.63)</f>
        <v>117.63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IFERROR(__xludf.DUMMYFUNCTION("""COMPUTED_VALUE"""),107.82)</f>
        <v>107.82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IFERROR(__xludf.DUMMYFUNCTION("""COMPUTED_VALUE"""),107.74)</f>
        <v>107.74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IFERROR(__xludf.DUMMYFUNCTION("""COMPUTED_VALUE"""),109.96)</f>
        <v>109.96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IFERROR(__xludf.DUMMYFUNCTION("""COMPUTED_VALUE"""),112.17)</f>
        <v>112.17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IFERROR(__xludf.DUMMYFUNCTION("""COMPUTED_VALUE"""),111.07)</f>
        <v>111.07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IFERROR(__xludf.DUMMYFUNCTION("""COMPUTED_VALUE"""),110.89)</f>
        <v>110.89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IFERROR(__xludf.DUMMYFUNCTION("""COMPUTED_VALUE"""),114.9)</f>
        <v>114.9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IFERROR(__xludf.DUMMYFUNCTION("""COMPUTED_VALUE"""),113.03)</f>
        <v>113.03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IFERROR(__xludf.DUMMYFUNCTION("""COMPUTED_VALUE"""),112.09)</f>
        <v>112.09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IFERROR(__xludf.DUMMYFUNCTION("""COMPUTED_VALUE"""),115.07)</f>
        <v>115.07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IFERROR(__xludf.DUMMYFUNCTION("""COMPUTED_VALUE"""),125.81)</f>
        <v>125.81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IFERROR(__xludf.DUMMYFUNCTION("GOOGLEFINANCE(""NSE:HINDALCO"",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IFERROR(__xludf.DUMMYFUNCTION("""COMPUTED_VALUE"""),127.93)</f>
        <v>127.93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IFERROR(__xludf.DUMMYFUNCTION("""COMPUTED_VALUE"""),114.72)</f>
        <v>114.72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IFERROR(__xludf.DUMMYFUNCTION("""COMPUTED_VALUE"""),110.13)</f>
        <v>110.13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IFERROR(__xludf.DUMMYFUNCTION("""COMPUTED_VALUE"""),110.55)</f>
        <v>110.55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IFERROR(__xludf.DUMMYFUNCTION("""COMPUTED_VALUE"""),119.0)</f>
        <v>119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IFERROR(__xludf.DUMMYFUNCTION("""COMPUTED_VALUE"""),119.6)</f>
        <v>119.6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IFERROR(__xludf.DUMMYFUNCTION("""COMPUTED_VALUE"""),119.6)</f>
        <v>119.6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IFERROR(__xludf.DUMMYFUNCTION("""COMPUTED_VALUE"""),119.5)</f>
        <v>119.5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IFERROR(__xludf.DUMMYFUNCTION("""COMPUTED_VALUE"""),121.53)</f>
        <v>121.53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IFERROR(__xludf.DUMMYFUNCTION("""COMPUTED_VALUE"""),124.59)</f>
        <v>124.59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IFERROR(__xludf.DUMMYFUNCTION("""COMPUTED_VALUE"""),124.97)</f>
        <v>124.97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IFERROR(__xludf.DUMMYFUNCTION("""COMPUTED_VALUE"""),118.9)</f>
        <v>118.9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IFERROR(__xludf.DUMMYFUNCTION("""COMPUTED_VALUE"""),116.18)</f>
        <v>116.18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IFERROR(__xludf.DUMMYFUNCTION("""COMPUTED_VALUE"""),121.98)</f>
        <v>121.98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IFERROR(__xludf.DUMMYFUNCTION("""COMPUTED_VALUE"""),115.58)</f>
        <v>115.58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IFERROR(__xludf.DUMMYFUNCTION("""COMPUTED_VALUE"""),109.6)</f>
        <v>109.6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IFERROR(__xludf.DUMMYFUNCTION("""COMPUTED_VALUE"""),109.02)</f>
        <v>109.02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IFERROR(__xludf.DUMMYFUNCTION("""COMPUTED_VALUE"""),105.78)</f>
        <v>105.78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IFERROR(__xludf.DUMMYFUNCTION("""COMPUTED_VALUE"""),104.92)</f>
        <v>104.92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IFERROR(__xludf.DUMMYFUNCTION("""COMPUTED_VALUE"""),104.88)</f>
        <v>104.88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IFERROR(__xludf.DUMMYFUNCTION("""COMPUTED_VALUE"""),105.51)</f>
        <v>105.51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IFERROR(__xludf.DUMMYFUNCTION("""COMPUTED_VALUE"""),98.1)</f>
        <v>98.1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IFERROR(__xludf.DUMMYFUNCTION("""COMPUTED_VALUE"""),98.1)</f>
        <v>98.1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IFERROR(__xludf.DUMMYFUNCTION("""COMPUTED_VALUE"""),104.54)</f>
        <v>104.54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IFERROR(__xludf.DUMMYFUNCTION("""COMPUTED_VALUE"""),105.35)</f>
        <v>105.35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IFERROR(__xludf.DUMMYFUNCTION("""COMPUTED_VALUE"""),110.04)</f>
        <v>110.04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IFERROR(__xludf.DUMMYFUNCTION("""COMPUTED_VALUE"""),107.86)</f>
        <v>107.86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IFERROR(__xludf.DUMMYFUNCTION("""COMPUTED_VALUE"""),108.76)</f>
        <v>108.76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IFERROR(__xludf.DUMMYFUNCTION("""COMPUTED_VALUE"""),112.17)</f>
        <v>112.17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IFERROR(__xludf.DUMMYFUNCTION("""COMPUTED_VALUE"""),116.18)</f>
        <v>116.18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IFERROR(__xludf.DUMMYFUNCTION("""COMPUTED_VALUE"""),120.7)</f>
        <v>120.7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IFERROR(__xludf.DUMMYFUNCTION("""COMPUTED_VALUE"""),124.49)</f>
        <v>124.49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IFERROR(__xludf.DUMMYFUNCTION("""COMPUTED_VALUE"""),121.13)</f>
        <v>121.13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IFERROR(__xludf.DUMMYFUNCTION("""COMPUTED_VALUE"""),124.33)</f>
        <v>124.33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IFERROR(__xludf.DUMMYFUNCTION("""COMPUTED_VALUE"""),129.62)</f>
        <v>129.62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IFERROR(__xludf.DUMMYFUNCTION("""COMPUTED_VALUE"""),135.63)</f>
        <v>135.63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IFERROR(__xludf.DUMMYFUNCTION("""COMPUTED_VALUE"""),140.28)</f>
        <v>140.28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IFERROR(__xludf.DUMMYFUNCTION("""COMPUTED_VALUE"""),130.0)</f>
        <v>130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IFERROR(__xludf.DUMMYFUNCTION("""COMPUTED_VALUE"""),131.96)</f>
        <v>131.96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IFERROR(__xludf.DUMMYFUNCTION("""COMPUTED_VALUE"""),126.08)</f>
        <v>126.08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IFERROR(__xludf.DUMMYFUNCTION("""COMPUTED_VALUE"""),114.31)</f>
        <v>114.31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IFERROR(__xludf.DUMMYFUNCTION("""COMPUTED_VALUE"""),107.31)</f>
        <v>107.31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IFERROR(__xludf.DUMMYFUNCTION("""COMPUTED_VALUE"""),103.22)</f>
        <v>103.22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IFERROR(__xludf.DUMMYFUNCTION("""COMPUTED_VALUE"""),115.07)</f>
        <v>115.07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IFERROR(__xludf.DUMMYFUNCTION("""COMPUTED_VALUE"""),117.72)</f>
        <v>117.72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IFERROR(__xludf.DUMMYFUNCTION("""COMPUTED_VALUE"""),118.8)</f>
        <v>118.8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IFERROR(__xludf.DUMMYFUNCTION("""COMPUTED_VALUE"""),118.12)</f>
        <v>118.12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IFERROR(__xludf.DUMMYFUNCTION("""COMPUTED_VALUE"""),128.69)</f>
        <v>128.69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IFERROR(__xludf.DUMMYFUNCTION("""COMPUTED_VALUE"""),133.77)</f>
        <v>133.77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IFERROR(__xludf.DUMMYFUNCTION("""COMPUTED_VALUE"""),130.68)</f>
        <v>130.68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IFERROR(__xludf.DUMMYFUNCTION("GOOGLEFINANCE(""NSE:HINDALCO"",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IFERROR(__xludf.DUMMYFUNCTION("""COMPUTED_VALUE"""),140.48)</f>
        <v>140.48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IFERROR(__xludf.DUMMYFUNCTION("""COMPUTED_VALUE"""),141.07)</f>
        <v>141.07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IFERROR(__xludf.DUMMYFUNCTION("""COMPUTED_VALUE"""),145.1)</f>
        <v>145.1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IFERROR(__xludf.DUMMYFUNCTION("""COMPUTED_VALUE"""),146.28)</f>
        <v>146.28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IFERROR(__xludf.DUMMYFUNCTION("""COMPUTED_VALUE"""),153.08)</f>
        <v>153.08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IFERROR(__xludf.DUMMYFUNCTION("""COMPUTED_VALUE"""),154.99)</f>
        <v>154.99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IFERROR(__xludf.DUMMYFUNCTION("""COMPUTED_VALUE"""),149.64)</f>
        <v>149.64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IFERROR(__xludf.DUMMYFUNCTION("""COMPUTED_VALUE"""),143.88)</f>
        <v>143.88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IFERROR(__xludf.DUMMYFUNCTION("""COMPUTED_VALUE"""),147.6)</f>
        <v>147.6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IFERROR(__xludf.DUMMYFUNCTION("""COMPUTED_VALUE"""),153.45)</f>
        <v>153.45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IFERROR(__xludf.DUMMYFUNCTION("""COMPUTED_VALUE"""),148.73)</f>
        <v>148.73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IFERROR(__xludf.DUMMYFUNCTION("""COMPUTED_VALUE"""),155.26)</f>
        <v>155.26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IFERROR(__xludf.DUMMYFUNCTION("""COMPUTED_VALUE"""),169.5)</f>
        <v>169.5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IFERROR(__xludf.DUMMYFUNCTION("""COMPUTED_VALUE"""),177.03)</f>
        <v>177.03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IFERROR(__xludf.DUMMYFUNCTION("""COMPUTED_VALUE"""),183.51)</f>
        <v>183.51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IFERROR(__xludf.DUMMYFUNCTION("""COMPUTED_VALUE"""),199.29)</f>
        <v>199.29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IFERROR(__xludf.DUMMYFUNCTION("""COMPUTED_VALUE"""),217.66)</f>
        <v>217.66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IFERROR(__xludf.DUMMYFUNCTION("""COMPUTED_VALUE"""),227.9)</f>
        <v>227.9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IFERROR(__xludf.DUMMYFUNCTION("""COMPUTED_VALUE"""),221.28)</f>
        <v>221.28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IFERROR(__xludf.DUMMYFUNCTION("""COMPUTED_VALUE"""),182.92)</f>
        <v>182.92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IFERROR(__xludf.DUMMYFUNCTION("""COMPUTED_VALUE"""),180.47)</f>
        <v>180.47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IFERROR(__xludf.DUMMYFUNCTION("""COMPUTED_VALUE"""),166.87)</f>
        <v>166.87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IFERROR(__xludf.DUMMYFUNCTION("""COMPUTED_VALUE"""),158.71)</f>
        <v>158.71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IFERROR(__xludf.DUMMYFUNCTION("""COMPUTED_VALUE"""),158.25)</f>
        <v>158.25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IFERROR(__xludf.DUMMYFUNCTION("""COMPUTED_VALUE"""),161.43)</f>
        <v>161.43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IFERROR(__xludf.DUMMYFUNCTION("""COMPUTED_VALUE"""),163.69)</f>
        <v>163.69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IFERROR(__xludf.DUMMYFUNCTION("""COMPUTED_VALUE"""),167.5)</f>
        <v>167.5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IFERROR(__xludf.DUMMYFUNCTION("""COMPUTED_VALUE"""),159.61)</f>
        <v>159.61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IFERROR(__xludf.DUMMYFUNCTION("""COMPUTED_VALUE"""),154.67)</f>
        <v>154.67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IFERROR(__xludf.DUMMYFUNCTION("""COMPUTED_VALUE"""),152.77)</f>
        <v>152.77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IFERROR(__xludf.DUMMYFUNCTION("""COMPUTED_VALUE"""),153.67)</f>
        <v>153.67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IFERROR(__xludf.DUMMYFUNCTION("""COMPUTED_VALUE"""),155.67)</f>
        <v>155.67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IFERROR(__xludf.DUMMYFUNCTION("""COMPUTED_VALUE"""),157.75)</f>
        <v>157.75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IFERROR(__xludf.DUMMYFUNCTION("""COMPUTED_VALUE"""),161.43)</f>
        <v>161.43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IFERROR(__xludf.DUMMYFUNCTION("""COMPUTED_VALUE"""),169.59)</f>
        <v>169.59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IFERROR(__xludf.DUMMYFUNCTION("""COMPUTED_VALUE"""),167.78)</f>
        <v>167.78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IFERROR(__xludf.DUMMYFUNCTION("""COMPUTED_VALUE"""),157.62)</f>
        <v>157.62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IFERROR(__xludf.DUMMYFUNCTION("""COMPUTED_VALUE"""),157.35)</f>
        <v>157.35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IFERROR(__xludf.DUMMYFUNCTION("""COMPUTED_VALUE"""),161.43)</f>
        <v>161.43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IFERROR(__xludf.DUMMYFUNCTION("""COMPUTED_VALUE"""),162.38)</f>
        <v>162.38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IFERROR(__xludf.DUMMYFUNCTION("""COMPUTED_VALUE"""),172.31)</f>
        <v>172.31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IFERROR(__xludf.DUMMYFUNCTION("""COMPUTED_VALUE"""),174.76)</f>
        <v>174.76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IFERROR(__xludf.DUMMYFUNCTION("""COMPUTED_VALUE"""),174.49)</f>
        <v>174.49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IFERROR(__xludf.DUMMYFUNCTION("""COMPUTED_VALUE"""),167.69)</f>
        <v>167.69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IFERROR(__xludf.DUMMYFUNCTION("""COMPUTED_VALUE"""),162.11)</f>
        <v>162.11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IFERROR(__xludf.DUMMYFUNCTION("""COMPUTED_VALUE"""),165.01)</f>
        <v>165.01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IFERROR(__xludf.DUMMYFUNCTION("""COMPUTED_VALUE"""),167.87)</f>
        <v>167.87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IFERROR(__xludf.DUMMYFUNCTION("""COMPUTED_VALUE"""),163.24)</f>
        <v>163.24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IFERROR(__xludf.DUMMYFUNCTION("""COMPUTED_VALUE"""),162.33)</f>
        <v>162.33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IFERROR(__xludf.DUMMYFUNCTION("""COMPUTED_VALUE"""),161.06)</f>
        <v>161.06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IFERROR(__xludf.DUMMYFUNCTION("GOOGLEFINANCE(""NSE:HINDALCO"",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IFERROR(__xludf.DUMMYFUNCTION("""COMPUTED_VALUE"""),163.92)</f>
        <v>163.92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IFERROR(__xludf.DUMMYFUNCTION("""COMPUTED_VALUE"""),156.62)</f>
        <v>156.62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IFERROR(__xludf.DUMMYFUNCTION("""COMPUTED_VALUE"""),157.8)</f>
        <v>157.8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IFERROR(__xludf.DUMMYFUNCTION("""COMPUTED_VALUE"""),160.34)</f>
        <v>160.34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IFERROR(__xludf.DUMMYFUNCTION("""COMPUTED_VALUE"""),169.05)</f>
        <v>169.05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IFERROR(__xludf.DUMMYFUNCTION("""COMPUTED_VALUE"""),165.96)</f>
        <v>165.96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IFERROR(__xludf.DUMMYFUNCTION("""COMPUTED_VALUE"""),156.89)</f>
        <v>156.89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IFERROR(__xludf.DUMMYFUNCTION("""COMPUTED_VALUE"""),138.53)</f>
        <v>138.53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IFERROR(__xludf.DUMMYFUNCTION("""COMPUTED_VALUE"""),133.31)</f>
        <v>133.31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IFERROR(__xludf.DUMMYFUNCTION("""COMPUTED_VALUE"""),125.61)</f>
        <v>125.61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IFERROR(__xludf.DUMMYFUNCTION("""COMPUTED_VALUE"""),136.94)</f>
        <v>136.94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IFERROR(__xludf.DUMMYFUNCTION("""COMPUTED_VALUE"""),128.33)</f>
        <v>128.33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IFERROR(__xludf.DUMMYFUNCTION("""COMPUTED_VALUE"""),123.61)</f>
        <v>123.61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IFERROR(__xludf.DUMMYFUNCTION("""COMPUTED_VALUE"""),120.84)</f>
        <v>120.84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IFERROR(__xludf.DUMMYFUNCTION("""COMPUTED_VALUE"""),130.82)</f>
        <v>130.82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IFERROR(__xludf.DUMMYFUNCTION("""COMPUTED_VALUE"""),134.27)</f>
        <v>134.27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IFERROR(__xludf.DUMMYFUNCTION("""COMPUTED_VALUE"""),137.67)</f>
        <v>137.67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IFERROR(__xludf.DUMMYFUNCTION("""COMPUTED_VALUE"""),136.31)</f>
        <v>136.31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IFERROR(__xludf.DUMMYFUNCTION("""COMPUTED_VALUE"""),136.94)</f>
        <v>136.94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IFERROR(__xludf.DUMMYFUNCTION("""COMPUTED_VALUE"""),136.94)</f>
        <v>136.94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IFERROR(__xludf.DUMMYFUNCTION("""COMPUTED_VALUE"""),135.94)</f>
        <v>135.94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IFERROR(__xludf.DUMMYFUNCTION("""COMPUTED_VALUE"""),133.27)</f>
        <v>133.27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IFERROR(__xludf.DUMMYFUNCTION("""COMPUTED_VALUE"""),145.1)</f>
        <v>145.1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IFERROR(__xludf.DUMMYFUNCTION("""COMPUTED_VALUE"""),150.54)</f>
        <v>150.54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IFERROR(__xludf.DUMMYFUNCTION("""COMPUTED_VALUE"""),154.81)</f>
        <v>154.81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IFERROR(__xludf.DUMMYFUNCTION("""COMPUTED_VALUE"""),156.08)</f>
        <v>156.08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IFERROR(__xludf.DUMMYFUNCTION("""COMPUTED_VALUE"""),148.64)</f>
        <v>148.64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IFERROR(__xludf.DUMMYFUNCTION("""COMPUTED_VALUE"""),161.43)</f>
        <v>161.43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IFERROR(__xludf.DUMMYFUNCTION("""COMPUTED_VALUE"""),174.03)</f>
        <v>174.03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IFERROR(__xludf.DUMMYFUNCTION("""COMPUTED_VALUE"""),172.31)</f>
        <v>172.31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IFERROR(__xludf.DUMMYFUNCTION("""COMPUTED_VALUE"""),157.35)</f>
        <v>157.35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IFERROR(__xludf.DUMMYFUNCTION("""COMPUTED_VALUE"""),150.73)</f>
        <v>150.73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IFERROR(__xludf.DUMMYFUNCTION("""COMPUTED_VALUE"""),141.52)</f>
        <v>141.52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IFERROR(__xludf.DUMMYFUNCTION("""COMPUTED_VALUE"""),132.04)</f>
        <v>132.04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IFERROR(__xludf.DUMMYFUNCTION("""COMPUTED_VALUE"""),145.1)</f>
        <v>145.1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IFERROR(__xludf.DUMMYFUNCTION("""COMPUTED_VALUE"""),146.33)</f>
        <v>146.33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IFERROR(__xludf.DUMMYFUNCTION("""COMPUTED_VALUE"""),143.97)</f>
        <v>143.97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IFERROR(__xludf.DUMMYFUNCTION("""COMPUTED_VALUE"""),149.18)</f>
        <v>149.18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IFERROR(__xludf.DUMMYFUNCTION("""COMPUTED_VALUE"""),157.66)</f>
        <v>157.66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IFERROR(__xludf.DUMMYFUNCTION("""COMPUTED_VALUE"""),163.6)</f>
        <v>163.6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IFERROR(__xludf.DUMMYFUNCTION("""COMPUTED_VALUE"""),165.06)</f>
        <v>165.06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IFERROR(__xludf.DUMMYFUNCTION("""COMPUTED_VALUE"""),188.63)</f>
        <v>188.63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IFERROR(__xludf.DUMMYFUNCTION("""COMPUTED_VALUE"""),181.38)</f>
        <v>181.38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IFERROR(__xludf.DUMMYFUNCTION("""COMPUTED_VALUE"""),185.46)</f>
        <v>185.46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IFERROR(__xludf.DUMMYFUNCTION("""COMPUTED_VALUE"""),217.66)</f>
        <v>217.66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IFERROR(__xludf.DUMMYFUNCTION("""COMPUTED_VALUE"""),191.85)</f>
        <v>191.85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IFERROR(__xludf.DUMMYFUNCTION("""COMPUTED_VALUE"""),179.07)</f>
        <v>179.07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IFERROR(__xludf.DUMMYFUNCTION("""COMPUTED_VALUE"""),183.15)</f>
        <v>183.15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IFERROR(__xludf.DUMMYFUNCTION("""COMPUTED_VALUE"""),196.8)</f>
        <v>196.8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IFERROR(__xludf.DUMMYFUNCTION("""COMPUTED_VALUE"""),193.08)</f>
        <v>193.08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IFERROR(__xludf.DUMMYFUNCTION("""COMPUTED_VALUE"""),196.34)</f>
        <v>196.34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IFERROR(__xludf.DUMMYFUNCTION("GOOGLEFINANCE(""NSE:HINDALCO"",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IFERROR(__xludf.DUMMYFUNCTION("""COMPUTED_VALUE"""),200.83)</f>
        <v>200.83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IFERROR(__xludf.DUMMYFUNCTION("""COMPUTED_VALUE"""),198.61)</f>
        <v>198.61</v>
      </c>
    </row>
    <row r="334" ht="15.75" customHeight="1">
      <c r="B334" s="3">
        <f>IFERROR(__xludf.DUMMYFUNCTION("""COMPUTED_VALUE"""),39464.645833333336)</f>
        <v>39464.64583</v>
      </c>
      <c r="C334" s="2">
        <f>IFERROR(__xludf.DUMMYFUNCTION("""COMPUTED_VALUE"""),187.68)</f>
        <v>187.68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IFERROR(__xludf.DUMMYFUNCTION("""COMPUTED_VALUE"""),167.78)</f>
        <v>167.78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IFERROR(__xludf.DUMMYFUNCTION("""COMPUTED_VALUE"""),165.42)</f>
        <v>165.42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IFERROR(__xludf.DUMMYFUNCTION("""COMPUTED_VALUE"""),172.22)</f>
        <v>172.22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IFERROR(__xludf.DUMMYFUNCTION("""COMPUTED_VALUE"""),164.06)</f>
        <v>164.06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IFERROR(__xludf.DUMMYFUNCTION("""COMPUTED_VALUE"""),176.62)</f>
        <v>176.62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IFERROR(__xludf.DUMMYFUNCTION("""COMPUTED_VALUE"""),185.91)</f>
        <v>185.91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IFERROR(__xludf.DUMMYFUNCTION("""COMPUTED_VALUE"""),191.08)</f>
        <v>191.08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IFERROR(__xludf.DUMMYFUNCTION("""COMPUTED_VALUE"""),186.28)</f>
        <v>186.28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IFERROR(__xludf.DUMMYFUNCTION("""COMPUTED_VALUE"""),163.15)</f>
        <v>163.15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IFERROR(__xludf.DUMMYFUNCTION("""COMPUTED_VALUE"""),160.43)</f>
        <v>160.43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IFERROR(__xludf.DUMMYFUNCTION("""COMPUTED_VALUE"""),161.29)</f>
        <v>161.29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IFERROR(__xludf.DUMMYFUNCTION("""COMPUTED_VALUE"""),162.79)</f>
        <v>162.79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IFERROR(__xludf.DUMMYFUNCTION("""COMPUTED_VALUE"""),170.32)</f>
        <v>170.32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IFERROR(__xludf.DUMMYFUNCTION("""COMPUTED_VALUE"""),177.25)</f>
        <v>177.25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IFERROR(__xludf.DUMMYFUNCTION("""COMPUTED_VALUE"""),182.2)</f>
        <v>182.2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IFERROR(__xludf.DUMMYFUNCTION("""COMPUTED_VALUE"""),169.68)</f>
        <v>169.68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IFERROR(__xludf.DUMMYFUNCTION("""COMPUTED_VALUE"""),187.18)</f>
        <v>187.18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IFERROR(__xludf.DUMMYFUNCTION("""COMPUTED_VALUE"""),185.01)</f>
        <v>185.01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IFERROR(__xludf.DUMMYFUNCTION("""COMPUTED_VALUE"""),180.38)</f>
        <v>180.38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IFERROR(__xludf.DUMMYFUNCTION("""COMPUTED_VALUE"""),174.9)</f>
        <v>174.9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IFERROR(__xludf.DUMMYFUNCTION("""COMPUTED_VALUE"""),163.6)</f>
        <v>163.6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IFERROR(__xludf.DUMMYFUNCTION("""COMPUTED_VALUE"""),163.47)</f>
        <v>163.47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IFERROR(__xludf.DUMMYFUNCTION("""COMPUTED_VALUE"""),146.01)</f>
        <v>146.01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IFERROR(__xludf.DUMMYFUNCTION("""COMPUTED_VALUE"""),132.36)</f>
        <v>132.36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IFERROR(__xludf.DUMMYFUNCTION("""COMPUTED_VALUE"""),145.01)</f>
        <v>145.01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IFERROR(__xludf.DUMMYFUNCTION("""COMPUTED_VALUE"""),141.39)</f>
        <v>141.39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IFERROR(__xludf.DUMMYFUNCTION("""COMPUTED_VALUE"""),142.25)</f>
        <v>142.25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IFERROR(__xludf.DUMMYFUNCTION("""COMPUTED_VALUE"""),137.85)</f>
        <v>137.85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IFERROR(__xludf.DUMMYFUNCTION("""COMPUTED_VALUE"""),131.91)</f>
        <v>131.91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IFERROR(__xludf.DUMMYFUNCTION("""COMPUTED_VALUE"""),133.22)</f>
        <v>133.22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IFERROR(__xludf.DUMMYFUNCTION("""COMPUTED_VALUE"""),123.34)</f>
        <v>123.34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IFERROR(__xludf.DUMMYFUNCTION("""COMPUTED_VALUE"""),128.9)</f>
        <v>128.9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IFERROR(__xludf.DUMMYFUNCTION("""COMPUTED_VALUE"""),127.4)</f>
        <v>127.4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IFERROR(__xludf.DUMMYFUNCTION("""COMPUTED_VALUE"""),128.8)</f>
        <v>128.8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IFERROR(__xludf.DUMMYFUNCTION("""COMPUTED_VALUE"""),121.35)</f>
        <v>121.35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IFERROR(__xludf.DUMMYFUNCTION("""COMPUTED_VALUE"""),114.7)</f>
        <v>114.7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IFERROR(__xludf.DUMMYFUNCTION("""COMPUTED_VALUE"""),100.0)</f>
        <v>100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IFERROR(__xludf.DUMMYFUNCTION("""COMPUTED_VALUE"""),98.5)</f>
        <v>98.5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IFERROR(__xludf.DUMMYFUNCTION("""COMPUTED_VALUE"""),94.9)</f>
        <v>94.9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IFERROR(__xludf.DUMMYFUNCTION("""COMPUTED_VALUE"""),69.6)</f>
        <v>69.6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IFERROR(__xludf.DUMMYFUNCTION("""COMPUTED_VALUE"""),62.0)</f>
        <v>62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IFERROR(__xludf.DUMMYFUNCTION("""COMPUTED_VALUE"""),67.4)</f>
        <v>67.4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IFERROR(__xludf.DUMMYFUNCTION("""COMPUTED_VALUE"""),68.8)</f>
        <v>68.8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IFERROR(__xludf.DUMMYFUNCTION("""COMPUTED_VALUE"""),65.0)</f>
        <v>65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IFERROR(__xludf.DUMMYFUNCTION("""COMPUTED_VALUE"""),55.0)</f>
        <v>55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IFERROR(__xludf.DUMMYFUNCTION("""COMPUTED_VALUE"""),55.0)</f>
        <v>55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IFERROR(__xludf.DUMMYFUNCTION("""COMPUTED_VALUE"""),55.25)</f>
        <v>55.25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IFERROR(__xludf.DUMMYFUNCTION("""COMPUTED_VALUE"""),58.75)</f>
        <v>58.75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IFERROR(__xludf.DUMMYFUNCTION("""COMPUTED_VALUE"""),55.4)</f>
        <v>55.4</v>
      </c>
    </row>
    <row r="384" ht="15.75" customHeight="1"/>
    <row r="385" ht="15.75" customHeight="1"/>
    <row r="386" ht="15.75" customHeight="1">
      <c r="B386" s="2" t="str">
        <f>IFERROR(__xludf.DUMMYFUNCTION("GOOGLEFINANCE(""NSE:HINDALCO"",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IFERROR(__xludf.DUMMYFUNCTION("""COMPUTED_VALUE"""),57.25)</f>
        <v>57.25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IFERROR(__xludf.DUMMYFUNCTION("""COMPUTED_VALUE"""),60.95)</f>
        <v>60.95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IFERROR(__xludf.DUMMYFUNCTION("""COMPUTED_VALUE"""),53.4)</f>
        <v>53.4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IFERROR(__xludf.DUMMYFUNCTION("""COMPUTED_VALUE"""),52.0)</f>
        <v>52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IFERROR(__xludf.DUMMYFUNCTION("""COMPUTED_VALUE"""),50.4)</f>
        <v>50.4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IFERROR(__xludf.DUMMYFUNCTION("""COMPUTED_VALUE"""),49.85)</f>
        <v>49.85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IFERROR(__xludf.DUMMYFUNCTION("""COMPUTED_VALUE"""),47.9)</f>
        <v>47.9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IFERROR(__xludf.DUMMYFUNCTION("""COMPUTED_VALUE"""),46.0)</f>
        <v>46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IFERROR(__xludf.DUMMYFUNCTION("""COMPUTED_VALUE"""),41.45)</f>
        <v>41.45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IFERROR(__xludf.DUMMYFUNCTION("""COMPUTED_VALUE"""),39.75)</f>
        <v>39.75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IFERROR(__xludf.DUMMYFUNCTION("""COMPUTED_VALUE"""),43.75)</f>
        <v>43.75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IFERROR(__xludf.DUMMYFUNCTION("""COMPUTED_VALUE"""),48.0)</f>
        <v>48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IFERROR(__xludf.DUMMYFUNCTION("""COMPUTED_VALUE"""),55.75)</f>
        <v>55.75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IFERROR(__xludf.DUMMYFUNCTION("""COMPUTED_VALUE"""),58.25)</f>
        <v>58.25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IFERROR(__xludf.DUMMYFUNCTION("""COMPUTED_VALUE"""),60.7)</f>
        <v>60.7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IFERROR(__xludf.DUMMYFUNCTION("""COMPUTED_VALUE"""),66.7)</f>
        <v>66.7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IFERROR(__xludf.DUMMYFUNCTION("""COMPUTED_VALUE"""),58.5)</f>
        <v>58.5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IFERROR(__xludf.DUMMYFUNCTION("""COMPUTED_VALUE"""),57.9)</f>
        <v>57.9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IFERROR(__xludf.DUMMYFUNCTION("""COMPUTED_VALUE"""),71.65)</f>
        <v>71.65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IFERROR(__xludf.DUMMYFUNCTION("""COMPUTED_VALUE"""),73.5)</f>
        <v>73.5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IFERROR(__xludf.DUMMYFUNCTION("""COMPUTED_VALUE"""),86.45)</f>
        <v>86.45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IFERROR(__xludf.DUMMYFUNCTION("""COMPUTED_VALUE"""),85.95)</f>
        <v>85.95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IFERROR(__xludf.DUMMYFUNCTION("""COMPUTED_VALUE"""),94.2)</f>
        <v>94.2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IFERROR(__xludf.DUMMYFUNCTION("""COMPUTED_VALUE"""),106.5)</f>
        <v>106.5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IFERROR(__xludf.DUMMYFUNCTION("""COMPUTED_VALUE"""),104.3)</f>
        <v>104.3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IFERROR(__xludf.DUMMYFUNCTION("""COMPUTED_VALUE"""),90.6)</f>
        <v>90.6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IFERROR(__xludf.DUMMYFUNCTION("""COMPUTED_VALUE"""),89.3)</f>
        <v>89.3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IFERROR(__xludf.DUMMYFUNCTION("""COMPUTED_VALUE"""),84.8)</f>
        <v>84.8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IFERROR(__xludf.DUMMYFUNCTION("""COMPUTED_VALUE"""),85.2)</f>
        <v>85.2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IFERROR(__xludf.DUMMYFUNCTION("""COMPUTED_VALUE"""),94.25)</f>
        <v>94.25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IFERROR(__xludf.DUMMYFUNCTION("""COMPUTED_VALUE"""),102.7)</f>
        <v>102.7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IFERROR(__xludf.DUMMYFUNCTION("""COMPUTED_VALUE"""),116.0)</f>
        <v>116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IFERROR(__xludf.DUMMYFUNCTION("""COMPUTED_VALUE"""),112.4)</f>
        <v>112.4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IFERROR(__xludf.DUMMYFUNCTION("""COMPUTED_VALUE"""),109.2)</f>
        <v>109.2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IFERROR(__xludf.DUMMYFUNCTION("""COMPUTED_VALUE"""),111.0)</f>
        <v>111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IFERROR(__xludf.DUMMYFUNCTION("""COMPUTED_VALUE"""),108.4)</f>
        <v>108.4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IFERROR(__xludf.DUMMYFUNCTION("""COMPUTED_VALUE"""),124.9)</f>
        <v>124.9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IFERROR(__xludf.DUMMYFUNCTION("""COMPUTED_VALUE"""),139.9)</f>
        <v>139.9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IFERROR(__xludf.DUMMYFUNCTION("""COMPUTED_VALUE"""),138.9)</f>
        <v>138.9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IFERROR(__xludf.DUMMYFUNCTION("""COMPUTED_VALUE"""),130.95)</f>
        <v>130.95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IFERROR(__xludf.DUMMYFUNCTION("""COMPUTED_VALUE"""),132.4)</f>
        <v>132.4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IFERROR(__xludf.DUMMYFUNCTION("""COMPUTED_VALUE"""),144.45)</f>
        <v>144.45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IFERROR(__xludf.DUMMYFUNCTION("""COMPUTED_VALUE"""),143.15)</f>
        <v>143.15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IFERROR(__xludf.DUMMYFUNCTION("""COMPUTED_VALUE"""),128.95)</f>
        <v>128.95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IFERROR(__xludf.DUMMYFUNCTION("""COMPUTED_VALUE"""),133.0)</f>
        <v>133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IFERROR(__xludf.DUMMYFUNCTION("""COMPUTED_VALUE"""),136.9)</f>
        <v>136.9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IFERROR(__xludf.DUMMYFUNCTION("""COMPUTED_VALUE"""),140.8)</f>
        <v>140.8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IFERROR(__xludf.DUMMYFUNCTION("""COMPUTED_VALUE"""),150.4)</f>
        <v>150.4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IFERROR(__xludf.DUMMYFUNCTION("""COMPUTED_VALUE"""),147.7)</f>
        <v>147.7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IFERROR(__xludf.DUMMYFUNCTION("""COMPUTED_VALUE"""),146.95)</f>
        <v>146.95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IFERROR(__xludf.DUMMYFUNCTION("""COMPUTED_VALUE"""),159.9)</f>
        <v>159.9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IFERROR(__xludf.DUMMYFUNCTION("""COMPUTED_VALUE"""),163.0)</f>
        <v>163</v>
      </c>
    </row>
    <row r="439" ht="15.75" customHeight="1"/>
    <row r="440" ht="15.75" customHeight="1"/>
    <row r="441" ht="15.75" customHeight="1">
      <c r="B441" s="2" t="str">
        <f>IFERROR(__xludf.DUMMYFUNCTION("GOOGLEFINANCE(""NSE:HINDALCO"",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IFERROR(__xludf.DUMMYFUNCTION("""COMPUTED_VALUE"""),179.8)</f>
        <v>179.8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IFERROR(__xludf.DUMMYFUNCTION("""COMPUTED_VALUE"""),176.7)</f>
        <v>176.7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IFERROR(__xludf.DUMMYFUNCTION("""COMPUTED_VALUE"""),168.95)</f>
        <v>168.95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IFERROR(__xludf.DUMMYFUNCTION("""COMPUTED_VALUE"""),165.7)</f>
        <v>165.7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IFERROR(__xludf.DUMMYFUNCTION("""COMPUTED_VALUE"""),143.8)</f>
        <v>143.8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IFERROR(__xludf.DUMMYFUNCTION("""COMPUTED_VALUE"""),154.8)</f>
        <v>154.8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IFERROR(__xludf.DUMMYFUNCTION("""COMPUTED_VALUE"""),164.9)</f>
        <v>164.9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IFERROR(__xludf.DUMMYFUNCTION("""COMPUTED_VALUE"""),172.8)</f>
        <v>172.8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IFERROR(__xludf.DUMMYFUNCTION("""COMPUTED_VALUE"""),171.1)</f>
        <v>171.1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IFERROR(__xludf.DUMMYFUNCTION("""COMPUTED_VALUE"""),177.9)</f>
        <v>177.9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IFERROR(__xludf.DUMMYFUNCTION("""COMPUTED_VALUE"""),180.45)</f>
        <v>180.45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IFERROR(__xludf.DUMMYFUNCTION("""COMPUTED_VALUE"""),186.9)</f>
        <v>186.9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IFERROR(__xludf.DUMMYFUNCTION("""COMPUTED_VALUE"""),188.4)</f>
        <v>188.4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IFERROR(__xludf.DUMMYFUNCTION("""COMPUTED_VALUE"""),193.0)</f>
        <v>193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IFERROR(__xludf.DUMMYFUNCTION("""COMPUTED_VALUE"""),183.65)</f>
        <v>183.65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IFERROR(__xludf.DUMMYFUNCTION("""COMPUTED_VALUE"""),185.2)</f>
        <v>185.2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IFERROR(__xludf.DUMMYFUNCTION("""COMPUTED_VALUE"""),176.7)</f>
        <v>176.7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IFERROR(__xludf.DUMMYFUNCTION("""COMPUTED_VALUE"""),178.0)</f>
        <v>178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IFERROR(__xludf.DUMMYFUNCTION("""COMPUTED_VALUE"""),166.3)</f>
        <v>166.3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IFERROR(__xludf.DUMMYFUNCTION("""COMPUTED_VALUE"""),155.7)</f>
        <v>155.7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IFERROR(__xludf.DUMMYFUNCTION("""COMPUTED_VALUE"""),150.95)</f>
        <v>150.95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IFERROR(__xludf.DUMMYFUNCTION("""COMPUTED_VALUE"""),144.9)</f>
        <v>144.9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IFERROR(__xludf.DUMMYFUNCTION("""COMPUTED_VALUE"""),147.8)</f>
        <v>147.8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IFERROR(__xludf.DUMMYFUNCTION("""COMPUTED_VALUE"""),154.6)</f>
        <v>154.6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IFERROR(__xludf.DUMMYFUNCTION("""COMPUTED_VALUE"""),151.5)</f>
        <v>151.5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IFERROR(__xludf.DUMMYFUNCTION("""COMPUTED_VALUE"""),149.9)</f>
        <v>149.9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IFERROR(__xludf.DUMMYFUNCTION("""COMPUTED_VALUE"""),154.8)</f>
        <v>154.8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IFERROR(__xludf.DUMMYFUNCTION("""COMPUTED_VALUE"""),159.3)</f>
        <v>159.3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IFERROR(__xludf.DUMMYFUNCTION("""COMPUTED_VALUE"""),162.9)</f>
        <v>162.9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IFERROR(__xludf.DUMMYFUNCTION("""COMPUTED_VALUE"""),167.7)</f>
        <v>167.7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IFERROR(__xludf.DUMMYFUNCTION("""COMPUTED_VALUE"""),170.3)</f>
        <v>170.3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IFERROR(__xludf.DUMMYFUNCTION("""COMPUTED_VALUE"""),189.0)</f>
        <v>189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IFERROR(__xludf.DUMMYFUNCTION("""COMPUTED_VALUE"""),178.95)</f>
        <v>178.95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IFERROR(__xludf.DUMMYFUNCTION("""COMPUTED_VALUE"""),176.55)</f>
        <v>176.55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IFERROR(__xludf.DUMMYFUNCTION("""COMPUTED_VALUE"""),183.9)</f>
        <v>183.9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IFERROR(__xludf.DUMMYFUNCTION("""COMPUTED_VALUE"""),192.85)</f>
        <v>192.85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IFERROR(__xludf.DUMMYFUNCTION("""COMPUTED_VALUE"""),195.15)</f>
        <v>195.15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IFERROR(__xludf.DUMMYFUNCTION("""COMPUTED_VALUE"""),205.4)</f>
        <v>205.4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IFERROR(__xludf.DUMMYFUNCTION("""COMPUTED_VALUE"""),217.3)</f>
        <v>217.3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IFERROR(__xludf.DUMMYFUNCTION("""COMPUTED_VALUE"""),219.05)</f>
        <v>219.05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IFERROR(__xludf.DUMMYFUNCTION("""COMPUTED_VALUE"""),222.9)</f>
        <v>222.9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IFERROR(__xludf.DUMMYFUNCTION("""COMPUTED_VALUE"""),223.7)</f>
        <v>223.7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IFERROR(__xludf.DUMMYFUNCTION("""COMPUTED_VALUE"""),239.0)</f>
        <v>239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IFERROR(__xludf.DUMMYFUNCTION("""COMPUTED_VALUE"""),239.45)</f>
        <v>239.45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IFERROR(__xludf.DUMMYFUNCTION("""COMPUTED_VALUE"""),226.0)</f>
        <v>226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IFERROR(__xludf.DUMMYFUNCTION("""COMPUTED_VALUE"""),217.95)</f>
        <v>217.95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IFERROR(__xludf.DUMMYFUNCTION("""COMPUTED_VALUE"""),220.2)</f>
        <v>220.2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IFERROR(__xludf.DUMMYFUNCTION("""COMPUTED_VALUE"""),228.5)</f>
        <v>228.5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IFERROR(__xludf.DUMMYFUNCTION("""COMPUTED_VALUE"""),225.9)</f>
        <v>225.9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IFERROR(__xludf.DUMMYFUNCTION("""COMPUTED_VALUE"""),240.5)</f>
        <v>240.5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IFERROR(__xludf.DUMMYFUNCTION("""COMPUTED_VALUE"""),247.9)</f>
        <v>247.9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IFERROR(__xludf.DUMMYFUNCTION("GOOGLEFINANCE(""NSE:HINDALCO"",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IFERROR(__xludf.DUMMYFUNCTION("""COMPUTED_VALUE"""),252.85)</f>
        <v>252.85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IFERROR(__xludf.DUMMYFUNCTION("""COMPUTED_VALUE"""),240.95)</f>
        <v>240.95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IFERROR(__xludf.DUMMYFUNCTION("""COMPUTED_VALUE"""),239.75)</f>
        <v>239.75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IFERROR(__xludf.DUMMYFUNCTION("""COMPUTED_VALUE"""),238.7)</f>
        <v>238.7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IFERROR(__xludf.DUMMYFUNCTION("""COMPUTED_VALUE"""),251.25)</f>
        <v>251.25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IFERROR(__xludf.DUMMYFUNCTION("""COMPUTED_VALUE"""),238.95)</f>
        <v>238.95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IFERROR(__xludf.DUMMYFUNCTION("""COMPUTED_VALUE"""),220.3)</f>
        <v>220.3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IFERROR(__xludf.DUMMYFUNCTION("""COMPUTED_VALUE"""),215.7)</f>
        <v>215.7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IFERROR(__xludf.DUMMYFUNCTION("""COMPUTED_VALUE"""),213.4)</f>
        <v>213.4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IFERROR(__xludf.DUMMYFUNCTION("""COMPUTED_VALUE"""),215.4)</f>
        <v>215.4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IFERROR(__xludf.DUMMYFUNCTION("""COMPUTED_VALUE"""),209.95)</f>
        <v>209.95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IFERROR(__xludf.DUMMYFUNCTION("""COMPUTED_VALUE"""),208.9)</f>
        <v>208.9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IFERROR(__xludf.DUMMYFUNCTION("""COMPUTED_VALUE"""),215.0)</f>
        <v>215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IFERROR(__xludf.DUMMYFUNCTION("""COMPUTED_VALUE"""),220.0)</f>
        <v>220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IFERROR(__xludf.DUMMYFUNCTION("""COMPUTED_VALUE"""),213.45)</f>
        <v>213.45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IFERROR(__xludf.DUMMYFUNCTION("""COMPUTED_VALUE"""),221.4)</f>
        <v>221.4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IFERROR(__xludf.DUMMYFUNCTION("""COMPUTED_VALUE"""),224.75)</f>
        <v>224.75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IFERROR(__xludf.DUMMYFUNCTION("""COMPUTED_VALUE"""),219.8)</f>
        <v>219.8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IFERROR(__xludf.DUMMYFUNCTION("""COMPUTED_VALUE"""),207.5)</f>
        <v>207.5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IFERROR(__xludf.DUMMYFUNCTION("""COMPUTED_VALUE"""),198.5)</f>
        <v>198.5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IFERROR(__xludf.DUMMYFUNCTION("""COMPUTED_VALUE"""),199.0)</f>
        <v>199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IFERROR(__xludf.DUMMYFUNCTION("""COMPUTED_VALUE"""),199.5)</f>
        <v>199.5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IFERROR(__xludf.DUMMYFUNCTION("""COMPUTED_VALUE"""),190.95)</f>
        <v>190.95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IFERROR(__xludf.DUMMYFUNCTION("""COMPUTED_VALUE"""),183.85)</f>
        <v>183.85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IFERROR(__xludf.DUMMYFUNCTION("""COMPUTED_VALUE"""),174.4)</f>
        <v>174.4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IFERROR(__xludf.DUMMYFUNCTION("""COMPUTED_VALUE"""),187.9)</f>
        <v>187.9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IFERROR(__xludf.DUMMYFUNCTION("""COMPUTED_VALUE"""),196.0)</f>
        <v>196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IFERROR(__xludf.DUMMYFUNCTION("""COMPUTED_VALUE"""),187.0)</f>
        <v>187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IFERROR(__xludf.DUMMYFUNCTION("""COMPUTED_VALUE"""),185.9)</f>
        <v>185.9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IFERROR(__xludf.DUMMYFUNCTION("""COMPUTED_VALUE"""),182.6)</f>
        <v>182.6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IFERROR(__xludf.DUMMYFUNCTION("""COMPUTED_VALUE"""),171.9)</f>
        <v>171.9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IFERROR(__xludf.DUMMYFUNCTION("""COMPUTED_VALUE"""),159.25)</f>
        <v>159.25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IFERROR(__xludf.DUMMYFUNCTION("""COMPUTED_VALUE"""),153.15)</f>
        <v>153.15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IFERROR(__xludf.DUMMYFUNCTION("""COMPUTED_VALUE"""),149.7)</f>
        <v>149.7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IFERROR(__xludf.DUMMYFUNCTION("""COMPUTED_VALUE"""),156.9)</f>
        <v>156.9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IFERROR(__xludf.DUMMYFUNCTION("""COMPUTED_VALUE"""),163.7)</f>
        <v>163.7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IFERROR(__xludf.DUMMYFUNCTION("""COMPUTED_VALUE"""),149.9)</f>
        <v>149.9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IFERROR(__xludf.DUMMYFUNCTION("""COMPUTED_VALUE"""),151.55)</f>
        <v>151.55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IFERROR(__xludf.DUMMYFUNCTION("""COMPUTED_VALUE"""),136.0)</f>
        <v>136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IFERROR(__xludf.DUMMYFUNCTION("""COMPUTED_VALUE"""),128.55)</f>
        <v>128.55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IFERROR(__xludf.DUMMYFUNCTION("""COMPUTED_VALUE"""),134.4)</f>
        <v>134.4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IFERROR(__xludf.DUMMYFUNCTION("""COMPUTED_VALUE"""),131.35)</f>
        <v>131.35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IFERROR(__xludf.DUMMYFUNCTION("""COMPUTED_VALUE"""),144.15)</f>
        <v>144.15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IFERROR(__xludf.DUMMYFUNCTION("""COMPUTED_VALUE"""),141.0)</f>
        <v>141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IFERROR(__xludf.DUMMYFUNCTION("""COMPUTED_VALUE"""),141.7)</f>
        <v>141.7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IFERROR(__xludf.DUMMYFUNCTION("""COMPUTED_VALUE"""),132.7)</f>
        <v>132.7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IFERROR(__xludf.DUMMYFUNCTION("""COMPUTED_VALUE"""),123.65)</f>
        <v>123.65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IFERROR(__xludf.DUMMYFUNCTION("""COMPUTED_VALUE"""),136.85)</f>
        <v>136.85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IFERROR(__xludf.DUMMYFUNCTION("""COMPUTED_VALUE"""),140.3)</f>
        <v>140.3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IFERROR(__xludf.DUMMYFUNCTION("""COMPUTED_VALUE"""),134.6)</f>
        <v>134.6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IFERROR(__xludf.DUMMYFUNCTION("""COMPUTED_VALUE"""),126.6)</f>
        <v>126.6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IFERROR(__xludf.DUMMYFUNCTION("""COMPUTED_VALUE"""),123.0)</f>
        <v>123</v>
      </c>
    </row>
    <row r="549" ht="15.75" customHeight="1"/>
    <row r="550" ht="15.75" customHeight="1"/>
    <row r="551" ht="15.75" customHeight="1">
      <c r="B551" s="2" t="str">
        <f>IFERROR(__xludf.DUMMYFUNCTION("GOOGLEFINANCE(""NSE:HINDALCO"",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IFERROR(__xludf.DUMMYFUNCTION("""COMPUTED_VALUE"""),135.65)</f>
        <v>135.65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IFERROR(__xludf.DUMMYFUNCTION("""COMPUTED_VALUE"""),147.4)</f>
        <v>147.4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IFERROR(__xludf.DUMMYFUNCTION("""COMPUTED_VALUE"""),148.0)</f>
        <v>148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IFERROR(__xludf.DUMMYFUNCTION("""COMPUTED_VALUE"""),159.0)</f>
        <v>159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IFERROR(__xludf.DUMMYFUNCTION("""COMPUTED_VALUE"""),162.5)</f>
        <v>162.5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IFERROR(__xludf.DUMMYFUNCTION("""COMPUTED_VALUE"""),164.9)</f>
        <v>164.9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IFERROR(__xludf.DUMMYFUNCTION("""COMPUTED_VALUE"""),157.5)</f>
        <v>157.5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IFERROR(__xludf.DUMMYFUNCTION("""COMPUTED_VALUE"""),146.8)</f>
        <v>146.8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IFERROR(__xludf.DUMMYFUNCTION("""COMPUTED_VALUE"""),144.9)</f>
        <v>144.9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IFERROR(__xludf.DUMMYFUNCTION("""COMPUTED_VALUE"""),143.35)</f>
        <v>143.35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IFERROR(__xludf.DUMMYFUNCTION("""COMPUTED_VALUE"""),132.3)</f>
        <v>132.3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IFERROR(__xludf.DUMMYFUNCTION("""COMPUTED_VALUE"""),133.65)</f>
        <v>133.65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IFERROR(__xludf.DUMMYFUNCTION("""COMPUTED_VALUE"""),131.85)</f>
        <v>131.85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IFERROR(__xludf.DUMMYFUNCTION("""COMPUTED_VALUE"""),132.2)</f>
        <v>132.2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IFERROR(__xludf.DUMMYFUNCTION("""COMPUTED_VALUE"""),122.0)</f>
        <v>122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IFERROR(__xludf.DUMMYFUNCTION("""COMPUTED_VALUE"""),121.1)</f>
        <v>121.1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IFERROR(__xludf.DUMMYFUNCTION("""COMPUTED_VALUE"""),115.5)</f>
        <v>115.5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IFERROR(__xludf.DUMMYFUNCTION("""COMPUTED_VALUE"""),112.95)</f>
        <v>112.95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IFERROR(__xludf.DUMMYFUNCTION("""COMPUTED_VALUE"""),120.15)</f>
        <v>120.15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IFERROR(__xludf.DUMMYFUNCTION("""COMPUTED_VALUE"""),122.65)</f>
        <v>122.65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IFERROR(__xludf.DUMMYFUNCTION("""COMPUTED_VALUE"""),124.45)</f>
        <v>124.45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IFERROR(__xludf.DUMMYFUNCTION("""COMPUTED_VALUE"""),127.0)</f>
        <v>127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IFERROR(__xludf.DUMMYFUNCTION("""COMPUTED_VALUE"""),120.4)</f>
        <v>120.4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IFERROR(__xludf.DUMMYFUNCTION("""COMPUTED_VALUE"""),126.7)</f>
        <v>126.7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IFERROR(__xludf.DUMMYFUNCTION("""COMPUTED_VALUE"""),127.9)</f>
        <v>127.9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IFERROR(__xludf.DUMMYFUNCTION("""COMPUTED_VALUE"""),123.9)</f>
        <v>123.9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IFERROR(__xludf.DUMMYFUNCTION("""COMPUTED_VALUE"""),121.05)</f>
        <v>121.05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IFERROR(__xludf.DUMMYFUNCTION("""COMPUTED_VALUE"""),121.25)</f>
        <v>121.25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IFERROR(__xludf.DUMMYFUNCTION("""COMPUTED_VALUE"""),124.0)</f>
        <v>124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IFERROR(__xludf.DUMMYFUNCTION("""COMPUTED_VALUE"""),124.75)</f>
        <v>124.75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IFERROR(__xludf.DUMMYFUNCTION("""COMPUTED_VALUE"""),115.15)</f>
        <v>115.15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IFERROR(__xludf.DUMMYFUNCTION("""COMPUTED_VALUE"""),111.75)</f>
        <v>111.75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IFERROR(__xludf.DUMMYFUNCTION("""COMPUTED_VALUE"""),119.1)</f>
        <v>119.1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IFERROR(__xludf.DUMMYFUNCTION("""COMPUTED_VALUE"""),121.15)</f>
        <v>121.15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IFERROR(__xludf.DUMMYFUNCTION("""COMPUTED_VALUE"""),121.9)</f>
        <v>121.9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IFERROR(__xludf.DUMMYFUNCTION("""COMPUTED_VALUE"""),126.5)</f>
        <v>126.5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IFERROR(__xludf.DUMMYFUNCTION("""COMPUTED_VALUE"""),124.5)</f>
        <v>124.5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IFERROR(__xludf.DUMMYFUNCTION("""COMPUTED_VALUE"""),120.75)</f>
        <v>120.75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IFERROR(__xludf.DUMMYFUNCTION("""COMPUTED_VALUE"""),115.85)</f>
        <v>115.85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IFERROR(__xludf.DUMMYFUNCTION("""COMPUTED_VALUE"""),118.8)</f>
        <v>118.8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IFERROR(__xludf.DUMMYFUNCTION("""COMPUTED_VALUE"""),117.55)</f>
        <v>117.55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IFERROR(__xludf.DUMMYFUNCTION("""COMPUTED_VALUE"""),114.2)</f>
        <v>114.2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IFERROR(__xludf.DUMMYFUNCTION("""COMPUTED_VALUE"""),109.35)</f>
        <v>109.35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IFERROR(__xludf.DUMMYFUNCTION("""COMPUTED_VALUE"""),116.95)</f>
        <v>116.95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IFERROR(__xludf.DUMMYFUNCTION("""COMPUTED_VALUE"""),124.5)</f>
        <v>124.5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IFERROR(__xludf.DUMMYFUNCTION("""COMPUTED_VALUE"""),124.4)</f>
        <v>124.4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IFERROR(__xludf.DUMMYFUNCTION("""COMPUTED_VALUE"""),133.7)</f>
        <v>133.7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IFERROR(__xludf.DUMMYFUNCTION("""COMPUTED_VALUE"""),131.65)</f>
        <v>131.65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IFERROR(__xludf.DUMMYFUNCTION("GOOGLEFINANCE(""NSE:HINDALCO"",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IFERROR(__xludf.DUMMYFUNCTION("""COMPUTED_VALUE"""),137.1)</f>
        <v>137.1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IFERROR(__xludf.DUMMYFUNCTION("""COMPUTED_VALUE"""),136.0)</f>
        <v>136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IFERROR(__xludf.DUMMYFUNCTION("""COMPUTED_VALUE"""),130.2)</f>
        <v>130.2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IFERROR(__xludf.DUMMYFUNCTION("""COMPUTED_VALUE"""),124.6)</f>
        <v>124.6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IFERROR(__xludf.DUMMYFUNCTION("""COMPUTED_VALUE"""),119.55)</f>
        <v>119.55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IFERROR(__xludf.DUMMYFUNCTION("""COMPUTED_VALUE"""),115.5)</f>
        <v>115.5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IFERROR(__xludf.DUMMYFUNCTION("""COMPUTED_VALUE"""),113.5)</f>
        <v>113.5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IFERROR(__xludf.DUMMYFUNCTION("""COMPUTED_VALUE"""),113.4)</f>
        <v>113.4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IFERROR(__xludf.DUMMYFUNCTION("""COMPUTED_VALUE"""),107.95)</f>
        <v>107.95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IFERROR(__xludf.DUMMYFUNCTION("""COMPUTED_VALUE"""),102.6)</f>
        <v>102.6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IFERROR(__xludf.DUMMYFUNCTION("""COMPUTED_VALUE"""),101.85)</f>
        <v>101.85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IFERROR(__xludf.DUMMYFUNCTION("""COMPUTED_VALUE"""),96.2)</f>
        <v>96.2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IFERROR(__xludf.DUMMYFUNCTION("""COMPUTED_VALUE"""),92.45)</f>
        <v>92.45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IFERROR(__xludf.DUMMYFUNCTION("""COMPUTED_VALUE"""),93.9)</f>
        <v>93.9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IFERROR(__xludf.DUMMYFUNCTION("""COMPUTED_VALUE"""),93.25)</f>
        <v>93.25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IFERROR(__xludf.DUMMYFUNCTION("""COMPUTED_VALUE"""),94.3)</f>
        <v>94.3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IFERROR(__xludf.DUMMYFUNCTION("""COMPUTED_VALUE"""),99.8)</f>
        <v>99.8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IFERROR(__xludf.DUMMYFUNCTION("""COMPUTED_VALUE"""),99.65)</f>
        <v>99.65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IFERROR(__xludf.DUMMYFUNCTION("""COMPUTED_VALUE"""),112.55)</f>
        <v>112.55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IFERROR(__xludf.DUMMYFUNCTION("""COMPUTED_VALUE"""),112.4)</f>
        <v>112.4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IFERROR(__xludf.DUMMYFUNCTION("""COMPUTED_VALUE"""),111.5)</f>
        <v>111.5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IFERROR(__xludf.DUMMYFUNCTION("""COMPUTED_VALUE"""),104.5)</f>
        <v>104.5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IFERROR(__xludf.DUMMYFUNCTION("""COMPUTED_VALUE"""),105.2)</f>
        <v>105.2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IFERROR(__xludf.DUMMYFUNCTION("""COMPUTED_VALUE"""),105.4)</f>
        <v>105.4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IFERROR(__xludf.DUMMYFUNCTION("""COMPUTED_VALUE"""),100.65)</f>
        <v>100.65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IFERROR(__xludf.DUMMYFUNCTION("""COMPUTED_VALUE"""),104.35)</f>
        <v>104.35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IFERROR(__xludf.DUMMYFUNCTION("""COMPUTED_VALUE"""),104.4)</f>
        <v>104.4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IFERROR(__xludf.DUMMYFUNCTION("""COMPUTED_VALUE"""),106.2)</f>
        <v>106.2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IFERROR(__xludf.DUMMYFUNCTION("""COMPUTED_VALUE"""),106.15)</f>
        <v>106.15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IFERROR(__xludf.DUMMYFUNCTION("""COMPUTED_VALUE"""),95.6)</f>
        <v>95.6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IFERROR(__xludf.DUMMYFUNCTION("""COMPUTED_VALUE"""),92.4)</f>
        <v>92.4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IFERROR(__xludf.DUMMYFUNCTION("""COMPUTED_VALUE"""),98.8)</f>
        <v>98.8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IFERROR(__xludf.DUMMYFUNCTION("""COMPUTED_VALUE"""),105.55)</f>
        <v>105.55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IFERROR(__xludf.DUMMYFUNCTION("""COMPUTED_VALUE"""),109.0)</f>
        <v>109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IFERROR(__xludf.DUMMYFUNCTION("""COMPUTED_VALUE"""),110.85)</f>
        <v>110.85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IFERROR(__xludf.DUMMYFUNCTION("""COMPUTED_VALUE"""),115.35)</f>
        <v>115.35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IFERROR(__xludf.DUMMYFUNCTION("""COMPUTED_VALUE"""),119.7)</f>
        <v>119.7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IFERROR(__xludf.DUMMYFUNCTION("""COMPUTED_VALUE"""),119.15)</f>
        <v>119.15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IFERROR(__xludf.DUMMYFUNCTION("""COMPUTED_VALUE"""),119.85)</f>
        <v>119.85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IFERROR(__xludf.DUMMYFUNCTION("""COMPUTED_VALUE"""),123.0)</f>
        <v>123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IFERROR(__xludf.DUMMYFUNCTION("""COMPUTED_VALUE"""),115.8)</f>
        <v>115.8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IFERROR(__xludf.DUMMYFUNCTION("""COMPUTED_VALUE"""),121.15)</f>
        <v>121.15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IFERROR(__xludf.DUMMYFUNCTION("""COMPUTED_VALUE"""),116.3)</f>
        <v>116.3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IFERROR(__xludf.DUMMYFUNCTION("""COMPUTED_VALUE"""),119.2)</f>
        <v>119.2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IFERROR(__xludf.DUMMYFUNCTION("""COMPUTED_VALUE"""),117.0)</f>
        <v>117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IFERROR(__xludf.DUMMYFUNCTION("""COMPUTED_VALUE"""),125.0)</f>
        <v>125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IFERROR(__xludf.DUMMYFUNCTION("""COMPUTED_VALUE"""),123.4)</f>
        <v>123.4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IFERROR(__xludf.DUMMYFUNCTION("""COMPUTED_VALUE"""),126.35)</f>
        <v>126.35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IFERROR(__xludf.DUMMYFUNCTION("""COMPUTED_VALUE"""),126.85)</f>
        <v>126.85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IFERROR(__xludf.DUMMYFUNCTION("""COMPUTED_VALUE"""),120.75)</f>
        <v>120.75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IFERROR(__xludf.DUMMYFUNCTION("""COMPUTED_VALUE"""),124.8)</f>
        <v>124.8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IFERROR(__xludf.DUMMYFUNCTION("GOOGLEFINANCE(""NSE:HINDALCO"",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IFERROR(__xludf.DUMMYFUNCTION("""COMPUTED_VALUE"""),125.65)</f>
        <v>125.65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IFERROR(__xludf.DUMMYFUNCTION("""COMPUTED_VALUE"""),119.6)</f>
        <v>119.6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IFERROR(__xludf.DUMMYFUNCTION("""COMPUTED_VALUE"""),114.0)</f>
        <v>114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IFERROR(__xludf.DUMMYFUNCTION("""COMPUTED_VALUE"""),115.4)</f>
        <v>115.4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IFERROR(__xludf.DUMMYFUNCTION("""COMPUTED_VALUE"""),115.0)</f>
        <v>115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IFERROR(__xludf.DUMMYFUNCTION("""COMPUTED_VALUE"""),109.4)</f>
        <v>109.4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IFERROR(__xludf.DUMMYFUNCTION("""COMPUTED_VALUE"""),107.7)</f>
        <v>107.7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IFERROR(__xludf.DUMMYFUNCTION("""COMPUTED_VALUE"""),100.75)</f>
        <v>100.75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IFERROR(__xludf.DUMMYFUNCTION("""COMPUTED_VALUE"""),106.4)</f>
        <v>106.4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IFERROR(__xludf.DUMMYFUNCTION("""COMPUTED_VALUE"""),125.85)</f>
        <v>125.85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IFERROR(__xludf.DUMMYFUNCTION("""COMPUTED_VALUE"""),123.5)</f>
        <v>123.5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IFERROR(__xludf.DUMMYFUNCTION("""COMPUTED_VALUE"""),131.7)</f>
        <v>131.7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IFERROR(__xludf.DUMMYFUNCTION("""COMPUTED_VALUE"""),142.95)</f>
        <v>142.95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IFERROR(__xludf.DUMMYFUNCTION("""COMPUTED_VALUE"""),145.1)</f>
        <v>145.1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IFERROR(__xludf.DUMMYFUNCTION("""COMPUTED_VALUE"""),142.1)</f>
        <v>142.1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IFERROR(__xludf.DUMMYFUNCTION("""COMPUTED_VALUE"""),147.2)</f>
        <v>147.2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IFERROR(__xludf.DUMMYFUNCTION("""COMPUTED_VALUE"""),145.3)</f>
        <v>145.3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IFERROR(__xludf.DUMMYFUNCTION("""COMPUTED_VALUE"""),144.7)</f>
        <v>144.7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IFERROR(__xludf.DUMMYFUNCTION("""COMPUTED_VALUE"""),149.8)</f>
        <v>149.8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IFERROR(__xludf.DUMMYFUNCTION("""COMPUTED_VALUE"""),163.65)</f>
        <v>163.65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IFERROR(__xludf.DUMMYFUNCTION("""COMPUTED_VALUE"""),155.2)</f>
        <v>155.2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IFERROR(__xludf.DUMMYFUNCTION("""COMPUTED_VALUE"""),172.1)</f>
        <v>172.1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IFERROR(__xludf.DUMMYFUNCTION("""COMPUTED_VALUE"""),173.65)</f>
        <v>173.65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IFERROR(__xludf.DUMMYFUNCTION("""COMPUTED_VALUE"""),170.7)</f>
        <v>170.7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IFERROR(__xludf.DUMMYFUNCTION("""COMPUTED_VALUE"""),168.35)</f>
        <v>168.35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IFERROR(__xludf.DUMMYFUNCTION("""COMPUTED_VALUE"""),180.75)</f>
        <v>180.75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IFERROR(__xludf.DUMMYFUNCTION("""COMPUTED_VALUE"""),184.9)</f>
        <v>184.9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IFERROR(__xludf.DUMMYFUNCTION("""COMPUTED_VALUE"""),189.5)</f>
        <v>189.5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IFERROR(__xludf.DUMMYFUNCTION("""COMPUTED_VALUE"""),198.9)</f>
        <v>198.9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IFERROR(__xludf.DUMMYFUNCTION("""COMPUTED_VALUE"""),195.0)</f>
        <v>195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IFERROR(__xludf.DUMMYFUNCTION("""COMPUTED_VALUE"""),196.7)</f>
        <v>196.7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IFERROR(__xludf.DUMMYFUNCTION("""COMPUTED_VALUE"""),187.9)</f>
        <v>187.9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IFERROR(__xludf.DUMMYFUNCTION("""COMPUTED_VALUE"""),185.65)</f>
        <v>185.65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IFERROR(__xludf.DUMMYFUNCTION("""COMPUTED_VALUE"""),184.7)</f>
        <v>184.7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IFERROR(__xludf.DUMMYFUNCTION("""COMPUTED_VALUE"""),178.95)</f>
        <v>178.95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IFERROR(__xludf.DUMMYFUNCTION("""COMPUTED_VALUE"""),175.45)</f>
        <v>175.45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IFERROR(__xludf.DUMMYFUNCTION("""COMPUTED_VALUE"""),168.75)</f>
        <v>168.75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IFERROR(__xludf.DUMMYFUNCTION("""COMPUTED_VALUE"""),165.35)</f>
        <v>165.35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IFERROR(__xludf.DUMMYFUNCTION("""COMPUTED_VALUE"""),163.0)</f>
        <v>163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IFERROR(__xludf.DUMMYFUNCTION("""COMPUTED_VALUE"""),158.5)</f>
        <v>158.5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IFERROR(__xludf.DUMMYFUNCTION("""COMPUTED_VALUE"""),155.2)</f>
        <v>155.2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IFERROR(__xludf.DUMMYFUNCTION("""COMPUTED_VALUE"""),151.0)</f>
        <v>151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IFERROR(__xludf.DUMMYFUNCTION("""COMPUTED_VALUE"""),164.45)</f>
        <v>164.45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IFERROR(__xludf.DUMMYFUNCTION("""COMPUTED_VALUE"""),166.0)</f>
        <v>166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IFERROR(__xludf.DUMMYFUNCTION("""COMPUTED_VALUE"""),158.65)</f>
        <v>158.65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IFERROR(__xludf.DUMMYFUNCTION("""COMPUTED_VALUE"""),161.0)</f>
        <v>161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IFERROR(__xludf.DUMMYFUNCTION("""COMPUTED_VALUE"""),176.6)</f>
        <v>176.6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IFERROR(__xludf.DUMMYFUNCTION("""COMPUTED_VALUE"""),175.05)</f>
        <v>175.05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IFERROR(__xludf.DUMMYFUNCTION("""COMPUTED_VALUE"""),164.85)</f>
        <v>164.85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IFERROR(__xludf.DUMMYFUNCTION("""COMPUTED_VALUE"""),158.5)</f>
        <v>158.5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IFERROR(__xludf.DUMMYFUNCTION("""COMPUTED_VALUE"""),158.85)</f>
        <v>158.85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IFERROR(__xludf.DUMMYFUNCTION("GOOGLEFINANCE(""NSE:HINDALCO"",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IFERROR(__xludf.DUMMYFUNCTION("""COMPUTED_VALUE"""),161.2)</f>
        <v>161.2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IFERROR(__xludf.DUMMYFUNCTION("""COMPUTED_VALUE"""),161.95)</f>
        <v>161.95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IFERROR(__xludf.DUMMYFUNCTION("""COMPUTED_VALUE"""),155.2)</f>
        <v>155.2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IFERROR(__xludf.DUMMYFUNCTION("""COMPUTED_VALUE"""),146.35)</f>
        <v>146.35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IFERROR(__xludf.DUMMYFUNCTION("""COMPUTED_VALUE"""),144.5)</f>
        <v>144.5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IFERROR(__xludf.DUMMYFUNCTION("""COMPUTED_VALUE"""),153.9)</f>
        <v>153.9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IFERROR(__xludf.DUMMYFUNCTION("""COMPUTED_VALUE"""),156.1)</f>
        <v>156.1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IFERROR(__xludf.DUMMYFUNCTION("""COMPUTED_VALUE"""),160.7)</f>
        <v>160.7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IFERROR(__xludf.DUMMYFUNCTION("""COMPUTED_VALUE"""),160.0)</f>
        <v>160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IFERROR(__xludf.DUMMYFUNCTION("""COMPUTED_VALUE"""),149.85)</f>
        <v>149.85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IFERROR(__xludf.DUMMYFUNCTION("""COMPUTED_VALUE"""),136.2)</f>
        <v>136.2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IFERROR(__xludf.DUMMYFUNCTION("""COMPUTED_VALUE"""),136.8)</f>
        <v>136.8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IFERROR(__xludf.DUMMYFUNCTION("""COMPUTED_VALUE"""),134.7)</f>
        <v>134.7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IFERROR(__xludf.DUMMYFUNCTION("""COMPUTED_VALUE"""),140.85)</f>
        <v>140.85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IFERROR(__xludf.DUMMYFUNCTION("""COMPUTED_VALUE"""),141.7)</f>
        <v>141.7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IFERROR(__xludf.DUMMYFUNCTION("""COMPUTED_VALUE"""),141.7)</f>
        <v>141.7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IFERROR(__xludf.DUMMYFUNCTION("""COMPUTED_VALUE"""),132.95)</f>
        <v>132.95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IFERROR(__xludf.DUMMYFUNCTION("""COMPUTED_VALUE"""),142.0)</f>
        <v>142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IFERROR(__xludf.DUMMYFUNCTION("""COMPUTED_VALUE"""),145.1)</f>
        <v>145.1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IFERROR(__xludf.DUMMYFUNCTION("""COMPUTED_VALUE"""),141.85)</f>
        <v>141.85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IFERROR(__xludf.DUMMYFUNCTION("""COMPUTED_VALUE"""),138.4)</f>
        <v>138.4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IFERROR(__xludf.DUMMYFUNCTION("""COMPUTED_VALUE"""),129.8)</f>
        <v>129.8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IFERROR(__xludf.DUMMYFUNCTION("""COMPUTED_VALUE"""),121.8)</f>
        <v>121.8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IFERROR(__xludf.DUMMYFUNCTION("""COMPUTED_VALUE"""),123.4)</f>
        <v>123.4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IFERROR(__xludf.DUMMYFUNCTION("""COMPUTED_VALUE"""),124.45)</f>
        <v>124.45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IFERROR(__xludf.DUMMYFUNCTION("""COMPUTED_VALUE"""),115.2)</f>
        <v>115.2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IFERROR(__xludf.DUMMYFUNCTION("""COMPUTED_VALUE"""),109.5)</f>
        <v>109.5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IFERROR(__xludf.DUMMYFUNCTION("""COMPUTED_VALUE"""),108.25)</f>
        <v>108.25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IFERROR(__xludf.DUMMYFUNCTION("""COMPUTED_VALUE"""),111.75)</f>
        <v>111.75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IFERROR(__xludf.DUMMYFUNCTION("""COMPUTED_VALUE"""),108.5)</f>
        <v>108.5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IFERROR(__xludf.DUMMYFUNCTION("""COMPUTED_VALUE"""),112.25)</f>
        <v>112.25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IFERROR(__xludf.DUMMYFUNCTION("""COMPUTED_VALUE"""),111.75)</f>
        <v>111.75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IFERROR(__xludf.DUMMYFUNCTION("""COMPUTED_VALUE"""),93.7)</f>
        <v>93.7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IFERROR(__xludf.DUMMYFUNCTION("""COMPUTED_VALUE"""),84.7)</f>
        <v>84.7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IFERROR(__xludf.DUMMYFUNCTION("""COMPUTED_VALUE"""),82.7)</f>
        <v>82.7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IFERROR(__xludf.DUMMYFUNCTION("""COMPUTED_VALUE"""),79.2)</f>
        <v>79.2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IFERROR(__xludf.DUMMYFUNCTION("""COMPUTED_VALUE"""),79.15)</f>
        <v>79.15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IFERROR(__xludf.DUMMYFUNCTION("""COMPUTED_VALUE"""),78.8)</f>
        <v>78.8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IFERROR(__xludf.DUMMYFUNCTION("""COMPUTED_VALUE"""),73.0)</f>
        <v>73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IFERROR(__xludf.DUMMYFUNCTION("""COMPUTED_VALUE"""),85.5)</f>
        <v>85.5</v>
      </c>
    </row>
    <row r="757" ht="15.75" customHeight="1">
      <c r="B757" s="3">
        <f>IFERROR(__xludf.DUMMYFUNCTION("""COMPUTED_VALUE"""),42293.64583333333)</f>
        <v>42293.64583</v>
      </c>
      <c r="C757" s="2">
        <f>IFERROR(__xludf.DUMMYFUNCTION("""COMPUTED_VALUE"""),92.4)</f>
        <v>92.4</v>
      </c>
    </row>
    <row r="758" ht="15.75" customHeight="1">
      <c r="B758" s="3">
        <f>IFERROR(__xludf.DUMMYFUNCTION("""COMPUTED_VALUE"""),42300.64583333333)</f>
        <v>42300.64583</v>
      </c>
      <c r="C758" s="2">
        <f>IFERROR(__xludf.DUMMYFUNCTION("""COMPUTED_VALUE"""),88.5)</f>
        <v>88.5</v>
      </c>
    </row>
    <row r="759" ht="15.75" customHeight="1">
      <c r="B759" s="3">
        <f>IFERROR(__xludf.DUMMYFUNCTION("""COMPUTED_VALUE"""),42307.64583333333)</f>
        <v>42307.64583</v>
      </c>
      <c r="C759" s="2">
        <f>IFERROR(__xludf.DUMMYFUNCTION("""COMPUTED_VALUE"""),86.9)</f>
        <v>86.9</v>
      </c>
    </row>
    <row r="760" ht="15.75" customHeight="1">
      <c r="B760" s="3">
        <f>IFERROR(__xludf.DUMMYFUNCTION("""COMPUTED_VALUE"""),42314.64583333333)</f>
        <v>42314.64583</v>
      </c>
      <c r="C760" s="2">
        <f>IFERROR(__xludf.DUMMYFUNCTION("""COMPUTED_VALUE"""),84.4)</f>
        <v>84.4</v>
      </c>
    </row>
    <row r="761" ht="15.75" customHeight="1">
      <c r="B761" s="3">
        <f>IFERROR(__xludf.DUMMYFUNCTION("""COMPUTED_VALUE"""),42321.64583333333)</f>
        <v>42321.64583</v>
      </c>
      <c r="C761" s="2">
        <f>IFERROR(__xludf.DUMMYFUNCTION("""COMPUTED_VALUE"""),82.8)</f>
        <v>82.8</v>
      </c>
    </row>
    <row r="762" ht="15.75" customHeight="1">
      <c r="B762" s="3">
        <f>IFERROR(__xludf.DUMMYFUNCTION("""COMPUTED_VALUE"""),42328.64583333333)</f>
        <v>42328.64583</v>
      </c>
      <c r="C762" s="2">
        <f>IFERROR(__xludf.DUMMYFUNCTION("""COMPUTED_VALUE"""),82.45)</f>
        <v>82.45</v>
      </c>
    </row>
    <row r="763" ht="15.75" customHeight="1">
      <c r="B763" s="3">
        <f>IFERROR(__xludf.DUMMYFUNCTION("""COMPUTED_VALUE"""),42335.64583333333)</f>
        <v>42335.64583</v>
      </c>
      <c r="C763" s="2">
        <f>IFERROR(__xludf.DUMMYFUNCTION("""COMPUTED_VALUE"""),79.1)</f>
        <v>79.1</v>
      </c>
    </row>
    <row r="764" ht="15.75" customHeight="1">
      <c r="B764" s="3">
        <f>IFERROR(__xludf.DUMMYFUNCTION("""COMPUTED_VALUE"""),42342.64583333333)</f>
        <v>42342.64583</v>
      </c>
      <c r="C764" s="2">
        <f>IFERROR(__xludf.DUMMYFUNCTION("""COMPUTED_VALUE"""),81.65)</f>
        <v>81.65</v>
      </c>
    </row>
    <row r="765" ht="15.75" customHeight="1">
      <c r="B765" s="3">
        <f>IFERROR(__xludf.DUMMYFUNCTION("""COMPUTED_VALUE"""),42349.64583333333)</f>
        <v>42349.64583</v>
      </c>
      <c r="C765" s="2">
        <f>IFERROR(__xludf.DUMMYFUNCTION("""COMPUTED_VALUE"""),80.6)</f>
        <v>80.6</v>
      </c>
    </row>
    <row r="766" ht="15.75" customHeight="1">
      <c r="B766" s="3">
        <f>IFERROR(__xludf.DUMMYFUNCTION("""COMPUTED_VALUE"""),42356.64583333333)</f>
        <v>42356.64583</v>
      </c>
      <c r="C766" s="2">
        <f>IFERROR(__xludf.DUMMYFUNCTION("""COMPUTED_VALUE"""),82.0)</f>
        <v>82</v>
      </c>
    </row>
    <row r="767" ht="15.75" customHeight="1">
      <c r="B767" s="3">
        <f>IFERROR(__xludf.DUMMYFUNCTION("""COMPUTED_VALUE"""),42362.64583333333)</f>
        <v>42362.64583</v>
      </c>
      <c r="C767" s="2">
        <f>IFERROR(__xludf.DUMMYFUNCTION("""COMPUTED_VALUE"""),85.65)</f>
        <v>85.65</v>
      </c>
    </row>
    <row r="768" ht="15.75" customHeight="1">
      <c r="B768" s="3">
        <f>IFERROR(__xludf.DUMMYFUNCTION("""COMPUTED_VALUE"""),42370.64583333333)</f>
        <v>42370.64583</v>
      </c>
      <c r="C768" s="2">
        <f>IFERROR(__xludf.DUMMYFUNCTION("""COMPUTED_VALUE"""),86.0)</f>
        <v>86</v>
      </c>
    </row>
    <row r="769" ht="15.75" customHeight="1"/>
    <row r="770" ht="15.75" customHeight="1"/>
    <row r="771" ht="15.75" customHeight="1">
      <c r="B771" s="2" t="str">
        <f>IFERROR(__xludf.DUMMYFUNCTION("GOOGLEFINANCE(""NSE:HINDALCO"",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IFERROR(__xludf.DUMMYFUNCTION("""COMPUTED_VALUE"""),85.9)</f>
        <v>85.9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IFERROR(__xludf.DUMMYFUNCTION("""COMPUTED_VALUE"""),78.65)</f>
        <v>78.65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IFERROR(__xludf.DUMMYFUNCTION("""COMPUTED_VALUE"""),73.9)</f>
        <v>73.9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IFERROR(__xludf.DUMMYFUNCTION("""COMPUTED_VALUE"""),73.45)</f>
        <v>73.45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IFERROR(__xludf.DUMMYFUNCTION("""COMPUTED_VALUE"""),72.2)</f>
        <v>72.2</v>
      </c>
    </row>
    <row r="777" ht="15.75" customHeight="1">
      <c r="B777" s="3">
        <f>IFERROR(__xludf.DUMMYFUNCTION("""COMPUTED_VALUE"""),42412.64583333333)</f>
        <v>42412.64583</v>
      </c>
      <c r="C777" s="2">
        <f>IFERROR(__xludf.DUMMYFUNCTION("""COMPUTED_VALUE"""),72.0)</f>
        <v>72</v>
      </c>
    </row>
    <row r="778" ht="15.75" customHeight="1">
      <c r="B778" s="3">
        <f>IFERROR(__xludf.DUMMYFUNCTION("""COMPUTED_VALUE"""),42419.64583333333)</f>
        <v>42419.64583</v>
      </c>
      <c r="C778" s="2">
        <f>IFERROR(__xludf.DUMMYFUNCTION("""COMPUTED_VALUE"""),70.1)</f>
        <v>70.1</v>
      </c>
    </row>
    <row r="779" ht="15.75" customHeight="1">
      <c r="B779" s="3">
        <f>IFERROR(__xludf.DUMMYFUNCTION("""COMPUTED_VALUE"""),42426.64583333333)</f>
        <v>42426.64583</v>
      </c>
      <c r="C779" s="2">
        <f>IFERROR(__xludf.DUMMYFUNCTION("""COMPUTED_VALUE"""),71.85)</f>
        <v>71.85</v>
      </c>
    </row>
    <row r="780" ht="15.75" customHeight="1">
      <c r="B780" s="3">
        <f>IFERROR(__xludf.DUMMYFUNCTION("""COMPUTED_VALUE"""),42433.64583333333)</f>
        <v>42433.64583</v>
      </c>
      <c r="C780" s="2">
        <f>IFERROR(__xludf.DUMMYFUNCTION("""COMPUTED_VALUE"""),81.9)</f>
        <v>81.9</v>
      </c>
    </row>
    <row r="781" ht="15.75" customHeight="1">
      <c r="B781" s="3">
        <f>IFERROR(__xludf.DUMMYFUNCTION("""COMPUTED_VALUE"""),42440.64583333333)</f>
        <v>42440.64583</v>
      </c>
      <c r="C781" s="2">
        <f>IFERROR(__xludf.DUMMYFUNCTION("""COMPUTED_VALUE"""),85.55)</f>
        <v>85.55</v>
      </c>
    </row>
    <row r="782" ht="15.75" customHeight="1">
      <c r="B782" s="3">
        <f>IFERROR(__xludf.DUMMYFUNCTION("""COMPUTED_VALUE"""),42447.64583333333)</f>
        <v>42447.64583</v>
      </c>
      <c r="C782" s="2">
        <f>IFERROR(__xludf.DUMMYFUNCTION("""COMPUTED_VALUE"""),86.0)</f>
        <v>86</v>
      </c>
    </row>
    <row r="783" ht="15.75" customHeight="1">
      <c r="B783" s="3">
        <f>IFERROR(__xludf.DUMMYFUNCTION("""COMPUTED_VALUE"""),42452.64583333333)</f>
        <v>42452.64583</v>
      </c>
      <c r="C783" s="2">
        <f>IFERROR(__xludf.DUMMYFUNCTION("""COMPUTED_VALUE"""),91.7)</f>
        <v>91.7</v>
      </c>
    </row>
    <row r="784" ht="15.75" customHeight="1">
      <c r="B784" s="3">
        <f>IFERROR(__xludf.DUMMYFUNCTION("""COMPUTED_VALUE"""),42461.64583333333)</f>
        <v>42461.64583</v>
      </c>
      <c r="C784" s="2">
        <f>IFERROR(__xludf.DUMMYFUNCTION("""COMPUTED_VALUE"""),92.5)</f>
        <v>92.5</v>
      </c>
    </row>
    <row r="785" ht="15.75" customHeight="1">
      <c r="B785" s="3">
        <f>IFERROR(__xludf.DUMMYFUNCTION("""COMPUTED_VALUE"""),42468.64583333333)</f>
        <v>42468.64583</v>
      </c>
      <c r="C785" s="2">
        <f>IFERROR(__xludf.DUMMYFUNCTION("""COMPUTED_VALUE"""),90.65)</f>
        <v>90.65</v>
      </c>
    </row>
    <row r="786" ht="15.75" customHeight="1">
      <c r="B786" s="3">
        <f>IFERROR(__xludf.DUMMYFUNCTION("""COMPUTED_VALUE"""),42473.64583333333)</f>
        <v>42473.64583</v>
      </c>
      <c r="C786" s="2">
        <f>IFERROR(__xludf.DUMMYFUNCTION("""COMPUTED_VALUE"""),97.7)</f>
        <v>97.7</v>
      </c>
    </row>
    <row r="787" ht="15.75" customHeight="1">
      <c r="B787" s="3">
        <f>IFERROR(__xludf.DUMMYFUNCTION("""COMPUTED_VALUE"""),42482.64583333333)</f>
        <v>42482.64583</v>
      </c>
      <c r="C787" s="2">
        <f>IFERROR(__xludf.DUMMYFUNCTION("""COMPUTED_VALUE"""),104.25)</f>
        <v>104.25</v>
      </c>
    </row>
    <row r="788" ht="15.75" customHeight="1">
      <c r="B788" s="3">
        <f>IFERROR(__xludf.DUMMYFUNCTION("""COMPUTED_VALUE"""),42489.64583333333)</f>
        <v>42489.64583</v>
      </c>
      <c r="C788" s="2">
        <f>IFERROR(__xludf.DUMMYFUNCTION("""COMPUTED_VALUE"""),104.4)</f>
        <v>104.4</v>
      </c>
    </row>
    <row r="789" ht="15.75" customHeight="1">
      <c r="B789" s="3">
        <f>IFERROR(__xludf.DUMMYFUNCTION("""COMPUTED_VALUE"""),42496.64583333333)</f>
        <v>42496.64583</v>
      </c>
      <c r="C789" s="2">
        <f>IFERROR(__xludf.DUMMYFUNCTION("""COMPUTED_VALUE"""),100.65)</f>
        <v>100.65</v>
      </c>
    </row>
    <row r="790" ht="15.75" customHeight="1">
      <c r="B790" s="3">
        <f>IFERROR(__xludf.DUMMYFUNCTION("""COMPUTED_VALUE"""),42503.64583333333)</f>
        <v>42503.64583</v>
      </c>
      <c r="C790" s="2">
        <f>IFERROR(__xludf.DUMMYFUNCTION("""COMPUTED_VALUE"""),93.9)</f>
        <v>93.9</v>
      </c>
    </row>
    <row r="791" ht="15.75" customHeight="1">
      <c r="B791" s="3">
        <f>IFERROR(__xludf.DUMMYFUNCTION("""COMPUTED_VALUE"""),42510.64583333333)</f>
        <v>42510.64583</v>
      </c>
      <c r="C791" s="2">
        <f>IFERROR(__xludf.DUMMYFUNCTION("""COMPUTED_VALUE"""),91.2)</f>
        <v>91.2</v>
      </c>
    </row>
    <row r="792" ht="15.75" customHeight="1">
      <c r="B792" s="3">
        <f>IFERROR(__xludf.DUMMYFUNCTION("""COMPUTED_VALUE"""),42517.64583333333)</f>
        <v>42517.64583</v>
      </c>
      <c r="C792" s="2">
        <f>IFERROR(__xludf.DUMMYFUNCTION("""COMPUTED_VALUE"""),92.7)</f>
        <v>92.7</v>
      </c>
    </row>
    <row r="793" ht="15.75" customHeight="1">
      <c r="B793" s="3">
        <f>IFERROR(__xludf.DUMMYFUNCTION("""COMPUTED_VALUE"""),42524.64583333333)</f>
        <v>42524.64583</v>
      </c>
      <c r="C793" s="2">
        <f>IFERROR(__xludf.DUMMYFUNCTION("""COMPUTED_VALUE"""),107.65)</f>
        <v>107.65</v>
      </c>
    </row>
    <row r="794" ht="15.75" customHeight="1">
      <c r="B794" s="3">
        <f>IFERROR(__xludf.DUMMYFUNCTION("""COMPUTED_VALUE"""),42531.64583333333)</f>
        <v>42531.64583</v>
      </c>
      <c r="C794" s="2">
        <f>IFERROR(__xludf.DUMMYFUNCTION("""COMPUTED_VALUE"""),115.9)</f>
        <v>115.9</v>
      </c>
    </row>
    <row r="795" ht="15.75" customHeight="1">
      <c r="B795" s="3">
        <f>IFERROR(__xludf.DUMMYFUNCTION("""COMPUTED_VALUE"""),42538.64583333333)</f>
        <v>42538.64583</v>
      </c>
      <c r="C795" s="2">
        <f>IFERROR(__xludf.DUMMYFUNCTION("""COMPUTED_VALUE"""),120.25)</f>
        <v>120.25</v>
      </c>
    </row>
    <row r="796" ht="15.75" customHeight="1">
      <c r="B796" s="3">
        <f>IFERROR(__xludf.DUMMYFUNCTION("""COMPUTED_VALUE"""),42545.64583333333)</f>
        <v>42545.64583</v>
      </c>
      <c r="C796" s="2">
        <f>IFERROR(__xludf.DUMMYFUNCTION("""COMPUTED_VALUE"""),124.65)</f>
        <v>124.65</v>
      </c>
    </row>
    <row r="797" ht="15.75" customHeight="1">
      <c r="B797" s="3">
        <f>IFERROR(__xludf.DUMMYFUNCTION("""COMPUTED_VALUE"""),42552.64583333333)</f>
        <v>42552.64583</v>
      </c>
      <c r="C797" s="2">
        <f>IFERROR(__xludf.DUMMYFUNCTION("""COMPUTED_VALUE"""),125.5)</f>
        <v>125.5</v>
      </c>
    </row>
    <row r="798" ht="15.75" customHeight="1">
      <c r="B798" s="3">
        <f>IFERROR(__xludf.DUMMYFUNCTION("""COMPUTED_VALUE"""),42559.64583333333)</f>
        <v>42559.64583</v>
      </c>
      <c r="C798" s="2">
        <f>IFERROR(__xludf.DUMMYFUNCTION("""COMPUTED_VALUE"""),128.7)</f>
        <v>128.7</v>
      </c>
    </row>
    <row r="799" ht="15.75" customHeight="1">
      <c r="B799" s="3">
        <f>IFERROR(__xludf.DUMMYFUNCTION("""COMPUTED_VALUE"""),42566.64583333333)</f>
        <v>42566.64583</v>
      </c>
      <c r="C799" s="2">
        <f>IFERROR(__xludf.DUMMYFUNCTION("""COMPUTED_VALUE"""),139.9)</f>
        <v>139.9</v>
      </c>
    </row>
    <row r="800" ht="15.75" customHeight="1">
      <c r="B800" s="3">
        <f>IFERROR(__xludf.DUMMYFUNCTION("""COMPUTED_VALUE"""),42573.64583333333)</f>
        <v>42573.64583</v>
      </c>
      <c r="C800" s="2">
        <f>IFERROR(__xludf.DUMMYFUNCTION("""COMPUTED_VALUE"""),141.45)</f>
        <v>141.45</v>
      </c>
    </row>
    <row r="801" ht="15.75" customHeight="1">
      <c r="B801" s="3">
        <f>IFERROR(__xludf.DUMMYFUNCTION("""COMPUTED_VALUE"""),42580.64583333333)</f>
        <v>42580.64583</v>
      </c>
      <c r="C801" s="2">
        <f>IFERROR(__xludf.DUMMYFUNCTION("""COMPUTED_VALUE"""),136.9)</f>
        <v>136.9</v>
      </c>
    </row>
    <row r="802" ht="15.75" customHeight="1">
      <c r="B802" s="3">
        <f>IFERROR(__xludf.DUMMYFUNCTION("""COMPUTED_VALUE"""),42587.64583333333)</f>
        <v>42587.64583</v>
      </c>
      <c r="C802" s="2">
        <f>IFERROR(__xludf.DUMMYFUNCTION("""COMPUTED_VALUE"""),144.25)</f>
        <v>144.25</v>
      </c>
    </row>
    <row r="803" ht="15.75" customHeight="1">
      <c r="B803" s="3">
        <f>IFERROR(__xludf.DUMMYFUNCTION("""COMPUTED_VALUE"""),42594.64583333333)</f>
        <v>42594.64583</v>
      </c>
      <c r="C803" s="2">
        <f>IFERROR(__xludf.DUMMYFUNCTION("""COMPUTED_VALUE"""),152.15)</f>
        <v>152.15</v>
      </c>
    </row>
    <row r="804" ht="15.75" customHeight="1">
      <c r="B804" s="3">
        <f>IFERROR(__xludf.DUMMYFUNCTION("""COMPUTED_VALUE"""),42601.64583333333)</f>
        <v>42601.64583</v>
      </c>
      <c r="C804" s="2">
        <f>IFERROR(__xludf.DUMMYFUNCTION("""COMPUTED_VALUE"""),159.45)</f>
        <v>159.45</v>
      </c>
    </row>
    <row r="805" ht="15.75" customHeight="1">
      <c r="B805" s="3">
        <f>IFERROR(__xludf.DUMMYFUNCTION("""COMPUTED_VALUE"""),42608.64583333333)</f>
        <v>42608.64583</v>
      </c>
      <c r="C805" s="2">
        <f>IFERROR(__xludf.DUMMYFUNCTION("""COMPUTED_VALUE"""),158.0)</f>
        <v>158</v>
      </c>
    </row>
    <row r="806" ht="15.75" customHeight="1">
      <c r="B806" s="3">
        <f>IFERROR(__xludf.DUMMYFUNCTION("""COMPUTED_VALUE"""),42615.64583333333)</f>
        <v>42615.64583</v>
      </c>
      <c r="C806" s="2">
        <f>IFERROR(__xludf.DUMMYFUNCTION("""COMPUTED_VALUE"""),164.7)</f>
        <v>164.7</v>
      </c>
    </row>
    <row r="807" ht="15.75" customHeight="1">
      <c r="B807" s="3">
        <f>IFERROR(__xludf.DUMMYFUNCTION("""COMPUTED_VALUE"""),42622.64583333333)</f>
        <v>42622.64583</v>
      </c>
      <c r="C807" s="2">
        <f>IFERROR(__xludf.DUMMYFUNCTION("""COMPUTED_VALUE"""),163.45)</f>
        <v>163.45</v>
      </c>
    </row>
    <row r="808" ht="15.75" customHeight="1">
      <c r="B808" s="3">
        <f>IFERROR(__xludf.DUMMYFUNCTION("""COMPUTED_VALUE"""),42629.64583333333)</f>
        <v>42629.64583</v>
      </c>
      <c r="C808" s="2">
        <f>IFERROR(__xludf.DUMMYFUNCTION("""COMPUTED_VALUE"""),150.6)</f>
        <v>150.6</v>
      </c>
    </row>
    <row r="809" ht="15.75" customHeight="1">
      <c r="B809" s="3">
        <f>IFERROR(__xludf.DUMMYFUNCTION("""COMPUTED_VALUE"""),42636.64583333333)</f>
        <v>42636.64583</v>
      </c>
      <c r="C809" s="2">
        <f>IFERROR(__xludf.DUMMYFUNCTION("""COMPUTED_VALUE"""),156.85)</f>
        <v>156.85</v>
      </c>
    </row>
    <row r="810" ht="15.75" customHeight="1">
      <c r="B810" s="3">
        <f>IFERROR(__xludf.DUMMYFUNCTION("""COMPUTED_VALUE"""),42643.64583333333)</f>
        <v>42643.64583</v>
      </c>
      <c r="C810" s="2">
        <f>IFERROR(__xludf.DUMMYFUNCTION("""COMPUTED_VALUE"""),158.2)</f>
        <v>158.2</v>
      </c>
    </row>
    <row r="811" ht="15.75" customHeight="1">
      <c r="B811" s="3">
        <f>IFERROR(__xludf.DUMMYFUNCTION("""COMPUTED_VALUE"""),42650.64583333333)</f>
        <v>42650.64583</v>
      </c>
      <c r="C811" s="2">
        <f>IFERROR(__xludf.DUMMYFUNCTION("""COMPUTED_VALUE"""),161.7)</f>
        <v>161.7</v>
      </c>
    </row>
    <row r="812" ht="15.75" customHeight="1">
      <c r="B812" s="3">
        <f>IFERROR(__xludf.DUMMYFUNCTION("""COMPUTED_VALUE"""),42657.64583333333)</f>
        <v>42657.64583</v>
      </c>
      <c r="C812" s="2">
        <f>IFERROR(__xludf.DUMMYFUNCTION("""COMPUTED_VALUE"""),162.8)</f>
        <v>162.8</v>
      </c>
    </row>
    <row r="813" ht="15.75" customHeight="1">
      <c r="B813" s="3">
        <f>IFERROR(__xludf.DUMMYFUNCTION("""COMPUTED_VALUE"""),42664.64583333333)</f>
        <v>42664.64583</v>
      </c>
      <c r="C813" s="2">
        <f>IFERROR(__xludf.DUMMYFUNCTION("""COMPUTED_VALUE"""),156.25)</f>
        <v>156.25</v>
      </c>
    </row>
    <row r="814" ht="15.75" customHeight="1">
      <c r="B814" s="3">
        <f>IFERROR(__xludf.DUMMYFUNCTION("""COMPUTED_VALUE"""),42671.64583333333)</f>
        <v>42671.64583</v>
      </c>
      <c r="C814" s="2">
        <f>IFERROR(__xludf.DUMMYFUNCTION("""COMPUTED_VALUE"""),153.15)</f>
        <v>153.15</v>
      </c>
    </row>
    <row r="815" ht="15.75" customHeight="1">
      <c r="B815" s="3">
        <f>IFERROR(__xludf.DUMMYFUNCTION("""COMPUTED_VALUE"""),42678.64583333333)</f>
        <v>42678.64583</v>
      </c>
      <c r="C815" s="2">
        <f>IFERROR(__xludf.DUMMYFUNCTION("""COMPUTED_VALUE"""),166.4)</f>
        <v>166.4</v>
      </c>
    </row>
    <row r="816" ht="15.75" customHeight="1">
      <c r="B816" s="3">
        <f>IFERROR(__xludf.DUMMYFUNCTION("""COMPUTED_VALUE"""),42685.64583333333)</f>
        <v>42685.64583</v>
      </c>
      <c r="C816" s="2">
        <f>IFERROR(__xludf.DUMMYFUNCTION("""COMPUTED_VALUE"""),178.1)</f>
        <v>178.1</v>
      </c>
    </row>
    <row r="817" ht="15.75" customHeight="1">
      <c r="B817" s="3">
        <f>IFERROR(__xludf.DUMMYFUNCTION("""COMPUTED_VALUE"""),42692.64583333333)</f>
        <v>42692.64583</v>
      </c>
      <c r="C817" s="2">
        <f>IFERROR(__xludf.DUMMYFUNCTION("""COMPUTED_VALUE"""),180.65)</f>
        <v>180.65</v>
      </c>
    </row>
    <row r="818" ht="15.75" customHeight="1">
      <c r="B818" s="3">
        <f>IFERROR(__xludf.DUMMYFUNCTION("""COMPUTED_VALUE"""),42699.64583333333)</f>
        <v>42699.64583</v>
      </c>
      <c r="C818" s="2">
        <f>IFERROR(__xludf.DUMMYFUNCTION("""COMPUTED_VALUE"""),184.8)</f>
        <v>184.8</v>
      </c>
    </row>
    <row r="819" ht="15.75" customHeight="1">
      <c r="B819" s="3">
        <f>IFERROR(__xludf.DUMMYFUNCTION("""COMPUTED_VALUE"""),42706.64583333333)</f>
        <v>42706.64583</v>
      </c>
      <c r="C819" s="2">
        <f>IFERROR(__xludf.DUMMYFUNCTION("""COMPUTED_VALUE"""),182.35)</f>
        <v>182.35</v>
      </c>
    </row>
    <row r="820" ht="15.75" customHeight="1">
      <c r="B820" s="3">
        <f>IFERROR(__xludf.DUMMYFUNCTION("""COMPUTED_VALUE"""),42713.64583333333)</f>
        <v>42713.64583</v>
      </c>
      <c r="C820" s="2">
        <f>IFERROR(__xludf.DUMMYFUNCTION("""COMPUTED_VALUE"""),183.45)</f>
        <v>183.45</v>
      </c>
    </row>
    <row r="821" ht="15.75" customHeight="1">
      <c r="B821" s="3">
        <f>IFERROR(__xludf.DUMMYFUNCTION("""COMPUTED_VALUE"""),42720.64583333333)</f>
        <v>42720.64583</v>
      </c>
      <c r="C821" s="2">
        <f>IFERROR(__xludf.DUMMYFUNCTION("""COMPUTED_VALUE"""),183.2)</f>
        <v>183.2</v>
      </c>
    </row>
    <row r="822" ht="15.75" customHeight="1">
      <c r="B822" s="3">
        <f>IFERROR(__xludf.DUMMYFUNCTION("""COMPUTED_VALUE"""),42727.64583333333)</f>
        <v>42727.64583</v>
      </c>
      <c r="C822" s="2">
        <f>IFERROR(__xludf.DUMMYFUNCTION("""COMPUTED_VALUE"""),171.75)</f>
        <v>171.75</v>
      </c>
    </row>
    <row r="823" ht="15.75" customHeight="1">
      <c r="B823" s="3">
        <f>IFERROR(__xludf.DUMMYFUNCTION("""COMPUTED_VALUE"""),42734.64583333333)</f>
        <v>42734.64583</v>
      </c>
      <c r="C823" s="2">
        <f>IFERROR(__xludf.DUMMYFUNCTION("""COMPUTED_VALUE"""),158.25)</f>
        <v>158.25</v>
      </c>
    </row>
    <row r="824" ht="15.75" customHeight="1"/>
    <row r="825" ht="15.75" customHeight="1"/>
    <row r="826" ht="15.75" customHeight="1">
      <c r="B826" s="2" t="str">
        <f>IFERROR(__xludf.DUMMYFUNCTION("GOOGLEFINANCE(""NSE:HINDALCO"",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IFERROR(__xludf.DUMMYFUNCTION("""COMPUTED_VALUE"""),163.8)</f>
        <v>163.8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IFERROR(__xludf.DUMMYFUNCTION("""COMPUTED_VALUE"""),178.8)</f>
        <v>178.8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IFERROR(__xludf.DUMMYFUNCTION("""COMPUTED_VALUE"""),178.35)</f>
        <v>178.35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IFERROR(__xludf.DUMMYFUNCTION("""COMPUTED_VALUE"""),195.0)</f>
        <v>195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IFERROR(__xludf.DUMMYFUNCTION("""COMPUTED_VALUE"""),200.0)</f>
        <v>200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IFERROR(__xludf.DUMMYFUNCTION("""COMPUTED_VALUE"""),195.5)</f>
        <v>195.5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IFERROR(__xludf.DUMMYFUNCTION("""COMPUTED_VALUE"""),189.95)</f>
        <v>189.95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IFERROR(__xludf.DUMMYFUNCTION("""COMPUTED_VALUE"""),186.9)</f>
        <v>186.9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IFERROR(__xludf.DUMMYFUNCTION("""COMPUTED_VALUE"""),199.75)</f>
        <v>199.75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IFERROR(__xludf.DUMMYFUNCTION("""COMPUTED_VALUE"""),202.3)</f>
        <v>202.3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IFERROR(__xludf.DUMMYFUNCTION("""COMPUTED_VALUE"""),200.35)</f>
        <v>200.35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IFERROR(__xludf.DUMMYFUNCTION("""COMPUTED_VALUE"""),199.8)</f>
        <v>199.8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IFERROR(__xludf.DUMMYFUNCTION("""COMPUTED_VALUE"""),195.95)</f>
        <v>195.95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IFERROR(__xludf.DUMMYFUNCTION("""COMPUTED_VALUE"""),199.2)</f>
        <v>199.2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IFERROR(__xludf.DUMMYFUNCTION("""COMPUTED_VALUE"""),198.0)</f>
        <v>198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IFERROR(__xludf.DUMMYFUNCTION("""COMPUTED_VALUE"""),190.7)</f>
        <v>190.7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IFERROR(__xludf.DUMMYFUNCTION("""COMPUTED_VALUE"""),203.7)</f>
        <v>203.7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IFERROR(__xludf.DUMMYFUNCTION("""COMPUTED_VALUE"""),203.9)</f>
        <v>203.9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IFERROR(__xludf.DUMMYFUNCTION("""COMPUTED_VALUE"""),195.8)</f>
        <v>195.8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IFERROR(__xludf.DUMMYFUNCTION("""COMPUTED_VALUE"""),200.35)</f>
        <v>200.35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IFERROR(__xludf.DUMMYFUNCTION("""COMPUTED_VALUE"""),203.15)</f>
        <v>203.15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IFERROR(__xludf.DUMMYFUNCTION("""COMPUTED_VALUE"""),210.35)</f>
        <v>210.35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IFERROR(__xludf.DUMMYFUNCTION("""COMPUTED_VALUE"""),202.9)</f>
        <v>202.9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IFERROR(__xludf.DUMMYFUNCTION("""COMPUTED_VALUE"""),204.3)</f>
        <v>204.3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IFERROR(__xludf.DUMMYFUNCTION("""COMPUTED_VALUE"""),202.9)</f>
        <v>202.9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IFERROR(__xludf.DUMMYFUNCTION("""COMPUTED_VALUE"""),193.6)</f>
        <v>193.6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IFERROR(__xludf.DUMMYFUNCTION("""COMPUTED_VALUE"""),200.15)</f>
        <v>200.15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IFERROR(__xludf.DUMMYFUNCTION("""COMPUTED_VALUE"""),207.4)</f>
        <v>207.4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IFERROR(__xludf.DUMMYFUNCTION("""COMPUTED_VALUE"""),215.6)</f>
        <v>215.6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IFERROR(__xludf.DUMMYFUNCTION("""COMPUTED_VALUE"""),223.75)</f>
        <v>223.75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IFERROR(__xludf.DUMMYFUNCTION("""COMPUTED_VALUE"""),228.9)</f>
        <v>228.9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IFERROR(__xludf.DUMMYFUNCTION("""COMPUTED_VALUE"""),244.9)</f>
        <v>244.9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IFERROR(__xludf.DUMMYFUNCTION("""COMPUTED_VALUE"""),239.5)</f>
        <v>239.5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IFERROR(__xludf.DUMMYFUNCTION("""COMPUTED_VALUE"""),236.5)</f>
        <v>236.5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IFERROR(__xludf.DUMMYFUNCTION("""COMPUTED_VALUE"""),245.0)</f>
        <v>245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IFERROR(__xludf.DUMMYFUNCTION("""COMPUTED_VALUE"""),255.45)</f>
        <v>255.45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IFERROR(__xludf.DUMMYFUNCTION("""COMPUTED_VALUE"""),254.6)</f>
        <v>254.6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IFERROR(__xludf.DUMMYFUNCTION("""COMPUTED_VALUE"""),251.35)</f>
        <v>251.35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IFERROR(__xludf.DUMMYFUNCTION("""COMPUTED_VALUE"""),242.65)</f>
        <v>242.65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IFERROR(__xludf.DUMMYFUNCTION("""COMPUTED_VALUE"""),252.15)</f>
        <v>252.15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IFERROR(__xludf.DUMMYFUNCTION("""COMPUTED_VALUE"""),267.65)</f>
        <v>267.65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IFERROR(__xludf.DUMMYFUNCTION("""COMPUTED_VALUE"""),278.45)</f>
        <v>278.45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IFERROR(__xludf.DUMMYFUNCTION("""COMPUTED_VALUE"""),278.55)</f>
        <v>278.55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IFERROR(__xludf.DUMMYFUNCTION("""COMPUTED_VALUE"""),277.6)</f>
        <v>277.6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IFERROR(__xludf.DUMMYFUNCTION("""COMPUTED_VALUE"""),274.9)</f>
        <v>274.9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IFERROR(__xludf.DUMMYFUNCTION("""COMPUTED_VALUE"""),265.25)</f>
        <v>265.25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IFERROR(__xludf.DUMMYFUNCTION("""COMPUTED_VALUE"""),265.1)</f>
        <v>265.1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IFERROR(__xludf.DUMMYFUNCTION("""COMPUTED_VALUE"""),253.6)</f>
        <v>253.6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IFERROR(__xludf.DUMMYFUNCTION("""COMPUTED_VALUE"""),243.95)</f>
        <v>243.95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IFERROR(__xludf.DUMMYFUNCTION("""COMPUTED_VALUE"""),243.95)</f>
        <v>243.95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IFERROR(__xludf.DUMMYFUNCTION("""COMPUTED_VALUE"""),269.5)</f>
        <v>269.5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IFERROR(__xludf.DUMMYFUNCTION("""COMPUTED_VALUE"""),278.8)</f>
        <v>278.8</v>
      </c>
    </row>
    <row r="879" ht="15.75" customHeight="1"/>
    <row r="880" ht="15.75" customHeight="1"/>
    <row r="881" ht="15.75" customHeight="1">
      <c r="B881" s="2" t="str">
        <f>IFERROR(__xludf.DUMMYFUNCTION("GOOGLEFINANCE(""NSE:HINDALCO"",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IFERROR(__xludf.DUMMYFUNCTION("""COMPUTED_VALUE"""),284.0)</f>
        <v>284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IFERROR(__xludf.DUMMYFUNCTION("""COMPUTED_VALUE"""),279.05)</f>
        <v>279.05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IFERROR(__xludf.DUMMYFUNCTION("""COMPUTED_VALUE"""),274.65)</f>
        <v>274.65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IFERROR(__xludf.DUMMYFUNCTION("""COMPUTED_VALUE"""),270.7)</f>
        <v>270.7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IFERROR(__xludf.DUMMYFUNCTION("""COMPUTED_VALUE"""),263.9)</f>
        <v>263.9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IFERROR(__xludf.DUMMYFUNCTION("""COMPUTED_VALUE"""),253.0)</f>
        <v>253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IFERROR(__xludf.DUMMYFUNCTION("""COMPUTED_VALUE"""),256.95)</f>
        <v>256.95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IFERROR(__xludf.DUMMYFUNCTION("""COMPUTED_VALUE"""),252.4)</f>
        <v>252.4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IFERROR(__xludf.DUMMYFUNCTION("""COMPUTED_VALUE"""),251.45)</f>
        <v>251.45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IFERROR(__xludf.DUMMYFUNCTION("""COMPUTED_VALUE"""),236.0)</f>
        <v>236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IFERROR(__xludf.DUMMYFUNCTION("""COMPUTED_VALUE"""),228.6)</f>
        <v>228.6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IFERROR(__xludf.DUMMYFUNCTION("""COMPUTED_VALUE"""),223.9)</f>
        <v>223.9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IFERROR(__xludf.DUMMYFUNCTION("""COMPUTED_VALUE"""),219.3)</f>
        <v>219.3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IFERROR(__xludf.DUMMYFUNCTION("""COMPUTED_VALUE"""),216.8)</f>
        <v>216.8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IFERROR(__xludf.DUMMYFUNCTION("""COMPUTED_VALUE"""),238.5)</f>
        <v>238.5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IFERROR(__xludf.DUMMYFUNCTION("""COMPUTED_VALUE"""),267.8)</f>
        <v>267.8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IFERROR(__xludf.DUMMYFUNCTION("""COMPUTED_VALUE"""),264.95)</f>
        <v>264.95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IFERROR(__xludf.DUMMYFUNCTION("""COMPUTED_VALUE"""),238.35)</f>
        <v>238.35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IFERROR(__xludf.DUMMYFUNCTION("""COMPUTED_VALUE"""),248.35)</f>
        <v>248.35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IFERROR(__xludf.DUMMYFUNCTION("""COMPUTED_VALUE"""),248.25)</f>
        <v>248.25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IFERROR(__xludf.DUMMYFUNCTION("""COMPUTED_VALUE"""),247.25)</f>
        <v>247.25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IFERROR(__xludf.DUMMYFUNCTION("""COMPUTED_VALUE"""),247.7)</f>
        <v>247.7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IFERROR(__xludf.DUMMYFUNCTION("""COMPUTED_VALUE"""),255.5)</f>
        <v>255.5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IFERROR(__xludf.DUMMYFUNCTION("""COMPUTED_VALUE"""),249.5)</f>
        <v>249.5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IFERROR(__xludf.DUMMYFUNCTION("""COMPUTED_VALUE"""),235.0)</f>
        <v>235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IFERROR(__xludf.DUMMYFUNCTION("""COMPUTED_VALUE"""),232.0)</f>
        <v>232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IFERROR(__xludf.DUMMYFUNCTION("""COMPUTED_VALUE"""),231.1)</f>
        <v>231.1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IFERROR(__xludf.DUMMYFUNCTION("""COMPUTED_VALUE"""),230.05)</f>
        <v>230.05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IFERROR(__xludf.DUMMYFUNCTION("""COMPUTED_VALUE"""),221.45)</f>
        <v>221.45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IFERROR(__xludf.DUMMYFUNCTION("""COMPUTED_VALUE"""),220.8)</f>
        <v>220.8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IFERROR(__xludf.DUMMYFUNCTION("""COMPUTED_VALUE"""),216.45)</f>
        <v>216.45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IFERROR(__xludf.DUMMYFUNCTION("""COMPUTED_VALUE"""),228.8)</f>
        <v>228.8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IFERROR(__xludf.DUMMYFUNCTION("""COMPUTED_VALUE"""),223.95)</f>
        <v>223.95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IFERROR(__xludf.DUMMYFUNCTION("""COMPUTED_VALUE"""),228.15)</f>
        <v>228.15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IFERROR(__xludf.DUMMYFUNCTION("""COMPUTED_VALUE"""),243.0)</f>
        <v>243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IFERROR(__xludf.DUMMYFUNCTION("""COMPUTED_VALUE"""),246.25)</f>
        <v>246.25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IFERROR(__xludf.DUMMYFUNCTION("""COMPUTED_VALUE"""),249.05)</f>
        <v>249.05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IFERROR(__xludf.DUMMYFUNCTION("""COMPUTED_VALUE"""),245.65)</f>
        <v>245.65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IFERROR(__xludf.DUMMYFUNCTION("""COMPUTED_VALUE"""),250.8)</f>
        <v>250.8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IFERROR(__xludf.DUMMYFUNCTION("""COMPUTED_VALUE"""),259.75)</f>
        <v>259.75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IFERROR(__xludf.DUMMYFUNCTION("""COMPUTED_VALUE"""),236.9)</f>
        <v>236.9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IFERROR(__xludf.DUMMYFUNCTION("""COMPUTED_VALUE"""),233.85)</f>
        <v>233.85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IFERROR(__xludf.DUMMYFUNCTION("""COMPUTED_VALUE"""),231.9)</f>
        <v>231.9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IFERROR(__xludf.DUMMYFUNCTION("""COMPUTED_VALUE"""),244.7)</f>
        <v>244.7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IFERROR(__xludf.DUMMYFUNCTION("""COMPUTED_VALUE"""),245.3)</f>
        <v>245.3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IFERROR(__xludf.DUMMYFUNCTION("""COMPUTED_VALUE"""),240.0)</f>
        <v>240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IFERROR(__xludf.DUMMYFUNCTION("""COMPUTED_VALUE"""),237.4)</f>
        <v>237.4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IFERROR(__xludf.DUMMYFUNCTION("""COMPUTED_VALUE"""),227.4)</f>
        <v>227.4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IFERROR(__xludf.DUMMYFUNCTION("""COMPUTED_VALUE"""),237.9)</f>
        <v>237.9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IFERROR(__xludf.DUMMYFUNCTION("""COMPUTED_VALUE"""),224.45)</f>
        <v>224.45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IFERROR(__xludf.DUMMYFUNCTION("""COMPUTED_VALUE"""),228.3)</f>
        <v>228.3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IFERROR(__xludf.DUMMYFUNCTION("""COMPUTED_VALUE"""),226.05)</f>
        <v>226.05</v>
      </c>
    </row>
    <row r="934" ht="15.75" customHeight="1"/>
    <row r="935" ht="15.75" customHeight="1"/>
    <row r="936" ht="15.75" customHeight="1">
      <c r="B936" s="2" t="str">
        <f>IFERROR(__xludf.DUMMYFUNCTION("GOOGLEFINANCE(""NSE:HINDALCO"",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IFERROR(__xludf.DUMMYFUNCTION("""COMPUTED_VALUE"""),228.5)</f>
        <v>228.5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IFERROR(__xludf.DUMMYFUNCTION("""COMPUTED_VALUE"""),214.75)</f>
        <v>214.75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IFERROR(__xludf.DUMMYFUNCTION("""COMPUTED_VALUE"""),210.5)</f>
        <v>210.5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IFERROR(__xludf.DUMMYFUNCTION("""COMPUTED_VALUE"""),209.9)</f>
        <v>209.9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IFERROR(__xludf.DUMMYFUNCTION("""COMPUTED_VALUE"""),212.35)</f>
        <v>212.35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IFERROR(__xludf.DUMMYFUNCTION("""COMPUTED_VALUE"""),212.65)</f>
        <v>212.65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IFERROR(__xludf.DUMMYFUNCTION("""COMPUTED_VALUE"""),204.9)</f>
        <v>204.9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IFERROR(__xludf.DUMMYFUNCTION("""COMPUTED_VALUE"""),197.0)</f>
        <v>197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IFERROR(__xludf.DUMMYFUNCTION("""COMPUTED_VALUE"""),199.0)</f>
        <v>199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IFERROR(__xludf.DUMMYFUNCTION("""COMPUTED_VALUE"""),203.95)</f>
        <v>203.95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IFERROR(__xludf.DUMMYFUNCTION("""COMPUTED_VALUE"""),206.9)</f>
        <v>206.9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IFERROR(__xludf.DUMMYFUNCTION("""COMPUTED_VALUE"""),211.55)</f>
        <v>211.55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IFERROR(__xludf.DUMMYFUNCTION("""COMPUTED_VALUE"""),210.85)</f>
        <v>210.85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IFERROR(__xludf.DUMMYFUNCTION("""COMPUTED_VALUE"""),219.1)</f>
        <v>219.1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IFERROR(__xludf.DUMMYFUNCTION("""COMPUTED_VALUE"""),217.85)</f>
        <v>217.85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IFERROR(__xludf.DUMMYFUNCTION("""COMPUTED_VALUE"""),217.9)</f>
        <v>217.9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IFERROR(__xludf.DUMMYFUNCTION("""COMPUTED_VALUE"""),207.8)</f>
        <v>207.8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IFERROR(__xludf.DUMMYFUNCTION("""COMPUTED_VALUE"""),207.65)</f>
        <v>207.65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IFERROR(__xludf.DUMMYFUNCTION("""COMPUTED_VALUE"""),204.25)</f>
        <v>204.25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IFERROR(__xludf.DUMMYFUNCTION("""COMPUTED_VALUE"""),196.0)</f>
        <v>196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IFERROR(__xludf.DUMMYFUNCTION("""COMPUTED_VALUE"""),201.0)</f>
        <v>201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IFERROR(__xludf.DUMMYFUNCTION("""COMPUTED_VALUE"""),207.15)</f>
        <v>207.15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IFERROR(__xludf.DUMMYFUNCTION("""COMPUTED_VALUE"""),200.5)</f>
        <v>200.5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IFERROR(__xludf.DUMMYFUNCTION("""COMPUTED_VALUE"""),202.9)</f>
        <v>202.9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IFERROR(__xludf.DUMMYFUNCTION("""COMPUTED_VALUE"""),199.0)</f>
        <v>199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IFERROR(__xludf.DUMMYFUNCTION("""COMPUTED_VALUE"""),210.4)</f>
        <v>210.4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IFERROR(__xludf.DUMMYFUNCTION("""COMPUTED_VALUE"""),210.6)</f>
        <v>210.6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IFERROR(__xludf.DUMMYFUNCTION("""COMPUTED_VALUE"""),201.45)</f>
        <v>201.45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IFERROR(__xludf.DUMMYFUNCTION("""COMPUTED_VALUE"""),204.2)</f>
        <v>204.2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IFERROR(__xludf.DUMMYFUNCTION("""COMPUTED_VALUE"""),205.45)</f>
        <v>205.45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IFERROR(__xludf.DUMMYFUNCTION("""COMPUTED_VALUE"""),198.5)</f>
        <v>198.5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IFERROR(__xludf.DUMMYFUNCTION("""COMPUTED_VALUE"""),184.45)</f>
        <v>184.45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IFERROR(__xludf.DUMMYFUNCTION("""COMPUTED_VALUE"""),181.5)</f>
        <v>181.5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IFERROR(__xludf.DUMMYFUNCTION("""COMPUTED_VALUE"""),182.35)</f>
        <v>182.35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IFERROR(__xludf.DUMMYFUNCTION("""COMPUTED_VALUE"""),187.0)</f>
        <v>187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IFERROR(__xludf.DUMMYFUNCTION("""COMPUTED_VALUE"""),189.7)</f>
        <v>189.7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IFERROR(__xludf.DUMMYFUNCTION("""COMPUTED_VALUE"""),201.9)</f>
        <v>201.9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IFERROR(__xludf.DUMMYFUNCTION("""COMPUTED_VALUE"""),208.2)</f>
        <v>208.2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IFERROR(__xludf.DUMMYFUNCTION("""COMPUTED_VALUE"""),206.85)</f>
        <v>206.85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IFERROR(__xludf.DUMMYFUNCTION("""COMPUTED_VALUE"""),194.55)</f>
        <v>194.55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IFERROR(__xludf.DUMMYFUNCTION("""COMPUTED_VALUE"""),189.2)</f>
        <v>189.2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IFERROR(__xludf.DUMMYFUNCTION("""COMPUTED_VALUE"""),195.55)</f>
        <v>195.55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IFERROR(__xludf.DUMMYFUNCTION("""COMPUTED_VALUE"""),190.95)</f>
        <v>190.95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IFERROR(__xludf.DUMMYFUNCTION("""COMPUTED_VALUE"""),194.35)</f>
        <v>194.35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IFERROR(__xludf.DUMMYFUNCTION("""COMPUTED_VALUE"""),207.3)</f>
        <v>207.3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IFERROR(__xludf.DUMMYFUNCTION("""COMPUTED_VALUE"""),203.95)</f>
        <v>203.95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IFERROR(__xludf.DUMMYFUNCTION("""COMPUTED_VALUE"""),194.85)</f>
        <v>194.85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IFERROR(__xludf.DUMMYFUNCTION("""COMPUTED_VALUE"""),205.3)</f>
        <v>205.3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IFERROR(__xludf.DUMMYFUNCTION("""COMPUTED_VALUE"""),202.55)</f>
        <v>202.55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IFERROR(__xludf.DUMMYFUNCTION("""COMPUTED_VALUE"""),209.0)</f>
        <v>209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IFERROR(__xludf.DUMMYFUNCTION("""COMPUTED_VALUE"""),218.1)</f>
        <v>218.1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IFERROR(__xludf.DUMMYFUNCTION("""COMPUTED_VALUE"""),219.35)</f>
        <v>219.35</v>
      </c>
    </row>
    <row r="989" ht="15.75" customHeight="1"/>
    <row r="990" ht="15.75" customHeight="1"/>
    <row r="991" ht="15.75" customHeight="1">
      <c r="B991" s="2" t="str">
        <f>IFERROR(__xludf.DUMMYFUNCTION("GOOGLEFINANCE(""NSE:HINDALCO"",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IFERROR(__xludf.DUMMYFUNCTION("""COMPUTED_VALUE"""),221.2)</f>
        <v>221.2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IFERROR(__xludf.DUMMYFUNCTION("""COMPUTED_VALUE"""),215.65)</f>
        <v>215.65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IFERROR(__xludf.DUMMYFUNCTION("""COMPUTED_VALUE"""),215.0)</f>
        <v>215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IFERROR(__xludf.DUMMYFUNCTION("""COMPUTED_VALUE"""),210.8)</f>
        <v>210.8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IFERROR(__xludf.DUMMYFUNCTION("""COMPUTED_VALUE"""),203.55)</f>
        <v>203.55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IFERROR(__xludf.DUMMYFUNCTION("""COMPUTED_VALUE"""),198.4)</f>
        <v>198.4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IFERROR(__xludf.DUMMYFUNCTION("""COMPUTED_VALUE"""),197.0)</f>
        <v>197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IFERROR(__xludf.DUMMYFUNCTION("""COMPUTED_VALUE"""),194.7)</f>
        <v>194.7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IFERROR(__xludf.DUMMYFUNCTION("""COMPUTED_VALUE"""),186.9)</f>
        <v>186.9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IFERROR(__xludf.DUMMYFUNCTION("""COMPUTED_VALUE"""),167.9)</f>
        <v>167.9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IFERROR(__xludf.DUMMYFUNCTION("""COMPUTED_VALUE"""),145.8)</f>
        <v>145.8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IFERROR(__xludf.DUMMYFUNCTION("""COMPUTED_VALUE"""),129.05)</f>
        <v>129.05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IFERROR(__xludf.DUMMYFUNCTION("""COMPUTED_VALUE"""),99.95)</f>
        <v>99.95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IFERROR(__xludf.DUMMYFUNCTION("""COMPUTED_VALUE"""),97.25)</f>
        <v>97.25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IFERROR(__xludf.DUMMYFUNCTION("""COMPUTED_VALUE"""),111.8)</f>
        <v>111.8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IFERROR(__xludf.DUMMYFUNCTION("""COMPUTED_VALUE"""),125.7)</f>
        <v>125.7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IFERROR(__xludf.DUMMYFUNCTION("""COMPUTED_VALUE"""),125.15)</f>
        <v>125.15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IFERROR(__xludf.DUMMYFUNCTION("""COMPUTED_VALUE"""),132.2)</f>
        <v>132.2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IFERROR(__xludf.DUMMYFUNCTION("""COMPUTED_VALUE"""),123.0)</f>
        <v>123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IFERROR(__xludf.DUMMYFUNCTION("""COMPUTED_VALUE"""),126.95)</f>
        <v>126.95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IFERROR(__xludf.DUMMYFUNCTION("""COMPUTED_VALUE"""),130.75)</f>
        <v>130.75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IFERROR(__xludf.DUMMYFUNCTION("""COMPUTED_VALUE"""),141.15)</f>
        <v>141.15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IFERROR(__xludf.DUMMYFUNCTION("""COMPUTED_VALUE"""),151.0)</f>
        <v>151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IFERROR(__xludf.DUMMYFUNCTION("""COMPUTED_VALUE"""),155.85)</f>
        <v>155.85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IFERROR(__xludf.DUMMYFUNCTION("""COMPUTED_VALUE"""),154.6)</f>
        <v>154.6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IFERROR(__xludf.DUMMYFUNCTION("""COMPUTED_VALUE"""),160.1)</f>
        <v>160.1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IFERROR(__xludf.DUMMYFUNCTION("""COMPUTED_VALUE"""),151.6)</f>
        <v>151.6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IFERROR(__xludf.DUMMYFUNCTION("""COMPUTED_VALUE"""),166.45)</f>
        <v>166.45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IFERROR(__xludf.DUMMYFUNCTION("""COMPUTED_VALUE"""),170.5)</f>
        <v>170.5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IFERROR(__xludf.DUMMYFUNCTION("""COMPUTED_VALUE"""),163.9)</f>
        <v>163.9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IFERROR(__xludf.DUMMYFUNCTION("""COMPUTED_VALUE"""),168.5)</f>
        <v>168.5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IFERROR(__xludf.DUMMYFUNCTION("""COMPUTED_VALUE"""),179.0)</f>
        <v>179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IFERROR(__xludf.DUMMYFUNCTION("""COMPUTED_VALUE"""),189.45)</f>
        <v>189.45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IFERROR(__xludf.DUMMYFUNCTION("""COMPUTED_VALUE"""),203.15)</f>
        <v>203.15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IFERROR(__xludf.DUMMYFUNCTION("""COMPUTED_VALUE"""),197.8)</f>
        <v>197.8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IFERROR(__xludf.DUMMYFUNCTION("""COMPUTED_VALUE"""),197.0)</f>
        <v>197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IFERROR(__xludf.DUMMYFUNCTION("""COMPUTED_VALUE"""),191.5)</f>
        <v>191.5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IFERROR(__xludf.DUMMYFUNCTION("""COMPUTED_VALUE"""),184.6)</f>
        <v>184.6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IFERROR(__xludf.DUMMYFUNCTION("""COMPUTED_VALUE"""),180.7)</f>
        <v>180.7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IFERROR(__xludf.DUMMYFUNCTION("""COMPUTED_VALUE"""),179.25)</f>
        <v>179.25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IFERROR(__xludf.DUMMYFUNCTION("""COMPUTED_VALUE"""),182.4)</f>
        <v>182.4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IFERROR(__xludf.DUMMYFUNCTION("""COMPUTED_VALUE"""),180.55)</f>
        <v>180.55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IFERROR(__xludf.DUMMYFUNCTION("""COMPUTED_VALUE"""),187.7)</f>
        <v>187.7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IFERROR(__xludf.DUMMYFUNCTION("""COMPUTED_VALUE"""),182.9)</f>
        <v>182.9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IFERROR(__xludf.DUMMYFUNCTION("""COMPUTED_VALUE"""),190.35)</f>
        <v>190.35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IFERROR(__xludf.DUMMYFUNCTION("""COMPUTED_VALUE"""),227.25)</f>
        <v>227.25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IFERROR(__xludf.DUMMYFUNCTION("""COMPUTED_VALUE"""),231.25)</f>
        <v>231.25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IFERROR(__xludf.DUMMYFUNCTION("""COMPUTED_VALUE"""),255.95)</f>
        <v>255.95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IFERROR(__xludf.DUMMYFUNCTION("""COMPUTED_VALUE"""),253.95)</f>
        <v>253.95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IFERROR(__xludf.DUMMYFUNCTION("""COMPUTED_VALUE"""),254.9)</f>
        <v>254.9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IFERROR(__xludf.DUMMYFUNCTION("""COMPUTED_VALUE"""),249.75)</f>
        <v>249.75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IFERROR(__xludf.DUMMYFUNCTION("""COMPUTED_VALUE"""),242.0)</f>
        <v>242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IFERROR(__xludf.DUMMYFUNCTION("GOOGLEFINANCE(""NSE:TATASTEEL"",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IFERROR(__xludf.DUMMYFUNCTION("""COMPUTED_VALUE"""),53.8)</f>
        <v>53.8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IFERROR(__xludf.DUMMYFUNCTION("""COMPUTED_VALUE"""),59.15)</f>
        <v>59.15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IFERROR(__xludf.DUMMYFUNCTION("""COMPUTED_VALUE"""),62.48)</f>
        <v>62.48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IFERROR(__xludf.DUMMYFUNCTION("""COMPUTED_VALUE"""),63.89)</f>
        <v>63.89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IFERROR(__xludf.DUMMYFUNCTION("""COMPUTED_VALUE"""),57.44)</f>
        <v>57.44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IFERROR(__xludf.DUMMYFUNCTION("""COMPUTED_VALUE"""),58.23)</f>
        <v>58.23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IFERROR(__xludf.DUMMYFUNCTION("""COMPUTED_VALUE"""),62.15)</f>
        <v>62.15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IFERROR(__xludf.DUMMYFUNCTION("""COMPUTED_VALUE"""),63.69)</f>
        <v>63.69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IFERROR(__xludf.DUMMYFUNCTION("""COMPUTED_VALUE"""),64.89)</f>
        <v>64.89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IFERROR(__xludf.DUMMYFUNCTION("""COMPUTED_VALUE"""),63.21)</f>
        <v>63.21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IFERROR(__xludf.DUMMYFUNCTION("""COMPUTED_VALUE"""),58.7)</f>
        <v>58.7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IFERROR(__xludf.DUMMYFUNCTION("""COMPUTED_VALUE"""),59.35)</f>
        <v>59.35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IFERROR(__xludf.DUMMYFUNCTION("""COMPUTED_VALUE"""),56.82)</f>
        <v>56.82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IFERROR(__xludf.DUMMYFUNCTION("""COMPUTED_VALUE"""),56.54)</f>
        <v>56.54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IFERROR(__xludf.DUMMYFUNCTION("""COMPUTED_VALUE"""),59.65)</f>
        <v>59.65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IFERROR(__xludf.DUMMYFUNCTION("""COMPUTED_VALUE"""),63.04)</f>
        <v>63.04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IFERROR(__xludf.DUMMYFUNCTION("""COMPUTED_VALUE"""),63.83)</f>
        <v>63.83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IFERROR(__xludf.DUMMYFUNCTION("""COMPUTED_VALUE"""),65.48)</f>
        <v>65.48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IFERROR(__xludf.DUMMYFUNCTION("""COMPUTED_VALUE"""),69.15)</f>
        <v>69.15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IFERROR(__xludf.DUMMYFUNCTION("""COMPUTED_VALUE"""),67.25)</f>
        <v>67.25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IFERROR(__xludf.DUMMYFUNCTION("""COMPUTED_VALUE"""),65.85)</f>
        <v>65.85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IFERROR(__xludf.DUMMYFUNCTION("""COMPUTED_VALUE"""),66.69)</f>
        <v>66.69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IFERROR(__xludf.DUMMYFUNCTION("""COMPUTED_VALUE"""),70.19)</f>
        <v>70.19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IFERROR(__xludf.DUMMYFUNCTION("""COMPUTED_VALUE"""),77.56)</f>
        <v>77.56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IFERROR(__xludf.DUMMYFUNCTION("""COMPUTED_VALUE"""),76.35)</f>
        <v>76.35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IFERROR(__xludf.DUMMYFUNCTION("""COMPUTED_VALUE"""),87.31)</f>
        <v>87.31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IFERROR(__xludf.DUMMYFUNCTION("""COMPUTED_VALUE"""),82.29)</f>
        <v>82.29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IFERROR(__xludf.DUMMYFUNCTION("""COMPUTED_VALUE"""),82.29)</f>
        <v>82.29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IFERROR(__xludf.DUMMYFUNCTION("""COMPUTED_VALUE"""),80.42)</f>
        <v>80.42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IFERROR(__xludf.DUMMYFUNCTION("""COMPUTED_VALUE"""),76.27)</f>
        <v>76.27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IFERROR(__xludf.DUMMYFUNCTION("""COMPUTED_VALUE"""),71.14)</f>
        <v>71.14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IFERROR(__xludf.DUMMYFUNCTION("""COMPUTED_VALUE"""),71.31)</f>
        <v>71.31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IFERROR(__xludf.DUMMYFUNCTION("""COMPUTED_VALUE"""),68.31)</f>
        <v>68.31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IFERROR(__xludf.DUMMYFUNCTION("""COMPUTED_VALUE"""),68.82)</f>
        <v>68.82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IFERROR(__xludf.DUMMYFUNCTION("""COMPUTED_VALUE"""),69.77)</f>
        <v>69.77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IFERROR(__xludf.DUMMYFUNCTION("""COMPUTED_VALUE"""),70.89)</f>
        <v>70.89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IFERROR(__xludf.DUMMYFUNCTION("""COMPUTED_VALUE"""),68.93)</f>
        <v>68.93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IFERROR(__xludf.DUMMYFUNCTION("""COMPUTED_VALUE"""),68.48)</f>
        <v>68.48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IFERROR(__xludf.DUMMYFUNCTION("""COMPUTED_VALUE"""),65.85)</f>
        <v>65.85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IFERROR(__xludf.DUMMYFUNCTION("""COMPUTED_VALUE"""),66.74)</f>
        <v>66.74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IFERROR(__xludf.DUMMYFUNCTION("""COMPUTED_VALUE"""),68.87)</f>
        <v>68.87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IFERROR(__xludf.DUMMYFUNCTION("""COMPUTED_VALUE"""),69.77)</f>
        <v>69.77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IFERROR(__xludf.DUMMYFUNCTION("""COMPUTED_VALUE"""),68.0)</f>
        <v>68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IFERROR(__xludf.DUMMYFUNCTION("""COMPUTED_VALUE"""),72.66)</f>
        <v>72.66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IFERROR(__xludf.DUMMYFUNCTION("""COMPUTED_VALUE"""),72.18)</f>
        <v>72.18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IFERROR(__xludf.DUMMYFUNCTION("""COMPUTED_VALUE"""),79.88)</f>
        <v>79.88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IFERROR(__xludf.DUMMYFUNCTION("""COMPUTED_VALUE"""),75.6)</f>
        <v>75.6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IFERROR(__xludf.DUMMYFUNCTION("""COMPUTED_VALUE"""),78.6)</f>
        <v>78.6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IFERROR(__xludf.DUMMYFUNCTION("""COMPUTED_VALUE"""),79.97)</f>
        <v>79.97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IFERROR(__xludf.DUMMYFUNCTION("""COMPUTED_VALUE"""),80.28)</f>
        <v>80.28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IFERROR(__xludf.DUMMYFUNCTION("""COMPUTED_VALUE"""),80.31)</f>
        <v>80.31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IFERROR(__xludf.DUMMYFUNCTION("""COMPUTED_VALUE"""),84.42)</f>
        <v>84.42</v>
      </c>
    </row>
    <row r="54" ht="15.75" customHeight="1"/>
    <row r="55" ht="15.75" customHeight="1"/>
    <row r="56" ht="15.75" customHeight="1">
      <c r="B56" s="2" t="str">
        <f>IFERROR(__xludf.DUMMYFUNCTION("GOOGLEFINANCE(""NSE:TATASTEEL"",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IFERROR(__xludf.DUMMYFUNCTION("""COMPUTED_VALUE"""),98.07)</f>
        <v>98.07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IFERROR(__xludf.DUMMYFUNCTION("""COMPUTED_VALUE"""),85.18)</f>
        <v>85.18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IFERROR(__xludf.DUMMYFUNCTION("""COMPUTED_VALUE"""),86.3)</f>
        <v>86.3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IFERROR(__xludf.DUMMYFUNCTION("""COMPUTED_VALUE"""),91.63)</f>
        <v>91.63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IFERROR(__xludf.DUMMYFUNCTION("""COMPUTED_VALUE"""),88.32)</f>
        <v>88.32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IFERROR(__xludf.DUMMYFUNCTION("""COMPUTED_VALUE"""),89.61)</f>
        <v>89.61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IFERROR(__xludf.DUMMYFUNCTION("""COMPUTED_VALUE"""),88.43)</f>
        <v>88.43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IFERROR(__xludf.DUMMYFUNCTION("""COMPUTED_VALUE"""),88.57)</f>
        <v>88.57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IFERROR(__xludf.DUMMYFUNCTION("""COMPUTED_VALUE"""),86.64)</f>
        <v>86.64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IFERROR(__xludf.DUMMYFUNCTION("""COMPUTED_VALUE"""),85.18)</f>
        <v>85.18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IFERROR(__xludf.DUMMYFUNCTION("""COMPUTED_VALUE"""),77.9)</f>
        <v>77.9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IFERROR(__xludf.DUMMYFUNCTION("""COMPUTED_VALUE"""),80.7)</f>
        <v>80.7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IFERROR(__xludf.DUMMYFUNCTION("""COMPUTED_VALUE"""),78.96)</f>
        <v>78.96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IFERROR(__xludf.DUMMYFUNCTION("""COMPUTED_VALUE"""),81.82)</f>
        <v>81.82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IFERROR(__xludf.DUMMYFUNCTION("""COMPUTED_VALUE"""),76.77)</f>
        <v>76.77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IFERROR(__xludf.DUMMYFUNCTION("""COMPUTED_VALUE"""),75.35)</f>
        <v>75.35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IFERROR(__xludf.DUMMYFUNCTION("""COMPUTED_VALUE"""),74.73)</f>
        <v>74.73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IFERROR(__xludf.DUMMYFUNCTION("""COMPUTED_VALUE"""),76.72)</f>
        <v>76.72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IFERROR(__xludf.DUMMYFUNCTION("""COMPUTED_VALUE"""),78.96)</f>
        <v>78.96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IFERROR(__xludf.DUMMYFUNCTION("""COMPUTED_VALUE"""),81.76)</f>
        <v>81.76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IFERROR(__xludf.DUMMYFUNCTION("""COMPUTED_VALUE"""),94.15)</f>
        <v>94.15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IFERROR(__xludf.DUMMYFUNCTION("""COMPUTED_VALUE"""),91.35)</f>
        <v>91.35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IFERROR(__xludf.DUMMYFUNCTION("""COMPUTED_VALUE"""),88.12)</f>
        <v>88.12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IFERROR(__xludf.DUMMYFUNCTION("""COMPUTED_VALUE"""),89.16)</f>
        <v>89.16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IFERROR(__xludf.DUMMYFUNCTION("""COMPUTED_VALUE"""),93.95)</f>
        <v>93.95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IFERROR(__xludf.DUMMYFUNCTION("""COMPUTED_VALUE"""),99.02)</f>
        <v>99.02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IFERROR(__xludf.DUMMYFUNCTION("""COMPUTED_VALUE"""),103.62)</f>
        <v>103.62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IFERROR(__xludf.DUMMYFUNCTION("""COMPUTED_VALUE"""),114.24)</f>
        <v>114.24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IFERROR(__xludf.DUMMYFUNCTION("""COMPUTED_VALUE"""),112.89)</f>
        <v>112.89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IFERROR(__xludf.DUMMYFUNCTION("""COMPUTED_VALUE"""),120.65)</f>
        <v>120.65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IFERROR(__xludf.DUMMYFUNCTION("""COMPUTED_VALUE"""),131.22)</f>
        <v>131.22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IFERROR(__xludf.DUMMYFUNCTION("""COMPUTED_VALUE"""),137.58)</f>
        <v>137.58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IFERROR(__xludf.DUMMYFUNCTION("""COMPUTED_VALUE"""),148.95)</f>
        <v>148.95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IFERROR(__xludf.DUMMYFUNCTION("""COMPUTED_VALUE"""),146.6)</f>
        <v>146.6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IFERROR(__xludf.DUMMYFUNCTION("""COMPUTED_VALUE"""),150.64)</f>
        <v>150.64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IFERROR(__xludf.DUMMYFUNCTION("""COMPUTED_VALUE"""),168.12)</f>
        <v>168.12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IFERROR(__xludf.DUMMYFUNCTION("""COMPUTED_VALUE"""),152.32)</f>
        <v>152.32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IFERROR(__xludf.DUMMYFUNCTION("""COMPUTED_VALUE"""),149.57)</f>
        <v>149.57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IFERROR(__xludf.DUMMYFUNCTION("""COMPUTED_VALUE"""),158.59)</f>
        <v>158.59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IFERROR(__xludf.DUMMYFUNCTION("""COMPUTED_VALUE"""),179.33)</f>
        <v>179.33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IFERROR(__xludf.DUMMYFUNCTION("""COMPUTED_VALUE"""),203.68)</f>
        <v>203.68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IFERROR(__xludf.DUMMYFUNCTION("""COMPUTED_VALUE"""),201.69)</f>
        <v>201.69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IFERROR(__xludf.DUMMYFUNCTION("""COMPUTED_VALUE"""),215.14)</f>
        <v>215.14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IFERROR(__xludf.DUMMYFUNCTION("""COMPUTED_VALUE"""),206.73)</f>
        <v>206.73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IFERROR(__xludf.DUMMYFUNCTION("""COMPUTED_VALUE"""),204.94)</f>
        <v>204.94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IFERROR(__xludf.DUMMYFUNCTION("""COMPUTED_VALUE"""),211.77)</f>
        <v>211.77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IFERROR(__xludf.DUMMYFUNCTION("""COMPUTED_VALUE"""),212.95)</f>
        <v>212.95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IFERROR(__xludf.DUMMYFUNCTION("""COMPUTED_VALUE"""),224.89)</f>
        <v>224.89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IFERROR(__xludf.DUMMYFUNCTION("""COMPUTED_VALUE"""),263.28)</f>
        <v>263.28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IFERROR(__xludf.DUMMYFUNCTION("GOOGLEFINANCE(""NSE:TATASTEEL"",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IFERROR(__xludf.DUMMYFUNCTION("""COMPUTED_VALUE"""),256.05)</f>
        <v>256.05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IFERROR(__xludf.DUMMYFUNCTION("""COMPUTED_VALUE"""),254.67)</f>
        <v>254.67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IFERROR(__xludf.DUMMYFUNCTION("""COMPUTED_VALUE"""),274.68)</f>
        <v>274.68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IFERROR(__xludf.DUMMYFUNCTION("""COMPUTED_VALUE"""),259.66)</f>
        <v>259.66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IFERROR(__xludf.DUMMYFUNCTION("""COMPUTED_VALUE"""),254.08)</f>
        <v>254.08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IFERROR(__xludf.DUMMYFUNCTION("""COMPUTED_VALUE"""),237.61)</f>
        <v>237.61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IFERROR(__xludf.DUMMYFUNCTION("""COMPUTED_VALUE"""),246.41)</f>
        <v>246.41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IFERROR(__xludf.DUMMYFUNCTION("""COMPUTED_VALUE"""),256.24)</f>
        <v>256.24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IFERROR(__xludf.DUMMYFUNCTION("""COMPUTED_VALUE"""),252.52)</f>
        <v>252.52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IFERROR(__xludf.DUMMYFUNCTION("""COMPUTED_VALUE"""),250.67)</f>
        <v>250.67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IFERROR(__xludf.DUMMYFUNCTION("""COMPUTED_VALUE"""),253.24)</f>
        <v>253.24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IFERROR(__xludf.DUMMYFUNCTION("""COMPUTED_VALUE"""),239.85)</f>
        <v>239.85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IFERROR(__xludf.DUMMYFUNCTION("""COMPUTED_VALUE"""),219.12)</f>
        <v>219.12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IFERROR(__xludf.DUMMYFUNCTION("""COMPUTED_VALUE"""),226.79)</f>
        <v>226.79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IFERROR(__xludf.DUMMYFUNCTION("""COMPUTED_VALUE"""),235.76)</f>
        <v>235.76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IFERROR(__xludf.DUMMYFUNCTION("""COMPUTED_VALUE"""),238.17)</f>
        <v>238.17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IFERROR(__xludf.DUMMYFUNCTION("""COMPUTED_VALUE"""),228.53)</f>
        <v>228.53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IFERROR(__xludf.DUMMYFUNCTION("""COMPUTED_VALUE"""),206.56)</f>
        <v>206.56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IFERROR(__xludf.DUMMYFUNCTION("""COMPUTED_VALUE"""),193.34)</f>
        <v>193.34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IFERROR(__xludf.DUMMYFUNCTION("""COMPUTED_VALUE"""),187.4)</f>
        <v>187.4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IFERROR(__xludf.DUMMYFUNCTION("""COMPUTED_VALUE"""),189.7)</f>
        <v>189.7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IFERROR(__xludf.DUMMYFUNCTION("""COMPUTED_VALUE"""),179.22)</f>
        <v>179.22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IFERROR(__xludf.DUMMYFUNCTION("""COMPUTED_VALUE"""),181.4)</f>
        <v>181.4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IFERROR(__xludf.DUMMYFUNCTION("""COMPUTED_VALUE"""),162.74)</f>
        <v>162.74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IFERROR(__xludf.DUMMYFUNCTION("""COMPUTED_VALUE"""),166.66)</f>
        <v>166.66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IFERROR(__xludf.DUMMYFUNCTION("""COMPUTED_VALUE"""),174.4)</f>
        <v>174.4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IFERROR(__xludf.DUMMYFUNCTION("""COMPUTED_VALUE"""),179.24)</f>
        <v>179.24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IFERROR(__xludf.DUMMYFUNCTION("""COMPUTED_VALUE"""),190.73)</f>
        <v>190.73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IFERROR(__xludf.DUMMYFUNCTION("""COMPUTED_VALUE"""),208.41)</f>
        <v>208.41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IFERROR(__xludf.DUMMYFUNCTION("""COMPUTED_VALUE"""),222.11)</f>
        <v>222.11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IFERROR(__xludf.DUMMYFUNCTION("""COMPUTED_VALUE"""),229.76)</f>
        <v>229.76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IFERROR(__xludf.DUMMYFUNCTION("""COMPUTED_VALUE"""),231.0)</f>
        <v>231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IFERROR(__xludf.DUMMYFUNCTION("""COMPUTED_VALUE"""),229.32)</f>
        <v>229.32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IFERROR(__xludf.DUMMYFUNCTION("""COMPUTED_VALUE"""),218.6)</f>
        <v>218.6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IFERROR(__xludf.DUMMYFUNCTION("""COMPUTED_VALUE"""),214.6)</f>
        <v>214.6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IFERROR(__xludf.DUMMYFUNCTION("""COMPUTED_VALUE"""),222.67)</f>
        <v>222.67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IFERROR(__xludf.DUMMYFUNCTION("""COMPUTED_VALUE"""),236.04)</f>
        <v>236.04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IFERROR(__xludf.DUMMYFUNCTION("""COMPUTED_VALUE"""),250.5)</f>
        <v>250.5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IFERROR(__xludf.DUMMYFUNCTION("""COMPUTED_VALUE"""),248.73)</f>
        <v>248.73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IFERROR(__xludf.DUMMYFUNCTION("""COMPUTED_VALUE"""),256.63)</f>
        <v>256.63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IFERROR(__xludf.DUMMYFUNCTION("""COMPUTED_VALUE"""),245.54)</f>
        <v>245.54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IFERROR(__xludf.DUMMYFUNCTION("""COMPUTED_VALUE"""),251.34)</f>
        <v>251.34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IFERROR(__xludf.DUMMYFUNCTION("""COMPUTED_VALUE"""),253.78)</f>
        <v>253.78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IFERROR(__xludf.DUMMYFUNCTION("""COMPUTED_VALUE"""),260.5)</f>
        <v>260.5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IFERROR(__xludf.DUMMYFUNCTION("""COMPUTED_VALUE"""),265.97)</f>
        <v>265.97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IFERROR(__xludf.DUMMYFUNCTION("""COMPUTED_VALUE"""),267.31)</f>
        <v>267.31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IFERROR(__xludf.DUMMYFUNCTION("""COMPUTED_VALUE"""),280.26)</f>
        <v>280.26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IFERROR(__xludf.DUMMYFUNCTION("""COMPUTED_VALUE"""),279.84)</f>
        <v>279.84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IFERROR(__xludf.DUMMYFUNCTION("""COMPUTED_VALUE"""),284.33)</f>
        <v>284.33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IFERROR(__xludf.DUMMYFUNCTION("""COMPUTED_VALUE"""),303.83)</f>
        <v>303.83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IFERROR(__xludf.DUMMYFUNCTION("""COMPUTED_VALUE"""),333.63)</f>
        <v>333.63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IFERROR(__xludf.DUMMYFUNCTION("GOOGLEFINANCE(""NSE:TATASTEEL"",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IFERROR(__xludf.DUMMYFUNCTION("""COMPUTED_VALUE"""),332.04)</f>
        <v>332.04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IFERROR(__xludf.DUMMYFUNCTION("""COMPUTED_VALUE"""),309.21)</f>
        <v>309.21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IFERROR(__xludf.DUMMYFUNCTION("""COMPUTED_VALUE"""),336.24)</f>
        <v>336.24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IFERROR(__xludf.DUMMYFUNCTION("""COMPUTED_VALUE"""),320.44)</f>
        <v>320.44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IFERROR(__xludf.DUMMYFUNCTION("""COMPUTED_VALUE"""),338.34)</f>
        <v>338.34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IFERROR(__xludf.DUMMYFUNCTION("""COMPUTED_VALUE"""),341.28)</f>
        <v>341.28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IFERROR(__xludf.DUMMYFUNCTION("""COMPUTED_VALUE"""),352.29)</f>
        <v>352.29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IFERROR(__xludf.DUMMYFUNCTION("""COMPUTED_VALUE"""),351.24)</f>
        <v>351.24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IFERROR(__xludf.DUMMYFUNCTION("""COMPUTED_VALUE"""),364.4)</f>
        <v>364.4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IFERROR(__xludf.DUMMYFUNCTION("""COMPUTED_VALUE"""),372.39)</f>
        <v>372.39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IFERROR(__xludf.DUMMYFUNCTION("""COMPUTED_VALUE"""),375.45)</f>
        <v>375.45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IFERROR(__xludf.DUMMYFUNCTION("""COMPUTED_VALUE"""),367.13)</f>
        <v>367.13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IFERROR(__xludf.DUMMYFUNCTION("""COMPUTED_VALUE"""),355.49)</f>
        <v>355.49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IFERROR(__xludf.DUMMYFUNCTION("""COMPUTED_VALUE"""),346.7)</f>
        <v>346.7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IFERROR(__xludf.DUMMYFUNCTION("""COMPUTED_VALUE"""),331.2)</f>
        <v>331.2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IFERROR(__xludf.DUMMYFUNCTION("""COMPUTED_VALUE"""),312.7)</f>
        <v>312.7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IFERROR(__xludf.DUMMYFUNCTION("""COMPUTED_VALUE"""),308.37)</f>
        <v>308.37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IFERROR(__xludf.DUMMYFUNCTION("""COMPUTED_VALUE"""),302.87)</f>
        <v>302.87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IFERROR(__xludf.DUMMYFUNCTION("""COMPUTED_VALUE"""),307.28)</f>
        <v>307.28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IFERROR(__xludf.DUMMYFUNCTION("""COMPUTED_VALUE"""),308.88)</f>
        <v>308.88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IFERROR(__xludf.DUMMYFUNCTION("""COMPUTED_VALUE"""),310.18)</f>
        <v>310.18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IFERROR(__xludf.DUMMYFUNCTION("""COMPUTED_VALUE"""),299.46)</f>
        <v>299.46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IFERROR(__xludf.DUMMYFUNCTION("""COMPUTED_VALUE"""),289.88)</f>
        <v>289.88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IFERROR(__xludf.DUMMYFUNCTION("""COMPUTED_VALUE"""),313.21)</f>
        <v>313.21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IFERROR(__xludf.DUMMYFUNCTION("""COMPUTED_VALUE"""),308.46)</f>
        <v>308.46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IFERROR(__xludf.DUMMYFUNCTION("""COMPUTED_VALUE"""),306.65)</f>
        <v>306.65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IFERROR(__xludf.DUMMYFUNCTION("""COMPUTED_VALUE"""),308.08)</f>
        <v>308.08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IFERROR(__xludf.DUMMYFUNCTION("""COMPUTED_VALUE"""),319.43)</f>
        <v>319.43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IFERROR(__xludf.DUMMYFUNCTION("""COMPUTED_VALUE"""),337.08)</f>
        <v>337.08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IFERROR(__xludf.DUMMYFUNCTION("""COMPUTED_VALUE"""),330.02)</f>
        <v>330.02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IFERROR(__xludf.DUMMYFUNCTION("""COMPUTED_VALUE"""),343.72)</f>
        <v>343.72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IFERROR(__xludf.DUMMYFUNCTION("""COMPUTED_VALUE"""),350.45)</f>
        <v>350.45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IFERROR(__xludf.DUMMYFUNCTION("""COMPUTED_VALUE"""),341.2)</f>
        <v>341.2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IFERROR(__xludf.DUMMYFUNCTION("""COMPUTED_VALUE"""),342.46)</f>
        <v>342.46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IFERROR(__xludf.DUMMYFUNCTION("""COMPUTED_VALUE"""),346.33)</f>
        <v>346.33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IFERROR(__xludf.DUMMYFUNCTION("""COMPUTED_VALUE"""),383.02)</f>
        <v>383.02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IFERROR(__xludf.DUMMYFUNCTION("""COMPUTED_VALUE"""),366.71)</f>
        <v>366.71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IFERROR(__xludf.DUMMYFUNCTION("""COMPUTED_VALUE"""),360.11)</f>
        <v>360.11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IFERROR(__xludf.DUMMYFUNCTION("""COMPUTED_VALUE"""),366.59)</f>
        <v>366.59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IFERROR(__xludf.DUMMYFUNCTION("""COMPUTED_VALUE"""),334.26)</f>
        <v>334.26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IFERROR(__xludf.DUMMYFUNCTION("""COMPUTED_VALUE"""),326.61)</f>
        <v>326.61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IFERROR(__xludf.DUMMYFUNCTION("""COMPUTED_VALUE"""),319.34)</f>
        <v>319.34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IFERROR(__xludf.DUMMYFUNCTION("""COMPUTED_VALUE"""),295.05)</f>
        <v>295.05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IFERROR(__xludf.DUMMYFUNCTION("""COMPUTED_VALUE"""),313.8)</f>
        <v>313.8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IFERROR(__xludf.DUMMYFUNCTION("""COMPUTED_VALUE"""),315.22)</f>
        <v>315.22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IFERROR(__xludf.DUMMYFUNCTION("""COMPUTED_VALUE"""),303.79)</f>
        <v>303.79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IFERROR(__xludf.DUMMYFUNCTION("""COMPUTED_VALUE"""),302.62)</f>
        <v>302.62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IFERROR(__xludf.DUMMYFUNCTION("""COMPUTED_VALUE"""),323.08)</f>
        <v>323.08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IFERROR(__xludf.DUMMYFUNCTION("""COMPUTED_VALUE"""),323.38)</f>
        <v>323.38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IFERROR(__xludf.DUMMYFUNCTION("""COMPUTED_VALUE"""),320.77)</f>
        <v>320.77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IFERROR(__xludf.DUMMYFUNCTION("GOOGLEFINANCE(""NSE:TATASTEEL"",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IFERROR(__xludf.DUMMYFUNCTION("""COMPUTED_VALUE"""),326.87)</f>
        <v>326.87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IFERROR(__xludf.DUMMYFUNCTION("""COMPUTED_VALUE"""),326.49)</f>
        <v>326.49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IFERROR(__xludf.DUMMYFUNCTION("""COMPUTED_VALUE"""),336.24)</f>
        <v>336.24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IFERROR(__xludf.DUMMYFUNCTION("""COMPUTED_VALUE"""),338.59)</f>
        <v>338.59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IFERROR(__xludf.DUMMYFUNCTION("""COMPUTED_VALUE"""),342.54)</f>
        <v>342.54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IFERROR(__xludf.DUMMYFUNCTION("""COMPUTED_VALUE"""),348.18)</f>
        <v>348.18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IFERROR(__xludf.DUMMYFUNCTION("""COMPUTED_VALUE"""),334.47)</f>
        <v>334.47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IFERROR(__xludf.DUMMYFUNCTION("""COMPUTED_VALUE"""),360.57)</f>
        <v>360.57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IFERROR(__xludf.DUMMYFUNCTION("""COMPUTED_VALUE"""),385.83)</f>
        <v>385.83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IFERROR(__xludf.DUMMYFUNCTION("""COMPUTED_VALUE"""),399.28)</f>
        <v>399.28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IFERROR(__xludf.DUMMYFUNCTION("""COMPUTED_VALUE"""),397.94)</f>
        <v>397.94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IFERROR(__xludf.DUMMYFUNCTION("""COMPUTED_VALUE"""),415.93)</f>
        <v>415.93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IFERROR(__xludf.DUMMYFUNCTION("""COMPUTED_VALUE"""),456.02)</f>
        <v>456.02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IFERROR(__xludf.DUMMYFUNCTION("""COMPUTED_VALUE"""),470.74)</f>
        <v>470.74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IFERROR(__xludf.DUMMYFUNCTION("""COMPUTED_VALUE"""),519.49)</f>
        <v>519.49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IFERROR(__xludf.DUMMYFUNCTION("""COMPUTED_VALUE"""),560.17)</f>
        <v>560.17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IFERROR(__xludf.DUMMYFUNCTION("""COMPUTED_VALUE"""),571.61)</f>
        <v>571.61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IFERROR(__xludf.DUMMYFUNCTION("""COMPUTED_VALUE"""),567.74)</f>
        <v>567.74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IFERROR(__xludf.DUMMYFUNCTION("""COMPUTED_VALUE"""),543.87)</f>
        <v>543.87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IFERROR(__xludf.DUMMYFUNCTION("""COMPUTED_VALUE"""),468.21)</f>
        <v>468.21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IFERROR(__xludf.DUMMYFUNCTION("""COMPUTED_VALUE"""),479.14)</f>
        <v>479.14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IFERROR(__xludf.DUMMYFUNCTION("""COMPUTED_VALUE"""),453.92)</f>
        <v>453.92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IFERROR(__xludf.DUMMYFUNCTION("""COMPUTED_VALUE"""),398.44)</f>
        <v>398.44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IFERROR(__xludf.DUMMYFUNCTION("""COMPUTED_VALUE"""),438.67)</f>
        <v>438.67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IFERROR(__xludf.DUMMYFUNCTION("""COMPUTED_VALUE"""),458.97)</f>
        <v>458.97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IFERROR(__xludf.DUMMYFUNCTION("""COMPUTED_VALUE"""),475.86)</f>
        <v>475.86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IFERROR(__xludf.DUMMYFUNCTION("""COMPUTED_VALUE"""),445.94)</f>
        <v>445.94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IFERROR(__xludf.DUMMYFUNCTION("""COMPUTED_VALUE"""),430.39)</f>
        <v>430.39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IFERROR(__xludf.DUMMYFUNCTION("""COMPUTED_VALUE"""),428.41)</f>
        <v>428.41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IFERROR(__xludf.DUMMYFUNCTION("""COMPUTED_VALUE"""),439.13)</f>
        <v>439.13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IFERROR(__xludf.DUMMYFUNCTION("""COMPUTED_VALUE"""),444.68)</f>
        <v>444.68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IFERROR(__xludf.DUMMYFUNCTION("""COMPUTED_VALUE"""),456.28)</f>
        <v>456.28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IFERROR(__xludf.DUMMYFUNCTION("""COMPUTED_VALUE"""),447.62)</f>
        <v>447.62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IFERROR(__xludf.DUMMYFUNCTION("""COMPUTED_VALUE"""),450.48)</f>
        <v>450.48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IFERROR(__xludf.DUMMYFUNCTION("""COMPUTED_VALUE"""),445.35)</f>
        <v>445.35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IFERROR(__xludf.DUMMYFUNCTION("""COMPUTED_VALUE"""),443.79)</f>
        <v>443.79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IFERROR(__xludf.DUMMYFUNCTION("""COMPUTED_VALUE"""),426.1)</f>
        <v>426.1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IFERROR(__xludf.DUMMYFUNCTION("""COMPUTED_VALUE"""),451.7)</f>
        <v>451.7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IFERROR(__xludf.DUMMYFUNCTION("""COMPUTED_VALUE"""),461.24)</f>
        <v>461.24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IFERROR(__xludf.DUMMYFUNCTION("""COMPUTED_VALUE"""),452.24)</f>
        <v>452.24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IFERROR(__xludf.DUMMYFUNCTION("""COMPUTED_VALUE"""),436.02)</f>
        <v>436.02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IFERROR(__xludf.DUMMYFUNCTION("""COMPUTED_VALUE"""),424.5)</f>
        <v>424.5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IFERROR(__xludf.DUMMYFUNCTION("""COMPUTED_VALUE"""),430.39)</f>
        <v>430.39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IFERROR(__xludf.DUMMYFUNCTION("""COMPUTED_VALUE"""),424.5)</f>
        <v>424.5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IFERROR(__xludf.DUMMYFUNCTION("""COMPUTED_VALUE"""),408.49)</f>
        <v>408.49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IFERROR(__xludf.DUMMYFUNCTION("""COMPUTED_VALUE"""),411.64)</f>
        <v>411.64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IFERROR(__xludf.DUMMYFUNCTION("""COMPUTED_VALUE"""),421.98)</f>
        <v>421.98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IFERROR(__xludf.DUMMYFUNCTION("""COMPUTED_VALUE"""),411.52)</f>
        <v>411.52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IFERROR(__xludf.DUMMYFUNCTION("""COMPUTED_VALUE"""),403.49)</f>
        <v>403.49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IFERROR(__xludf.DUMMYFUNCTION("""COMPUTED_VALUE"""),410.51)</f>
        <v>410.51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IFERROR(__xludf.DUMMYFUNCTION("GOOGLEFINANCE(""NSE:TATASTEEL"",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IFERROR(__xludf.DUMMYFUNCTION("""COMPUTED_VALUE"""),404.96)</f>
        <v>404.96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IFERROR(__xludf.DUMMYFUNCTION("""COMPUTED_VALUE"""),396.97)</f>
        <v>396.97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IFERROR(__xludf.DUMMYFUNCTION("""COMPUTED_VALUE"""),414.75)</f>
        <v>414.75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IFERROR(__xludf.DUMMYFUNCTION("""COMPUTED_VALUE"""),430.81)</f>
        <v>430.81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IFERROR(__xludf.DUMMYFUNCTION("""COMPUTED_VALUE"""),453.08)</f>
        <v>453.08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IFERROR(__xludf.DUMMYFUNCTION("""COMPUTED_VALUE"""),399.28)</f>
        <v>399.28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IFERROR(__xludf.DUMMYFUNCTION("""COMPUTED_VALUE"""),385.58)</f>
        <v>385.58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IFERROR(__xludf.DUMMYFUNCTION("""COMPUTED_VALUE"""),392.48)</f>
        <v>392.48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IFERROR(__xludf.DUMMYFUNCTION("""COMPUTED_VALUE"""),403.15)</f>
        <v>403.15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IFERROR(__xludf.DUMMYFUNCTION("""COMPUTED_VALUE"""),370.96)</f>
        <v>370.96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IFERROR(__xludf.DUMMYFUNCTION("""COMPUTED_VALUE"""),377.01)</f>
        <v>377.01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IFERROR(__xludf.DUMMYFUNCTION("""COMPUTED_VALUE"""),378.19)</f>
        <v>378.19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IFERROR(__xludf.DUMMYFUNCTION("""COMPUTED_VALUE"""),379.11)</f>
        <v>379.11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IFERROR(__xludf.DUMMYFUNCTION("""COMPUTED_VALUE"""),395.08)</f>
        <v>395.08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IFERROR(__xludf.DUMMYFUNCTION("""COMPUTED_VALUE"""),436.61)</f>
        <v>436.61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IFERROR(__xludf.DUMMYFUNCTION("""COMPUTED_VALUE"""),454.76)</f>
        <v>454.76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IFERROR(__xludf.DUMMYFUNCTION("""COMPUTED_VALUE"""),492.55)</f>
        <v>492.55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IFERROR(__xludf.DUMMYFUNCTION("""COMPUTED_VALUE"""),476.24)</f>
        <v>476.24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IFERROR(__xludf.DUMMYFUNCTION("""COMPUTED_VALUE"""),491.75)</f>
        <v>491.75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IFERROR(__xludf.DUMMYFUNCTION("""COMPUTED_VALUE"""),511.5)</f>
        <v>511.5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IFERROR(__xludf.DUMMYFUNCTION("""COMPUTED_VALUE"""),557.91)</f>
        <v>557.91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IFERROR(__xludf.DUMMYFUNCTION("""COMPUTED_VALUE"""),562.82)</f>
        <v>562.82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IFERROR(__xludf.DUMMYFUNCTION("""COMPUTED_VALUE"""),543.78)</f>
        <v>543.78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IFERROR(__xludf.DUMMYFUNCTION("""COMPUTED_VALUE"""),521.17)</f>
        <v>521.17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IFERROR(__xludf.DUMMYFUNCTION("""COMPUTED_VALUE"""),518.65)</f>
        <v>518.65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IFERROR(__xludf.DUMMYFUNCTION("""COMPUTED_VALUE"""),513.48)</f>
        <v>513.48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IFERROR(__xludf.DUMMYFUNCTION("""COMPUTED_VALUE"""),534.2)</f>
        <v>534.2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IFERROR(__xludf.DUMMYFUNCTION("""COMPUTED_VALUE"""),588.0)</f>
        <v>588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IFERROR(__xludf.DUMMYFUNCTION("""COMPUTED_VALUE"""),605.23)</f>
        <v>605.23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IFERROR(__xludf.DUMMYFUNCTION("""COMPUTED_VALUE"""),615.65)</f>
        <v>615.65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IFERROR(__xludf.DUMMYFUNCTION("""COMPUTED_VALUE"""),567.4)</f>
        <v>567.4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IFERROR(__xludf.DUMMYFUNCTION("""COMPUTED_VALUE"""),567.4)</f>
        <v>567.4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IFERROR(__xludf.DUMMYFUNCTION("""COMPUTED_VALUE"""),546.47)</f>
        <v>546.47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IFERROR(__xludf.DUMMYFUNCTION("""COMPUTED_VALUE"""),494.27)</f>
        <v>494.27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IFERROR(__xludf.DUMMYFUNCTION("""COMPUTED_VALUE"""),582.37)</f>
        <v>582.37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IFERROR(__xludf.DUMMYFUNCTION("""COMPUTED_VALUE"""),592.62)</f>
        <v>592.62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IFERROR(__xludf.DUMMYFUNCTION("""COMPUTED_VALUE"""),608.59)</f>
        <v>608.59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IFERROR(__xludf.DUMMYFUNCTION("""COMPUTED_VALUE"""),632.0)</f>
        <v>632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IFERROR(__xludf.DUMMYFUNCTION("""COMPUTED_VALUE"""),730.02)</f>
        <v>730.02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IFERROR(__xludf.DUMMYFUNCTION("""COMPUTED_VALUE"""),736.57)</f>
        <v>736.57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IFERROR(__xludf.DUMMYFUNCTION("""COMPUTED_VALUE"""),748.34)</f>
        <v>748.34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IFERROR(__xludf.DUMMYFUNCTION("""COMPUTED_VALUE"""),776.71)</f>
        <v>776.71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IFERROR(__xludf.DUMMYFUNCTION("""COMPUTED_VALUE"""),880.95)</f>
        <v>880.95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IFERROR(__xludf.DUMMYFUNCTION("""COMPUTED_VALUE"""),894.08)</f>
        <v>894.08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IFERROR(__xludf.DUMMYFUNCTION("""COMPUTED_VALUE"""),890.84)</f>
        <v>890.84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IFERROR(__xludf.DUMMYFUNCTION("""COMPUTED_VALUE"""),846.01)</f>
        <v>846.01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IFERROR(__xludf.DUMMYFUNCTION("""COMPUTED_VALUE"""),821.77)</f>
        <v>821.77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IFERROR(__xludf.DUMMYFUNCTION("""COMPUTED_VALUE"""),841.2)</f>
        <v>841.2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IFERROR(__xludf.DUMMYFUNCTION("""COMPUTED_VALUE"""),865.97)</f>
        <v>865.97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IFERROR(__xludf.DUMMYFUNCTION("""COMPUTED_VALUE"""),843.2)</f>
        <v>843.2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IFERROR(__xludf.DUMMYFUNCTION("""COMPUTED_VALUE"""),892.27)</f>
        <v>892.27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IFERROR(__xludf.DUMMYFUNCTION("GOOGLEFINANCE(""NSE:TATASTEEL"",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IFERROR(__xludf.DUMMYFUNCTION("""COMPUTED_VALUE"""),911.8)</f>
        <v>911.8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IFERROR(__xludf.DUMMYFUNCTION("""COMPUTED_VALUE"""),904.18)</f>
        <v>904.18</v>
      </c>
    </row>
    <row r="334" ht="15.75" customHeight="1">
      <c r="B334" s="3">
        <f>IFERROR(__xludf.DUMMYFUNCTION("""COMPUTED_VALUE"""),39465.645833333336)</f>
        <v>39465.64583</v>
      </c>
      <c r="C334" s="2">
        <f>IFERROR(__xludf.DUMMYFUNCTION("""COMPUTED_VALUE"""),877.98)</f>
        <v>877.98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IFERROR(__xludf.DUMMYFUNCTION("""COMPUTED_VALUE"""),819.0)</f>
        <v>819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IFERROR(__xludf.DUMMYFUNCTION("""COMPUTED_VALUE"""),744.12)</f>
        <v>744.12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IFERROR(__xludf.DUMMYFUNCTION("""COMPUTED_VALUE"""),782.23)</f>
        <v>782.23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IFERROR(__xludf.DUMMYFUNCTION("""COMPUTED_VALUE"""),782.32)</f>
        <v>782.32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IFERROR(__xludf.DUMMYFUNCTION("""COMPUTED_VALUE"""),806.05)</f>
        <v>806.05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IFERROR(__xludf.DUMMYFUNCTION("""COMPUTED_VALUE"""),794.52)</f>
        <v>794.52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IFERROR(__xludf.DUMMYFUNCTION("""COMPUTED_VALUE"""),765.74)</f>
        <v>765.74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IFERROR(__xludf.DUMMYFUNCTION("""COMPUTED_VALUE"""),792.52)</f>
        <v>792.52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IFERROR(__xludf.DUMMYFUNCTION("""COMPUTED_VALUE"""),666.89)</f>
        <v>666.89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IFERROR(__xludf.DUMMYFUNCTION("""COMPUTED_VALUE"""),690.71)</f>
        <v>690.71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IFERROR(__xludf.DUMMYFUNCTION("""COMPUTED_VALUE"""),683.14)</f>
        <v>683.14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IFERROR(__xludf.DUMMYFUNCTION("""COMPUTED_VALUE"""),669.56)</f>
        <v>669.56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IFERROR(__xludf.DUMMYFUNCTION("""COMPUTED_VALUE"""),687.9)</f>
        <v>687.9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IFERROR(__xludf.DUMMYFUNCTION("""COMPUTED_VALUE"""),767.84)</f>
        <v>767.84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IFERROR(__xludf.DUMMYFUNCTION("""COMPUTED_VALUE"""),787.94)</f>
        <v>787.94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IFERROR(__xludf.DUMMYFUNCTION("""COMPUTED_VALUE"""),817.29)</f>
        <v>817.29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IFERROR(__xludf.DUMMYFUNCTION("""COMPUTED_VALUE"""),859.4)</f>
        <v>859.4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IFERROR(__xludf.DUMMYFUNCTION("""COMPUTED_VALUE"""),881.79)</f>
        <v>881.79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IFERROR(__xludf.DUMMYFUNCTION("""COMPUTED_VALUE"""),881.31)</f>
        <v>881.31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IFERROR(__xludf.DUMMYFUNCTION("""COMPUTED_VALUE"""),872.69)</f>
        <v>872.69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IFERROR(__xludf.DUMMYFUNCTION("""COMPUTED_VALUE"""),823.1)</f>
        <v>823.1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IFERROR(__xludf.DUMMYFUNCTION("""COMPUTED_VALUE"""),824.15)</f>
        <v>824.15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IFERROR(__xludf.DUMMYFUNCTION("""COMPUTED_VALUE"""),757.45)</f>
        <v>757.45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IFERROR(__xludf.DUMMYFUNCTION("""COMPUTED_VALUE"""),714.58)</f>
        <v>714.58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IFERROR(__xludf.DUMMYFUNCTION("""COMPUTED_VALUE"""),674.47)</f>
        <v>674.47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IFERROR(__xludf.DUMMYFUNCTION("""COMPUTED_VALUE"""),666.85)</f>
        <v>666.85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IFERROR(__xludf.DUMMYFUNCTION("""COMPUTED_VALUE"""),647.89)</f>
        <v>647.89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IFERROR(__xludf.DUMMYFUNCTION("""COMPUTED_VALUE"""),651.6)</f>
        <v>651.6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IFERROR(__xludf.DUMMYFUNCTION("""COMPUTED_VALUE"""),666.94)</f>
        <v>666.94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IFERROR(__xludf.DUMMYFUNCTION("""COMPUTED_VALUE"""),634.26)</f>
        <v>634.26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IFERROR(__xludf.DUMMYFUNCTION("""COMPUTED_VALUE"""),591.72)</f>
        <v>591.72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IFERROR(__xludf.DUMMYFUNCTION("""COMPUTED_VALUE"""),644.07)</f>
        <v>644.07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IFERROR(__xludf.DUMMYFUNCTION("""COMPUTED_VALUE"""),569.76)</f>
        <v>569.76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IFERROR(__xludf.DUMMYFUNCTION("""COMPUTED_VALUE"""),552.04)</f>
        <v>552.04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IFERROR(__xludf.DUMMYFUNCTION("""COMPUTED_VALUE"""),493.54)</f>
        <v>493.54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IFERROR(__xludf.DUMMYFUNCTION("""COMPUTED_VALUE"""),479.63)</f>
        <v>479.63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IFERROR(__xludf.DUMMYFUNCTION("""COMPUTED_VALUE"""),444.9)</f>
        <v>444.9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IFERROR(__xludf.DUMMYFUNCTION("""COMPUTED_VALUE"""),381.11)</f>
        <v>381.11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IFERROR(__xludf.DUMMYFUNCTION("""COMPUTED_VALUE"""),312.99)</f>
        <v>312.99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IFERROR(__xludf.DUMMYFUNCTION("""COMPUTED_VALUE"""),268.44)</f>
        <v>268.44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IFERROR(__xludf.DUMMYFUNCTION("""COMPUTED_VALUE"""),204.75)</f>
        <v>204.75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IFERROR(__xludf.DUMMYFUNCTION("""COMPUTED_VALUE"""),242.77)</f>
        <v>242.77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IFERROR(__xludf.DUMMYFUNCTION("""COMPUTED_VALUE"""),206.18)</f>
        <v>206.18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IFERROR(__xludf.DUMMYFUNCTION("""COMPUTED_VALUE"""),168.55)</f>
        <v>168.55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IFERROR(__xludf.DUMMYFUNCTION("""COMPUTED_VALUE"""),156.25)</f>
        <v>156.25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IFERROR(__xludf.DUMMYFUNCTION("""COMPUTED_VALUE"""),184.12)</f>
        <v>184.12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IFERROR(__xludf.DUMMYFUNCTION("""COMPUTED_VALUE"""),215.23)</f>
        <v>215.23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IFERROR(__xludf.DUMMYFUNCTION("""COMPUTED_VALUE"""),226.19)</f>
        <v>226.19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IFERROR(__xludf.DUMMYFUNCTION("""COMPUTED_VALUE"""),225.57)</f>
        <v>225.57</v>
      </c>
    </row>
    <row r="384" ht="15.75" customHeight="1"/>
    <row r="385" ht="15.75" customHeight="1"/>
    <row r="386" ht="15.75" customHeight="1">
      <c r="B386" s="2" t="str">
        <f>IFERROR(__xludf.DUMMYFUNCTION("GOOGLEFINANCE(""NSE:TATASTEEL"",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IFERROR(__xludf.DUMMYFUNCTION("""COMPUTED_VALUE"""),224.57)</f>
        <v>224.57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IFERROR(__xludf.DUMMYFUNCTION("""COMPUTED_VALUE"""),248.39)</f>
        <v>248.39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IFERROR(__xludf.DUMMYFUNCTION("""COMPUTED_VALUE"""),206.23)</f>
        <v>206.23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IFERROR(__xludf.DUMMYFUNCTION("""COMPUTED_VALUE"""),201.42)</f>
        <v>201.42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IFERROR(__xludf.DUMMYFUNCTION("""COMPUTED_VALUE"""),179.45)</f>
        <v>179.45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IFERROR(__xludf.DUMMYFUNCTION("""COMPUTED_VALUE"""),179.5)</f>
        <v>179.5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IFERROR(__xludf.DUMMYFUNCTION("""COMPUTED_VALUE"""),194.22)</f>
        <v>194.22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IFERROR(__xludf.DUMMYFUNCTION("""COMPUTED_VALUE"""),187.6)</f>
        <v>187.6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IFERROR(__xludf.DUMMYFUNCTION("""COMPUTED_VALUE"""),167.02)</f>
        <v>167.02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IFERROR(__xludf.DUMMYFUNCTION("""COMPUTED_VALUE"""),162.69)</f>
        <v>162.69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IFERROR(__xludf.DUMMYFUNCTION("""COMPUTED_VALUE"""),159.83)</f>
        <v>159.83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IFERROR(__xludf.DUMMYFUNCTION("""COMPUTED_VALUE"""),172.93)</f>
        <v>172.93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IFERROR(__xludf.DUMMYFUNCTION("""COMPUTED_VALUE"""),216.57)</f>
        <v>216.57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IFERROR(__xludf.DUMMYFUNCTION("""COMPUTED_VALUE"""),219.47)</f>
        <v>219.47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IFERROR(__xludf.DUMMYFUNCTION("""COMPUTED_VALUE"""),253.25)</f>
        <v>253.25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IFERROR(__xludf.DUMMYFUNCTION("""COMPUTED_VALUE"""),284.88)</f>
        <v>284.88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IFERROR(__xludf.DUMMYFUNCTION("""COMPUTED_VALUE"""),259.15)</f>
        <v>259.15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IFERROR(__xludf.DUMMYFUNCTION("""COMPUTED_VALUE"""),255.82)</f>
        <v>255.82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IFERROR(__xludf.DUMMYFUNCTION("""COMPUTED_VALUE"""),288.55)</f>
        <v>288.55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IFERROR(__xludf.DUMMYFUNCTION("""COMPUTED_VALUE"""),275.16)</f>
        <v>275.16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IFERROR(__xludf.DUMMYFUNCTION("""COMPUTED_VALUE"""),369.25)</f>
        <v>369.25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IFERROR(__xludf.DUMMYFUNCTION("""COMPUTED_VALUE"""),393.21)</f>
        <v>393.21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IFERROR(__xludf.DUMMYFUNCTION("""COMPUTED_VALUE"""),475.24)</f>
        <v>475.24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IFERROR(__xludf.DUMMYFUNCTION("""COMPUTED_VALUE"""),449.71)</f>
        <v>449.71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IFERROR(__xludf.DUMMYFUNCTION("""COMPUTED_VALUE"""),434.27)</f>
        <v>434.27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IFERROR(__xludf.DUMMYFUNCTION("""COMPUTED_VALUE"""),401.97)</f>
        <v>401.97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IFERROR(__xludf.DUMMYFUNCTION("""COMPUTED_VALUE"""),422.08)</f>
        <v>422.08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IFERROR(__xludf.DUMMYFUNCTION("""COMPUTED_VALUE"""),416.12)</f>
        <v>416.12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IFERROR(__xludf.DUMMYFUNCTION("""COMPUTED_VALUE"""),384.73)</f>
        <v>384.73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IFERROR(__xludf.DUMMYFUNCTION("""COMPUTED_VALUE"""),423.98)</f>
        <v>423.98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IFERROR(__xludf.DUMMYFUNCTION("""COMPUTED_VALUE"""),452.38)</f>
        <v>452.38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IFERROR(__xludf.DUMMYFUNCTION("""COMPUTED_VALUE"""),468.76)</f>
        <v>468.76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IFERROR(__xludf.DUMMYFUNCTION("""COMPUTED_VALUE"""),459.86)</f>
        <v>459.86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IFERROR(__xludf.DUMMYFUNCTION("""COMPUTED_VALUE"""),441.8)</f>
        <v>441.8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IFERROR(__xludf.DUMMYFUNCTION("""COMPUTED_VALUE"""),444.85)</f>
        <v>444.85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IFERROR(__xludf.DUMMYFUNCTION("""COMPUTED_VALUE"""),417.22)</f>
        <v>417.22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IFERROR(__xludf.DUMMYFUNCTION("""COMPUTED_VALUE"""),475.43)</f>
        <v>475.43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IFERROR(__xludf.DUMMYFUNCTION("""COMPUTED_VALUE"""),516.59)</f>
        <v>516.59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IFERROR(__xludf.DUMMYFUNCTION("""COMPUTED_VALUE"""),505.83)</f>
        <v>505.83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IFERROR(__xludf.DUMMYFUNCTION("""COMPUTED_VALUE"""),490.58)</f>
        <v>490.58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IFERROR(__xludf.DUMMYFUNCTION("""COMPUTED_VALUE"""),519.59)</f>
        <v>519.59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IFERROR(__xludf.DUMMYFUNCTION("""COMPUTED_VALUE"""),553.23)</f>
        <v>553.23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IFERROR(__xludf.DUMMYFUNCTION("""COMPUTED_VALUE"""),527.22)</f>
        <v>527.22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IFERROR(__xludf.DUMMYFUNCTION("""COMPUTED_VALUE"""),483.06)</f>
        <v>483.06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IFERROR(__xludf.DUMMYFUNCTION("""COMPUTED_VALUE"""),504.49)</f>
        <v>504.49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IFERROR(__xludf.DUMMYFUNCTION("""COMPUTED_VALUE"""),529.46)</f>
        <v>529.46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IFERROR(__xludf.DUMMYFUNCTION("""COMPUTED_VALUE"""),551.61)</f>
        <v>551.61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IFERROR(__xludf.DUMMYFUNCTION("""COMPUTED_VALUE"""),563.47)</f>
        <v>563.47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IFERROR(__xludf.DUMMYFUNCTION("""COMPUTED_VALUE"""),547.75)</f>
        <v>547.75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IFERROR(__xludf.DUMMYFUNCTION("""COMPUTED_VALUE"""),545.46)</f>
        <v>545.46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IFERROR(__xludf.DUMMYFUNCTION("""COMPUTED_VALUE"""),589.15)</f>
        <v>589.15</v>
      </c>
    </row>
    <row r="438" ht="15.75" customHeight="1"/>
    <row r="439" ht="15.75" customHeight="1"/>
    <row r="440" ht="15.75" customHeight="1"/>
    <row r="441" ht="15.75" customHeight="1">
      <c r="B441" s="2" t="str">
        <f>IFERROR(__xludf.DUMMYFUNCTION("GOOGLEFINANCE(""NSE:TATASTEEL"",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IFERROR(__xludf.DUMMYFUNCTION("""COMPUTED_VALUE"""),630.26)</f>
        <v>630.26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IFERROR(__xludf.DUMMYFUNCTION("""COMPUTED_VALUE"""),624.92)</f>
        <v>624.92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IFERROR(__xludf.DUMMYFUNCTION("""COMPUTED_VALUE"""),628.35)</f>
        <v>628.35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IFERROR(__xludf.DUMMYFUNCTION("""COMPUTED_VALUE"""),596.15)</f>
        <v>596.15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IFERROR(__xludf.DUMMYFUNCTION("""COMPUTED_VALUE"""),539.17)</f>
        <v>539.17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IFERROR(__xludf.DUMMYFUNCTION("""COMPUTED_VALUE"""),559.28)</f>
        <v>559.28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IFERROR(__xludf.DUMMYFUNCTION("""COMPUTED_VALUE"""),564.33)</f>
        <v>564.33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IFERROR(__xludf.DUMMYFUNCTION("""COMPUTED_VALUE"""),597.86)</f>
        <v>597.86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IFERROR(__xludf.DUMMYFUNCTION("""COMPUTED_VALUE"""),598.34)</f>
        <v>598.34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IFERROR(__xludf.DUMMYFUNCTION("""COMPUTED_VALUE"""),615.01)</f>
        <v>615.01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IFERROR(__xludf.DUMMYFUNCTION("""COMPUTED_VALUE"""),619.3)</f>
        <v>619.3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IFERROR(__xludf.DUMMYFUNCTION("""COMPUTED_VALUE"""),623.11)</f>
        <v>623.11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IFERROR(__xludf.DUMMYFUNCTION("""COMPUTED_VALUE"""),704.1)</f>
        <v>704.1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IFERROR(__xludf.DUMMYFUNCTION("""COMPUTED_VALUE"""),668.18)</f>
        <v>668.18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IFERROR(__xludf.DUMMYFUNCTION("""COMPUTED_VALUE"""),655.51)</f>
        <v>655.51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IFERROR(__xludf.DUMMYFUNCTION("""COMPUTED_VALUE"""),633.31)</f>
        <v>633.31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IFERROR(__xludf.DUMMYFUNCTION("""COMPUTED_VALUE"""),600.1)</f>
        <v>600.1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IFERROR(__xludf.DUMMYFUNCTION("""COMPUTED_VALUE"""),580.05)</f>
        <v>580.05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IFERROR(__xludf.DUMMYFUNCTION("""COMPUTED_VALUE"""),515.74)</f>
        <v>515.74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IFERROR(__xludf.DUMMYFUNCTION("""COMPUTED_VALUE"""),499.25)</f>
        <v>499.25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IFERROR(__xludf.DUMMYFUNCTION("""COMPUTED_VALUE"""),483.82)</f>
        <v>483.82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IFERROR(__xludf.DUMMYFUNCTION("""COMPUTED_VALUE"""),455.81)</f>
        <v>455.81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IFERROR(__xludf.DUMMYFUNCTION("""COMPUTED_VALUE"""),474.48)</f>
        <v>474.48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IFERROR(__xludf.DUMMYFUNCTION("""COMPUTED_VALUE"""),484.01)</f>
        <v>484.01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IFERROR(__xludf.DUMMYFUNCTION("""COMPUTED_VALUE"""),477.96)</f>
        <v>477.96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IFERROR(__xludf.DUMMYFUNCTION("""COMPUTED_VALUE"""),474.39)</f>
        <v>474.39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IFERROR(__xludf.DUMMYFUNCTION("""COMPUTED_VALUE"""),494.97)</f>
        <v>494.97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IFERROR(__xludf.DUMMYFUNCTION("""COMPUTED_VALUE"""),522.98)</f>
        <v>522.98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IFERROR(__xludf.DUMMYFUNCTION("""COMPUTED_VALUE"""),518.12)</f>
        <v>518.12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IFERROR(__xludf.DUMMYFUNCTION("""COMPUTED_VALUE"""),525.22)</f>
        <v>525.22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IFERROR(__xludf.DUMMYFUNCTION("""COMPUTED_VALUE"""),527.17)</f>
        <v>527.17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IFERROR(__xludf.DUMMYFUNCTION("""COMPUTED_VALUE"""),511.5)</f>
        <v>511.5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IFERROR(__xludf.DUMMYFUNCTION("""COMPUTED_VALUE"""),501.92)</f>
        <v>501.92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IFERROR(__xludf.DUMMYFUNCTION("""COMPUTED_VALUE"""),521.17)</f>
        <v>521.17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IFERROR(__xludf.DUMMYFUNCTION("""COMPUTED_VALUE"""),568.47)</f>
        <v>568.47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IFERROR(__xludf.DUMMYFUNCTION("""COMPUTED_VALUE"""),586.76)</f>
        <v>586.76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IFERROR(__xludf.DUMMYFUNCTION("""COMPUTED_VALUE"""),603.96)</f>
        <v>603.96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IFERROR(__xludf.DUMMYFUNCTION("""COMPUTED_VALUE"""),642.41)</f>
        <v>642.41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IFERROR(__xludf.DUMMYFUNCTION("""COMPUTED_VALUE"""),652.65)</f>
        <v>652.65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IFERROR(__xludf.DUMMYFUNCTION("""COMPUTED_VALUE"""),628.26)</f>
        <v>628.26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IFERROR(__xludf.DUMMYFUNCTION("""COMPUTED_VALUE"""),622.06)</f>
        <v>622.06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IFERROR(__xludf.DUMMYFUNCTION("""COMPUTED_VALUE"""),601.01)</f>
        <v>601.01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IFERROR(__xludf.DUMMYFUNCTION("""COMPUTED_VALUE"""),599.29)</f>
        <v>599.29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IFERROR(__xludf.DUMMYFUNCTION("""COMPUTED_VALUE"""),617.78)</f>
        <v>617.78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IFERROR(__xludf.DUMMYFUNCTION("""COMPUTED_VALUE"""),596.91)</f>
        <v>596.91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IFERROR(__xludf.DUMMYFUNCTION("""COMPUTED_VALUE"""),597.44)</f>
        <v>597.44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IFERROR(__xludf.DUMMYFUNCTION("""COMPUTED_VALUE"""),600.53)</f>
        <v>600.53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IFERROR(__xludf.DUMMYFUNCTION("""COMPUTED_VALUE"""),613.92)</f>
        <v>613.92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IFERROR(__xludf.DUMMYFUNCTION("""COMPUTED_VALUE"""),631.35)</f>
        <v>631.35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IFERROR(__xludf.DUMMYFUNCTION("""COMPUTED_VALUE"""),650.46)</f>
        <v>650.46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IFERROR(__xludf.DUMMYFUNCTION("""COMPUTED_VALUE"""),651.98)</f>
        <v>651.98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IFERROR(__xludf.DUMMYFUNCTION("GOOGLEFINANCE(""NSE:TATASTEEL"",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IFERROR(__xludf.DUMMYFUNCTION("""COMPUTED_VALUE"""),680.18)</f>
        <v>680.18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IFERROR(__xludf.DUMMYFUNCTION("""COMPUTED_VALUE"""),634.26)</f>
        <v>634.26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IFERROR(__xludf.DUMMYFUNCTION("""COMPUTED_VALUE"""),614.06)</f>
        <v>614.06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IFERROR(__xludf.DUMMYFUNCTION("""COMPUTED_VALUE"""),633.12)</f>
        <v>633.12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IFERROR(__xludf.DUMMYFUNCTION("""COMPUTED_VALUE"""),621.21)</f>
        <v>621.21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IFERROR(__xludf.DUMMYFUNCTION("""COMPUTED_VALUE"""),615.01)</f>
        <v>615.01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IFERROR(__xludf.DUMMYFUNCTION("""COMPUTED_VALUE"""),630.16)</f>
        <v>630.16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IFERROR(__xludf.DUMMYFUNCTION("""COMPUTED_VALUE"""),702.19)</f>
        <v>702.19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IFERROR(__xludf.DUMMYFUNCTION("""COMPUTED_VALUE"""),605.77)</f>
        <v>605.77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IFERROR(__xludf.DUMMYFUNCTION("""COMPUTED_VALUE"""),591.24)</f>
        <v>591.24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IFERROR(__xludf.DUMMYFUNCTION("""COMPUTED_VALUE"""),578.81)</f>
        <v>578.81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IFERROR(__xludf.DUMMYFUNCTION("""COMPUTED_VALUE"""),587.77)</f>
        <v>587.77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IFERROR(__xludf.DUMMYFUNCTION("""COMPUTED_VALUE"""),600.2)</f>
        <v>600.2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IFERROR(__xludf.DUMMYFUNCTION("""COMPUTED_VALUE"""),611.68)</f>
        <v>611.68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IFERROR(__xludf.DUMMYFUNCTION("""COMPUTED_VALUE"""),609.77)</f>
        <v>609.77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IFERROR(__xludf.DUMMYFUNCTION("""COMPUTED_VALUE"""),606.25)</f>
        <v>606.25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IFERROR(__xludf.DUMMYFUNCTION("""COMPUTED_VALUE"""),604.72)</f>
        <v>604.72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IFERROR(__xludf.DUMMYFUNCTION("""COMPUTED_VALUE"""),589.77)</f>
        <v>589.77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IFERROR(__xludf.DUMMYFUNCTION("""COMPUTED_VALUE"""),573.57)</f>
        <v>573.57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IFERROR(__xludf.DUMMYFUNCTION("""COMPUTED_VALUE"""),564.99)</f>
        <v>564.99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IFERROR(__xludf.DUMMYFUNCTION("""COMPUTED_VALUE"""),560.61)</f>
        <v>560.61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IFERROR(__xludf.DUMMYFUNCTION("""COMPUTED_VALUE"""),569.23)</f>
        <v>569.23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IFERROR(__xludf.DUMMYFUNCTION("""COMPUTED_VALUE"""),554.23)</f>
        <v>554.23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IFERROR(__xludf.DUMMYFUNCTION("""COMPUTED_VALUE"""),548.13)</f>
        <v>548.13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IFERROR(__xludf.DUMMYFUNCTION("""COMPUTED_VALUE"""),552.85)</f>
        <v>552.85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IFERROR(__xludf.DUMMYFUNCTION("""COMPUTED_VALUE"""),587.57)</f>
        <v>587.57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IFERROR(__xludf.DUMMYFUNCTION("""COMPUTED_VALUE"""),579.29)</f>
        <v>579.29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IFERROR(__xludf.DUMMYFUNCTION("""COMPUTED_VALUE"""),567.71)</f>
        <v>567.71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IFERROR(__xludf.DUMMYFUNCTION("""COMPUTED_VALUE"""),558.71)</f>
        <v>558.71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IFERROR(__xludf.DUMMYFUNCTION("""COMPUTED_VALUE"""),567.57)</f>
        <v>567.57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IFERROR(__xludf.DUMMYFUNCTION("""COMPUTED_VALUE"""),548.75)</f>
        <v>548.75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IFERROR(__xludf.DUMMYFUNCTION("""COMPUTED_VALUE"""),495.35)</f>
        <v>495.35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IFERROR(__xludf.DUMMYFUNCTION("""COMPUTED_VALUE"""),459.14)</f>
        <v>459.14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IFERROR(__xludf.DUMMYFUNCTION("""COMPUTED_VALUE"""),457.24)</f>
        <v>457.24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IFERROR(__xludf.DUMMYFUNCTION("""COMPUTED_VALUE"""),469.43)</f>
        <v>469.43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IFERROR(__xludf.DUMMYFUNCTION("""COMPUTED_VALUE"""),479.72)</f>
        <v>479.72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IFERROR(__xludf.DUMMYFUNCTION("""COMPUTED_VALUE"""),454.47)</f>
        <v>454.47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IFERROR(__xludf.DUMMYFUNCTION("""COMPUTED_VALUE"""),440.75)</f>
        <v>440.75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IFERROR(__xludf.DUMMYFUNCTION("""COMPUTED_VALUE"""),424.36)</f>
        <v>424.36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IFERROR(__xludf.DUMMYFUNCTION("""COMPUTED_VALUE"""),401.5)</f>
        <v>401.5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IFERROR(__xludf.DUMMYFUNCTION("""COMPUTED_VALUE"""),435.8)</f>
        <v>435.8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IFERROR(__xludf.DUMMYFUNCTION("""COMPUTED_VALUE"""),423.98)</f>
        <v>423.98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IFERROR(__xludf.DUMMYFUNCTION("""COMPUTED_VALUE"""),468.43)</f>
        <v>468.43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IFERROR(__xludf.DUMMYFUNCTION("""COMPUTED_VALUE"""),465.57)</f>
        <v>465.57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IFERROR(__xludf.DUMMYFUNCTION("""COMPUTED_VALUE"""),452.85)</f>
        <v>452.85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IFERROR(__xludf.DUMMYFUNCTION("""COMPUTED_VALUE"""),417.27)</f>
        <v>417.27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IFERROR(__xludf.DUMMYFUNCTION("""COMPUTED_VALUE"""),380.58)</f>
        <v>380.58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IFERROR(__xludf.DUMMYFUNCTION("""COMPUTED_VALUE"""),402.88)</f>
        <v>402.88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IFERROR(__xludf.DUMMYFUNCTION("""COMPUTED_VALUE"""),401.12)</f>
        <v>401.12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IFERROR(__xludf.DUMMYFUNCTION("""COMPUTED_VALUE"""),386.35)</f>
        <v>386.35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IFERROR(__xludf.DUMMYFUNCTION("""COMPUTED_VALUE"""),349.24)</f>
        <v>349.24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IFERROR(__xludf.DUMMYFUNCTION("""COMPUTED_VALUE"""),342.71)</f>
        <v>342.71</v>
      </c>
    </row>
    <row r="549" ht="15.75" customHeight="1"/>
    <row r="550" ht="15.75" customHeight="1"/>
    <row r="551" ht="15.75" customHeight="1">
      <c r="B551" s="2" t="str">
        <f>IFERROR(__xludf.DUMMYFUNCTION("GOOGLEFINANCE(""NSE:TATASTEEL"",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IFERROR(__xludf.DUMMYFUNCTION("""COMPUTED_VALUE"""),404.83)</f>
        <v>404.83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IFERROR(__xludf.DUMMYFUNCTION("""COMPUTED_VALUE"""),427.22)</f>
        <v>427.22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IFERROR(__xludf.DUMMYFUNCTION("""COMPUTED_VALUE"""),440.75)</f>
        <v>440.75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IFERROR(__xludf.DUMMYFUNCTION("""COMPUTED_VALUE"""),458.09)</f>
        <v>458.09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IFERROR(__xludf.DUMMYFUNCTION("""COMPUTED_VALUE"""),455.81)</f>
        <v>455.81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IFERROR(__xludf.DUMMYFUNCTION("""COMPUTED_VALUE"""),473.29)</f>
        <v>473.29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IFERROR(__xludf.DUMMYFUNCTION("""COMPUTED_VALUE"""),477.29)</f>
        <v>477.29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IFERROR(__xludf.DUMMYFUNCTION("""COMPUTED_VALUE"""),443.04)</f>
        <v>443.04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IFERROR(__xludf.DUMMYFUNCTION("""COMPUTED_VALUE"""),453.33)</f>
        <v>453.33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IFERROR(__xludf.DUMMYFUNCTION("""COMPUTED_VALUE"""),453.23)</f>
        <v>453.23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IFERROR(__xludf.DUMMYFUNCTION("""COMPUTED_VALUE"""),452.23)</f>
        <v>452.23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IFERROR(__xludf.DUMMYFUNCTION("""COMPUTED_VALUE"""),459.47)</f>
        <v>459.47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IFERROR(__xludf.DUMMYFUNCTION("""COMPUTED_VALUE"""),450.09)</f>
        <v>450.09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IFERROR(__xludf.DUMMYFUNCTION("""COMPUTED_VALUE"""),452.09)</f>
        <v>452.09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IFERROR(__xludf.DUMMYFUNCTION("""COMPUTED_VALUE"""),447.23)</f>
        <v>447.23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IFERROR(__xludf.DUMMYFUNCTION("""COMPUTED_VALUE"""),423.7)</f>
        <v>423.7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IFERROR(__xludf.DUMMYFUNCTION("""COMPUTED_VALUE"""),400.16)</f>
        <v>400.16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IFERROR(__xludf.DUMMYFUNCTION("""COMPUTED_VALUE"""),391.11)</f>
        <v>391.11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IFERROR(__xludf.DUMMYFUNCTION("""COMPUTED_VALUE"""),399.21)</f>
        <v>399.21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IFERROR(__xludf.DUMMYFUNCTION("""COMPUTED_VALUE"""),400.02)</f>
        <v>400.02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IFERROR(__xludf.DUMMYFUNCTION("""COMPUTED_VALUE"""),399.21)</f>
        <v>399.21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IFERROR(__xludf.DUMMYFUNCTION("""COMPUTED_VALUE"""),411.55)</f>
        <v>411.55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IFERROR(__xludf.DUMMYFUNCTION("""COMPUTED_VALUE"""),423.03)</f>
        <v>423.03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IFERROR(__xludf.DUMMYFUNCTION("""COMPUTED_VALUE"""),434.08)</f>
        <v>434.08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IFERROR(__xludf.DUMMYFUNCTION("""COMPUTED_VALUE"""),423.98)</f>
        <v>423.98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IFERROR(__xludf.DUMMYFUNCTION("""COMPUTED_VALUE"""),398.93)</f>
        <v>398.93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IFERROR(__xludf.DUMMYFUNCTION("""COMPUTED_VALUE"""),392.92)</f>
        <v>392.92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IFERROR(__xludf.DUMMYFUNCTION("""COMPUTED_VALUE"""),397.12)</f>
        <v>397.12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IFERROR(__xludf.DUMMYFUNCTION("""COMPUTED_VALUE"""),395.21)</f>
        <v>395.21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IFERROR(__xludf.DUMMYFUNCTION("""COMPUTED_VALUE"""),390.06)</f>
        <v>390.06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IFERROR(__xludf.DUMMYFUNCTION("""COMPUTED_VALUE"""),384.35)</f>
        <v>384.35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IFERROR(__xludf.DUMMYFUNCTION("""COMPUTED_VALUE"""),372.92)</f>
        <v>372.92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IFERROR(__xludf.DUMMYFUNCTION("""COMPUTED_VALUE"""),388.73)</f>
        <v>388.73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IFERROR(__xludf.DUMMYFUNCTION("""COMPUTED_VALUE"""),395.54)</f>
        <v>395.54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IFERROR(__xludf.DUMMYFUNCTION("""COMPUTED_VALUE"""),395.31)</f>
        <v>395.31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IFERROR(__xludf.DUMMYFUNCTION("""COMPUTED_VALUE"""),394.5)</f>
        <v>394.5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IFERROR(__xludf.DUMMYFUNCTION("""COMPUTED_VALUE"""),406.36)</f>
        <v>406.36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IFERROR(__xludf.DUMMYFUNCTION("""COMPUTED_VALUE"""),402.88)</f>
        <v>402.88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IFERROR(__xludf.DUMMYFUNCTION("""COMPUTED_VALUE"""),391.02)</f>
        <v>391.02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IFERROR(__xludf.DUMMYFUNCTION("""COMPUTED_VALUE"""),385.21)</f>
        <v>385.21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IFERROR(__xludf.DUMMYFUNCTION("""COMPUTED_VALUE"""),389.45)</f>
        <v>389.45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IFERROR(__xludf.DUMMYFUNCTION("""COMPUTED_VALUE"""),369.2)</f>
        <v>369.2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IFERROR(__xludf.DUMMYFUNCTION("""COMPUTED_VALUE"""),356.0)</f>
        <v>356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IFERROR(__xludf.DUMMYFUNCTION("""COMPUTED_VALUE"""),369.49)</f>
        <v>369.49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IFERROR(__xludf.DUMMYFUNCTION("""COMPUTED_VALUE"""),384.87)</f>
        <v>384.87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IFERROR(__xludf.DUMMYFUNCTION("""COMPUTED_VALUE"""),383.87)</f>
        <v>383.87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IFERROR(__xludf.DUMMYFUNCTION("""COMPUTED_VALUE"""),415.89)</f>
        <v>415.89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IFERROR(__xludf.DUMMYFUNCTION("""COMPUTED_VALUE"""),416.22)</f>
        <v>416.22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IFERROR(__xludf.DUMMYFUNCTION("GOOGLEFINANCE(""NSE:TATASTEEL"",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IFERROR(__xludf.DUMMYFUNCTION("""COMPUTED_VALUE"""),423.6)</f>
        <v>423.6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IFERROR(__xludf.DUMMYFUNCTION("""COMPUTED_VALUE"""),426.84)</f>
        <v>426.84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IFERROR(__xludf.DUMMYFUNCTION("""COMPUTED_VALUE"""),407.64)</f>
        <v>407.64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IFERROR(__xludf.DUMMYFUNCTION("""COMPUTED_VALUE"""),399.5)</f>
        <v>399.5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IFERROR(__xludf.DUMMYFUNCTION("""COMPUTED_VALUE"""),392.26)</f>
        <v>392.26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IFERROR(__xludf.DUMMYFUNCTION("""COMPUTED_VALUE"""),385.35)</f>
        <v>385.35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IFERROR(__xludf.DUMMYFUNCTION("""COMPUTED_VALUE"""),371.96)</f>
        <v>371.96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IFERROR(__xludf.DUMMYFUNCTION("""COMPUTED_VALUE"""),370.49)</f>
        <v>370.49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IFERROR(__xludf.DUMMYFUNCTION("""COMPUTED_VALUE"""),351.0)</f>
        <v>351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IFERROR(__xludf.DUMMYFUNCTION("""COMPUTED_VALUE"""),344.62)</f>
        <v>344.62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IFERROR(__xludf.DUMMYFUNCTION("""COMPUTED_VALUE"""),345.71)</f>
        <v>345.71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IFERROR(__xludf.DUMMYFUNCTION("""COMPUTED_VALUE"""),335.38)</f>
        <v>335.38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IFERROR(__xludf.DUMMYFUNCTION("""COMPUTED_VALUE"""),312.8)</f>
        <v>312.8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IFERROR(__xludf.DUMMYFUNCTION("""COMPUTED_VALUE"""),309.94)</f>
        <v>309.94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IFERROR(__xludf.DUMMYFUNCTION("""COMPUTED_VALUE"""),298.98)</f>
        <v>298.98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IFERROR(__xludf.DUMMYFUNCTION("""COMPUTED_VALUE"""),289.17)</f>
        <v>289.17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IFERROR(__xludf.DUMMYFUNCTION("""COMPUTED_VALUE"""),301.65)</f>
        <v>301.65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IFERROR(__xludf.DUMMYFUNCTION("""COMPUTED_VALUE"""),299.55)</f>
        <v>299.55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IFERROR(__xludf.DUMMYFUNCTION("""COMPUTED_VALUE"""),306.08)</f>
        <v>306.08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IFERROR(__xludf.DUMMYFUNCTION("""COMPUTED_VALUE"""),304.6)</f>
        <v>304.6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IFERROR(__xludf.DUMMYFUNCTION("""COMPUTED_VALUE"""),308.51)</f>
        <v>308.51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IFERROR(__xludf.DUMMYFUNCTION("""COMPUTED_VALUE"""),288.12)</f>
        <v>288.12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IFERROR(__xludf.DUMMYFUNCTION("""COMPUTED_VALUE"""),281.93)</f>
        <v>281.93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IFERROR(__xludf.DUMMYFUNCTION("""COMPUTED_VALUE"""),279.73)</f>
        <v>279.73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IFERROR(__xludf.DUMMYFUNCTION("""COMPUTED_VALUE"""),262.39)</f>
        <v>262.39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IFERROR(__xludf.DUMMYFUNCTION("""COMPUTED_VALUE"""),272.78)</f>
        <v>272.78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IFERROR(__xludf.DUMMYFUNCTION("""COMPUTED_VALUE"""),252.82)</f>
        <v>252.82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IFERROR(__xludf.DUMMYFUNCTION("""COMPUTED_VALUE"""),247.24)</f>
        <v>247.24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IFERROR(__xludf.DUMMYFUNCTION("""COMPUTED_VALUE"""),229.62)</f>
        <v>229.62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IFERROR(__xludf.DUMMYFUNCTION("""COMPUTED_VALUE"""),213.66)</f>
        <v>213.66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IFERROR(__xludf.DUMMYFUNCTION("""COMPUTED_VALUE"""),210.61)</f>
        <v>210.61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IFERROR(__xludf.DUMMYFUNCTION("""COMPUTED_VALUE"""),250.58)</f>
        <v>250.58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IFERROR(__xludf.DUMMYFUNCTION("""COMPUTED_VALUE"""),270.59)</f>
        <v>270.59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IFERROR(__xludf.DUMMYFUNCTION("""COMPUTED_VALUE"""),275.92)</f>
        <v>275.92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IFERROR(__xludf.DUMMYFUNCTION("""COMPUTED_VALUE"""),282.35)</f>
        <v>282.35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IFERROR(__xludf.DUMMYFUNCTION("""COMPUTED_VALUE"""),303.74)</f>
        <v>303.74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IFERROR(__xludf.DUMMYFUNCTION("""COMPUTED_VALUE"""),298.69)</f>
        <v>298.69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IFERROR(__xludf.DUMMYFUNCTION("""COMPUTED_VALUE"""),289.45)</f>
        <v>289.45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IFERROR(__xludf.DUMMYFUNCTION("""COMPUTED_VALUE"""),280.31)</f>
        <v>280.31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IFERROR(__xludf.DUMMYFUNCTION("""COMPUTED_VALUE"""),298.46)</f>
        <v>298.46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IFERROR(__xludf.DUMMYFUNCTION("""COMPUTED_VALUE"""),314.41)</f>
        <v>314.41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IFERROR(__xludf.DUMMYFUNCTION("""COMPUTED_VALUE"""),327.66)</f>
        <v>327.66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IFERROR(__xludf.DUMMYFUNCTION("""COMPUTED_VALUE"""),325.66)</f>
        <v>325.66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IFERROR(__xludf.DUMMYFUNCTION("""COMPUTED_VALUE"""),340.0)</f>
        <v>340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IFERROR(__xludf.DUMMYFUNCTION("""COMPUTED_VALUE"""),359.05)</f>
        <v>359.05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IFERROR(__xludf.DUMMYFUNCTION("""COMPUTED_VALUE"""),376.82)</f>
        <v>376.82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IFERROR(__xludf.DUMMYFUNCTION("""COMPUTED_VALUE"""),386.25)</f>
        <v>386.25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IFERROR(__xludf.DUMMYFUNCTION("""COMPUTED_VALUE"""),403.98)</f>
        <v>403.98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IFERROR(__xludf.DUMMYFUNCTION("""COMPUTED_VALUE"""),411.55)</f>
        <v>411.55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IFERROR(__xludf.DUMMYFUNCTION("""COMPUTED_VALUE"""),400.35)</f>
        <v>400.35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IFERROR(__xludf.DUMMYFUNCTION("""COMPUTED_VALUE"""),407.88)</f>
        <v>407.88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IFERROR(__xludf.DUMMYFUNCTION("GOOGLEFINANCE(""NSE:TATASTEEL"",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IFERROR(__xludf.DUMMYFUNCTION("""COMPUTED_VALUE"""),414.93)</f>
        <v>414.93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IFERROR(__xludf.DUMMYFUNCTION("""COMPUTED_VALUE"""),396.07)</f>
        <v>396.07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IFERROR(__xludf.DUMMYFUNCTION("""COMPUTED_VALUE"""),370.82)</f>
        <v>370.82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IFERROR(__xludf.DUMMYFUNCTION("""COMPUTED_VALUE"""),375.39)</f>
        <v>375.39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IFERROR(__xludf.DUMMYFUNCTION("""COMPUTED_VALUE"""),352.19)</f>
        <v>352.19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IFERROR(__xludf.DUMMYFUNCTION("""COMPUTED_VALUE"""),368.72)</f>
        <v>368.72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IFERROR(__xludf.DUMMYFUNCTION("""COMPUTED_VALUE"""),374.63)</f>
        <v>374.63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IFERROR(__xludf.DUMMYFUNCTION("""COMPUTED_VALUE"""),363.86)</f>
        <v>363.86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IFERROR(__xludf.DUMMYFUNCTION("""COMPUTED_VALUE"""),356.15)</f>
        <v>356.15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IFERROR(__xludf.DUMMYFUNCTION("""COMPUTED_VALUE"""),355.77)</f>
        <v>355.77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IFERROR(__xludf.DUMMYFUNCTION("""COMPUTED_VALUE"""),353.29)</f>
        <v>353.29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IFERROR(__xludf.DUMMYFUNCTION("""COMPUTED_VALUE"""),365.63)</f>
        <v>365.63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IFERROR(__xludf.DUMMYFUNCTION("""COMPUTED_VALUE"""),392.54)</f>
        <v>392.54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IFERROR(__xludf.DUMMYFUNCTION("""COMPUTED_VALUE"""),404.74)</f>
        <v>404.74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IFERROR(__xludf.DUMMYFUNCTION("""COMPUTED_VALUE"""),404.45)</f>
        <v>404.45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IFERROR(__xludf.DUMMYFUNCTION("""COMPUTED_VALUE"""),412.46)</f>
        <v>412.46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IFERROR(__xludf.DUMMYFUNCTION("""COMPUTED_VALUE"""),411.5)</f>
        <v>411.5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IFERROR(__xludf.DUMMYFUNCTION("""COMPUTED_VALUE"""),400.88)</f>
        <v>400.88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IFERROR(__xludf.DUMMYFUNCTION("""COMPUTED_VALUE"""),462.9)</f>
        <v>462.9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IFERROR(__xludf.DUMMYFUNCTION("""COMPUTED_VALUE"""),460.19)</f>
        <v>460.19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IFERROR(__xludf.DUMMYFUNCTION("""COMPUTED_VALUE"""),471.62)</f>
        <v>471.62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IFERROR(__xludf.DUMMYFUNCTION("""COMPUTED_VALUE"""),541.89)</f>
        <v>541.89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IFERROR(__xludf.DUMMYFUNCTION("""COMPUTED_VALUE"""),552.51)</f>
        <v>552.51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IFERROR(__xludf.DUMMYFUNCTION("""COMPUTED_VALUE"""),514.35)</f>
        <v>514.35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IFERROR(__xludf.DUMMYFUNCTION("""COMPUTED_VALUE"""),512.59)</f>
        <v>512.59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IFERROR(__xludf.DUMMYFUNCTION("""COMPUTED_VALUE"""),523.93)</f>
        <v>523.93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IFERROR(__xludf.DUMMYFUNCTION("""COMPUTED_VALUE"""),517.26)</f>
        <v>517.26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IFERROR(__xludf.DUMMYFUNCTION("""COMPUTED_VALUE"""),541.65)</f>
        <v>541.65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IFERROR(__xludf.DUMMYFUNCTION("""COMPUTED_VALUE"""),547.22)</f>
        <v>547.22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IFERROR(__xludf.DUMMYFUNCTION("""COMPUTED_VALUE"""),539.17)</f>
        <v>539.17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IFERROR(__xludf.DUMMYFUNCTION("""COMPUTED_VALUE"""),541.94)</f>
        <v>541.94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IFERROR(__xludf.DUMMYFUNCTION("""COMPUTED_VALUE"""),521.17)</f>
        <v>521.17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IFERROR(__xludf.DUMMYFUNCTION("""COMPUTED_VALUE"""),527.84)</f>
        <v>527.84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IFERROR(__xludf.DUMMYFUNCTION("""COMPUTED_VALUE"""),514.5)</f>
        <v>514.5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IFERROR(__xludf.DUMMYFUNCTION("""COMPUTED_VALUE"""),505.64)</f>
        <v>505.64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IFERROR(__xludf.DUMMYFUNCTION("""COMPUTED_VALUE"""),500.01)</f>
        <v>500.01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IFERROR(__xludf.DUMMYFUNCTION("""COMPUTED_VALUE"""),489.72)</f>
        <v>489.72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IFERROR(__xludf.DUMMYFUNCTION("""COMPUTED_VALUE"""),482.39)</f>
        <v>482.39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IFERROR(__xludf.DUMMYFUNCTION("""COMPUTED_VALUE"""),457.62)</f>
        <v>457.62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IFERROR(__xludf.DUMMYFUNCTION("""COMPUTED_VALUE"""),447.28)</f>
        <v>447.28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IFERROR(__xludf.DUMMYFUNCTION("""COMPUTED_VALUE"""),445.52)</f>
        <v>445.52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IFERROR(__xludf.DUMMYFUNCTION("""COMPUTED_VALUE"""),440.99)</f>
        <v>440.99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IFERROR(__xludf.DUMMYFUNCTION("""COMPUTED_VALUE"""),470.19)</f>
        <v>470.19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IFERROR(__xludf.DUMMYFUNCTION("""COMPUTED_VALUE"""),471.53)</f>
        <v>471.53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IFERROR(__xludf.DUMMYFUNCTION("""COMPUTED_VALUE"""),459.9)</f>
        <v>459.9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IFERROR(__xludf.DUMMYFUNCTION("""COMPUTED_VALUE"""),469.48)</f>
        <v>469.48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IFERROR(__xludf.DUMMYFUNCTION("""COMPUTED_VALUE"""),457.14)</f>
        <v>457.14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IFERROR(__xludf.DUMMYFUNCTION("""COMPUTED_VALUE"""),452.57)</f>
        <v>452.57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IFERROR(__xludf.DUMMYFUNCTION("""COMPUTED_VALUE"""),443.99)</f>
        <v>443.99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IFERROR(__xludf.DUMMYFUNCTION("""COMPUTED_VALUE"""),391.68)</f>
        <v>391.68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IFERROR(__xludf.DUMMYFUNCTION("""COMPUTED_VALUE"""),390.26)</f>
        <v>390.26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IFERROR(__xludf.DUMMYFUNCTION("GOOGLEFINANCE(""NSE:TATASTEEL"",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IFERROR(__xludf.DUMMYFUNCTION("""COMPUTED_VALUE"""),393.49)</f>
        <v>393.49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IFERROR(__xludf.DUMMYFUNCTION("""COMPUTED_VALUE"""),401.55)</f>
        <v>401.55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IFERROR(__xludf.DUMMYFUNCTION("""COMPUTED_VALUE"""),380.63)</f>
        <v>380.63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IFERROR(__xludf.DUMMYFUNCTION("""COMPUTED_VALUE"""),392.54)</f>
        <v>392.54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IFERROR(__xludf.DUMMYFUNCTION("""COMPUTED_VALUE"""),384.92)</f>
        <v>384.92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IFERROR(__xludf.DUMMYFUNCTION("""COMPUTED_VALUE"""),376.15)</f>
        <v>376.15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IFERROR(__xludf.DUMMYFUNCTION("""COMPUTED_VALUE"""),354.24)</f>
        <v>354.24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IFERROR(__xludf.DUMMYFUNCTION("""COMPUTED_VALUE"""),363.82)</f>
        <v>363.82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IFERROR(__xludf.DUMMYFUNCTION("""COMPUTED_VALUE"""),342.24)</f>
        <v>342.24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IFERROR(__xludf.DUMMYFUNCTION("""COMPUTED_VALUE"""),327.47)</f>
        <v>327.47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IFERROR(__xludf.DUMMYFUNCTION("""COMPUTED_VALUE"""),328.52)</f>
        <v>328.52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IFERROR(__xludf.DUMMYFUNCTION("""COMPUTED_VALUE"""),319.18)</f>
        <v>319.18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IFERROR(__xludf.DUMMYFUNCTION("""COMPUTED_VALUE"""),310.98)</f>
        <v>310.98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IFERROR(__xludf.DUMMYFUNCTION("""COMPUTED_VALUE"""),332.52)</f>
        <v>332.52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IFERROR(__xludf.DUMMYFUNCTION("""COMPUTED_VALUE"""),335.57)</f>
        <v>335.57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IFERROR(__xludf.DUMMYFUNCTION("""COMPUTED_VALUE"""),357.1)</f>
        <v>357.1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IFERROR(__xludf.DUMMYFUNCTION("""COMPUTED_VALUE"""),361.39)</f>
        <v>361.39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IFERROR(__xludf.DUMMYFUNCTION("""COMPUTED_VALUE"""),366.34)</f>
        <v>366.34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IFERROR(__xludf.DUMMYFUNCTION("""COMPUTED_VALUE"""),363.39)</f>
        <v>363.39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IFERROR(__xludf.DUMMYFUNCTION("""COMPUTED_VALUE"""),352.48)</f>
        <v>352.48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IFERROR(__xludf.DUMMYFUNCTION("""COMPUTED_VALUE"""),323.8)</f>
        <v>323.8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IFERROR(__xludf.DUMMYFUNCTION("""COMPUTED_VALUE"""),317.37)</f>
        <v>317.37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IFERROR(__xludf.DUMMYFUNCTION("""COMPUTED_VALUE"""),300.08)</f>
        <v>300.08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IFERROR(__xludf.DUMMYFUNCTION("""COMPUTED_VALUE"""),296.26)</f>
        <v>296.26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IFERROR(__xludf.DUMMYFUNCTION("""COMPUTED_VALUE"""),301.74)</f>
        <v>301.74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IFERROR(__xludf.DUMMYFUNCTION("""COMPUTED_VALUE"""),295.79)</f>
        <v>295.79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IFERROR(__xludf.DUMMYFUNCTION("""COMPUTED_VALUE"""),288.74)</f>
        <v>288.74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IFERROR(__xludf.DUMMYFUNCTION("""COMPUTED_VALUE"""),273.16)</f>
        <v>273.16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IFERROR(__xludf.DUMMYFUNCTION("""COMPUTED_VALUE"""),274.11)</f>
        <v>274.11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IFERROR(__xludf.DUMMYFUNCTION("""COMPUTED_VALUE"""),250.77)</f>
        <v>250.77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IFERROR(__xludf.DUMMYFUNCTION("""COMPUTED_VALUE"""),255.82)</f>
        <v>255.82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IFERROR(__xludf.DUMMYFUNCTION("""COMPUTED_VALUE"""),252.48)</f>
        <v>252.48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IFERROR(__xludf.DUMMYFUNCTION("""COMPUTED_VALUE"""),242.86)</f>
        <v>242.86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IFERROR(__xludf.DUMMYFUNCTION("""COMPUTED_VALUE"""),223.52)</f>
        <v>223.52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IFERROR(__xludf.DUMMYFUNCTION("""COMPUTED_VALUE"""),221.71)</f>
        <v>221.71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IFERROR(__xludf.DUMMYFUNCTION("""COMPUTED_VALUE"""),232.0)</f>
        <v>232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IFERROR(__xludf.DUMMYFUNCTION("""COMPUTED_VALUE"""),232.33)</f>
        <v>232.33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IFERROR(__xludf.DUMMYFUNCTION("""COMPUTED_VALUE"""),218.47)</f>
        <v>218.47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IFERROR(__xludf.DUMMYFUNCTION("""COMPUTED_VALUE"""),208.13)</f>
        <v>208.13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IFERROR(__xludf.DUMMYFUNCTION("""COMPUTED_VALUE"""),241.05)</f>
        <v>241.05</v>
      </c>
    </row>
    <row r="757" ht="15.75" customHeight="1">
      <c r="B757" s="3">
        <f>IFERROR(__xludf.DUMMYFUNCTION("""COMPUTED_VALUE"""),42293.64583333333)</f>
        <v>42293.64583</v>
      </c>
      <c r="C757" s="2">
        <f>IFERROR(__xludf.DUMMYFUNCTION("""COMPUTED_VALUE"""),249.58)</f>
        <v>249.58</v>
      </c>
    </row>
    <row r="758" ht="15.75" customHeight="1">
      <c r="B758" s="3">
        <f>IFERROR(__xludf.DUMMYFUNCTION("""COMPUTED_VALUE"""),42300.64583333333)</f>
        <v>42300.64583</v>
      </c>
      <c r="C758" s="2">
        <f>IFERROR(__xludf.DUMMYFUNCTION("""COMPUTED_VALUE"""),242.1)</f>
        <v>242.1</v>
      </c>
    </row>
    <row r="759" ht="15.75" customHeight="1">
      <c r="B759" s="3">
        <f>IFERROR(__xludf.DUMMYFUNCTION("""COMPUTED_VALUE"""),42307.64583333333)</f>
        <v>42307.64583</v>
      </c>
      <c r="C759" s="2">
        <f>IFERROR(__xludf.DUMMYFUNCTION("""COMPUTED_VALUE"""),242.77)</f>
        <v>242.77</v>
      </c>
    </row>
    <row r="760" ht="15.75" customHeight="1">
      <c r="B760" s="3">
        <f>IFERROR(__xludf.DUMMYFUNCTION("""COMPUTED_VALUE"""),42314.64583333333)</f>
        <v>42314.64583</v>
      </c>
      <c r="C760" s="2">
        <f>IFERROR(__xludf.DUMMYFUNCTION("""COMPUTED_VALUE"""),234.95)</f>
        <v>234.95</v>
      </c>
    </row>
    <row r="761" ht="15.75" customHeight="1">
      <c r="B761" s="3">
        <f>IFERROR(__xludf.DUMMYFUNCTION("""COMPUTED_VALUE"""),42321.64583333333)</f>
        <v>42321.64583</v>
      </c>
      <c r="C761" s="2">
        <f>IFERROR(__xludf.DUMMYFUNCTION("""COMPUTED_VALUE"""),213.8)</f>
        <v>213.8</v>
      </c>
    </row>
    <row r="762" ht="15.75" customHeight="1">
      <c r="B762" s="3">
        <f>IFERROR(__xludf.DUMMYFUNCTION("""COMPUTED_VALUE"""),42328.64583333333)</f>
        <v>42328.64583</v>
      </c>
      <c r="C762" s="2">
        <f>IFERROR(__xludf.DUMMYFUNCTION("""COMPUTED_VALUE"""),224.62)</f>
        <v>224.62</v>
      </c>
    </row>
    <row r="763" ht="15.75" customHeight="1">
      <c r="B763" s="3">
        <f>IFERROR(__xludf.DUMMYFUNCTION("""COMPUTED_VALUE"""),42335.64583333333)</f>
        <v>42335.64583</v>
      </c>
      <c r="C763" s="2">
        <f>IFERROR(__xludf.DUMMYFUNCTION("""COMPUTED_VALUE"""),223.9)</f>
        <v>223.9</v>
      </c>
    </row>
    <row r="764" ht="15.75" customHeight="1">
      <c r="B764" s="3">
        <f>IFERROR(__xludf.DUMMYFUNCTION("""COMPUTED_VALUE"""),42342.64583333333)</f>
        <v>42342.64583</v>
      </c>
      <c r="C764" s="2">
        <f>IFERROR(__xludf.DUMMYFUNCTION("""COMPUTED_VALUE"""),234.29)</f>
        <v>234.29</v>
      </c>
    </row>
    <row r="765" ht="15.75" customHeight="1">
      <c r="B765" s="3">
        <f>IFERROR(__xludf.DUMMYFUNCTION("""COMPUTED_VALUE"""),42349.64583333333)</f>
        <v>42349.64583</v>
      </c>
      <c r="C765" s="2">
        <f>IFERROR(__xludf.DUMMYFUNCTION("""COMPUTED_VALUE"""),235.81)</f>
        <v>235.81</v>
      </c>
    </row>
    <row r="766" ht="15.75" customHeight="1">
      <c r="B766" s="3">
        <f>IFERROR(__xludf.DUMMYFUNCTION("""COMPUTED_VALUE"""),42356.64583333333)</f>
        <v>42356.64583</v>
      </c>
      <c r="C766" s="2">
        <f>IFERROR(__xludf.DUMMYFUNCTION("""COMPUTED_VALUE"""),245.77)</f>
        <v>245.77</v>
      </c>
    </row>
    <row r="767" ht="15.75" customHeight="1">
      <c r="B767" s="3">
        <f>IFERROR(__xludf.DUMMYFUNCTION("""COMPUTED_VALUE"""),42362.64583333333)</f>
        <v>42362.64583</v>
      </c>
      <c r="C767" s="2">
        <f>IFERROR(__xludf.DUMMYFUNCTION("""COMPUTED_VALUE"""),253.82)</f>
        <v>253.82</v>
      </c>
    </row>
    <row r="768" ht="15.75" customHeight="1">
      <c r="B768" s="3">
        <f>IFERROR(__xludf.DUMMYFUNCTION("""COMPUTED_VALUE"""),42370.64583333333)</f>
        <v>42370.64583</v>
      </c>
      <c r="C768" s="2">
        <f>IFERROR(__xludf.DUMMYFUNCTION("""COMPUTED_VALUE"""),251.82)</f>
        <v>251.82</v>
      </c>
    </row>
    <row r="769" ht="15.75" customHeight="1"/>
    <row r="770" ht="15.75" customHeight="1"/>
    <row r="771" ht="15.75" customHeight="1">
      <c r="B771" s="2" t="str">
        <f>IFERROR(__xludf.DUMMYFUNCTION("GOOGLEFINANCE(""NSE:TATASTEEL"",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IFERROR(__xludf.DUMMYFUNCTION("""COMPUTED_VALUE"""),263.35)</f>
        <v>263.35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IFERROR(__xludf.DUMMYFUNCTION("""COMPUTED_VALUE"""),243.24)</f>
        <v>243.24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IFERROR(__xludf.DUMMYFUNCTION("""COMPUTED_VALUE"""),238.96)</f>
        <v>238.96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IFERROR(__xludf.DUMMYFUNCTION("""COMPUTED_VALUE"""),247.63)</f>
        <v>247.63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IFERROR(__xludf.DUMMYFUNCTION("""COMPUTED_VALUE"""),242.91)</f>
        <v>242.91</v>
      </c>
    </row>
    <row r="777" ht="15.75" customHeight="1">
      <c r="B777" s="3">
        <f>IFERROR(__xludf.DUMMYFUNCTION("""COMPUTED_VALUE"""),42412.64583333333)</f>
        <v>42412.64583</v>
      </c>
      <c r="C777" s="2">
        <f>IFERROR(__xludf.DUMMYFUNCTION("""COMPUTED_VALUE"""),232.43)</f>
        <v>232.43</v>
      </c>
    </row>
    <row r="778" ht="15.75" customHeight="1">
      <c r="B778" s="3">
        <f>IFERROR(__xludf.DUMMYFUNCTION("""COMPUTED_VALUE"""),42419.64583333333)</f>
        <v>42419.64583</v>
      </c>
      <c r="C778" s="2">
        <f>IFERROR(__xludf.DUMMYFUNCTION("""COMPUTED_VALUE"""),244.39)</f>
        <v>244.39</v>
      </c>
    </row>
    <row r="779" ht="15.75" customHeight="1">
      <c r="B779" s="3">
        <f>IFERROR(__xludf.DUMMYFUNCTION("""COMPUTED_VALUE"""),42426.64583333333)</f>
        <v>42426.64583</v>
      </c>
      <c r="C779" s="2">
        <f>IFERROR(__xludf.DUMMYFUNCTION("""COMPUTED_VALUE"""),249.25)</f>
        <v>249.25</v>
      </c>
    </row>
    <row r="780" ht="15.75" customHeight="1">
      <c r="B780" s="3">
        <f>IFERROR(__xludf.DUMMYFUNCTION("""COMPUTED_VALUE"""),42433.64583333333)</f>
        <v>42433.64583</v>
      </c>
      <c r="C780" s="2">
        <f>IFERROR(__xludf.DUMMYFUNCTION("""COMPUTED_VALUE"""),277.45)</f>
        <v>277.45</v>
      </c>
    </row>
    <row r="781" ht="15.75" customHeight="1">
      <c r="B781" s="3">
        <f>IFERROR(__xludf.DUMMYFUNCTION("""COMPUTED_VALUE"""),42440.64583333333)</f>
        <v>42440.64583</v>
      </c>
      <c r="C781" s="2">
        <f>IFERROR(__xludf.DUMMYFUNCTION("""COMPUTED_VALUE"""),287.02)</f>
        <v>287.02</v>
      </c>
    </row>
    <row r="782" ht="15.75" customHeight="1">
      <c r="B782" s="3">
        <f>IFERROR(__xludf.DUMMYFUNCTION("""COMPUTED_VALUE"""),42447.64583333333)</f>
        <v>42447.64583</v>
      </c>
      <c r="C782" s="2">
        <f>IFERROR(__xludf.DUMMYFUNCTION("""COMPUTED_VALUE"""),291.21)</f>
        <v>291.21</v>
      </c>
    </row>
    <row r="783" ht="15.75" customHeight="1">
      <c r="B783" s="3">
        <f>IFERROR(__xludf.DUMMYFUNCTION("""COMPUTED_VALUE"""),42452.64583333333)</f>
        <v>42452.64583</v>
      </c>
      <c r="C783" s="2">
        <f>IFERROR(__xludf.DUMMYFUNCTION("""COMPUTED_VALUE"""),302.89)</f>
        <v>302.89</v>
      </c>
    </row>
    <row r="784" ht="15.75" customHeight="1">
      <c r="B784" s="3">
        <f>IFERROR(__xludf.DUMMYFUNCTION("""COMPUTED_VALUE"""),42461.64583333333)</f>
        <v>42461.64583</v>
      </c>
      <c r="C784" s="2">
        <f>IFERROR(__xludf.DUMMYFUNCTION("""COMPUTED_VALUE"""),310.37)</f>
        <v>310.37</v>
      </c>
    </row>
    <row r="785" ht="15.75" customHeight="1">
      <c r="B785" s="3">
        <f>IFERROR(__xludf.DUMMYFUNCTION("""COMPUTED_VALUE"""),42468.64583333333)</f>
        <v>42468.64583</v>
      </c>
      <c r="C785" s="2">
        <f>IFERROR(__xludf.DUMMYFUNCTION("""COMPUTED_VALUE"""),317.03)</f>
        <v>317.03</v>
      </c>
    </row>
    <row r="786" ht="15.75" customHeight="1">
      <c r="B786" s="3">
        <f>IFERROR(__xludf.DUMMYFUNCTION("""COMPUTED_VALUE"""),42473.64583333333)</f>
        <v>42473.64583</v>
      </c>
      <c r="C786" s="2">
        <f>IFERROR(__xludf.DUMMYFUNCTION("""COMPUTED_VALUE"""),320.32)</f>
        <v>320.32</v>
      </c>
    </row>
    <row r="787" ht="15.75" customHeight="1">
      <c r="B787" s="3">
        <f>IFERROR(__xludf.DUMMYFUNCTION("""COMPUTED_VALUE"""),42482.64583333333)</f>
        <v>42482.64583</v>
      </c>
      <c r="C787" s="2">
        <f>IFERROR(__xludf.DUMMYFUNCTION("""COMPUTED_VALUE"""),346.86)</f>
        <v>346.86</v>
      </c>
    </row>
    <row r="788" ht="15.75" customHeight="1">
      <c r="B788" s="3">
        <f>IFERROR(__xludf.DUMMYFUNCTION("""COMPUTED_VALUE"""),42489.64583333333)</f>
        <v>42489.64583</v>
      </c>
      <c r="C788" s="2">
        <f>IFERROR(__xludf.DUMMYFUNCTION("""COMPUTED_VALUE"""),345.28)</f>
        <v>345.28</v>
      </c>
    </row>
    <row r="789" ht="15.75" customHeight="1">
      <c r="B789" s="3">
        <f>IFERROR(__xludf.DUMMYFUNCTION("""COMPUTED_VALUE"""),42496.64583333333)</f>
        <v>42496.64583</v>
      </c>
      <c r="C789" s="2">
        <f>IFERROR(__xludf.DUMMYFUNCTION("""COMPUTED_VALUE"""),338.85)</f>
        <v>338.85</v>
      </c>
    </row>
    <row r="790" ht="15.75" customHeight="1">
      <c r="B790" s="3">
        <f>IFERROR(__xludf.DUMMYFUNCTION("""COMPUTED_VALUE"""),42503.64583333333)</f>
        <v>42503.64583</v>
      </c>
      <c r="C790" s="2">
        <f>IFERROR(__xludf.DUMMYFUNCTION("""COMPUTED_VALUE"""),321.32)</f>
        <v>321.32</v>
      </c>
    </row>
    <row r="791" ht="15.75" customHeight="1">
      <c r="B791" s="3">
        <f>IFERROR(__xludf.DUMMYFUNCTION("""COMPUTED_VALUE"""),42510.64583333333)</f>
        <v>42510.64583</v>
      </c>
      <c r="C791" s="2">
        <f>IFERROR(__xludf.DUMMYFUNCTION("""COMPUTED_VALUE"""),321.47)</f>
        <v>321.47</v>
      </c>
    </row>
    <row r="792" ht="15.75" customHeight="1">
      <c r="B792" s="3">
        <f>IFERROR(__xludf.DUMMYFUNCTION("""COMPUTED_VALUE"""),42517.64583333333)</f>
        <v>42517.64583</v>
      </c>
      <c r="C792" s="2">
        <f>IFERROR(__xludf.DUMMYFUNCTION("""COMPUTED_VALUE"""),316.32)</f>
        <v>316.32</v>
      </c>
    </row>
    <row r="793" ht="15.75" customHeight="1">
      <c r="B793" s="3">
        <f>IFERROR(__xludf.DUMMYFUNCTION("""COMPUTED_VALUE"""),42524.64583333333)</f>
        <v>42524.64583</v>
      </c>
      <c r="C793" s="2">
        <f>IFERROR(__xludf.DUMMYFUNCTION("""COMPUTED_VALUE"""),331.85)</f>
        <v>331.85</v>
      </c>
    </row>
    <row r="794" ht="15.75" customHeight="1">
      <c r="B794" s="3">
        <f>IFERROR(__xludf.DUMMYFUNCTION("""COMPUTED_VALUE"""),42531.64583333333)</f>
        <v>42531.64583</v>
      </c>
      <c r="C794" s="2">
        <f>IFERROR(__xludf.DUMMYFUNCTION("""COMPUTED_VALUE"""),330.33)</f>
        <v>330.33</v>
      </c>
    </row>
    <row r="795" ht="15.75" customHeight="1">
      <c r="B795" s="3">
        <f>IFERROR(__xludf.DUMMYFUNCTION("""COMPUTED_VALUE"""),42538.64583333333)</f>
        <v>42538.64583</v>
      </c>
      <c r="C795" s="2">
        <f>IFERROR(__xludf.DUMMYFUNCTION("""COMPUTED_VALUE"""),317.75)</f>
        <v>317.75</v>
      </c>
    </row>
    <row r="796" ht="15.75" customHeight="1">
      <c r="B796" s="3">
        <f>IFERROR(__xludf.DUMMYFUNCTION("""COMPUTED_VALUE"""),42545.64583333333)</f>
        <v>42545.64583</v>
      </c>
      <c r="C796" s="2">
        <f>IFERROR(__xludf.DUMMYFUNCTION("""COMPUTED_VALUE"""),321.75)</f>
        <v>321.75</v>
      </c>
    </row>
    <row r="797" ht="15.75" customHeight="1">
      <c r="B797" s="3">
        <f>IFERROR(__xludf.DUMMYFUNCTION("""COMPUTED_VALUE"""),42552.64583333333)</f>
        <v>42552.64583</v>
      </c>
      <c r="C797" s="2">
        <f>IFERROR(__xludf.DUMMYFUNCTION("""COMPUTED_VALUE"""),315.27)</f>
        <v>315.27</v>
      </c>
    </row>
    <row r="798" ht="15.75" customHeight="1">
      <c r="B798" s="3">
        <f>IFERROR(__xludf.DUMMYFUNCTION("""COMPUTED_VALUE"""),42559.64583333333)</f>
        <v>42559.64583</v>
      </c>
      <c r="C798" s="2">
        <f>IFERROR(__xludf.DUMMYFUNCTION("""COMPUTED_VALUE"""),321.47)</f>
        <v>321.47</v>
      </c>
    </row>
    <row r="799" ht="15.75" customHeight="1">
      <c r="B799" s="3">
        <f>IFERROR(__xludf.DUMMYFUNCTION("""COMPUTED_VALUE"""),42566.64583333333)</f>
        <v>42566.64583</v>
      </c>
      <c r="C799" s="2">
        <f>IFERROR(__xludf.DUMMYFUNCTION("""COMPUTED_VALUE"""),356.72)</f>
        <v>356.72</v>
      </c>
    </row>
    <row r="800" ht="15.75" customHeight="1">
      <c r="B800" s="3">
        <f>IFERROR(__xludf.DUMMYFUNCTION("""COMPUTED_VALUE"""),42573.64583333333)</f>
        <v>42573.64583</v>
      </c>
      <c r="C800" s="2">
        <f>IFERROR(__xludf.DUMMYFUNCTION("""COMPUTED_VALUE"""),361.48)</f>
        <v>361.48</v>
      </c>
    </row>
    <row r="801" ht="15.75" customHeight="1">
      <c r="B801" s="3">
        <f>IFERROR(__xludf.DUMMYFUNCTION("""COMPUTED_VALUE"""),42580.64583333333)</f>
        <v>42580.64583</v>
      </c>
      <c r="C801" s="2">
        <f>IFERROR(__xludf.DUMMYFUNCTION("""COMPUTED_VALUE"""),357.29)</f>
        <v>357.29</v>
      </c>
    </row>
    <row r="802" ht="15.75" customHeight="1">
      <c r="B802" s="3">
        <f>IFERROR(__xludf.DUMMYFUNCTION("""COMPUTED_VALUE"""),42587.64583333333)</f>
        <v>42587.64583</v>
      </c>
      <c r="C802" s="2">
        <f>IFERROR(__xludf.DUMMYFUNCTION("""COMPUTED_VALUE"""),364.91)</f>
        <v>364.91</v>
      </c>
    </row>
    <row r="803" ht="15.75" customHeight="1">
      <c r="B803" s="3">
        <f>IFERROR(__xludf.DUMMYFUNCTION("""COMPUTED_VALUE"""),42594.64583333333)</f>
        <v>42594.64583</v>
      </c>
      <c r="C803" s="2">
        <f>IFERROR(__xludf.DUMMYFUNCTION("""COMPUTED_VALUE"""),366.34)</f>
        <v>366.34</v>
      </c>
    </row>
    <row r="804" ht="15.75" customHeight="1">
      <c r="B804" s="3">
        <f>IFERROR(__xludf.DUMMYFUNCTION("""COMPUTED_VALUE"""),42601.64583333333)</f>
        <v>42601.64583</v>
      </c>
      <c r="C804" s="2">
        <f>IFERROR(__xludf.DUMMYFUNCTION("""COMPUTED_VALUE"""),376.01)</f>
        <v>376.01</v>
      </c>
    </row>
    <row r="805" ht="15.75" customHeight="1">
      <c r="B805" s="3">
        <f>IFERROR(__xludf.DUMMYFUNCTION("""COMPUTED_VALUE"""),42608.64583333333)</f>
        <v>42608.64583</v>
      </c>
      <c r="C805" s="2">
        <f>IFERROR(__xludf.DUMMYFUNCTION("""COMPUTED_VALUE"""),373.01)</f>
        <v>373.01</v>
      </c>
    </row>
    <row r="806" ht="15.75" customHeight="1">
      <c r="B806" s="3">
        <f>IFERROR(__xludf.DUMMYFUNCTION("""COMPUTED_VALUE"""),42615.64583333333)</f>
        <v>42615.64583</v>
      </c>
      <c r="C806" s="2">
        <f>IFERROR(__xludf.DUMMYFUNCTION("""COMPUTED_VALUE"""),363.34)</f>
        <v>363.34</v>
      </c>
    </row>
    <row r="807" ht="15.75" customHeight="1">
      <c r="B807" s="3">
        <f>IFERROR(__xludf.DUMMYFUNCTION("""COMPUTED_VALUE"""),42622.64583333333)</f>
        <v>42622.64583</v>
      </c>
      <c r="C807" s="2">
        <f>IFERROR(__xludf.DUMMYFUNCTION("""COMPUTED_VALUE"""),389.3)</f>
        <v>389.3</v>
      </c>
    </row>
    <row r="808" ht="15.75" customHeight="1">
      <c r="B808" s="3">
        <f>IFERROR(__xludf.DUMMYFUNCTION("""COMPUTED_VALUE"""),42629.64583333333)</f>
        <v>42629.64583</v>
      </c>
      <c r="C808" s="2">
        <f>IFERROR(__xludf.DUMMYFUNCTION("""COMPUTED_VALUE"""),367.67)</f>
        <v>367.67</v>
      </c>
    </row>
    <row r="809" ht="15.75" customHeight="1">
      <c r="B809" s="3">
        <f>IFERROR(__xludf.DUMMYFUNCTION("""COMPUTED_VALUE"""),42636.64583333333)</f>
        <v>42636.64583</v>
      </c>
      <c r="C809" s="2">
        <f>IFERROR(__xludf.DUMMYFUNCTION("""COMPUTED_VALUE"""),361.86)</f>
        <v>361.86</v>
      </c>
    </row>
    <row r="810" ht="15.75" customHeight="1">
      <c r="B810" s="3">
        <f>IFERROR(__xludf.DUMMYFUNCTION("""COMPUTED_VALUE"""),42643.64583333333)</f>
        <v>42643.64583</v>
      </c>
      <c r="C810" s="2">
        <f>IFERROR(__xludf.DUMMYFUNCTION("""COMPUTED_VALUE"""),365.72)</f>
        <v>365.72</v>
      </c>
    </row>
    <row r="811" ht="15.75" customHeight="1">
      <c r="B811" s="3">
        <f>IFERROR(__xludf.DUMMYFUNCTION("""COMPUTED_VALUE"""),42650.64583333333)</f>
        <v>42650.64583</v>
      </c>
      <c r="C811" s="2">
        <f>IFERROR(__xludf.DUMMYFUNCTION("""COMPUTED_VALUE"""),388.35)</f>
        <v>388.35</v>
      </c>
    </row>
    <row r="812" ht="15.75" customHeight="1">
      <c r="B812" s="3">
        <f>IFERROR(__xludf.DUMMYFUNCTION("""COMPUTED_VALUE"""),42657.64583333333)</f>
        <v>42657.64583</v>
      </c>
      <c r="C812" s="2">
        <f>IFERROR(__xludf.DUMMYFUNCTION("""COMPUTED_VALUE"""),400.83)</f>
        <v>400.83</v>
      </c>
    </row>
    <row r="813" ht="15.75" customHeight="1">
      <c r="B813" s="3">
        <f>IFERROR(__xludf.DUMMYFUNCTION("""COMPUTED_VALUE"""),42664.64583333333)</f>
        <v>42664.64583</v>
      </c>
      <c r="C813" s="2">
        <f>IFERROR(__xludf.DUMMYFUNCTION("""COMPUTED_VALUE"""),411.5)</f>
        <v>411.5</v>
      </c>
    </row>
    <row r="814" ht="15.75" customHeight="1">
      <c r="B814" s="3">
        <f>IFERROR(__xludf.DUMMYFUNCTION("""COMPUTED_VALUE"""),42671.64583333333)</f>
        <v>42671.64583</v>
      </c>
      <c r="C814" s="2">
        <f>IFERROR(__xludf.DUMMYFUNCTION("""COMPUTED_VALUE"""),411.03)</f>
        <v>411.03</v>
      </c>
    </row>
    <row r="815" ht="15.75" customHeight="1">
      <c r="B815" s="3">
        <f>IFERROR(__xludf.DUMMYFUNCTION("""COMPUTED_VALUE"""),42678.64583333333)</f>
        <v>42678.64583</v>
      </c>
      <c r="C815" s="2">
        <f>IFERROR(__xludf.DUMMYFUNCTION("""COMPUTED_VALUE"""),403.93)</f>
        <v>403.93</v>
      </c>
    </row>
    <row r="816" ht="15.75" customHeight="1">
      <c r="B816" s="3">
        <f>IFERROR(__xludf.DUMMYFUNCTION("""COMPUTED_VALUE"""),42685.64583333333)</f>
        <v>42685.64583</v>
      </c>
      <c r="C816" s="2">
        <f>IFERROR(__xludf.DUMMYFUNCTION("""COMPUTED_VALUE"""),420.65)</f>
        <v>420.65</v>
      </c>
    </row>
    <row r="817" ht="15.75" customHeight="1">
      <c r="B817" s="3">
        <f>IFERROR(__xludf.DUMMYFUNCTION("""COMPUTED_VALUE"""),42692.64583333333)</f>
        <v>42692.64583</v>
      </c>
      <c r="C817" s="2">
        <f>IFERROR(__xludf.DUMMYFUNCTION("""COMPUTED_VALUE"""),398.26)</f>
        <v>398.26</v>
      </c>
    </row>
    <row r="818" ht="15.75" customHeight="1">
      <c r="B818" s="3">
        <f>IFERROR(__xludf.DUMMYFUNCTION("""COMPUTED_VALUE"""),42699.64583333333)</f>
        <v>42699.64583</v>
      </c>
      <c r="C818" s="2">
        <f>IFERROR(__xludf.DUMMYFUNCTION("""COMPUTED_VALUE"""),393.97)</f>
        <v>393.97</v>
      </c>
    </row>
    <row r="819" ht="15.75" customHeight="1">
      <c r="B819" s="3">
        <f>IFERROR(__xludf.DUMMYFUNCTION("""COMPUTED_VALUE"""),42706.64583333333)</f>
        <v>42706.64583</v>
      </c>
      <c r="C819" s="2">
        <f>IFERROR(__xludf.DUMMYFUNCTION("""COMPUTED_VALUE"""),398.74)</f>
        <v>398.74</v>
      </c>
    </row>
    <row r="820" ht="15.75" customHeight="1">
      <c r="B820" s="3">
        <f>IFERROR(__xludf.DUMMYFUNCTION("""COMPUTED_VALUE"""),42713.64583333333)</f>
        <v>42713.64583</v>
      </c>
      <c r="C820" s="2">
        <f>IFERROR(__xludf.DUMMYFUNCTION("""COMPUTED_VALUE"""),414.79)</f>
        <v>414.79</v>
      </c>
    </row>
    <row r="821" ht="15.75" customHeight="1">
      <c r="B821" s="3">
        <f>IFERROR(__xludf.DUMMYFUNCTION("""COMPUTED_VALUE"""),42720.64583333333)</f>
        <v>42720.64583</v>
      </c>
      <c r="C821" s="2">
        <f>IFERROR(__xludf.DUMMYFUNCTION("""COMPUTED_VALUE"""),410.12)</f>
        <v>410.12</v>
      </c>
    </row>
    <row r="822" ht="15.75" customHeight="1">
      <c r="B822" s="3">
        <f>IFERROR(__xludf.DUMMYFUNCTION("""COMPUTED_VALUE"""),42727.64583333333)</f>
        <v>42727.64583</v>
      </c>
      <c r="C822" s="2">
        <f>IFERROR(__xludf.DUMMYFUNCTION("""COMPUTED_VALUE"""),396.64)</f>
        <v>396.64</v>
      </c>
    </row>
    <row r="823" ht="15.75" customHeight="1">
      <c r="B823" s="3">
        <f>IFERROR(__xludf.DUMMYFUNCTION("""COMPUTED_VALUE"""),42734.64583333333)</f>
        <v>42734.64583</v>
      </c>
      <c r="C823" s="2">
        <f>IFERROR(__xludf.DUMMYFUNCTION("""COMPUTED_VALUE"""),376.73)</f>
        <v>376.73</v>
      </c>
    </row>
    <row r="824" ht="15.75" customHeight="1"/>
    <row r="825" ht="15.75" customHeight="1"/>
    <row r="826" ht="15.75" customHeight="1">
      <c r="B826" s="2" t="str">
        <f>IFERROR(__xludf.DUMMYFUNCTION("GOOGLEFINANCE(""NSE:TATASTEEL"",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IFERROR(__xludf.DUMMYFUNCTION("""COMPUTED_VALUE"""),405.31)</f>
        <v>405.31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IFERROR(__xludf.DUMMYFUNCTION("""COMPUTED_VALUE"""),429.84)</f>
        <v>429.84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IFERROR(__xludf.DUMMYFUNCTION("""COMPUTED_VALUE"""),447.8)</f>
        <v>447.8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IFERROR(__xludf.DUMMYFUNCTION("""COMPUTED_VALUE"""),454.23)</f>
        <v>454.23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IFERROR(__xludf.DUMMYFUNCTION("""COMPUTED_VALUE"""),458.19)</f>
        <v>458.19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IFERROR(__xludf.DUMMYFUNCTION("""COMPUTED_VALUE"""),462.48)</f>
        <v>462.48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IFERROR(__xludf.DUMMYFUNCTION("""COMPUTED_VALUE"""),454.47)</f>
        <v>454.47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IFERROR(__xludf.DUMMYFUNCTION("""COMPUTED_VALUE"""),472.48)</f>
        <v>472.48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IFERROR(__xludf.DUMMYFUNCTION("""COMPUTED_VALUE"""),481.72)</f>
        <v>481.72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IFERROR(__xludf.DUMMYFUNCTION("""COMPUTED_VALUE"""),477.34)</f>
        <v>477.34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IFERROR(__xludf.DUMMYFUNCTION("""COMPUTED_VALUE"""),484.72)</f>
        <v>484.72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IFERROR(__xludf.DUMMYFUNCTION("""COMPUTED_VALUE"""),478.96)</f>
        <v>478.96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IFERROR(__xludf.DUMMYFUNCTION("""COMPUTED_VALUE"""),469.48)</f>
        <v>469.48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IFERROR(__xludf.DUMMYFUNCTION("""COMPUTED_VALUE"""),482.44)</f>
        <v>482.44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IFERROR(__xludf.DUMMYFUNCTION("""COMPUTED_VALUE"""),475.24)</f>
        <v>475.24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IFERROR(__xludf.DUMMYFUNCTION("""COMPUTED_VALUE"""),451.61)</f>
        <v>451.61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IFERROR(__xludf.DUMMYFUNCTION("""COMPUTED_VALUE"""),441.42)</f>
        <v>441.42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IFERROR(__xludf.DUMMYFUNCTION("""COMPUTED_VALUE"""),432.56)</f>
        <v>432.56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IFERROR(__xludf.DUMMYFUNCTION("""COMPUTED_VALUE"""),424.36)</f>
        <v>424.36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IFERROR(__xludf.DUMMYFUNCTION("""COMPUTED_VALUE"""),475.43)</f>
        <v>475.43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IFERROR(__xludf.DUMMYFUNCTION("""COMPUTED_VALUE"""),490.53)</f>
        <v>490.53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IFERROR(__xludf.DUMMYFUNCTION("""COMPUTED_VALUE"""),496.06)</f>
        <v>496.06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IFERROR(__xludf.DUMMYFUNCTION("""COMPUTED_VALUE"""),487.25)</f>
        <v>487.25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IFERROR(__xludf.DUMMYFUNCTION("""COMPUTED_VALUE"""),489.92)</f>
        <v>489.92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IFERROR(__xludf.DUMMYFUNCTION("""COMPUTED_VALUE"""),500.82)</f>
        <v>500.82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IFERROR(__xludf.DUMMYFUNCTION("""COMPUTED_VALUE"""),522.02)</f>
        <v>522.02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IFERROR(__xludf.DUMMYFUNCTION("""COMPUTED_VALUE"""),531.17)</f>
        <v>531.17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IFERROR(__xludf.DUMMYFUNCTION("""COMPUTED_VALUE"""),539.27)</f>
        <v>539.27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IFERROR(__xludf.DUMMYFUNCTION("""COMPUTED_VALUE"""),545.32)</f>
        <v>545.32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IFERROR(__xludf.DUMMYFUNCTION("""COMPUTED_VALUE"""),541.7)</f>
        <v>541.7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IFERROR(__xludf.DUMMYFUNCTION("""COMPUTED_VALUE"""),553.37)</f>
        <v>553.37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IFERROR(__xludf.DUMMYFUNCTION("""COMPUTED_VALUE"""),595.96)</f>
        <v>595.96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IFERROR(__xludf.DUMMYFUNCTION("""COMPUTED_VALUE"""),606.92)</f>
        <v>606.92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IFERROR(__xludf.DUMMYFUNCTION("""COMPUTED_VALUE"""),610.3)</f>
        <v>610.3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IFERROR(__xludf.DUMMYFUNCTION("""COMPUTED_VALUE"""),621.92)</f>
        <v>621.92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IFERROR(__xludf.DUMMYFUNCTION("""COMPUTED_VALUE"""),632.35)</f>
        <v>632.35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IFERROR(__xludf.DUMMYFUNCTION("""COMPUTED_VALUE"""),660.27)</f>
        <v>660.27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IFERROR(__xludf.DUMMYFUNCTION("""COMPUTED_VALUE"""),663.37)</f>
        <v>663.37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IFERROR(__xludf.DUMMYFUNCTION("""COMPUTED_VALUE"""),628.83)</f>
        <v>628.83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IFERROR(__xludf.DUMMYFUNCTION("""COMPUTED_VALUE"""),661.03)</f>
        <v>661.03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IFERROR(__xludf.DUMMYFUNCTION("""COMPUTED_VALUE"""),683.57)</f>
        <v>683.57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IFERROR(__xludf.DUMMYFUNCTION("""COMPUTED_VALUE"""),685.52)</f>
        <v>685.52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IFERROR(__xludf.DUMMYFUNCTION("""COMPUTED_VALUE"""),700.05)</f>
        <v>700.05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IFERROR(__xludf.DUMMYFUNCTION("""COMPUTED_VALUE"""),700.29)</f>
        <v>700.29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IFERROR(__xludf.DUMMYFUNCTION("""COMPUTED_VALUE"""),682.14)</f>
        <v>682.14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IFERROR(__xludf.DUMMYFUNCTION("""COMPUTED_VALUE"""),675.8)</f>
        <v>675.8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IFERROR(__xludf.DUMMYFUNCTION("""COMPUTED_VALUE"""),684.57)</f>
        <v>684.57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IFERROR(__xludf.DUMMYFUNCTION("""COMPUTED_VALUE"""),679.23)</f>
        <v>679.23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IFERROR(__xludf.DUMMYFUNCTION("""COMPUTED_VALUE"""),680.14)</f>
        <v>680.14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IFERROR(__xludf.DUMMYFUNCTION("""COMPUTED_VALUE"""),674.66)</f>
        <v>674.66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IFERROR(__xludf.DUMMYFUNCTION("""COMPUTED_VALUE"""),683.38)</f>
        <v>683.38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IFERROR(__xludf.DUMMYFUNCTION("""COMPUTED_VALUE"""),709.67)</f>
        <v>709.67</v>
      </c>
    </row>
    <row r="879" ht="15.75" customHeight="1"/>
    <row r="880" ht="15.75" customHeight="1"/>
    <row r="881" ht="15.75" customHeight="1">
      <c r="B881" s="2" t="str">
        <f>IFERROR(__xludf.DUMMYFUNCTION("GOOGLEFINANCE(""NSE:TATASTEEL"",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IFERROR(__xludf.DUMMYFUNCTION("""COMPUTED_VALUE"""),740.21)</f>
        <v>740.21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IFERROR(__xludf.DUMMYFUNCTION("""COMPUTED_VALUE"""),743.97)</f>
        <v>743.97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IFERROR(__xludf.DUMMYFUNCTION("""COMPUTED_VALUE"""),755.55)</f>
        <v>755.55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IFERROR(__xludf.DUMMYFUNCTION("""COMPUTED_VALUE"""),749.93)</f>
        <v>749.93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IFERROR(__xludf.DUMMYFUNCTION("""COMPUTED_VALUE"""),754.4)</f>
        <v>754.4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IFERROR(__xludf.DUMMYFUNCTION("""COMPUTED_VALUE"""),690.0)</f>
        <v>690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IFERROR(__xludf.DUMMYFUNCTION("""COMPUTED_VALUE"""),720.5)</f>
        <v>720.5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IFERROR(__xludf.DUMMYFUNCTION("""COMPUTED_VALUE"""),693.4)</f>
        <v>693.4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IFERROR(__xludf.DUMMYFUNCTION("""COMPUTED_VALUE"""),692.65)</f>
        <v>692.65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IFERROR(__xludf.DUMMYFUNCTION("""COMPUTED_VALUE"""),674.0)</f>
        <v>674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IFERROR(__xludf.DUMMYFUNCTION("""COMPUTED_VALUE"""),633.2)</f>
        <v>633.2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IFERROR(__xludf.DUMMYFUNCTION("""COMPUTED_VALUE"""),601.9)</f>
        <v>601.9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IFERROR(__xludf.DUMMYFUNCTION("""COMPUTED_VALUE"""),599.0)</f>
        <v>599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IFERROR(__xludf.DUMMYFUNCTION("""COMPUTED_VALUE"""),590.5)</f>
        <v>590.5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IFERROR(__xludf.DUMMYFUNCTION("""COMPUTED_VALUE"""),610.9)</f>
        <v>610.9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IFERROR(__xludf.DUMMYFUNCTION("""COMPUTED_VALUE"""),624.5)</f>
        <v>624.5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IFERROR(__xludf.DUMMYFUNCTION("""COMPUTED_VALUE"""),611.0)</f>
        <v>611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IFERROR(__xludf.DUMMYFUNCTION("""COMPUTED_VALUE"""),599.9)</f>
        <v>599.9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IFERROR(__xludf.DUMMYFUNCTION("""COMPUTED_VALUE"""),610.55)</f>
        <v>610.55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IFERROR(__xludf.DUMMYFUNCTION("""COMPUTED_VALUE"""),636.8)</f>
        <v>636.8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IFERROR(__xludf.DUMMYFUNCTION("""COMPUTED_VALUE"""),600.75)</f>
        <v>600.75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IFERROR(__xludf.DUMMYFUNCTION("""COMPUTED_VALUE"""),588.0)</f>
        <v>588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IFERROR(__xludf.DUMMYFUNCTION("""COMPUTED_VALUE"""),608.2)</f>
        <v>608.2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IFERROR(__xludf.DUMMYFUNCTION("""COMPUTED_VALUE"""),605.5)</f>
        <v>605.5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IFERROR(__xludf.DUMMYFUNCTION("""COMPUTED_VALUE"""),568.95)</f>
        <v>568.95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IFERROR(__xludf.DUMMYFUNCTION("""COMPUTED_VALUE"""),569.8)</f>
        <v>569.8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IFERROR(__xludf.DUMMYFUNCTION("""COMPUTED_VALUE"""),586.5)</f>
        <v>586.5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IFERROR(__xludf.DUMMYFUNCTION("""COMPUTED_VALUE"""),571.0)</f>
        <v>571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IFERROR(__xludf.DUMMYFUNCTION("""COMPUTED_VALUE"""),559.9)</f>
        <v>559.9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IFERROR(__xludf.DUMMYFUNCTION("""COMPUTED_VALUE"""),553.55)</f>
        <v>553.55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IFERROR(__xludf.DUMMYFUNCTION("""COMPUTED_VALUE"""),567.6)</f>
        <v>567.6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IFERROR(__xludf.DUMMYFUNCTION("""COMPUTED_VALUE"""),587.7)</f>
        <v>587.7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IFERROR(__xludf.DUMMYFUNCTION("""COMPUTED_VALUE"""),587.0)</f>
        <v>587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IFERROR(__xludf.DUMMYFUNCTION("""COMPUTED_VALUE"""),602.45)</f>
        <v>602.45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IFERROR(__xludf.DUMMYFUNCTION("""COMPUTED_VALUE"""),614.5)</f>
        <v>614.5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IFERROR(__xludf.DUMMYFUNCTION("""COMPUTED_VALUE"""),622.0)</f>
        <v>622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IFERROR(__xludf.DUMMYFUNCTION("""COMPUTED_VALUE"""),625.0)</f>
        <v>625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IFERROR(__xludf.DUMMYFUNCTION("""COMPUTED_VALUE"""),647.6)</f>
        <v>647.6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IFERROR(__xludf.DUMMYFUNCTION("""COMPUTED_VALUE"""),626.25)</f>
        <v>626.25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IFERROR(__xludf.DUMMYFUNCTION("""COMPUTED_VALUE"""),594.4)</f>
        <v>594.4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IFERROR(__xludf.DUMMYFUNCTION("""COMPUTED_VALUE"""),587.8)</f>
        <v>587.8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IFERROR(__xludf.DUMMYFUNCTION("""COMPUTED_VALUE"""),584.0)</f>
        <v>584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IFERROR(__xludf.DUMMYFUNCTION("""COMPUTED_VALUE"""),561.6)</f>
        <v>561.6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IFERROR(__xludf.DUMMYFUNCTION("""COMPUTED_VALUE"""),582.4)</f>
        <v>582.4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IFERROR(__xludf.DUMMYFUNCTION("""COMPUTED_VALUE"""),584.4)</f>
        <v>584.4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IFERROR(__xludf.DUMMYFUNCTION("""COMPUTED_VALUE"""),610.6)</f>
        <v>610.6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IFERROR(__xludf.DUMMYFUNCTION("""COMPUTED_VALUE"""),583.8)</f>
        <v>583.8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IFERROR(__xludf.DUMMYFUNCTION("""COMPUTED_VALUE"""),544.0)</f>
        <v>544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IFERROR(__xludf.DUMMYFUNCTION("""COMPUTED_VALUE"""),552.7)</f>
        <v>552.7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IFERROR(__xludf.DUMMYFUNCTION("""COMPUTED_VALUE"""),528.05)</f>
        <v>528.05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IFERROR(__xludf.DUMMYFUNCTION("""COMPUTED_VALUE"""),532.45)</f>
        <v>532.45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IFERROR(__xludf.DUMMYFUNCTION("""COMPUTED_VALUE"""),520.7)</f>
        <v>520.7</v>
      </c>
    </row>
    <row r="934" ht="15.75" customHeight="1"/>
    <row r="935" ht="15.75" customHeight="1"/>
    <row r="936" ht="15.75" customHeight="1">
      <c r="B936" s="2" t="str">
        <f>IFERROR(__xludf.DUMMYFUNCTION("GOOGLEFINANCE(""NSE:TATASTEEL"",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IFERROR(__xludf.DUMMYFUNCTION("""COMPUTED_VALUE"""),525.0)</f>
        <v>525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IFERROR(__xludf.DUMMYFUNCTION("""COMPUTED_VALUE"""),501.0)</f>
        <v>501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IFERROR(__xludf.DUMMYFUNCTION("""COMPUTED_VALUE"""),479.9)</f>
        <v>479.9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IFERROR(__xludf.DUMMYFUNCTION("""COMPUTED_VALUE"""),477.5)</f>
        <v>477.5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IFERROR(__xludf.DUMMYFUNCTION("""COMPUTED_VALUE"""),482.0)</f>
        <v>482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IFERROR(__xludf.DUMMYFUNCTION("""COMPUTED_VALUE"""),491.4)</f>
        <v>491.4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IFERROR(__xludf.DUMMYFUNCTION("""COMPUTED_VALUE"""),497.2)</f>
        <v>497.2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IFERROR(__xludf.DUMMYFUNCTION("""COMPUTED_VALUE"""),504.0)</f>
        <v>504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IFERROR(__xludf.DUMMYFUNCTION("""COMPUTED_VALUE"""),512.3)</f>
        <v>512.3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IFERROR(__xludf.DUMMYFUNCTION("""COMPUTED_VALUE"""),525.35)</f>
        <v>525.35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IFERROR(__xludf.DUMMYFUNCTION("""COMPUTED_VALUE"""),530.5)</f>
        <v>530.5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IFERROR(__xludf.DUMMYFUNCTION("""COMPUTED_VALUE"""),531.9)</f>
        <v>531.9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IFERROR(__xludf.DUMMYFUNCTION("""COMPUTED_VALUE"""),525.0)</f>
        <v>525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IFERROR(__xludf.DUMMYFUNCTION("""COMPUTED_VALUE"""),551.0)</f>
        <v>551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IFERROR(__xludf.DUMMYFUNCTION("""COMPUTED_VALUE"""),559.4)</f>
        <v>559.4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IFERROR(__xludf.DUMMYFUNCTION("""COMPUTED_VALUE"""),556.9)</f>
        <v>556.9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IFERROR(__xludf.DUMMYFUNCTION("""COMPUTED_VALUE"""),547.75)</f>
        <v>547.75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IFERROR(__xludf.DUMMYFUNCTION("""COMPUTED_VALUE"""),561.65)</f>
        <v>561.65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IFERROR(__xludf.DUMMYFUNCTION("""COMPUTED_VALUE"""),544.95)</f>
        <v>544.95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IFERROR(__xludf.DUMMYFUNCTION("""COMPUTED_VALUE"""),488.0)</f>
        <v>488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IFERROR(__xludf.DUMMYFUNCTION("""COMPUTED_VALUE"""),494.75)</f>
        <v>494.75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IFERROR(__xludf.DUMMYFUNCTION("""COMPUTED_VALUE"""),518.6)</f>
        <v>518.6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IFERROR(__xludf.DUMMYFUNCTION("""COMPUTED_VALUE"""),502.75)</f>
        <v>502.75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IFERROR(__xludf.DUMMYFUNCTION("""COMPUTED_VALUE"""),508.5)</f>
        <v>508.5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IFERROR(__xludf.DUMMYFUNCTION("""COMPUTED_VALUE"""),502.8)</f>
        <v>502.8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IFERROR(__xludf.DUMMYFUNCTION("""COMPUTED_VALUE"""),516.45)</f>
        <v>516.45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IFERROR(__xludf.DUMMYFUNCTION("""COMPUTED_VALUE"""),514.85)</f>
        <v>514.85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IFERROR(__xludf.DUMMYFUNCTION("""COMPUTED_VALUE"""),479.5)</f>
        <v>479.5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IFERROR(__xludf.DUMMYFUNCTION("""COMPUTED_VALUE"""),479.8)</f>
        <v>479.8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IFERROR(__xludf.DUMMYFUNCTION("""COMPUTED_VALUE"""),467.9)</f>
        <v>467.9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IFERROR(__xludf.DUMMYFUNCTION("""COMPUTED_VALUE"""),445.9)</f>
        <v>445.9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IFERROR(__xludf.DUMMYFUNCTION("""COMPUTED_VALUE"""),408.0)</f>
        <v>408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IFERROR(__xludf.DUMMYFUNCTION("""COMPUTED_VALUE"""),370.75)</f>
        <v>370.75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IFERROR(__xludf.DUMMYFUNCTION("""COMPUTED_VALUE"""),366.95)</f>
        <v>366.95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IFERROR(__xludf.DUMMYFUNCTION("""COMPUTED_VALUE"""),354.7)</f>
        <v>354.7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IFERROR(__xludf.DUMMYFUNCTION("""COMPUTED_VALUE"""),357.85)</f>
        <v>357.85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IFERROR(__xludf.DUMMYFUNCTION("""COMPUTED_VALUE"""),379.5)</f>
        <v>379.5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IFERROR(__xludf.DUMMYFUNCTION("""COMPUTED_VALUE"""),381.0)</f>
        <v>381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IFERROR(__xludf.DUMMYFUNCTION("""COMPUTED_VALUE"""),388.85)</f>
        <v>388.85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IFERROR(__xludf.DUMMYFUNCTION("""COMPUTED_VALUE"""),364.7)</f>
        <v>364.7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IFERROR(__xludf.DUMMYFUNCTION("""COMPUTED_VALUE"""),342.45)</f>
        <v>342.45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IFERROR(__xludf.DUMMYFUNCTION("""COMPUTED_VALUE"""),362.8)</f>
        <v>362.8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IFERROR(__xludf.DUMMYFUNCTION("""COMPUTED_VALUE"""),368.95)</f>
        <v>368.95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IFERROR(__xludf.DUMMYFUNCTION("""COMPUTED_VALUE"""),402.9)</f>
        <v>402.9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IFERROR(__xludf.DUMMYFUNCTION("""COMPUTED_VALUE"""),421.7)</f>
        <v>421.7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IFERROR(__xludf.DUMMYFUNCTION("""COMPUTED_VALUE"""),408.85)</f>
        <v>408.85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IFERROR(__xludf.DUMMYFUNCTION("""COMPUTED_VALUE"""),414.85)</f>
        <v>414.85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IFERROR(__xludf.DUMMYFUNCTION("""COMPUTED_VALUE"""),434.3)</f>
        <v>434.3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IFERROR(__xludf.DUMMYFUNCTION("""COMPUTED_VALUE"""),418.55)</f>
        <v>418.55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IFERROR(__xludf.DUMMYFUNCTION("""COMPUTED_VALUE"""),434.6)</f>
        <v>434.6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IFERROR(__xludf.DUMMYFUNCTION("""COMPUTED_VALUE"""),463.4)</f>
        <v>463.4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IFERROR(__xludf.DUMMYFUNCTION("""COMPUTED_VALUE"""),472.0)</f>
        <v>472</v>
      </c>
    </row>
    <row r="989" ht="15.75" customHeight="1"/>
    <row r="990" ht="15.75" customHeight="1"/>
    <row r="991" ht="15.75" customHeight="1">
      <c r="B991" s="2" t="str">
        <f>IFERROR(__xludf.DUMMYFUNCTION("GOOGLEFINANCE(""NSE:TATASTEEL"",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IFERROR(__xludf.DUMMYFUNCTION("""COMPUTED_VALUE"""),487.8)</f>
        <v>487.8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IFERROR(__xludf.DUMMYFUNCTION("""COMPUTED_VALUE"""),493.85)</f>
        <v>493.85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IFERROR(__xludf.DUMMYFUNCTION("""COMPUTED_VALUE"""),506.0)</f>
        <v>506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IFERROR(__xludf.DUMMYFUNCTION("""COMPUTED_VALUE"""),499.8)</f>
        <v>499.8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IFERROR(__xludf.DUMMYFUNCTION("""COMPUTED_VALUE"""),477.75)</f>
        <v>477.75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IFERROR(__xludf.DUMMYFUNCTION("""COMPUTED_VALUE"""),487.25)</f>
        <v>487.25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IFERROR(__xludf.DUMMYFUNCTION("""COMPUTED_VALUE"""),463.25)</f>
        <v>463.25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IFERROR(__xludf.DUMMYFUNCTION("""COMPUTED_VALUE"""),447.7)</f>
        <v>447.7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IFERROR(__xludf.DUMMYFUNCTION("""COMPUTED_VALUE"""),434.85)</f>
        <v>434.85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IFERROR(__xludf.DUMMYFUNCTION("""COMPUTED_VALUE"""),394.0)</f>
        <v>394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IFERROR(__xludf.DUMMYFUNCTION("""COMPUTED_VALUE"""),337.7)</f>
        <v>337.7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IFERROR(__xludf.DUMMYFUNCTION("""COMPUTED_VALUE"""),317.65)</f>
        <v>317.65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IFERROR(__xludf.DUMMYFUNCTION("""COMPUTED_VALUE"""),295.5)</f>
        <v>295.5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IFERROR(__xludf.DUMMYFUNCTION("""COMPUTED_VALUE"""),272.45)</f>
        <v>272.45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IFERROR(__xludf.DUMMYFUNCTION("""COMPUTED_VALUE"""),292.9)</f>
        <v>292.9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IFERROR(__xludf.DUMMYFUNCTION("""COMPUTED_VALUE"""),299.7)</f>
        <v>299.7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IFERROR(__xludf.DUMMYFUNCTION("""COMPUTED_VALUE"""),295.0)</f>
        <v>295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IFERROR(__xludf.DUMMYFUNCTION("""COMPUTED_VALUE"""),304.5)</f>
        <v>304.5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IFERROR(__xludf.DUMMYFUNCTION("""COMPUTED_VALUE"""),286.15)</f>
        <v>286.15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IFERROR(__xludf.DUMMYFUNCTION("""COMPUTED_VALUE"""),288.0)</f>
        <v>288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IFERROR(__xludf.DUMMYFUNCTION("""COMPUTED_VALUE"""),286.25)</f>
        <v>286.25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IFERROR(__xludf.DUMMYFUNCTION("""COMPUTED_VALUE"""),298.6)</f>
        <v>298.6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IFERROR(__xludf.DUMMYFUNCTION("""COMPUTED_VALUE"""),343.65)</f>
        <v>343.65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IFERROR(__xludf.DUMMYFUNCTION("""COMPUTED_VALUE"""),350.8)</f>
        <v>350.8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IFERROR(__xludf.DUMMYFUNCTION("""COMPUTED_VALUE"""),325.85)</f>
        <v>325.85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IFERROR(__xludf.DUMMYFUNCTION("""COMPUTED_VALUE"""),338.15)</f>
        <v>338.15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IFERROR(__xludf.DUMMYFUNCTION("""COMPUTED_VALUE"""),337.65)</f>
        <v>337.65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IFERROR(__xludf.DUMMYFUNCTION("""COMPUTED_VALUE"""),348.5)</f>
        <v>348.5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IFERROR(__xludf.DUMMYFUNCTION("""COMPUTED_VALUE"""),356.8)</f>
        <v>356.8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IFERROR(__xludf.DUMMYFUNCTION("""COMPUTED_VALUE"""),362.9)</f>
        <v>362.9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IFERROR(__xludf.DUMMYFUNCTION("""COMPUTED_VALUE"""),378.45)</f>
        <v>378.45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IFERROR(__xludf.DUMMYFUNCTION("""COMPUTED_VALUE"""),406.7)</f>
        <v>406.7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IFERROR(__xludf.DUMMYFUNCTION("""COMPUTED_VALUE"""),430.95)</f>
        <v>430.95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IFERROR(__xludf.DUMMYFUNCTION("""COMPUTED_VALUE"""),442.0)</f>
        <v>442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IFERROR(__xludf.DUMMYFUNCTION("""COMPUTED_VALUE"""),438.0)</f>
        <v>438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IFERROR(__xludf.DUMMYFUNCTION("""COMPUTED_VALUE"""),443.65)</f>
        <v>443.65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IFERROR(__xludf.DUMMYFUNCTION("""COMPUTED_VALUE"""),428.4)</f>
        <v>428.4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IFERROR(__xludf.DUMMYFUNCTION("""COMPUTED_VALUE"""),414.1)</f>
        <v>414.1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IFERROR(__xludf.DUMMYFUNCTION("""COMPUTED_VALUE"""),399.2)</f>
        <v>399.2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IFERROR(__xludf.DUMMYFUNCTION("""COMPUTED_VALUE"""),371.8)</f>
        <v>371.8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IFERROR(__xludf.DUMMYFUNCTION("""COMPUTED_VALUE"""),387.25)</f>
        <v>387.25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IFERROR(__xludf.DUMMYFUNCTION("""COMPUTED_VALUE"""),395.9)</f>
        <v>395.9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IFERROR(__xludf.DUMMYFUNCTION("""COMPUTED_VALUE"""),426.0)</f>
        <v>426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IFERROR(__xludf.DUMMYFUNCTION("""COMPUTED_VALUE"""),423.35)</f>
        <v>423.35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IFERROR(__xludf.DUMMYFUNCTION("""COMPUTED_VALUE"""),432.9)</f>
        <v>432.9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IFERROR(__xludf.DUMMYFUNCTION("""COMPUTED_VALUE"""),541.7)</f>
        <v>541.7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IFERROR(__xludf.DUMMYFUNCTION("""COMPUTED_VALUE"""),582.35)</f>
        <v>582.35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IFERROR(__xludf.DUMMYFUNCTION("""COMPUTED_VALUE"""),632.5)</f>
        <v>632.5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IFERROR(__xludf.DUMMYFUNCTION("""COMPUTED_VALUE"""),629.0)</f>
        <v>629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IFERROR(__xludf.DUMMYFUNCTION("""COMPUTED_VALUE"""),649.45)</f>
        <v>649.45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IFERROR(__xludf.DUMMYFUNCTION("""COMPUTED_VALUE"""),636.95)</f>
        <v>636.95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IFERROR(__xludf.DUMMYFUNCTION("""COMPUTED_VALUE"""),653.5)</f>
        <v>653.5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IFERROR(__xludf.DUMMYFUNCTION("GOOGLEFINANCE(""NSE:COLPAL"",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IFERROR(__xludf.DUMMYFUNCTION("""COMPUTED_VALUE"""),84.38)</f>
        <v>84.38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IFERROR(__xludf.DUMMYFUNCTION("""COMPUTED_VALUE"""),85.25)</f>
        <v>85.25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IFERROR(__xludf.DUMMYFUNCTION("""COMPUTED_VALUE"""),82.2)</f>
        <v>82.2</v>
      </c>
    </row>
    <row r="5">
      <c r="B5" s="3">
        <f>IFERROR(__xludf.DUMMYFUNCTION("""COMPUTED_VALUE"""),37281.645833333336)</f>
        <v>37281.64583</v>
      </c>
      <c r="C5" s="2">
        <f>IFERROR(__xludf.DUMMYFUNCTION("""COMPUTED_VALUE"""),79.7)</f>
        <v>79.7</v>
      </c>
    </row>
    <row r="6">
      <c r="B6" s="3">
        <f>IFERROR(__xludf.DUMMYFUNCTION("""COMPUTED_VALUE"""),37288.645833333336)</f>
        <v>37288.64583</v>
      </c>
      <c r="C6" s="2">
        <f>IFERROR(__xludf.DUMMYFUNCTION("""COMPUTED_VALUE"""),81.5)</f>
        <v>81.5</v>
      </c>
    </row>
    <row r="7">
      <c r="B7" s="3">
        <f>IFERROR(__xludf.DUMMYFUNCTION("""COMPUTED_VALUE"""),37295.645833333336)</f>
        <v>37295.64583</v>
      </c>
      <c r="C7" s="2">
        <f>IFERROR(__xludf.DUMMYFUNCTION("""COMPUTED_VALUE"""),78.0)</f>
        <v>78</v>
      </c>
    </row>
    <row r="8">
      <c r="B8" s="3">
        <f>IFERROR(__xludf.DUMMYFUNCTION("""COMPUTED_VALUE"""),37302.645833333336)</f>
        <v>37302.64583</v>
      </c>
      <c r="C8" s="2">
        <f>IFERROR(__xludf.DUMMYFUNCTION("""COMPUTED_VALUE"""),79.18)</f>
        <v>79.18</v>
      </c>
    </row>
    <row r="9">
      <c r="B9" s="3">
        <f>IFERROR(__xludf.DUMMYFUNCTION("""COMPUTED_VALUE"""),37309.645833333336)</f>
        <v>37309.64583</v>
      </c>
      <c r="C9" s="2">
        <f>IFERROR(__xludf.DUMMYFUNCTION("""COMPUTED_VALUE"""),77.6)</f>
        <v>77.6</v>
      </c>
    </row>
    <row r="10">
      <c r="B10" s="3">
        <f>IFERROR(__xludf.DUMMYFUNCTION("""COMPUTED_VALUE"""),37316.645833333336)</f>
        <v>37316.64583</v>
      </c>
      <c r="C10" s="2">
        <f>IFERROR(__xludf.DUMMYFUNCTION("""COMPUTED_VALUE"""),74.5)</f>
        <v>74.5</v>
      </c>
    </row>
    <row r="11">
      <c r="B11" s="3">
        <f>IFERROR(__xludf.DUMMYFUNCTION("""COMPUTED_VALUE"""),37323.645833333336)</f>
        <v>37323.64583</v>
      </c>
      <c r="C11" s="2">
        <f>IFERROR(__xludf.DUMMYFUNCTION("""COMPUTED_VALUE"""),75.55)</f>
        <v>75.55</v>
      </c>
    </row>
    <row r="12">
      <c r="B12" s="3">
        <f>IFERROR(__xludf.DUMMYFUNCTION("""COMPUTED_VALUE"""),37330.645833333336)</f>
        <v>37330.64583</v>
      </c>
      <c r="C12" s="2">
        <f>IFERROR(__xludf.DUMMYFUNCTION("""COMPUTED_VALUE"""),71.85)</f>
        <v>71.85</v>
      </c>
    </row>
    <row r="13">
      <c r="B13" s="3">
        <f>IFERROR(__xludf.DUMMYFUNCTION("""COMPUTED_VALUE"""),37337.645833333336)</f>
        <v>37337.64583</v>
      </c>
      <c r="C13" s="2">
        <f>IFERROR(__xludf.DUMMYFUNCTION("""COMPUTED_VALUE"""),71.55)</f>
        <v>71.55</v>
      </c>
    </row>
    <row r="14">
      <c r="B14" s="3">
        <f>IFERROR(__xludf.DUMMYFUNCTION("""COMPUTED_VALUE"""),37343.645833333336)</f>
        <v>37343.64583</v>
      </c>
      <c r="C14" s="2">
        <f>IFERROR(__xludf.DUMMYFUNCTION("""COMPUTED_VALUE"""),71.25)</f>
        <v>71.25</v>
      </c>
    </row>
    <row r="15">
      <c r="B15" s="3">
        <f>IFERROR(__xludf.DUMMYFUNCTION("""COMPUTED_VALUE"""),37351.645833333336)</f>
        <v>37351.64583</v>
      </c>
      <c r="C15" s="2">
        <f>IFERROR(__xludf.DUMMYFUNCTION("""COMPUTED_VALUE"""),83.13)</f>
        <v>83.13</v>
      </c>
    </row>
    <row r="16">
      <c r="B16" s="3">
        <f>IFERROR(__xludf.DUMMYFUNCTION("""COMPUTED_VALUE"""),37358.645833333336)</f>
        <v>37358.64583</v>
      </c>
      <c r="C16" s="2">
        <f>IFERROR(__xludf.DUMMYFUNCTION("""COMPUTED_VALUE"""),77.5)</f>
        <v>77.5</v>
      </c>
    </row>
    <row r="17">
      <c r="B17" s="3">
        <f>IFERROR(__xludf.DUMMYFUNCTION("""COMPUTED_VALUE"""),37365.645833333336)</f>
        <v>37365.64583</v>
      </c>
      <c r="C17" s="2">
        <f>IFERROR(__xludf.DUMMYFUNCTION("""COMPUTED_VALUE"""),74.45)</f>
        <v>74.45</v>
      </c>
    </row>
    <row r="18">
      <c r="B18" s="3">
        <f>IFERROR(__xludf.DUMMYFUNCTION("""COMPUTED_VALUE"""),37372.645833333336)</f>
        <v>37372.64583</v>
      </c>
      <c r="C18" s="2">
        <f>IFERROR(__xludf.DUMMYFUNCTION("""COMPUTED_VALUE"""),72.3)</f>
        <v>72.3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IFERROR(__xludf.DUMMYFUNCTION("""COMPUTED_VALUE"""),72.65)</f>
        <v>72.65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IFERROR(__xludf.DUMMYFUNCTION("""COMPUTED_VALUE"""),71.22)</f>
        <v>71.22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IFERROR(__xludf.DUMMYFUNCTION("""COMPUTED_VALUE"""),69.97)</f>
        <v>69.97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IFERROR(__xludf.DUMMYFUNCTION("""COMPUTED_VALUE"""),68.0)</f>
        <v>68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IFERROR(__xludf.DUMMYFUNCTION("""COMPUTED_VALUE"""),68.0)</f>
        <v>68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IFERROR(__xludf.DUMMYFUNCTION("""COMPUTED_VALUE"""),70.3)</f>
        <v>70.3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IFERROR(__xludf.DUMMYFUNCTION("""COMPUTED_VALUE"""),72.5)</f>
        <v>72.5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IFERROR(__xludf.DUMMYFUNCTION("""COMPUTED_VALUE"""),74.2)</f>
        <v>74.2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IFERROR(__xludf.DUMMYFUNCTION("""COMPUTED_VALUE"""),71.0)</f>
        <v>71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IFERROR(__xludf.DUMMYFUNCTION("""COMPUTED_VALUE"""),71.47)</f>
        <v>71.47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IFERROR(__xludf.DUMMYFUNCTION("""COMPUTED_VALUE"""),72.5)</f>
        <v>72.5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IFERROR(__xludf.DUMMYFUNCTION("""COMPUTED_VALUE"""),72.5)</f>
        <v>72.5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IFERROR(__xludf.DUMMYFUNCTION("""COMPUTED_VALUE"""),72.5)</f>
        <v>72.5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IFERROR(__xludf.DUMMYFUNCTION("""COMPUTED_VALUE"""),69.75)</f>
        <v>69.75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IFERROR(__xludf.DUMMYFUNCTION("""COMPUTED_VALUE"""),67.9)</f>
        <v>67.9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IFERROR(__xludf.DUMMYFUNCTION("""COMPUTED_VALUE"""),68.0)</f>
        <v>68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IFERROR(__xludf.DUMMYFUNCTION("""COMPUTED_VALUE"""),67.93)</f>
        <v>67.93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IFERROR(__xludf.DUMMYFUNCTION("""COMPUTED_VALUE"""),69.75)</f>
        <v>69.75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IFERROR(__xludf.DUMMYFUNCTION("""COMPUTED_VALUE"""),69.35)</f>
        <v>69.35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IFERROR(__xludf.DUMMYFUNCTION("""COMPUTED_VALUE"""),67.85)</f>
        <v>67.85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IFERROR(__xludf.DUMMYFUNCTION("""COMPUTED_VALUE"""),67.5)</f>
        <v>67.5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IFERROR(__xludf.DUMMYFUNCTION("""COMPUTED_VALUE"""),67.45)</f>
        <v>67.45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IFERROR(__xludf.DUMMYFUNCTION("""COMPUTED_VALUE"""),66.75)</f>
        <v>66.75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IFERROR(__xludf.DUMMYFUNCTION("""COMPUTED_VALUE"""),67.5)</f>
        <v>67.5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IFERROR(__xludf.DUMMYFUNCTION("""COMPUTED_VALUE"""),67.5)</f>
        <v>67.5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IFERROR(__xludf.DUMMYFUNCTION("""COMPUTED_VALUE"""),67.18)</f>
        <v>67.18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IFERROR(__xludf.DUMMYFUNCTION("""COMPUTED_VALUE"""),65.95)</f>
        <v>65.95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IFERROR(__xludf.DUMMYFUNCTION("""COMPUTED_VALUE"""),64.85)</f>
        <v>64.85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IFERROR(__xludf.DUMMYFUNCTION("""COMPUTED_VALUE"""),65.47)</f>
        <v>65.47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IFERROR(__xludf.DUMMYFUNCTION("""COMPUTED_VALUE"""),66.9)</f>
        <v>66.9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IFERROR(__xludf.DUMMYFUNCTION("""COMPUTED_VALUE"""),65.45)</f>
        <v>65.45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IFERROR(__xludf.DUMMYFUNCTION("""COMPUTED_VALUE"""),69.2)</f>
        <v>69.2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IFERROR(__xludf.DUMMYFUNCTION("""COMPUTED_VALUE"""),69.05)</f>
        <v>69.05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IFERROR(__xludf.DUMMYFUNCTION("""COMPUTED_VALUE"""),67.88)</f>
        <v>67.88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IFERROR(__xludf.DUMMYFUNCTION("""COMPUTED_VALUE"""),68.75)</f>
        <v>68.75</v>
      </c>
    </row>
    <row r="54" ht="15.75" customHeight="1"/>
    <row r="55" ht="15.75" customHeight="1"/>
    <row r="56" ht="15.75" customHeight="1">
      <c r="B56" s="2" t="str">
        <f>IFERROR(__xludf.DUMMYFUNCTION("GOOGLEFINANCE(""NSE:COLPAL"",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IFERROR(__xludf.DUMMYFUNCTION("""COMPUTED_VALUE"""),67.5)</f>
        <v>67.5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IFERROR(__xludf.DUMMYFUNCTION("""COMPUTED_VALUE"""),67.63)</f>
        <v>67.63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IFERROR(__xludf.DUMMYFUNCTION("""COMPUTED_VALUE"""),68.0)</f>
        <v>68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IFERROR(__xludf.DUMMYFUNCTION("""COMPUTED_VALUE"""),67.53)</f>
        <v>67.53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IFERROR(__xludf.DUMMYFUNCTION("""COMPUTED_VALUE"""),68.45)</f>
        <v>68.45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IFERROR(__xludf.DUMMYFUNCTION("""COMPUTED_VALUE"""),68.5)</f>
        <v>68.5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IFERROR(__xludf.DUMMYFUNCTION("""COMPUTED_VALUE"""),65.5)</f>
        <v>65.5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IFERROR(__xludf.DUMMYFUNCTION("""COMPUTED_VALUE"""),66.0)</f>
        <v>66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IFERROR(__xludf.DUMMYFUNCTION("""COMPUTED_VALUE"""),67.58)</f>
        <v>67.58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IFERROR(__xludf.DUMMYFUNCTION("""COMPUTED_VALUE"""),66.25)</f>
        <v>66.25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IFERROR(__xludf.DUMMYFUNCTION("""COMPUTED_VALUE"""),65.0)</f>
        <v>65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IFERROR(__xludf.DUMMYFUNCTION("""COMPUTED_VALUE"""),62.0)</f>
        <v>62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IFERROR(__xludf.DUMMYFUNCTION("""COMPUTED_VALUE"""),63.5)</f>
        <v>63.5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IFERROR(__xludf.DUMMYFUNCTION("""COMPUTED_VALUE"""),64.0)</f>
        <v>64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IFERROR(__xludf.DUMMYFUNCTION("""COMPUTED_VALUE"""),62.93)</f>
        <v>62.93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IFERROR(__xludf.DUMMYFUNCTION("""COMPUTED_VALUE"""),64.88)</f>
        <v>64.88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IFERROR(__xludf.DUMMYFUNCTION("""COMPUTED_VALUE"""),65.7)</f>
        <v>65.7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IFERROR(__xludf.DUMMYFUNCTION("""COMPUTED_VALUE"""),75.0)</f>
        <v>75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IFERROR(__xludf.DUMMYFUNCTION("""COMPUTED_VALUE"""),67.38)</f>
        <v>67.38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IFERROR(__xludf.DUMMYFUNCTION("""COMPUTED_VALUE"""),67.45)</f>
        <v>67.45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IFERROR(__xludf.DUMMYFUNCTION("""COMPUTED_VALUE"""),68.0)</f>
        <v>68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IFERROR(__xludf.DUMMYFUNCTION("""COMPUTED_VALUE"""),77.0)</f>
        <v>77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IFERROR(__xludf.DUMMYFUNCTION("""COMPUTED_VALUE"""),76.18)</f>
        <v>76.18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IFERROR(__xludf.DUMMYFUNCTION("""COMPUTED_VALUE"""),74.45)</f>
        <v>74.45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IFERROR(__xludf.DUMMYFUNCTION("""COMPUTED_VALUE"""),71.5)</f>
        <v>71.5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IFERROR(__xludf.DUMMYFUNCTION("""COMPUTED_VALUE"""),71.0)</f>
        <v>71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IFERROR(__xludf.DUMMYFUNCTION("""COMPUTED_VALUE"""),72.33)</f>
        <v>72.33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IFERROR(__xludf.DUMMYFUNCTION("""COMPUTED_VALUE"""),76.5)</f>
        <v>76.5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IFERROR(__xludf.DUMMYFUNCTION("""COMPUTED_VALUE"""),77.43)</f>
        <v>77.43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IFERROR(__xludf.DUMMYFUNCTION("""COMPUTED_VALUE"""),74.75)</f>
        <v>74.75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IFERROR(__xludf.DUMMYFUNCTION("""COMPUTED_VALUE"""),76.25)</f>
        <v>76.25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IFERROR(__xludf.DUMMYFUNCTION("""COMPUTED_VALUE"""),75.75)</f>
        <v>75.75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IFERROR(__xludf.DUMMYFUNCTION("""COMPUTED_VALUE"""),80.93)</f>
        <v>80.93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IFERROR(__xludf.DUMMYFUNCTION("""COMPUTED_VALUE"""),76.5)</f>
        <v>76.5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IFERROR(__xludf.DUMMYFUNCTION("""COMPUTED_VALUE"""),76.75)</f>
        <v>76.75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IFERROR(__xludf.DUMMYFUNCTION("""COMPUTED_VALUE"""),75.0)</f>
        <v>75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IFERROR(__xludf.DUMMYFUNCTION("""COMPUTED_VALUE"""),72.93)</f>
        <v>72.93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IFERROR(__xludf.DUMMYFUNCTION("""COMPUTED_VALUE"""),70.93)</f>
        <v>70.93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IFERROR(__xludf.DUMMYFUNCTION("""COMPUTED_VALUE"""),71.0)</f>
        <v>71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IFERROR(__xludf.DUMMYFUNCTION("""COMPUTED_VALUE"""),73.75)</f>
        <v>73.75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IFERROR(__xludf.DUMMYFUNCTION("""COMPUTED_VALUE"""),75.25)</f>
        <v>75.25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IFERROR(__xludf.DUMMYFUNCTION("""COMPUTED_VALUE"""),70.97)</f>
        <v>70.97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IFERROR(__xludf.DUMMYFUNCTION("""COMPUTED_VALUE"""),70.0)</f>
        <v>70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IFERROR(__xludf.DUMMYFUNCTION("""COMPUTED_VALUE"""),72.8)</f>
        <v>72.8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IFERROR(__xludf.DUMMYFUNCTION("""COMPUTED_VALUE"""),71.35)</f>
        <v>71.35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IFERROR(__xludf.DUMMYFUNCTION("""COMPUTED_VALUE"""),77.75)</f>
        <v>77.75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IFERROR(__xludf.DUMMYFUNCTION("""COMPUTED_VALUE"""),77.85)</f>
        <v>77.85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IFERROR(__xludf.DUMMYFUNCTION("""COMPUTED_VALUE"""),80.22)</f>
        <v>80.22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IFERROR(__xludf.DUMMYFUNCTION("""COMPUTED_VALUE"""),79.75)</f>
        <v>79.75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IFERROR(__xludf.DUMMYFUNCTION("GOOGLEFINANCE(""NSE:COLPAL"",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IFERROR(__xludf.DUMMYFUNCTION("""COMPUTED_VALUE"""),87.45)</f>
        <v>87.45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IFERROR(__xludf.DUMMYFUNCTION("""COMPUTED_VALUE"""),87.53)</f>
        <v>87.53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IFERROR(__xludf.DUMMYFUNCTION("""COMPUTED_VALUE"""),81.75)</f>
        <v>81.75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IFERROR(__xludf.DUMMYFUNCTION("""COMPUTED_VALUE"""),78.9)</f>
        <v>78.9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IFERROR(__xludf.DUMMYFUNCTION("""COMPUTED_VALUE"""),77.5)</f>
        <v>77.5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IFERROR(__xludf.DUMMYFUNCTION("""COMPUTED_VALUE"""),80.0)</f>
        <v>80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IFERROR(__xludf.DUMMYFUNCTION("""COMPUTED_VALUE"""),76.0)</f>
        <v>76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IFERROR(__xludf.DUMMYFUNCTION("""COMPUTED_VALUE"""),75.13)</f>
        <v>75.13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IFERROR(__xludf.DUMMYFUNCTION("""COMPUTED_VALUE"""),73.43)</f>
        <v>73.43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IFERROR(__xludf.DUMMYFUNCTION("""COMPUTED_VALUE"""),72.45)</f>
        <v>72.45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IFERROR(__xludf.DUMMYFUNCTION("""COMPUTED_VALUE"""),69.83)</f>
        <v>69.83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IFERROR(__xludf.DUMMYFUNCTION("""COMPUTED_VALUE"""),68.45)</f>
        <v>68.45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IFERROR(__xludf.DUMMYFUNCTION("""COMPUTED_VALUE"""),65.25)</f>
        <v>65.25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IFERROR(__xludf.DUMMYFUNCTION("""COMPUTED_VALUE"""),68.5)</f>
        <v>68.5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IFERROR(__xludf.DUMMYFUNCTION("""COMPUTED_VALUE"""),70.5)</f>
        <v>70.5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IFERROR(__xludf.DUMMYFUNCTION("""COMPUTED_VALUE"""),67.47)</f>
        <v>67.47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IFERROR(__xludf.DUMMYFUNCTION("""COMPUTED_VALUE"""),66.33)</f>
        <v>66.33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IFERROR(__xludf.DUMMYFUNCTION("""COMPUTED_VALUE"""),66.0)</f>
        <v>66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IFERROR(__xludf.DUMMYFUNCTION("""COMPUTED_VALUE"""),65.0)</f>
        <v>65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IFERROR(__xludf.DUMMYFUNCTION("""COMPUTED_VALUE"""),62.5)</f>
        <v>62.5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IFERROR(__xludf.DUMMYFUNCTION("""COMPUTED_VALUE"""),61.75)</f>
        <v>61.75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IFERROR(__xludf.DUMMYFUNCTION("""COMPUTED_VALUE"""),61.9)</f>
        <v>61.9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IFERROR(__xludf.DUMMYFUNCTION("""COMPUTED_VALUE"""),59.85)</f>
        <v>59.85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IFERROR(__xludf.DUMMYFUNCTION("""COMPUTED_VALUE"""),59.0)</f>
        <v>59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IFERROR(__xludf.DUMMYFUNCTION("""COMPUTED_VALUE"""),57.75)</f>
        <v>57.75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IFERROR(__xludf.DUMMYFUNCTION("""COMPUTED_VALUE"""),65.5)</f>
        <v>65.5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IFERROR(__xludf.DUMMYFUNCTION("""COMPUTED_VALUE"""),68.7)</f>
        <v>68.7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IFERROR(__xludf.DUMMYFUNCTION("""COMPUTED_VALUE"""),68.83)</f>
        <v>68.83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IFERROR(__xludf.DUMMYFUNCTION("""COMPUTED_VALUE"""),72.45)</f>
        <v>72.45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IFERROR(__xludf.DUMMYFUNCTION("""COMPUTED_VALUE"""),76.05)</f>
        <v>76.05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IFERROR(__xludf.DUMMYFUNCTION("""COMPUTED_VALUE"""),73.85)</f>
        <v>73.85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IFERROR(__xludf.DUMMYFUNCTION("""COMPUTED_VALUE"""),72.5)</f>
        <v>72.5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IFERROR(__xludf.DUMMYFUNCTION("""COMPUTED_VALUE"""),72.0)</f>
        <v>72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IFERROR(__xludf.DUMMYFUNCTION("""COMPUTED_VALUE"""),75.7)</f>
        <v>75.7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IFERROR(__xludf.DUMMYFUNCTION("""COMPUTED_VALUE"""),74.85)</f>
        <v>74.85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IFERROR(__xludf.DUMMYFUNCTION("""COMPUTED_VALUE"""),73.85)</f>
        <v>73.85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IFERROR(__xludf.DUMMYFUNCTION("""COMPUTED_VALUE"""),76.8)</f>
        <v>76.8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IFERROR(__xludf.DUMMYFUNCTION("""COMPUTED_VALUE"""),76.9)</f>
        <v>76.9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IFERROR(__xludf.DUMMYFUNCTION("""COMPUTED_VALUE"""),75.95)</f>
        <v>75.95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IFERROR(__xludf.DUMMYFUNCTION("""COMPUTED_VALUE"""),76.9)</f>
        <v>76.9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IFERROR(__xludf.DUMMYFUNCTION("""COMPUTED_VALUE"""),74.5)</f>
        <v>74.5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IFERROR(__xludf.DUMMYFUNCTION("""COMPUTED_VALUE"""),74.5)</f>
        <v>74.5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IFERROR(__xludf.DUMMYFUNCTION("""COMPUTED_VALUE"""),78.75)</f>
        <v>78.75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IFERROR(__xludf.DUMMYFUNCTION("""COMPUTED_VALUE"""),82.48)</f>
        <v>82.48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IFERROR(__xludf.DUMMYFUNCTION("""COMPUTED_VALUE"""),85.35)</f>
        <v>85.35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IFERROR(__xludf.DUMMYFUNCTION("""COMPUTED_VALUE"""),88.5)</f>
        <v>88.5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IFERROR(__xludf.DUMMYFUNCTION("""COMPUTED_VALUE"""),89.5)</f>
        <v>89.5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IFERROR(__xludf.DUMMYFUNCTION("""COMPUTED_VALUE"""),92.5)</f>
        <v>92.5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IFERROR(__xludf.DUMMYFUNCTION("""COMPUTED_VALUE"""),94.5)</f>
        <v>94.5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IFERROR(__xludf.DUMMYFUNCTION("""COMPUTED_VALUE"""),92.4)</f>
        <v>92.4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IFERROR(__xludf.DUMMYFUNCTION("""COMPUTED_VALUE"""),91.48)</f>
        <v>91.48</v>
      </c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IFERROR(__xludf.DUMMYFUNCTION("GOOGLEFINANCE(""NSE:RELINFRA"",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IFERROR(__xludf.DUMMYFUNCTION("""COMPUTED_VALUE"""),207.0)</f>
        <v>207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IFERROR(__xludf.DUMMYFUNCTION("""COMPUTED_VALUE"""),206.5)</f>
        <v>206.5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IFERROR(__xludf.DUMMYFUNCTION("""COMPUTED_VALUE"""),207.5)</f>
        <v>207.5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IFERROR(__xludf.DUMMYFUNCTION("""COMPUTED_VALUE"""),213.4)</f>
        <v>213.4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IFERROR(__xludf.DUMMYFUNCTION("""COMPUTED_VALUE"""),212.0)</f>
        <v>212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IFERROR(__xludf.DUMMYFUNCTION("""COMPUTED_VALUE"""),220.0)</f>
        <v>220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IFERROR(__xludf.DUMMYFUNCTION("""COMPUTED_VALUE"""),224.9)</f>
        <v>224.9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IFERROR(__xludf.DUMMYFUNCTION("""COMPUTED_VALUE"""),223.0)</f>
        <v>223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IFERROR(__xludf.DUMMYFUNCTION("""COMPUTED_VALUE"""),227.0)</f>
        <v>227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IFERROR(__xludf.DUMMYFUNCTION("""COMPUTED_VALUE"""),229.9)</f>
        <v>229.9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IFERROR(__xludf.DUMMYFUNCTION("""COMPUTED_VALUE"""),218.0)</f>
        <v>218</v>
      </c>
    </row>
    <row r="13">
      <c r="B13" s="3">
        <f>IFERROR(__xludf.DUMMYFUNCTION("""COMPUTED_VALUE"""),37337.645833333336)</f>
        <v>37337.64583</v>
      </c>
      <c r="C13" s="2">
        <f>IFERROR(__xludf.DUMMYFUNCTION("""COMPUTED_VALUE"""),219.9)</f>
        <v>219.9</v>
      </c>
    </row>
    <row r="14">
      <c r="B14" s="3">
        <f>IFERROR(__xludf.DUMMYFUNCTION("""COMPUTED_VALUE"""),37343.645833333336)</f>
        <v>37343.64583</v>
      </c>
      <c r="C14" s="2">
        <f>IFERROR(__xludf.DUMMYFUNCTION("""COMPUTED_VALUE"""),225.9)</f>
        <v>225.9</v>
      </c>
    </row>
    <row r="15">
      <c r="B15" s="3">
        <f>IFERROR(__xludf.DUMMYFUNCTION("""COMPUTED_VALUE"""),37351.645833333336)</f>
        <v>37351.64583</v>
      </c>
      <c r="C15" s="2">
        <f>IFERROR(__xludf.DUMMYFUNCTION("""COMPUTED_VALUE"""),223.0)</f>
        <v>223</v>
      </c>
    </row>
    <row r="16">
      <c r="B16" s="3">
        <f>IFERROR(__xludf.DUMMYFUNCTION("""COMPUTED_VALUE"""),37358.645833333336)</f>
        <v>37358.64583</v>
      </c>
      <c r="C16" s="2">
        <f>IFERROR(__xludf.DUMMYFUNCTION("""COMPUTED_VALUE"""),239.0)</f>
        <v>239</v>
      </c>
    </row>
    <row r="17">
      <c r="B17" s="3">
        <f>IFERROR(__xludf.DUMMYFUNCTION("""COMPUTED_VALUE"""),37365.645833333336)</f>
        <v>37365.64583</v>
      </c>
      <c r="C17" s="2">
        <f>IFERROR(__xludf.DUMMYFUNCTION("""COMPUTED_VALUE"""),240.9)</f>
        <v>240.9</v>
      </c>
    </row>
    <row r="18">
      <c r="B18" s="3">
        <f>IFERROR(__xludf.DUMMYFUNCTION("""COMPUTED_VALUE"""),37372.645833333336)</f>
        <v>37372.64583</v>
      </c>
      <c r="C18" s="2">
        <f>IFERROR(__xludf.DUMMYFUNCTION("""COMPUTED_VALUE"""),239.0)</f>
        <v>239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IFERROR(__xludf.DUMMYFUNCTION("""COMPUTED_VALUE"""),233.8)</f>
        <v>233.8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IFERROR(__xludf.DUMMYFUNCTION("""COMPUTED_VALUE"""),231.5)</f>
        <v>231.5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IFERROR(__xludf.DUMMYFUNCTION("""COMPUTED_VALUE"""),227.0)</f>
        <v>227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IFERROR(__xludf.DUMMYFUNCTION("""COMPUTED_VALUE"""),225.0)</f>
        <v>225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IFERROR(__xludf.DUMMYFUNCTION("""COMPUTED_VALUE"""),235.0)</f>
        <v>235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IFERROR(__xludf.DUMMYFUNCTION("""COMPUTED_VALUE"""),225.0)</f>
        <v>225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IFERROR(__xludf.DUMMYFUNCTION("""COMPUTED_VALUE"""),235.75)</f>
        <v>235.75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IFERROR(__xludf.DUMMYFUNCTION("""COMPUTED_VALUE"""),235.0)</f>
        <v>235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IFERROR(__xludf.DUMMYFUNCTION("""COMPUTED_VALUE"""),225.0)</f>
        <v>225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IFERROR(__xludf.DUMMYFUNCTION("""COMPUTED_VALUE"""),224.0)</f>
        <v>224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IFERROR(__xludf.DUMMYFUNCTION("""COMPUTED_VALUE"""),224.9)</f>
        <v>224.9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IFERROR(__xludf.DUMMYFUNCTION("""COMPUTED_VALUE"""),221.0)</f>
        <v>221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IFERROR(__xludf.DUMMYFUNCTION("""COMPUTED_VALUE"""),217.85)</f>
        <v>217.85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IFERROR(__xludf.DUMMYFUNCTION("""COMPUTED_VALUE"""),214.0)</f>
        <v>214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IFERROR(__xludf.DUMMYFUNCTION("""COMPUTED_VALUE"""),232.0)</f>
        <v>232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IFERROR(__xludf.DUMMYFUNCTION("""COMPUTED_VALUE"""),240.0)</f>
        <v>240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IFERROR(__xludf.DUMMYFUNCTION("""COMPUTED_VALUE"""),228.0)</f>
        <v>228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IFERROR(__xludf.DUMMYFUNCTION("""COMPUTED_VALUE"""),235.0)</f>
        <v>235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IFERROR(__xludf.DUMMYFUNCTION("""COMPUTED_VALUE"""),230.8)</f>
        <v>230.8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IFERROR(__xludf.DUMMYFUNCTION("""COMPUTED_VALUE"""),228.5)</f>
        <v>228.5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IFERROR(__xludf.DUMMYFUNCTION("""COMPUTED_VALUE"""),229.8)</f>
        <v>229.8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IFERROR(__xludf.DUMMYFUNCTION("""COMPUTED_VALUE"""),226.95)</f>
        <v>226.95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IFERROR(__xludf.DUMMYFUNCTION("""COMPUTED_VALUE"""),229.7)</f>
        <v>229.7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IFERROR(__xludf.DUMMYFUNCTION("""COMPUTED_VALUE"""),224.5)</f>
        <v>224.5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IFERROR(__xludf.DUMMYFUNCTION("""COMPUTED_VALUE"""),216.85)</f>
        <v>216.85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IFERROR(__xludf.DUMMYFUNCTION("""COMPUTED_VALUE"""),211.0)</f>
        <v>211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IFERROR(__xludf.DUMMYFUNCTION("""COMPUTED_VALUE"""),208.0)</f>
        <v>208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IFERROR(__xludf.DUMMYFUNCTION("""COMPUTED_VALUE"""),204.25)</f>
        <v>204.25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IFERROR(__xludf.DUMMYFUNCTION("""COMPUTED_VALUE"""),203.0)</f>
        <v>203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IFERROR(__xludf.DUMMYFUNCTION("""COMPUTED_VALUE"""),202.0)</f>
        <v>202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IFERROR(__xludf.DUMMYFUNCTION("""COMPUTED_VALUE"""),212.0)</f>
        <v>212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IFERROR(__xludf.DUMMYFUNCTION("""COMPUTED_VALUE"""),218.5)</f>
        <v>218.5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IFERROR(__xludf.DUMMYFUNCTION("""COMPUTED_VALUE"""),224.5)</f>
        <v>224.5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IFERROR(__xludf.DUMMYFUNCTION("""COMPUTED_VALUE"""),232.8)</f>
        <v>232.8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IFERROR(__xludf.DUMMYFUNCTION("""COMPUTED_VALUE"""),229.0)</f>
        <v>229</v>
      </c>
    </row>
    <row r="54" ht="15.75" customHeight="1"/>
    <row r="55" ht="15.75" customHeight="1"/>
    <row r="56" ht="15.75" customHeight="1">
      <c r="B56" s="2" t="str">
        <f>IFERROR(__xludf.DUMMYFUNCTION("GOOGLEFINANCE(""NSE:RELINFRA"",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IFERROR(__xludf.DUMMYFUNCTION("""COMPUTED_VALUE"""),226.0)</f>
        <v>226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IFERROR(__xludf.DUMMYFUNCTION("""COMPUTED_VALUE"""),224.0)</f>
        <v>224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IFERROR(__xludf.DUMMYFUNCTION("""COMPUTED_VALUE"""),224.5)</f>
        <v>224.5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IFERROR(__xludf.DUMMYFUNCTION("""COMPUTED_VALUE"""),230.85)</f>
        <v>230.85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IFERROR(__xludf.DUMMYFUNCTION("""COMPUTED_VALUE"""),226.0)</f>
        <v>226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IFERROR(__xludf.DUMMYFUNCTION("""COMPUTED_VALUE"""),226.0)</f>
        <v>226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IFERROR(__xludf.DUMMYFUNCTION("""COMPUTED_VALUE"""),225.5)</f>
        <v>225.5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IFERROR(__xludf.DUMMYFUNCTION("""COMPUTED_VALUE"""),235.0)</f>
        <v>235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IFERROR(__xludf.DUMMYFUNCTION("""COMPUTED_VALUE"""),237.95)</f>
        <v>237.95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IFERROR(__xludf.DUMMYFUNCTION("""COMPUTED_VALUE"""),232.5)</f>
        <v>232.5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IFERROR(__xludf.DUMMYFUNCTION("""COMPUTED_VALUE"""),224.0)</f>
        <v>224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IFERROR(__xludf.DUMMYFUNCTION("""COMPUTED_VALUE"""),218.0)</f>
        <v>218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IFERROR(__xludf.DUMMYFUNCTION("""COMPUTED_VALUE"""),222.0)</f>
        <v>222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IFERROR(__xludf.DUMMYFUNCTION("""COMPUTED_VALUE"""),226.8)</f>
        <v>226.8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IFERROR(__xludf.DUMMYFUNCTION("""COMPUTED_VALUE"""),227.0)</f>
        <v>227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IFERROR(__xludf.DUMMYFUNCTION("""COMPUTED_VALUE"""),225.2)</f>
        <v>225.2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IFERROR(__xludf.DUMMYFUNCTION("""COMPUTED_VALUE"""),224.0)</f>
        <v>224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IFERROR(__xludf.DUMMYFUNCTION("""COMPUTED_VALUE"""),226.0)</f>
        <v>226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IFERROR(__xludf.DUMMYFUNCTION("""COMPUTED_VALUE"""),222.4)</f>
        <v>222.4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IFERROR(__xludf.DUMMYFUNCTION("""COMPUTED_VALUE"""),240.0)</f>
        <v>240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IFERROR(__xludf.DUMMYFUNCTION("""COMPUTED_VALUE"""),230.0)</f>
        <v>230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IFERROR(__xludf.DUMMYFUNCTION("""COMPUTED_VALUE"""),224.75)</f>
        <v>224.75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IFERROR(__xludf.DUMMYFUNCTION("""COMPUTED_VALUE"""),273.5)</f>
        <v>273.5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IFERROR(__xludf.DUMMYFUNCTION("""COMPUTED_VALUE"""),298.0)</f>
        <v>298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IFERROR(__xludf.DUMMYFUNCTION("""COMPUTED_VALUE"""),301.95)</f>
        <v>301.95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IFERROR(__xludf.DUMMYFUNCTION("""COMPUTED_VALUE"""),294.35)</f>
        <v>294.35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IFERROR(__xludf.DUMMYFUNCTION("""COMPUTED_VALUE"""),304.2)</f>
        <v>304.2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IFERROR(__xludf.DUMMYFUNCTION("""COMPUTED_VALUE"""),302.4)</f>
        <v>302.4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IFERROR(__xludf.DUMMYFUNCTION("""COMPUTED_VALUE"""),288.5)</f>
        <v>288.5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IFERROR(__xludf.DUMMYFUNCTION("""COMPUTED_VALUE"""),296.0)</f>
        <v>296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IFERROR(__xludf.DUMMYFUNCTION("""COMPUTED_VALUE"""),308.5)</f>
        <v>308.5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IFERROR(__xludf.DUMMYFUNCTION("""COMPUTED_VALUE"""),316.9)</f>
        <v>316.9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IFERROR(__xludf.DUMMYFUNCTION("""COMPUTED_VALUE"""),328.85)</f>
        <v>328.85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IFERROR(__xludf.DUMMYFUNCTION("""COMPUTED_VALUE"""),370.0)</f>
        <v>370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IFERROR(__xludf.DUMMYFUNCTION("""COMPUTED_VALUE"""),364.0)</f>
        <v>364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IFERROR(__xludf.DUMMYFUNCTION("""COMPUTED_VALUE"""),374.8)</f>
        <v>374.8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IFERROR(__xludf.DUMMYFUNCTION("""COMPUTED_VALUE"""),362.0)</f>
        <v>362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IFERROR(__xludf.DUMMYFUNCTION("""COMPUTED_VALUE"""),361.0)</f>
        <v>361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IFERROR(__xludf.DUMMYFUNCTION("""COMPUTED_VALUE"""),384.75)</f>
        <v>384.75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IFERROR(__xludf.DUMMYFUNCTION("""COMPUTED_VALUE"""),441.9)</f>
        <v>441.9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IFERROR(__xludf.DUMMYFUNCTION("""COMPUTED_VALUE"""),444.0)</f>
        <v>444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IFERROR(__xludf.DUMMYFUNCTION("""COMPUTED_VALUE"""),482.0)</f>
        <v>482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IFERROR(__xludf.DUMMYFUNCTION("""COMPUTED_VALUE"""),500.0)</f>
        <v>500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IFERROR(__xludf.DUMMYFUNCTION("""COMPUTED_VALUE"""),484.0)</f>
        <v>484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IFERROR(__xludf.DUMMYFUNCTION("""COMPUTED_VALUE"""),460.5)</f>
        <v>460.5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IFERROR(__xludf.DUMMYFUNCTION("""COMPUTED_VALUE"""),473.9)</f>
        <v>473.9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IFERROR(__xludf.DUMMYFUNCTION("""COMPUTED_VALUE"""),482.5)</f>
        <v>482.5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IFERROR(__xludf.DUMMYFUNCTION("""COMPUTED_VALUE"""),486.0)</f>
        <v>486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IFERROR(__xludf.DUMMYFUNCTION("""COMPUTED_VALUE"""),501.9)</f>
        <v>501.9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IFERROR(__xludf.DUMMYFUNCTION("GOOGLEFINANCE(""NSE:RELINFRA"",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IFERROR(__xludf.DUMMYFUNCTION("""COMPUTED_VALUE"""),527.5)</f>
        <v>527.5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IFERROR(__xludf.DUMMYFUNCTION("""COMPUTED_VALUE"""),591.0)</f>
        <v>591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IFERROR(__xludf.DUMMYFUNCTION("""COMPUTED_VALUE"""),585.0)</f>
        <v>585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IFERROR(__xludf.DUMMYFUNCTION("""COMPUTED_VALUE"""),560.25)</f>
        <v>560.25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IFERROR(__xludf.DUMMYFUNCTION("""COMPUTED_VALUE"""),569.0)</f>
        <v>569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IFERROR(__xludf.DUMMYFUNCTION("""COMPUTED_VALUE"""),583.0)</f>
        <v>583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IFERROR(__xludf.DUMMYFUNCTION("""COMPUTED_VALUE"""),643.85)</f>
        <v>643.85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IFERROR(__xludf.DUMMYFUNCTION("""COMPUTED_VALUE"""),678.5)</f>
        <v>678.5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IFERROR(__xludf.DUMMYFUNCTION("""COMPUTED_VALUE"""),745.5)</f>
        <v>745.5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IFERROR(__xludf.DUMMYFUNCTION("""COMPUTED_VALUE"""),818.4)</f>
        <v>818.4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IFERROR(__xludf.DUMMYFUNCTION("""COMPUTED_VALUE"""),810.0)</f>
        <v>810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IFERROR(__xludf.DUMMYFUNCTION("""COMPUTED_VALUE"""),755.9)</f>
        <v>755.9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IFERROR(__xludf.DUMMYFUNCTION("""COMPUTED_VALUE"""),762.0)</f>
        <v>762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IFERROR(__xludf.DUMMYFUNCTION("""COMPUTED_VALUE"""),807.8)</f>
        <v>807.8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IFERROR(__xludf.DUMMYFUNCTION("""COMPUTED_VALUE"""),815.0)</f>
        <v>815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IFERROR(__xludf.DUMMYFUNCTION("""COMPUTED_VALUE"""),797.1)</f>
        <v>797.1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IFERROR(__xludf.DUMMYFUNCTION("""COMPUTED_VALUE"""),779.0)</f>
        <v>779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IFERROR(__xludf.DUMMYFUNCTION("""COMPUTED_VALUE"""),745.0)</f>
        <v>745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IFERROR(__xludf.DUMMYFUNCTION("""COMPUTED_VALUE"""),743.0)</f>
        <v>743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IFERROR(__xludf.DUMMYFUNCTION("""COMPUTED_VALUE"""),699.0)</f>
        <v>699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IFERROR(__xludf.DUMMYFUNCTION("""COMPUTED_VALUE"""),583.75)</f>
        <v>583.75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IFERROR(__xludf.DUMMYFUNCTION("""COMPUTED_VALUE"""),549.0)</f>
        <v>549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IFERROR(__xludf.DUMMYFUNCTION("""COMPUTED_VALUE"""),567.45)</f>
        <v>567.45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IFERROR(__xludf.DUMMYFUNCTION("""COMPUTED_VALUE"""),582.55)</f>
        <v>582.55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IFERROR(__xludf.DUMMYFUNCTION("""COMPUTED_VALUE"""),563.0)</f>
        <v>563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IFERROR(__xludf.DUMMYFUNCTION("""COMPUTED_VALUE"""),581.2)</f>
        <v>581.2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IFERROR(__xludf.DUMMYFUNCTION("""COMPUTED_VALUE"""),585.6)</f>
        <v>585.6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IFERROR(__xludf.DUMMYFUNCTION("""COMPUTED_VALUE"""),582.9)</f>
        <v>582.9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IFERROR(__xludf.DUMMYFUNCTION("""COMPUTED_VALUE"""),594.95)</f>
        <v>594.95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IFERROR(__xludf.DUMMYFUNCTION("""COMPUTED_VALUE"""),593.95)</f>
        <v>593.95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IFERROR(__xludf.DUMMYFUNCTION("""COMPUTED_VALUE"""),597.0)</f>
        <v>597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IFERROR(__xludf.DUMMYFUNCTION("""COMPUTED_VALUE"""),594.8)</f>
        <v>594.8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IFERROR(__xludf.DUMMYFUNCTION("""COMPUTED_VALUE"""),611.0)</f>
        <v>611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IFERROR(__xludf.DUMMYFUNCTION("""COMPUTED_VALUE"""),660.0)</f>
        <v>660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IFERROR(__xludf.DUMMYFUNCTION("""COMPUTED_VALUE"""),665.0)</f>
        <v>665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IFERROR(__xludf.DUMMYFUNCTION("""COMPUTED_VALUE"""),647.8)</f>
        <v>647.8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IFERROR(__xludf.DUMMYFUNCTION("""COMPUTED_VALUE"""),644.5)</f>
        <v>644.5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IFERROR(__xludf.DUMMYFUNCTION("""COMPUTED_VALUE"""),684.5)</f>
        <v>684.5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IFERROR(__xludf.DUMMYFUNCTION("""COMPUTED_VALUE"""),643.7)</f>
        <v>643.7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IFERROR(__xludf.DUMMYFUNCTION("""COMPUTED_VALUE"""),667.0)</f>
        <v>667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IFERROR(__xludf.DUMMYFUNCTION("""COMPUTED_VALUE"""),658.0)</f>
        <v>658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IFERROR(__xludf.DUMMYFUNCTION("""COMPUTED_VALUE"""),638.0)</f>
        <v>638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IFERROR(__xludf.DUMMYFUNCTION("""COMPUTED_VALUE"""),653.0)</f>
        <v>653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IFERROR(__xludf.DUMMYFUNCTION("""COMPUTED_VALUE"""),645.5)</f>
        <v>645.5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IFERROR(__xludf.DUMMYFUNCTION("""COMPUTED_VALUE"""),633.5)</f>
        <v>633.5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IFERROR(__xludf.DUMMYFUNCTION("""COMPUTED_VALUE"""),618.0)</f>
        <v>618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IFERROR(__xludf.DUMMYFUNCTION("""COMPUTED_VALUE"""),584.85)</f>
        <v>584.85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IFERROR(__xludf.DUMMYFUNCTION("""COMPUTED_VALUE"""),583.9)</f>
        <v>583.9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IFERROR(__xludf.DUMMYFUNCTION("""COMPUTED_VALUE"""),537.9)</f>
        <v>537.9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IFERROR(__xludf.DUMMYFUNCTION("""COMPUTED_VALUE"""),543.9)</f>
        <v>543.9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IFERROR(__xludf.DUMMYFUNCTION("""COMPUTED_VALUE"""),549.0)</f>
        <v>549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IFERROR(__xludf.DUMMYFUNCTION("GOOGLEFINANCE(""NSE:RELINFRA"",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IFERROR(__xludf.DUMMYFUNCTION("""COMPUTED_VALUE"""),570.0)</f>
        <v>570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IFERROR(__xludf.DUMMYFUNCTION("""COMPUTED_VALUE"""),541.4)</f>
        <v>541.4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IFERROR(__xludf.DUMMYFUNCTION("""COMPUTED_VALUE"""),516.8)</f>
        <v>516.8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IFERROR(__xludf.DUMMYFUNCTION("""COMPUTED_VALUE"""),599.25)</f>
        <v>599.25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IFERROR(__xludf.DUMMYFUNCTION("""COMPUTED_VALUE"""),587.9)</f>
        <v>587.9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IFERROR(__xludf.DUMMYFUNCTION("""COMPUTED_VALUE"""),586.0)</f>
        <v>586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IFERROR(__xludf.DUMMYFUNCTION("""COMPUTED_VALUE"""),582.4)</f>
        <v>582.4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IFERROR(__xludf.DUMMYFUNCTION("""COMPUTED_VALUE"""),568.0)</f>
        <v>568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IFERROR(__xludf.DUMMYFUNCTION("""COMPUTED_VALUE"""),568.8)</f>
        <v>568.8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IFERROR(__xludf.DUMMYFUNCTION("""COMPUTED_VALUE"""),601.0)</f>
        <v>601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IFERROR(__xludf.DUMMYFUNCTION("""COMPUTED_VALUE"""),579.8)</f>
        <v>579.8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IFERROR(__xludf.DUMMYFUNCTION("""COMPUTED_VALUE"""),559.5)</f>
        <v>559.5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IFERROR(__xludf.DUMMYFUNCTION("""COMPUTED_VALUE"""),547.0)</f>
        <v>547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IFERROR(__xludf.DUMMYFUNCTION("""COMPUTED_VALUE"""),560.0)</f>
        <v>560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IFERROR(__xludf.DUMMYFUNCTION("""COMPUTED_VALUE"""),547.95)</f>
        <v>547.95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IFERROR(__xludf.DUMMYFUNCTION("""COMPUTED_VALUE"""),513.0)</f>
        <v>513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IFERROR(__xludf.DUMMYFUNCTION("""COMPUTED_VALUE"""),515.6)</f>
        <v>515.6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IFERROR(__xludf.DUMMYFUNCTION("""COMPUTED_VALUE"""),503.9)</f>
        <v>503.9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IFERROR(__xludf.DUMMYFUNCTION("""COMPUTED_VALUE"""),508.5)</f>
        <v>508.5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IFERROR(__xludf.DUMMYFUNCTION("""COMPUTED_VALUE"""),514.4)</f>
        <v>514.4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IFERROR(__xludf.DUMMYFUNCTION("""COMPUTED_VALUE"""),507.7)</f>
        <v>507.7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IFERROR(__xludf.DUMMYFUNCTION("""COMPUTED_VALUE"""),581.55)</f>
        <v>581.55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IFERROR(__xludf.DUMMYFUNCTION("""COMPUTED_VALUE"""),599.7)</f>
        <v>599.7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IFERROR(__xludf.DUMMYFUNCTION("""COMPUTED_VALUE"""),679.0)</f>
        <v>679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IFERROR(__xludf.DUMMYFUNCTION("""COMPUTED_VALUE"""),663.6)</f>
        <v>663.6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IFERROR(__xludf.DUMMYFUNCTION("""COMPUTED_VALUE"""),661.0)</f>
        <v>661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IFERROR(__xludf.DUMMYFUNCTION("""COMPUTED_VALUE"""),636.6)</f>
        <v>636.6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IFERROR(__xludf.DUMMYFUNCTION("""COMPUTED_VALUE"""),689.0)</f>
        <v>689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IFERROR(__xludf.DUMMYFUNCTION("""COMPUTED_VALUE"""),685.0)</f>
        <v>685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IFERROR(__xludf.DUMMYFUNCTION("""COMPUTED_VALUE"""),658.75)</f>
        <v>658.75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IFERROR(__xludf.DUMMYFUNCTION("""COMPUTED_VALUE"""),657.0)</f>
        <v>657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IFERROR(__xludf.DUMMYFUNCTION("""COMPUTED_VALUE"""),648.0)</f>
        <v>648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IFERROR(__xludf.DUMMYFUNCTION("""COMPUTED_VALUE"""),605.0)</f>
        <v>605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IFERROR(__xludf.DUMMYFUNCTION("""COMPUTED_VALUE"""),584.0)</f>
        <v>584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IFERROR(__xludf.DUMMYFUNCTION("""COMPUTED_VALUE"""),595.0)</f>
        <v>595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IFERROR(__xludf.DUMMYFUNCTION("""COMPUTED_VALUE"""),612.1)</f>
        <v>612.1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IFERROR(__xludf.DUMMYFUNCTION("""COMPUTED_VALUE"""),607.0)</f>
        <v>607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IFERROR(__xludf.DUMMYFUNCTION("""COMPUTED_VALUE"""),600.0)</f>
        <v>600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IFERROR(__xludf.DUMMYFUNCTION("""COMPUTED_VALUE"""),592.0)</f>
        <v>592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IFERROR(__xludf.DUMMYFUNCTION("""COMPUTED_VALUE"""),562.0)</f>
        <v>562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IFERROR(__xludf.DUMMYFUNCTION("""COMPUTED_VALUE"""),566.0)</f>
        <v>566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IFERROR(__xludf.DUMMYFUNCTION("""COMPUTED_VALUE"""),544.4)</f>
        <v>544.4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IFERROR(__xludf.DUMMYFUNCTION("""COMPUTED_VALUE"""),531.0)</f>
        <v>531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IFERROR(__xludf.DUMMYFUNCTION("""COMPUTED_VALUE"""),554.25)</f>
        <v>554.25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IFERROR(__xludf.DUMMYFUNCTION("""COMPUTED_VALUE"""),583.4)</f>
        <v>583.4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IFERROR(__xludf.DUMMYFUNCTION("""COMPUTED_VALUE"""),633.8)</f>
        <v>633.8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IFERROR(__xludf.DUMMYFUNCTION("""COMPUTED_VALUE"""),658.8)</f>
        <v>658.8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IFERROR(__xludf.DUMMYFUNCTION("""COMPUTED_VALUE"""),661.95)</f>
        <v>661.95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IFERROR(__xludf.DUMMYFUNCTION("""COMPUTED_VALUE"""),640.5)</f>
        <v>640.5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IFERROR(__xludf.DUMMYFUNCTION("""COMPUTED_VALUE"""),614.8)</f>
        <v>614.8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IFERROR(__xludf.DUMMYFUNCTION("GOOGLEFINANCE(""NSE:RELINFRA"",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IFERROR(__xludf.DUMMYFUNCTION("""COMPUTED_VALUE"""),624.0)</f>
        <v>624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IFERROR(__xludf.DUMMYFUNCTION("""COMPUTED_VALUE"""),624.4)</f>
        <v>624.4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IFERROR(__xludf.DUMMYFUNCTION("""COMPUTED_VALUE"""),636.9)</f>
        <v>636.9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IFERROR(__xludf.DUMMYFUNCTION("""COMPUTED_VALUE"""),642.0)</f>
        <v>642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IFERROR(__xludf.DUMMYFUNCTION("""COMPUTED_VALUE"""),647.9)</f>
        <v>647.9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IFERROR(__xludf.DUMMYFUNCTION("""COMPUTED_VALUE"""),648.8)</f>
        <v>648.8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IFERROR(__xludf.DUMMYFUNCTION("""COMPUTED_VALUE"""),622.5)</f>
        <v>622.5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IFERROR(__xludf.DUMMYFUNCTION("""COMPUTED_VALUE"""),632.4)</f>
        <v>632.4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IFERROR(__xludf.DUMMYFUNCTION("""COMPUTED_VALUE"""),640.0)</f>
        <v>640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IFERROR(__xludf.DUMMYFUNCTION("""COMPUTED_VALUE"""),668.9)</f>
        <v>668.9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IFERROR(__xludf.DUMMYFUNCTION("""COMPUTED_VALUE"""),670.0)</f>
        <v>670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IFERROR(__xludf.DUMMYFUNCTION("""COMPUTED_VALUE"""),651.5)</f>
        <v>651.5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IFERROR(__xludf.DUMMYFUNCTION("""COMPUTED_VALUE"""),634.9)</f>
        <v>634.9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IFERROR(__xludf.DUMMYFUNCTION("""COMPUTED_VALUE"""),650.0)</f>
        <v>650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IFERROR(__xludf.DUMMYFUNCTION("""COMPUTED_VALUE"""),636.45)</f>
        <v>636.45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IFERROR(__xludf.DUMMYFUNCTION("""COMPUTED_VALUE"""),652.5)</f>
        <v>652.5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IFERROR(__xludf.DUMMYFUNCTION("""COMPUTED_VALUE"""),628.4)</f>
        <v>628.4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IFERROR(__xludf.DUMMYFUNCTION("""COMPUTED_VALUE"""),636.3)</f>
        <v>636.3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IFERROR(__xludf.DUMMYFUNCTION("""COMPUTED_VALUE"""),607.4)</f>
        <v>607.4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IFERROR(__xludf.DUMMYFUNCTION("""COMPUTED_VALUE"""),557.0)</f>
        <v>557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IFERROR(__xludf.DUMMYFUNCTION("""COMPUTED_VALUE"""),550.0)</f>
        <v>550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IFERROR(__xludf.DUMMYFUNCTION("""COMPUTED_VALUE"""),474.0)</f>
        <v>474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IFERROR(__xludf.DUMMYFUNCTION("""COMPUTED_VALUE"""),469.0)</f>
        <v>469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IFERROR(__xludf.DUMMYFUNCTION("""COMPUTED_VALUE"""),479.2)</f>
        <v>479.2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IFERROR(__xludf.DUMMYFUNCTION("""COMPUTED_VALUE"""),473.0)</f>
        <v>473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IFERROR(__xludf.DUMMYFUNCTION("""COMPUTED_VALUE"""),483.0)</f>
        <v>483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IFERROR(__xludf.DUMMYFUNCTION("""COMPUTED_VALUE"""),461.0)</f>
        <v>461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IFERROR(__xludf.DUMMYFUNCTION("""COMPUTED_VALUE"""),446.8)</f>
        <v>446.8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IFERROR(__xludf.DUMMYFUNCTION("""COMPUTED_VALUE"""),456.5)</f>
        <v>456.5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IFERROR(__xludf.DUMMYFUNCTION("""COMPUTED_VALUE"""),471.0)</f>
        <v>471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IFERROR(__xludf.DUMMYFUNCTION("""COMPUTED_VALUE"""),498.8)</f>
        <v>498.8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IFERROR(__xludf.DUMMYFUNCTION("""COMPUTED_VALUE"""),490.0)</f>
        <v>490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IFERROR(__xludf.DUMMYFUNCTION("""COMPUTED_VALUE"""),467.0)</f>
        <v>467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IFERROR(__xludf.DUMMYFUNCTION("""COMPUTED_VALUE"""),459.2)</f>
        <v>459.2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IFERROR(__xludf.DUMMYFUNCTION("""COMPUTED_VALUE"""),493.9)</f>
        <v>493.9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IFERROR(__xludf.DUMMYFUNCTION("""COMPUTED_VALUE"""),492.4)</f>
        <v>492.4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IFERROR(__xludf.DUMMYFUNCTION("""COMPUTED_VALUE"""),472.7)</f>
        <v>472.7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IFERROR(__xludf.DUMMYFUNCTION("""COMPUTED_VALUE"""),489.8)</f>
        <v>489.8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IFERROR(__xludf.DUMMYFUNCTION("""COMPUTED_VALUE"""),520.0)</f>
        <v>520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IFERROR(__xludf.DUMMYFUNCTION("""COMPUTED_VALUE"""),477.5)</f>
        <v>477.5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IFERROR(__xludf.DUMMYFUNCTION("""COMPUTED_VALUE"""),483.0)</f>
        <v>483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IFERROR(__xludf.DUMMYFUNCTION("""COMPUTED_VALUE"""),516.6)</f>
        <v>516.6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IFERROR(__xludf.DUMMYFUNCTION("""COMPUTED_VALUE"""),531.0)</f>
        <v>531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IFERROR(__xludf.DUMMYFUNCTION("""COMPUTED_VALUE"""),545.9)</f>
        <v>545.9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IFERROR(__xludf.DUMMYFUNCTION("""COMPUTED_VALUE"""),557.0)</f>
        <v>557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IFERROR(__xludf.DUMMYFUNCTION("""COMPUTED_VALUE"""),552.0)</f>
        <v>552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IFERROR(__xludf.DUMMYFUNCTION("""COMPUTED_VALUE"""),568.25)</f>
        <v>568.25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IFERROR(__xludf.DUMMYFUNCTION("""COMPUTED_VALUE"""),561.0)</f>
        <v>561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IFERROR(__xludf.DUMMYFUNCTION("""COMPUTED_VALUE"""),548.0)</f>
        <v>548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IFERROR(__xludf.DUMMYFUNCTION("""COMPUTED_VALUE"""),535.0)</f>
        <v>535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IFERROR(__xludf.DUMMYFUNCTION("GOOGLEFINANCE(""NSE:RELINFRA"",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IFERROR(__xludf.DUMMYFUNCTION("""COMPUTED_VALUE"""),556.15)</f>
        <v>556.15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IFERROR(__xludf.DUMMYFUNCTION("""COMPUTED_VALUE"""),528.0)</f>
        <v>528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IFERROR(__xludf.DUMMYFUNCTION("""COMPUTED_VALUE"""),544.5)</f>
        <v>544.5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IFERROR(__xludf.DUMMYFUNCTION("""COMPUTED_VALUE"""),521.2)</f>
        <v>521.2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IFERROR(__xludf.DUMMYFUNCTION("""COMPUTED_VALUE"""),537.1)</f>
        <v>537.1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IFERROR(__xludf.DUMMYFUNCTION("""COMPUTED_VALUE"""),582.9)</f>
        <v>582.9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IFERROR(__xludf.DUMMYFUNCTION("""COMPUTED_VALUE"""),560.0)</f>
        <v>560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IFERROR(__xludf.DUMMYFUNCTION("""COMPUTED_VALUE"""),546.9)</f>
        <v>546.9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IFERROR(__xludf.DUMMYFUNCTION("""COMPUTED_VALUE"""),510.5)</f>
        <v>510.5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IFERROR(__xludf.DUMMYFUNCTION("""COMPUTED_VALUE"""),494.0)</f>
        <v>494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IFERROR(__xludf.DUMMYFUNCTION("""COMPUTED_VALUE"""),489.9)</f>
        <v>489.9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IFERROR(__xludf.DUMMYFUNCTION("""COMPUTED_VALUE"""),498.8)</f>
        <v>498.8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IFERROR(__xludf.DUMMYFUNCTION("""COMPUTED_VALUE"""),500.0)</f>
        <v>500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IFERROR(__xludf.DUMMYFUNCTION("""COMPUTED_VALUE"""),503.75)</f>
        <v>503.75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IFERROR(__xludf.DUMMYFUNCTION("""COMPUTED_VALUE"""),520.4)</f>
        <v>520.4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IFERROR(__xludf.DUMMYFUNCTION("""COMPUTED_VALUE"""),516.7)</f>
        <v>516.7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IFERROR(__xludf.DUMMYFUNCTION("""COMPUTED_VALUE"""),535.0)</f>
        <v>535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IFERROR(__xludf.DUMMYFUNCTION("""COMPUTED_VALUE"""),524.0)</f>
        <v>524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IFERROR(__xludf.DUMMYFUNCTION("""COMPUTED_VALUE"""),526.5)</f>
        <v>526.5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IFERROR(__xludf.DUMMYFUNCTION("""COMPUTED_VALUE"""),548.9)</f>
        <v>548.9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IFERROR(__xludf.DUMMYFUNCTION("""COMPUTED_VALUE"""),584.3)</f>
        <v>584.3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IFERROR(__xludf.DUMMYFUNCTION("""COMPUTED_VALUE"""),585.0)</f>
        <v>585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IFERROR(__xludf.DUMMYFUNCTION("""COMPUTED_VALUE"""),553.0)</f>
        <v>553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IFERROR(__xludf.DUMMYFUNCTION("""COMPUTED_VALUE"""),540.0)</f>
        <v>540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IFERROR(__xludf.DUMMYFUNCTION("""COMPUTED_VALUE"""),597.5)</f>
        <v>597.5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IFERROR(__xludf.DUMMYFUNCTION("""COMPUTED_VALUE"""),618.0)</f>
        <v>618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IFERROR(__xludf.DUMMYFUNCTION("""COMPUTED_VALUE"""),634.9)</f>
        <v>634.9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IFERROR(__xludf.DUMMYFUNCTION("""COMPUTED_VALUE"""),694.4)</f>
        <v>694.4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IFERROR(__xludf.DUMMYFUNCTION("""COMPUTED_VALUE"""),725.0)</f>
        <v>725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IFERROR(__xludf.DUMMYFUNCTION("""COMPUTED_VALUE"""),817.6)</f>
        <v>817.6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IFERROR(__xludf.DUMMYFUNCTION("""COMPUTED_VALUE"""),874.9)</f>
        <v>874.9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IFERROR(__xludf.DUMMYFUNCTION("""COMPUTED_VALUE"""),797.0)</f>
        <v>797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IFERROR(__xludf.DUMMYFUNCTION("""COMPUTED_VALUE"""),794.7)</f>
        <v>794.7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IFERROR(__xludf.DUMMYFUNCTION("""COMPUTED_VALUE"""),752.9)</f>
        <v>752.9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IFERROR(__xludf.DUMMYFUNCTION("""COMPUTED_VALUE"""),795.0)</f>
        <v>795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IFERROR(__xludf.DUMMYFUNCTION("""COMPUTED_VALUE"""),869.65)</f>
        <v>869.65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IFERROR(__xludf.DUMMYFUNCTION("""COMPUTED_VALUE"""),915.0)</f>
        <v>915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IFERROR(__xludf.DUMMYFUNCTION("""COMPUTED_VALUE"""),1032.95)</f>
        <v>1032.95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IFERROR(__xludf.DUMMYFUNCTION("""COMPUTED_VALUE"""),1222.5)</f>
        <v>1222.5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IFERROR(__xludf.DUMMYFUNCTION("""COMPUTED_VALUE"""),1540.45)</f>
        <v>1540.45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IFERROR(__xludf.DUMMYFUNCTION("""COMPUTED_VALUE"""),1725.9)</f>
        <v>1725.9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IFERROR(__xludf.DUMMYFUNCTION("""COMPUTED_VALUE"""),1959.0)</f>
        <v>1959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IFERROR(__xludf.DUMMYFUNCTION("""COMPUTED_VALUE"""),1716.0)</f>
        <v>1716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IFERROR(__xludf.DUMMYFUNCTION("""COMPUTED_VALUE"""),1939.7)</f>
        <v>1939.7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IFERROR(__xludf.DUMMYFUNCTION("""COMPUTED_VALUE"""),1969.0)</f>
        <v>1969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IFERROR(__xludf.DUMMYFUNCTION("""COMPUTED_VALUE"""),1869.7)</f>
        <v>1869.7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IFERROR(__xludf.DUMMYFUNCTION("""COMPUTED_VALUE"""),1814.0)</f>
        <v>1814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IFERROR(__xludf.DUMMYFUNCTION("""COMPUTED_VALUE"""),1991.7)</f>
        <v>1991.7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IFERROR(__xludf.DUMMYFUNCTION("""COMPUTED_VALUE"""),1973.0)</f>
        <v>1973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IFERROR(__xludf.DUMMYFUNCTION("""COMPUTED_VALUE"""),1978.0)</f>
        <v>1978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IFERROR(__xludf.DUMMYFUNCTION("""COMPUTED_VALUE"""),2219.4)</f>
        <v>2219.4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IFERROR(__xludf.DUMMYFUNCTION("GOOGLEFINANCE(""NSE:RELINFRA"",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IFERROR(__xludf.DUMMYFUNCTION("""COMPUTED_VALUE"""),2600.0)</f>
        <v>2600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IFERROR(__xludf.DUMMYFUNCTION("""COMPUTED_VALUE"""),2641.0)</f>
        <v>2641</v>
      </c>
    </row>
    <row r="334" ht="15.75" customHeight="1">
      <c r="B334" s="3">
        <f>IFERROR(__xludf.DUMMYFUNCTION("""COMPUTED_VALUE"""),39465.645833333336)</f>
        <v>39465.64583</v>
      </c>
      <c r="C334" s="2">
        <f>IFERROR(__xludf.DUMMYFUNCTION("""COMPUTED_VALUE"""),2516.9)</f>
        <v>2516.9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IFERROR(__xludf.DUMMYFUNCTION("""COMPUTED_VALUE"""),2185.0)</f>
        <v>2185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IFERROR(__xludf.DUMMYFUNCTION("""COMPUTED_VALUE"""),2184.7)</f>
        <v>2184.7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IFERROR(__xludf.DUMMYFUNCTION("""COMPUTED_VALUE"""),2149.0)</f>
        <v>2149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IFERROR(__xludf.DUMMYFUNCTION("""COMPUTED_VALUE"""),1909.0)</f>
        <v>1909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IFERROR(__xludf.DUMMYFUNCTION("""COMPUTED_VALUE"""),1889.0)</f>
        <v>1889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IFERROR(__xludf.DUMMYFUNCTION("""COMPUTED_VALUE"""),1750.0)</f>
        <v>1750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IFERROR(__xludf.DUMMYFUNCTION("""COMPUTED_VALUE"""),1579.0)</f>
        <v>1579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IFERROR(__xludf.DUMMYFUNCTION("""COMPUTED_VALUE"""),1393.85)</f>
        <v>1393.85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IFERROR(__xludf.DUMMYFUNCTION("""COMPUTED_VALUE"""),1309.0)</f>
        <v>1309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IFERROR(__xludf.DUMMYFUNCTION("""COMPUTED_VALUE"""),1345.65)</f>
        <v>1345.65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IFERROR(__xludf.DUMMYFUNCTION("""COMPUTED_VALUE"""),1344.95)</f>
        <v>1344.95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IFERROR(__xludf.DUMMYFUNCTION("""COMPUTED_VALUE"""),1308.7)</f>
        <v>1308.7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IFERROR(__xludf.DUMMYFUNCTION("""COMPUTED_VALUE"""),1395.0)</f>
        <v>1395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IFERROR(__xludf.DUMMYFUNCTION("""COMPUTED_VALUE"""),1378.0)</f>
        <v>1378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IFERROR(__xludf.DUMMYFUNCTION("""COMPUTED_VALUE"""),1538.0)</f>
        <v>1538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IFERROR(__xludf.DUMMYFUNCTION("""COMPUTED_VALUE"""),1575.0)</f>
        <v>1575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IFERROR(__xludf.DUMMYFUNCTION("""COMPUTED_VALUE"""),1478.45)</f>
        <v>1478.45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IFERROR(__xludf.DUMMYFUNCTION("""COMPUTED_VALUE"""),1451.0)</f>
        <v>1451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IFERROR(__xludf.DUMMYFUNCTION("""COMPUTED_VALUE"""),1297.0)</f>
        <v>1297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IFERROR(__xludf.DUMMYFUNCTION("""COMPUTED_VALUE"""),1250.0)</f>
        <v>1250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IFERROR(__xludf.DUMMYFUNCTION("""COMPUTED_VALUE"""),1080.0)</f>
        <v>1080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IFERROR(__xludf.DUMMYFUNCTION("""COMPUTED_VALUE"""),1126.0)</f>
        <v>1126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IFERROR(__xludf.DUMMYFUNCTION("""COMPUTED_VALUE"""),972.0)</f>
        <v>972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IFERROR(__xludf.DUMMYFUNCTION("""COMPUTED_VALUE"""),903.0)</f>
        <v>903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IFERROR(__xludf.DUMMYFUNCTION("""COMPUTED_VALUE"""),879.0)</f>
        <v>879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IFERROR(__xludf.DUMMYFUNCTION("""COMPUTED_VALUE"""),864.95)</f>
        <v>864.95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IFERROR(__xludf.DUMMYFUNCTION("""COMPUTED_VALUE"""),1069.9)</f>
        <v>1069.9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IFERROR(__xludf.DUMMYFUNCTION("""COMPUTED_VALUE"""),1025.7)</f>
        <v>1025.7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IFERROR(__xludf.DUMMYFUNCTION("""COMPUTED_VALUE"""),1093.65)</f>
        <v>1093.65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IFERROR(__xludf.DUMMYFUNCTION("""COMPUTED_VALUE"""),1121.0)</f>
        <v>1121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IFERROR(__xludf.DUMMYFUNCTION("""COMPUTED_VALUE"""),1024.0)</f>
        <v>1024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IFERROR(__xludf.DUMMYFUNCTION("""COMPUTED_VALUE"""),1020.0)</f>
        <v>1020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IFERROR(__xludf.DUMMYFUNCTION("""COMPUTED_VALUE"""),1049.85)</f>
        <v>1049.85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IFERROR(__xludf.DUMMYFUNCTION("""COMPUTED_VALUE"""),1109.0)</f>
        <v>1109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IFERROR(__xludf.DUMMYFUNCTION("""COMPUTED_VALUE"""),907.0)</f>
        <v>907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IFERROR(__xludf.DUMMYFUNCTION("""COMPUTED_VALUE"""),915.0)</f>
        <v>915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IFERROR(__xludf.DUMMYFUNCTION("""COMPUTED_VALUE"""),859.0)</f>
        <v>859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IFERROR(__xludf.DUMMYFUNCTION("""COMPUTED_VALUE"""),728.7)</f>
        <v>728.7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IFERROR(__xludf.DUMMYFUNCTION("""COMPUTED_VALUE"""),660.0)</f>
        <v>660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IFERROR(__xludf.DUMMYFUNCTION("""COMPUTED_VALUE"""),524.8)</f>
        <v>524.8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IFERROR(__xludf.DUMMYFUNCTION("""COMPUTED_VALUE"""),465.35)</f>
        <v>465.35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IFERROR(__xludf.DUMMYFUNCTION("""COMPUTED_VALUE"""),588.8)</f>
        <v>588.8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IFERROR(__xludf.DUMMYFUNCTION("""COMPUTED_VALUE"""),627.9)</f>
        <v>627.9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IFERROR(__xludf.DUMMYFUNCTION("""COMPUTED_VALUE"""),522.0)</f>
        <v>522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IFERROR(__xludf.DUMMYFUNCTION("""COMPUTED_VALUE"""),534.65)</f>
        <v>534.65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IFERROR(__xludf.DUMMYFUNCTION("""COMPUTED_VALUE"""),561.2)</f>
        <v>561.2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IFERROR(__xludf.DUMMYFUNCTION("""COMPUTED_VALUE"""),663.85)</f>
        <v>663.85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IFERROR(__xludf.DUMMYFUNCTION("""COMPUTED_VALUE"""),675.0)</f>
        <v>675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IFERROR(__xludf.DUMMYFUNCTION("""COMPUTED_VALUE"""),638.45)</f>
        <v>638.45</v>
      </c>
    </row>
    <row r="384" ht="15.75" customHeight="1"/>
    <row r="385" ht="15.75" customHeight="1"/>
    <row r="386" ht="15.75" customHeight="1">
      <c r="B386" s="2" t="str">
        <f>IFERROR(__xludf.DUMMYFUNCTION("GOOGLEFINANCE(""NSE:RELINFRA"",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IFERROR(__xludf.DUMMYFUNCTION("""COMPUTED_VALUE"""),639.0)</f>
        <v>639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IFERROR(__xludf.DUMMYFUNCTION("""COMPUTED_VALUE"""),670.0)</f>
        <v>670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IFERROR(__xludf.DUMMYFUNCTION("""COMPUTED_VALUE"""),548.7)</f>
        <v>548.7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IFERROR(__xludf.DUMMYFUNCTION("""COMPUTED_VALUE"""),564.7)</f>
        <v>564.7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IFERROR(__xludf.DUMMYFUNCTION("""COMPUTED_VALUE"""),588.9)</f>
        <v>588.9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IFERROR(__xludf.DUMMYFUNCTION("""COMPUTED_VALUE"""),577.2)</f>
        <v>577.2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IFERROR(__xludf.DUMMYFUNCTION("""COMPUTED_VALUE"""),596.9)</f>
        <v>596.9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IFERROR(__xludf.DUMMYFUNCTION("""COMPUTED_VALUE"""),578.4)</f>
        <v>578.4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IFERROR(__xludf.DUMMYFUNCTION("""COMPUTED_VALUE"""),517.4)</f>
        <v>517.4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IFERROR(__xludf.DUMMYFUNCTION("""COMPUTED_VALUE"""),479.8)</f>
        <v>479.8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IFERROR(__xludf.DUMMYFUNCTION("""COMPUTED_VALUE"""),469.3)</f>
        <v>469.3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IFERROR(__xludf.DUMMYFUNCTION("""COMPUTED_VALUE"""),495.0)</f>
        <v>495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IFERROR(__xludf.DUMMYFUNCTION("""COMPUTED_VALUE"""),577.85)</f>
        <v>577.85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IFERROR(__xludf.DUMMYFUNCTION("""COMPUTED_VALUE"""),596.75)</f>
        <v>596.75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IFERROR(__xludf.DUMMYFUNCTION("""COMPUTED_VALUE"""),668.0)</f>
        <v>668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IFERROR(__xludf.DUMMYFUNCTION("""COMPUTED_VALUE"""),733.2)</f>
        <v>733.2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IFERROR(__xludf.DUMMYFUNCTION("""COMPUTED_VALUE"""),747.0)</f>
        <v>747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IFERROR(__xludf.DUMMYFUNCTION("""COMPUTED_VALUE"""),751.5)</f>
        <v>751.5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IFERROR(__xludf.DUMMYFUNCTION("""COMPUTED_VALUE"""),832.0)</f>
        <v>832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IFERROR(__xludf.DUMMYFUNCTION("""COMPUTED_VALUE"""),847.7)</f>
        <v>847.7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IFERROR(__xludf.DUMMYFUNCTION("""COMPUTED_VALUE"""),1148.0)</f>
        <v>1148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IFERROR(__xludf.DUMMYFUNCTION("""COMPUTED_VALUE"""),1322.9)</f>
        <v>1322.9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IFERROR(__xludf.DUMMYFUNCTION("""COMPUTED_VALUE"""),1324.4)</f>
        <v>1324.4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IFERROR(__xludf.DUMMYFUNCTION("""COMPUTED_VALUE"""),1255.0)</f>
        <v>1255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IFERROR(__xludf.DUMMYFUNCTION("""COMPUTED_VALUE"""),1334.5)</f>
        <v>1334.5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IFERROR(__xludf.DUMMYFUNCTION("""COMPUTED_VALUE"""),1368.7)</f>
        <v>1368.7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IFERROR(__xludf.DUMMYFUNCTION("""COMPUTED_VALUE"""),1299.9)</f>
        <v>1299.9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IFERROR(__xludf.DUMMYFUNCTION("""COMPUTED_VALUE"""),1346.95)</f>
        <v>1346.95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IFERROR(__xludf.DUMMYFUNCTION("""COMPUTED_VALUE"""),1166.65)</f>
        <v>1166.65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IFERROR(__xludf.DUMMYFUNCTION("""COMPUTED_VALUE"""),1199.0)</f>
        <v>1199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IFERROR(__xludf.DUMMYFUNCTION("""COMPUTED_VALUE"""),1223.9)</f>
        <v>1223.9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IFERROR(__xludf.DUMMYFUNCTION("""COMPUTED_VALUE"""),1242.0)</f>
        <v>1242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IFERROR(__xludf.DUMMYFUNCTION("""COMPUTED_VALUE"""),1206.0)</f>
        <v>1206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IFERROR(__xludf.DUMMYFUNCTION("""COMPUTED_VALUE"""),1172.0)</f>
        <v>1172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IFERROR(__xludf.DUMMYFUNCTION("""COMPUTED_VALUE"""),1175.0)</f>
        <v>1175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IFERROR(__xludf.DUMMYFUNCTION("""COMPUTED_VALUE"""),1172.0)</f>
        <v>1172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IFERROR(__xludf.DUMMYFUNCTION("""COMPUTED_VALUE"""),1229.0)</f>
        <v>1229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IFERROR(__xludf.DUMMYFUNCTION("""COMPUTED_VALUE"""),1261.0)</f>
        <v>1261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IFERROR(__xludf.DUMMYFUNCTION("""COMPUTED_VALUE"""),1260.0)</f>
        <v>1260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IFERROR(__xludf.DUMMYFUNCTION("""COMPUTED_VALUE"""),1238.4)</f>
        <v>1238.4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IFERROR(__xludf.DUMMYFUNCTION("""COMPUTED_VALUE"""),1343.4)</f>
        <v>1343.4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IFERROR(__xludf.DUMMYFUNCTION("""COMPUTED_VALUE"""),1324.95)</f>
        <v>1324.95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IFERROR(__xludf.DUMMYFUNCTION("""COMPUTED_VALUE"""),1245.0)</f>
        <v>1245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IFERROR(__xludf.DUMMYFUNCTION("""COMPUTED_VALUE"""),1142.0)</f>
        <v>1142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IFERROR(__xludf.DUMMYFUNCTION("""COMPUTED_VALUE"""),1183.4)</f>
        <v>1183.4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IFERROR(__xludf.DUMMYFUNCTION("""COMPUTED_VALUE"""),1200.0)</f>
        <v>1200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IFERROR(__xludf.DUMMYFUNCTION("""COMPUTED_VALUE"""),1109.0)</f>
        <v>1109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IFERROR(__xludf.DUMMYFUNCTION("""COMPUTED_VALUE"""),1092.4)</f>
        <v>1092.4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IFERROR(__xludf.DUMMYFUNCTION("""COMPUTED_VALUE"""),1078.5)</f>
        <v>1078.5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IFERROR(__xludf.DUMMYFUNCTION("""COMPUTED_VALUE"""),1084.4)</f>
        <v>1084.4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IFERROR(__xludf.DUMMYFUNCTION("""COMPUTED_VALUE"""),1109.9)</f>
        <v>1109.9</v>
      </c>
    </row>
    <row r="438" ht="15.75" customHeight="1"/>
    <row r="439" ht="15.75" customHeight="1"/>
    <row r="440" ht="15.75" customHeight="1"/>
    <row r="441" ht="15.75" customHeight="1">
      <c r="B441" s="2" t="str">
        <f>IFERROR(__xludf.DUMMYFUNCTION("GOOGLEFINANCE(""NSE:RELINFRA"",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IFERROR(__xludf.DUMMYFUNCTION("""COMPUTED_VALUE"""),1198.0)</f>
        <v>1198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IFERROR(__xludf.DUMMYFUNCTION("""COMPUTED_VALUE"""),1180.9)</f>
        <v>1180.9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IFERROR(__xludf.DUMMYFUNCTION("""COMPUTED_VALUE"""),1153.05)</f>
        <v>1153.05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IFERROR(__xludf.DUMMYFUNCTION("""COMPUTED_VALUE"""),1068.8)</f>
        <v>1068.8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IFERROR(__xludf.DUMMYFUNCTION("""COMPUTED_VALUE"""),1081.0)</f>
        <v>1081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IFERROR(__xludf.DUMMYFUNCTION("""COMPUTED_VALUE"""),1070.95)</f>
        <v>1070.95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IFERROR(__xludf.DUMMYFUNCTION("""COMPUTED_VALUE"""),1026.4)</f>
        <v>1026.4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IFERROR(__xludf.DUMMYFUNCTION("""COMPUTED_VALUE"""),1041.85)</f>
        <v>1041.85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IFERROR(__xludf.DUMMYFUNCTION("""COMPUTED_VALUE"""),1049.4)</f>
        <v>1049.4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IFERROR(__xludf.DUMMYFUNCTION("""COMPUTED_VALUE"""),1029.75)</f>
        <v>1029.75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IFERROR(__xludf.DUMMYFUNCTION("""COMPUTED_VALUE"""),1121.5)</f>
        <v>1121.5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IFERROR(__xludf.DUMMYFUNCTION("""COMPUTED_VALUE"""),1027.4)</f>
        <v>1027.4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IFERROR(__xludf.DUMMYFUNCTION("""COMPUTED_VALUE"""),1125.0)</f>
        <v>1125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IFERROR(__xludf.DUMMYFUNCTION("""COMPUTED_VALUE"""),1147.8)</f>
        <v>1147.8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IFERROR(__xludf.DUMMYFUNCTION("""COMPUTED_VALUE"""),1155.0)</f>
        <v>1155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IFERROR(__xludf.DUMMYFUNCTION("""COMPUTED_VALUE"""),1158.4)</f>
        <v>1158.4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IFERROR(__xludf.DUMMYFUNCTION("""COMPUTED_VALUE"""),1134.55)</f>
        <v>1134.55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IFERROR(__xludf.DUMMYFUNCTION("""COMPUTED_VALUE"""),1084.5)</f>
        <v>1084.5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IFERROR(__xludf.DUMMYFUNCTION("""COMPUTED_VALUE"""),1017.0)</f>
        <v>1017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IFERROR(__xludf.DUMMYFUNCTION("""COMPUTED_VALUE"""),1106.45)</f>
        <v>1106.45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IFERROR(__xludf.DUMMYFUNCTION("""COMPUTED_VALUE"""),1117.4)</f>
        <v>1117.4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IFERROR(__xludf.DUMMYFUNCTION("""COMPUTED_VALUE"""),1142.05)</f>
        <v>1142.05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IFERROR(__xludf.DUMMYFUNCTION("""COMPUTED_VALUE"""),1209.25)</f>
        <v>1209.25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IFERROR(__xludf.DUMMYFUNCTION("""COMPUTED_VALUE"""),1198.95)</f>
        <v>1198.95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IFERROR(__xludf.DUMMYFUNCTION("""COMPUTED_VALUE"""),1224.0)</f>
        <v>1224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IFERROR(__xludf.DUMMYFUNCTION("""COMPUTED_VALUE"""),1210.8)</f>
        <v>1210.8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IFERROR(__xludf.DUMMYFUNCTION("""COMPUTED_VALUE"""),1185.0)</f>
        <v>1185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IFERROR(__xludf.DUMMYFUNCTION("""COMPUTED_VALUE"""),1158.95)</f>
        <v>1158.95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IFERROR(__xludf.DUMMYFUNCTION("""COMPUTED_VALUE"""),1161.0)</f>
        <v>1161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IFERROR(__xludf.DUMMYFUNCTION("""COMPUTED_VALUE"""),1146.75)</f>
        <v>1146.75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IFERROR(__xludf.DUMMYFUNCTION("""COMPUTED_VALUE"""),1124.15)</f>
        <v>1124.15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IFERROR(__xludf.DUMMYFUNCTION("""COMPUTED_VALUE"""),1089.25)</f>
        <v>1089.25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IFERROR(__xludf.DUMMYFUNCTION("""COMPUTED_VALUE"""),1079.9)</f>
        <v>1079.9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IFERROR(__xludf.DUMMYFUNCTION("""COMPUTED_VALUE"""),1038.0)</f>
        <v>1038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IFERROR(__xludf.DUMMYFUNCTION("""COMPUTED_VALUE"""),1053.8)</f>
        <v>1053.8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IFERROR(__xludf.DUMMYFUNCTION("""COMPUTED_VALUE"""),1083.0)</f>
        <v>1083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IFERROR(__xludf.DUMMYFUNCTION("""COMPUTED_VALUE"""),1098.4)</f>
        <v>1098.4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IFERROR(__xludf.DUMMYFUNCTION("""COMPUTED_VALUE"""),1124.0)</f>
        <v>1124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IFERROR(__xludf.DUMMYFUNCTION("""COMPUTED_VALUE"""),1135.0)</f>
        <v>1135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IFERROR(__xludf.DUMMYFUNCTION("""COMPUTED_VALUE"""),1107.9)</f>
        <v>1107.9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IFERROR(__xludf.DUMMYFUNCTION("""COMPUTED_VALUE"""),1118.0)</f>
        <v>1118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IFERROR(__xludf.DUMMYFUNCTION("""COMPUTED_VALUE"""),1076.9)</f>
        <v>1076.9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IFERROR(__xludf.DUMMYFUNCTION("""COMPUTED_VALUE"""),1057.8)</f>
        <v>1057.8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IFERROR(__xludf.DUMMYFUNCTION("""COMPUTED_VALUE"""),1075.0)</f>
        <v>1075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IFERROR(__xludf.DUMMYFUNCTION("""COMPUTED_VALUE"""),1052.0)</f>
        <v>1052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IFERROR(__xludf.DUMMYFUNCTION("""COMPUTED_VALUE"""),958.6)</f>
        <v>958.6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IFERROR(__xludf.DUMMYFUNCTION("""COMPUTED_VALUE"""),892.0)</f>
        <v>892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IFERROR(__xludf.DUMMYFUNCTION("""COMPUTED_VALUE"""),859.0)</f>
        <v>859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IFERROR(__xludf.DUMMYFUNCTION("""COMPUTED_VALUE"""),841.0)</f>
        <v>841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IFERROR(__xludf.DUMMYFUNCTION("""COMPUTED_VALUE"""),831.8)</f>
        <v>831.8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IFERROR(__xludf.DUMMYFUNCTION("""COMPUTED_VALUE"""),849.0)</f>
        <v>849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IFERROR(__xludf.DUMMYFUNCTION("GOOGLEFINANCE(""NSE:RELINFRA"",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IFERROR(__xludf.DUMMYFUNCTION("""COMPUTED_VALUE"""),895.0)</f>
        <v>895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IFERROR(__xludf.DUMMYFUNCTION("""COMPUTED_VALUE"""),851.5)</f>
        <v>851.5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IFERROR(__xludf.DUMMYFUNCTION("""COMPUTED_VALUE"""),772.0)</f>
        <v>772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IFERROR(__xludf.DUMMYFUNCTION("""COMPUTED_VALUE"""),746.0)</f>
        <v>746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IFERROR(__xludf.DUMMYFUNCTION("""COMPUTED_VALUE"""),726.5)</f>
        <v>726.5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IFERROR(__xludf.DUMMYFUNCTION("""COMPUTED_VALUE"""),690.0)</f>
        <v>690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IFERROR(__xludf.DUMMYFUNCTION("""COMPUTED_VALUE"""),653.0)</f>
        <v>653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IFERROR(__xludf.DUMMYFUNCTION("""COMPUTED_VALUE"""),709.0)</f>
        <v>709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IFERROR(__xludf.DUMMYFUNCTION("""COMPUTED_VALUE"""),654.0)</f>
        <v>654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IFERROR(__xludf.DUMMYFUNCTION("""COMPUTED_VALUE"""),635.9)</f>
        <v>635.9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IFERROR(__xludf.DUMMYFUNCTION("""COMPUTED_VALUE"""),666.4)</f>
        <v>666.4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IFERROR(__xludf.DUMMYFUNCTION("""COMPUTED_VALUE"""),654.6)</f>
        <v>654.6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IFERROR(__xludf.DUMMYFUNCTION("""COMPUTED_VALUE"""),710.0)</f>
        <v>710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IFERROR(__xludf.DUMMYFUNCTION("""COMPUTED_VALUE"""),705.0)</f>
        <v>705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IFERROR(__xludf.DUMMYFUNCTION("""COMPUTED_VALUE"""),700.2)</f>
        <v>700.2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IFERROR(__xludf.DUMMYFUNCTION("""COMPUTED_VALUE"""),709.8)</f>
        <v>709.8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IFERROR(__xludf.DUMMYFUNCTION("""COMPUTED_VALUE"""),696.0)</f>
        <v>696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IFERROR(__xludf.DUMMYFUNCTION("""COMPUTED_VALUE"""),669.9)</f>
        <v>669.9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IFERROR(__xludf.DUMMYFUNCTION("""COMPUTED_VALUE"""),622.4)</f>
        <v>622.4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IFERROR(__xludf.DUMMYFUNCTION("""COMPUTED_VALUE"""),607.55)</f>
        <v>607.55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IFERROR(__xludf.DUMMYFUNCTION("""COMPUTED_VALUE"""),565.05)</f>
        <v>565.05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IFERROR(__xludf.DUMMYFUNCTION("""COMPUTED_VALUE"""),586.4)</f>
        <v>586.4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IFERROR(__xludf.DUMMYFUNCTION("""COMPUTED_VALUE"""),565.0)</f>
        <v>565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IFERROR(__xludf.DUMMYFUNCTION("""COMPUTED_VALUE"""),585.0)</f>
        <v>585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IFERROR(__xludf.DUMMYFUNCTION("""COMPUTED_VALUE"""),572.05)</f>
        <v>572.05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IFERROR(__xludf.DUMMYFUNCTION("""COMPUTED_VALUE"""),550.6)</f>
        <v>550.6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IFERROR(__xludf.DUMMYFUNCTION("""COMPUTED_VALUE"""),601.0)</f>
        <v>601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IFERROR(__xludf.DUMMYFUNCTION("""COMPUTED_VALUE"""),588.55)</f>
        <v>588.55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IFERROR(__xludf.DUMMYFUNCTION("""COMPUTED_VALUE"""),586.0)</f>
        <v>586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IFERROR(__xludf.DUMMYFUNCTION("""COMPUTED_VALUE"""),595.9)</f>
        <v>595.9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IFERROR(__xludf.DUMMYFUNCTION("""COMPUTED_VALUE"""),578.8)</f>
        <v>578.8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IFERROR(__xludf.DUMMYFUNCTION("""COMPUTED_VALUE"""),517.0)</f>
        <v>517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IFERROR(__xludf.DUMMYFUNCTION("""COMPUTED_VALUE"""),490.8)</f>
        <v>490.8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IFERROR(__xludf.DUMMYFUNCTION("""COMPUTED_VALUE"""),463.0)</f>
        <v>463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IFERROR(__xludf.DUMMYFUNCTION("""COMPUTED_VALUE"""),454.9)</f>
        <v>454.9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IFERROR(__xludf.DUMMYFUNCTION("""COMPUTED_VALUE"""),492.0)</f>
        <v>492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IFERROR(__xludf.DUMMYFUNCTION("""COMPUTED_VALUE"""),471.0)</f>
        <v>471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IFERROR(__xludf.DUMMYFUNCTION("""COMPUTED_VALUE"""),461.8)</f>
        <v>461.8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IFERROR(__xludf.DUMMYFUNCTION("""COMPUTED_VALUE"""),437.7)</f>
        <v>437.7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IFERROR(__xludf.DUMMYFUNCTION("""COMPUTED_VALUE"""),395.8)</f>
        <v>395.8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IFERROR(__xludf.DUMMYFUNCTION("""COMPUTED_VALUE"""),430.0)</f>
        <v>430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IFERROR(__xludf.DUMMYFUNCTION("""COMPUTED_VALUE"""),427.4)</f>
        <v>427.4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IFERROR(__xludf.DUMMYFUNCTION("""COMPUTED_VALUE"""),481.9)</f>
        <v>481.9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IFERROR(__xludf.DUMMYFUNCTION("""COMPUTED_VALUE"""),474.5)</f>
        <v>474.5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IFERROR(__xludf.DUMMYFUNCTION("""COMPUTED_VALUE"""),490.7)</f>
        <v>490.7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IFERROR(__xludf.DUMMYFUNCTION("""COMPUTED_VALUE"""),464.25)</f>
        <v>464.25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IFERROR(__xludf.DUMMYFUNCTION("""COMPUTED_VALUE"""),417.0)</f>
        <v>417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IFERROR(__xludf.DUMMYFUNCTION("""COMPUTED_VALUE"""),418.1)</f>
        <v>418.1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IFERROR(__xludf.DUMMYFUNCTION("""COMPUTED_VALUE"""),421.3)</f>
        <v>421.3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IFERROR(__xludf.DUMMYFUNCTION("""COMPUTED_VALUE"""),398.45)</f>
        <v>398.45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IFERROR(__xludf.DUMMYFUNCTION("""COMPUTED_VALUE"""),371.1)</f>
        <v>371.1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IFERROR(__xludf.DUMMYFUNCTION("""COMPUTED_VALUE"""),379.5)</f>
        <v>379.5</v>
      </c>
    </row>
    <row r="549" ht="15.75" customHeight="1"/>
    <row r="550" ht="15.75" customHeight="1"/>
    <row r="551" ht="15.75" customHeight="1">
      <c r="B551" s="2" t="str">
        <f>IFERROR(__xludf.DUMMYFUNCTION("GOOGLEFINANCE(""NSE:RELINFRA"",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IFERROR(__xludf.DUMMYFUNCTION("""COMPUTED_VALUE"""),426.5)</f>
        <v>426.5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IFERROR(__xludf.DUMMYFUNCTION("""COMPUTED_VALUE"""),496.0)</f>
        <v>496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IFERROR(__xludf.DUMMYFUNCTION("""COMPUTED_VALUE"""),534.0)</f>
        <v>534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IFERROR(__xludf.DUMMYFUNCTION("""COMPUTED_VALUE"""),564.5)</f>
        <v>564.5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IFERROR(__xludf.DUMMYFUNCTION("""COMPUTED_VALUE"""),598.9)</f>
        <v>598.9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IFERROR(__xludf.DUMMYFUNCTION("""COMPUTED_VALUE"""),653.65)</f>
        <v>653.65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IFERROR(__xludf.DUMMYFUNCTION("""COMPUTED_VALUE"""),651.75)</f>
        <v>651.75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IFERROR(__xludf.DUMMYFUNCTION("""COMPUTED_VALUE"""),679.75)</f>
        <v>679.75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IFERROR(__xludf.DUMMYFUNCTION("""COMPUTED_VALUE"""),667.9)</f>
        <v>667.9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IFERROR(__xludf.DUMMYFUNCTION("""COMPUTED_VALUE"""),637.15)</f>
        <v>637.15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IFERROR(__xludf.DUMMYFUNCTION("""COMPUTED_VALUE"""),603.6)</f>
        <v>603.6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IFERROR(__xludf.DUMMYFUNCTION("""COMPUTED_VALUE"""),621.7)</f>
        <v>621.7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IFERROR(__xludf.DUMMYFUNCTION("""COMPUTED_VALUE"""),594.7)</f>
        <v>594.7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IFERROR(__xludf.DUMMYFUNCTION("""COMPUTED_VALUE"""),594.0)</f>
        <v>594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IFERROR(__xludf.DUMMYFUNCTION("""COMPUTED_VALUE"""),537.8)</f>
        <v>537.8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IFERROR(__xludf.DUMMYFUNCTION("""COMPUTED_VALUE"""),518.0)</f>
        <v>518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IFERROR(__xludf.DUMMYFUNCTION("""COMPUTED_VALUE"""),479.8)</f>
        <v>479.8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IFERROR(__xludf.DUMMYFUNCTION("""COMPUTED_VALUE"""),472.0)</f>
        <v>472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IFERROR(__xludf.DUMMYFUNCTION("""COMPUTED_VALUE"""),479.5)</f>
        <v>479.5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IFERROR(__xludf.DUMMYFUNCTION("""COMPUTED_VALUE"""),507.85)</f>
        <v>507.85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IFERROR(__xludf.DUMMYFUNCTION("""COMPUTED_VALUE"""),529.95)</f>
        <v>529.95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IFERROR(__xludf.DUMMYFUNCTION("""COMPUTED_VALUE"""),543.25)</f>
        <v>543.25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IFERROR(__xludf.DUMMYFUNCTION("""COMPUTED_VALUE"""),560.45)</f>
        <v>560.45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IFERROR(__xludf.DUMMYFUNCTION("""COMPUTED_VALUE"""),579.4)</f>
        <v>579.4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IFERROR(__xludf.DUMMYFUNCTION("""COMPUTED_VALUE"""),572.85)</f>
        <v>572.85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IFERROR(__xludf.DUMMYFUNCTION("""COMPUTED_VALUE"""),547.0)</f>
        <v>547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IFERROR(__xludf.DUMMYFUNCTION("""COMPUTED_VALUE"""),520.9)</f>
        <v>520.9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IFERROR(__xludf.DUMMYFUNCTION("""COMPUTED_VALUE"""),517.25)</f>
        <v>517.25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IFERROR(__xludf.DUMMYFUNCTION("""COMPUTED_VALUE"""),528.0)</f>
        <v>528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IFERROR(__xludf.DUMMYFUNCTION("""COMPUTED_VALUE"""),537.7)</f>
        <v>537.7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IFERROR(__xludf.DUMMYFUNCTION("""COMPUTED_VALUE"""),519.8)</f>
        <v>519.8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IFERROR(__xludf.DUMMYFUNCTION("""COMPUTED_VALUE"""),492.0)</f>
        <v>492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IFERROR(__xludf.DUMMYFUNCTION("""COMPUTED_VALUE"""),473.05)</f>
        <v>473.05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IFERROR(__xludf.DUMMYFUNCTION("""COMPUTED_VALUE"""),551.25)</f>
        <v>551.25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IFERROR(__xludf.DUMMYFUNCTION("""COMPUTED_VALUE"""),571.55)</f>
        <v>571.55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IFERROR(__xludf.DUMMYFUNCTION("""COMPUTED_VALUE"""),564.9)</f>
        <v>564.9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IFERROR(__xludf.DUMMYFUNCTION("""COMPUTED_VALUE"""),540.0)</f>
        <v>540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IFERROR(__xludf.DUMMYFUNCTION("""COMPUTED_VALUE"""),521.75)</f>
        <v>521.75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IFERROR(__xludf.DUMMYFUNCTION("""COMPUTED_VALUE"""),514.7)</f>
        <v>514.7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IFERROR(__xludf.DUMMYFUNCTION("""COMPUTED_VALUE"""),498.0)</f>
        <v>498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IFERROR(__xludf.DUMMYFUNCTION("""COMPUTED_VALUE"""),495.7)</f>
        <v>495.7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IFERROR(__xludf.DUMMYFUNCTION("""COMPUTED_VALUE"""),481.0)</f>
        <v>481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IFERROR(__xludf.DUMMYFUNCTION("""COMPUTED_VALUE"""),464.95)</f>
        <v>464.95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IFERROR(__xludf.DUMMYFUNCTION("""COMPUTED_VALUE"""),488.95)</f>
        <v>488.95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IFERROR(__xludf.DUMMYFUNCTION("""COMPUTED_VALUE"""),518.4)</f>
        <v>518.4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IFERROR(__xludf.DUMMYFUNCTION("""COMPUTED_VALUE"""),532.0)</f>
        <v>532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IFERROR(__xludf.DUMMYFUNCTION("""COMPUTED_VALUE"""),529.5)</f>
        <v>529.5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IFERROR(__xludf.DUMMYFUNCTION("""COMPUTED_VALUE"""),526.0)</f>
        <v>526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IFERROR(__xludf.DUMMYFUNCTION("GOOGLEFINANCE(""NSE:HINDUNILVR"",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IFERROR(__xludf.DUMMYFUNCTION("""COMPUTED_VALUE"""),225.0)</f>
        <v>225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IFERROR(__xludf.DUMMYFUNCTION("""COMPUTED_VALUE"""),224.85)</f>
        <v>224.85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IFERROR(__xludf.DUMMYFUNCTION("""COMPUTED_VALUE"""),218.9)</f>
        <v>218.9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IFERROR(__xludf.DUMMYFUNCTION("""COMPUTED_VALUE"""),223.3)</f>
        <v>223.3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IFERROR(__xludf.DUMMYFUNCTION("""COMPUTED_VALUE"""),224.0)</f>
        <v>224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IFERROR(__xludf.DUMMYFUNCTION("""COMPUTED_VALUE"""),233.0)</f>
        <v>233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IFERROR(__xludf.DUMMYFUNCTION("""COMPUTED_VALUE"""),240.35)</f>
        <v>240.35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IFERROR(__xludf.DUMMYFUNCTION("""COMPUTED_VALUE"""),246.0)</f>
        <v>246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IFERROR(__xludf.DUMMYFUNCTION("""COMPUTED_VALUE"""),266.0)</f>
        <v>266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IFERROR(__xludf.DUMMYFUNCTION("""COMPUTED_VALUE"""),264.0)</f>
        <v>264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IFERROR(__xludf.DUMMYFUNCTION("""COMPUTED_VALUE"""),249.1)</f>
        <v>249.1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IFERROR(__xludf.DUMMYFUNCTION("""COMPUTED_VALUE"""),244.0)</f>
        <v>244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IFERROR(__xludf.DUMMYFUNCTION("""COMPUTED_VALUE"""),234.45)</f>
        <v>234.45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IFERROR(__xludf.DUMMYFUNCTION("""COMPUTED_VALUE"""),230.0)</f>
        <v>230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IFERROR(__xludf.DUMMYFUNCTION("""COMPUTED_VALUE"""),229.05)</f>
        <v>229.05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IFERROR(__xludf.DUMMYFUNCTION("""COMPUTED_VALUE"""),227.95)</f>
        <v>227.95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IFERROR(__xludf.DUMMYFUNCTION("""COMPUTED_VALUE"""),211.8)</f>
        <v>211.8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IFERROR(__xludf.DUMMYFUNCTION("""COMPUTED_VALUE"""),207.1)</f>
        <v>207.1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IFERROR(__xludf.DUMMYFUNCTION("""COMPUTED_VALUE"""),214.0)</f>
        <v>214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IFERROR(__xludf.DUMMYFUNCTION("""COMPUTED_VALUE"""),212.4)</f>
        <v>212.4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IFERROR(__xludf.DUMMYFUNCTION("""COMPUTED_VALUE"""),203.3)</f>
        <v>203.3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IFERROR(__xludf.DUMMYFUNCTION("""COMPUTED_VALUE"""),204.9)</f>
        <v>204.9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IFERROR(__xludf.DUMMYFUNCTION("""COMPUTED_VALUE"""),204.9)</f>
        <v>204.9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IFERROR(__xludf.DUMMYFUNCTION("""COMPUTED_VALUE"""),208.4)</f>
        <v>208.4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IFERROR(__xludf.DUMMYFUNCTION("""COMPUTED_VALUE"""),199.0)</f>
        <v>199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IFERROR(__xludf.DUMMYFUNCTION("""COMPUTED_VALUE"""),210.0)</f>
        <v>210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IFERROR(__xludf.DUMMYFUNCTION("""COMPUTED_VALUE"""),195.9)</f>
        <v>195.9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IFERROR(__xludf.DUMMYFUNCTION("""COMPUTED_VALUE"""),195.2)</f>
        <v>195.2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IFERROR(__xludf.DUMMYFUNCTION("""COMPUTED_VALUE"""),194.9)</f>
        <v>194.9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IFERROR(__xludf.DUMMYFUNCTION("""COMPUTED_VALUE"""),188.95)</f>
        <v>188.95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IFERROR(__xludf.DUMMYFUNCTION("""COMPUTED_VALUE"""),178.0)</f>
        <v>178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IFERROR(__xludf.DUMMYFUNCTION("""COMPUTED_VALUE"""),175.9)</f>
        <v>175.9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IFERROR(__xludf.DUMMYFUNCTION("""COMPUTED_VALUE"""),183.7)</f>
        <v>183.7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IFERROR(__xludf.DUMMYFUNCTION("""COMPUTED_VALUE"""),183.65)</f>
        <v>183.65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IFERROR(__xludf.DUMMYFUNCTION("""COMPUTED_VALUE"""),187.2)</f>
        <v>187.2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IFERROR(__xludf.DUMMYFUNCTION("""COMPUTED_VALUE"""),191.25)</f>
        <v>191.25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IFERROR(__xludf.DUMMYFUNCTION("""COMPUTED_VALUE"""),187.2)</f>
        <v>187.2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IFERROR(__xludf.DUMMYFUNCTION("""COMPUTED_VALUE"""),181.9)</f>
        <v>181.9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IFERROR(__xludf.DUMMYFUNCTION("""COMPUTED_VALUE"""),178.0)</f>
        <v>178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IFERROR(__xludf.DUMMYFUNCTION("""COMPUTED_VALUE"""),175.5)</f>
        <v>175.5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IFERROR(__xludf.DUMMYFUNCTION("""COMPUTED_VALUE"""),172.25)</f>
        <v>172.25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IFERROR(__xludf.DUMMYFUNCTION("""COMPUTED_VALUE"""),178.6)</f>
        <v>178.6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IFERROR(__xludf.DUMMYFUNCTION("""COMPUTED_VALUE"""),178.0)</f>
        <v>178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IFERROR(__xludf.DUMMYFUNCTION("""COMPUTED_VALUE"""),164.3)</f>
        <v>164.3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IFERROR(__xludf.DUMMYFUNCTION("""COMPUTED_VALUE"""),164.0)</f>
        <v>164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IFERROR(__xludf.DUMMYFUNCTION("""COMPUTED_VALUE"""),162.55)</f>
        <v>162.55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IFERROR(__xludf.DUMMYFUNCTION("""COMPUTED_VALUE"""),166.55)</f>
        <v>166.55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IFERROR(__xludf.DUMMYFUNCTION("""COMPUTED_VALUE"""),174.75)</f>
        <v>174.75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IFERROR(__xludf.DUMMYFUNCTION("""COMPUTED_VALUE"""),178.0)</f>
        <v>178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IFERROR(__xludf.DUMMYFUNCTION("""COMPUTED_VALUE"""),185.0)</f>
        <v>185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IFERROR(__xludf.DUMMYFUNCTION("""COMPUTED_VALUE"""),184.4)</f>
        <v>184.4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IFERROR(__xludf.DUMMYFUNCTION("""COMPUTED_VALUE"""),185.25)</f>
        <v>185.25</v>
      </c>
    </row>
    <row r="54" ht="15.75" customHeight="1"/>
    <row r="55" ht="15.75" customHeight="1"/>
    <row r="56" ht="15.75" customHeight="1">
      <c r="B56" s="2" t="str">
        <f>IFERROR(__xludf.DUMMYFUNCTION("GOOGLEFINANCE(""NSE:HINDUNILVR"",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IFERROR(__xludf.DUMMYFUNCTION("""COMPUTED_VALUE"""),183.6)</f>
        <v>183.6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IFERROR(__xludf.DUMMYFUNCTION("""COMPUTED_VALUE"""),183.0)</f>
        <v>183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IFERROR(__xludf.DUMMYFUNCTION("""COMPUTED_VALUE"""),182.2)</f>
        <v>182.2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IFERROR(__xludf.DUMMYFUNCTION("""COMPUTED_VALUE"""),181.0)</f>
        <v>181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IFERROR(__xludf.DUMMYFUNCTION("""COMPUTED_VALUE"""),180.8)</f>
        <v>180.8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IFERROR(__xludf.DUMMYFUNCTION("""COMPUTED_VALUE"""),171.8)</f>
        <v>171.8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IFERROR(__xludf.DUMMYFUNCTION("""COMPUTED_VALUE"""),169.9)</f>
        <v>169.9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IFERROR(__xludf.DUMMYFUNCTION("""COMPUTED_VALUE"""),180.0)</f>
        <v>180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IFERROR(__xludf.DUMMYFUNCTION("""COMPUTED_VALUE"""),174.95)</f>
        <v>174.95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IFERROR(__xludf.DUMMYFUNCTION("""COMPUTED_VALUE"""),170.0)</f>
        <v>170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IFERROR(__xludf.DUMMYFUNCTION("""COMPUTED_VALUE"""),178.9)</f>
        <v>178.9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IFERROR(__xludf.DUMMYFUNCTION("""COMPUTED_VALUE"""),163.0)</f>
        <v>163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IFERROR(__xludf.DUMMYFUNCTION("""COMPUTED_VALUE"""),156.0)</f>
        <v>156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IFERROR(__xludf.DUMMYFUNCTION("""COMPUTED_VALUE"""),153.4)</f>
        <v>153.4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IFERROR(__xludf.DUMMYFUNCTION("""COMPUTED_VALUE"""),148.45)</f>
        <v>148.45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IFERROR(__xludf.DUMMYFUNCTION("""COMPUTED_VALUE"""),144.95)</f>
        <v>144.95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IFERROR(__xludf.DUMMYFUNCTION("""COMPUTED_VALUE"""),145.0)</f>
        <v>145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IFERROR(__xludf.DUMMYFUNCTION("""COMPUTED_VALUE"""),140.85)</f>
        <v>140.85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IFERROR(__xludf.DUMMYFUNCTION("""COMPUTED_VALUE"""),148.25)</f>
        <v>148.25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IFERROR(__xludf.DUMMYFUNCTION("""COMPUTED_VALUE"""),151.45)</f>
        <v>151.45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IFERROR(__xludf.DUMMYFUNCTION("""COMPUTED_VALUE"""),159.55)</f>
        <v>159.55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IFERROR(__xludf.DUMMYFUNCTION("""COMPUTED_VALUE"""),163.0)</f>
        <v>163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IFERROR(__xludf.DUMMYFUNCTION("""COMPUTED_VALUE"""),176.0)</f>
        <v>176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IFERROR(__xludf.DUMMYFUNCTION("""COMPUTED_VALUE"""),172.5)</f>
        <v>172.5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IFERROR(__xludf.DUMMYFUNCTION("""COMPUTED_VALUE"""),181.6)</f>
        <v>181.6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IFERROR(__xludf.DUMMYFUNCTION("""COMPUTED_VALUE"""),179.65)</f>
        <v>179.65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IFERROR(__xludf.DUMMYFUNCTION("""COMPUTED_VALUE"""),180.0)</f>
        <v>180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IFERROR(__xludf.DUMMYFUNCTION("""COMPUTED_VALUE"""),185.0)</f>
        <v>185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IFERROR(__xludf.DUMMYFUNCTION("""COMPUTED_VALUE"""),170.0)</f>
        <v>170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IFERROR(__xludf.DUMMYFUNCTION("""COMPUTED_VALUE"""),174.7)</f>
        <v>174.7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IFERROR(__xludf.DUMMYFUNCTION("""COMPUTED_VALUE"""),170.0)</f>
        <v>170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IFERROR(__xludf.DUMMYFUNCTION("""COMPUTED_VALUE"""),179.8)</f>
        <v>179.8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IFERROR(__xludf.DUMMYFUNCTION("""COMPUTED_VALUE"""),194.7)</f>
        <v>194.7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IFERROR(__xludf.DUMMYFUNCTION("""COMPUTED_VALUE"""),192.75)</f>
        <v>192.75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IFERROR(__xludf.DUMMYFUNCTION("""COMPUTED_VALUE"""),196.8)</f>
        <v>196.8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IFERROR(__xludf.DUMMYFUNCTION("""COMPUTED_VALUE"""),198.0)</f>
        <v>198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IFERROR(__xludf.DUMMYFUNCTION("""COMPUTED_VALUE"""),190.95)</f>
        <v>190.95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IFERROR(__xludf.DUMMYFUNCTION("""COMPUTED_VALUE"""),186.0)</f>
        <v>186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IFERROR(__xludf.DUMMYFUNCTION("""COMPUTED_VALUE"""),191.9)</f>
        <v>191.9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IFERROR(__xludf.DUMMYFUNCTION("""COMPUTED_VALUE"""),193.1)</f>
        <v>193.1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IFERROR(__xludf.DUMMYFUNCTION("""COMPUTED_VALUE"""),196.45)</f>
        <v>196.45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IFERROR(__xludf.DUMMYFUNCTION("""COMPUTED_VALUE"""),187.85)</f>
        <v>187.85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IFERROR(__xludf.DUMMYFUNCTION("""COMPUTED_VALUE"""),187.25)</f>
        <v>187.25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IFERROR(__xludf.DUMMYFUNCTION("""COMPUTED_VALUE"""),186.25)</f>
        <v>186.25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IFERROR(__xludf.DUMMYFUNCTION("""COMPUTED_VALUE"""),180.85)</f>
        <v>180.85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IFERROR(__xludf.DUMMYFUNCTION("""COMPUTED_VALUE"""),188.5)</f>
        <v>188.5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IFERROR(__xludf.DUMMYFUNCTION("""COMPUTED_VALUE"""),192.35)</f>
        <v>192.35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IFERROR(__xludf.DUMMYFUNCTION("""COMPUTED_VALUE"""),203.6)</f>
        <v>203.6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IFERROR(__xludf.DUMMYFUNCTION("""COMPUTED_VALUE"""),203.75)</f>
        <v>203.75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IFERROR(__xludf.DUMMYFUNCTION("GOOGLEFINANCE(""NSE:HINDUNILVR"",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IFERROR(__xludf.DUMMYFUNCTION("""COMPUTED_VALUE"""),216.7)</f>
        <v>216.7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IFERROR(__xludf.DUMMYFUNCTION("""COMPUTED_VALUE"""),220.0)</f>
        <v>220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IFERROR(__xludf.DUMMYFUNCTION("""COMPUTED_VALUE"""),245.3)</f>
        <v>245.3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IFERROR(__xludf.DUMMYFUNCTION("""COMPUTED_VALUE"""),208.15)</f>
        <v>208.15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IFERROR(__xludf.DUMMYFUNCTION("""COMPUTED_VALUE"""),202.4)</f>
        <v>202.4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IFERROR(__xludf.DUMMYFUNCTION("""COMPUTED_VALUE"""),195.6)</f>
        <v>195.6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IFERROR(__xludf.DUMMYFUNCTION("""COMPUTED_VALUE"""),204.0)</f>
        <v>204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IFERROR(__xludf.DUMMYFUNCTION("""COMPUTED_VALUE"""),205.0)</f>
        <v>205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IFERROR(__xludf.DUMMYFUNCTION("""COMPUTED_VALUE"""),180.35)</f>
        <v>180.35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IFERROR(__xludf.DUMMYFUNCTION("""COMPUTED_VALUE"""),174.9)</f>
        <v>174.9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IFERROR(__xludf.DUMMYFUNCTION("""COMPUTED_VALUE"""),159.25)</f>
        <v>159.25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IFERROR(__xludf.DUMMYFUNCTION("""COMPUTED_VALUE"""),160.7)</f>
        <v>160.7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IFERROR(__xludf.DUMMYFUNCTION("""COMPUTED_VALUE"""),151.95)</f>
        <v>151.95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IFERROR(__xludf.DUMMYFUNCTION("""COMPUTED_VALUE"""),158.1)</f>
        <v>158.1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IFERROR(__xludf.DUMMYFUNCTION("""COMPUTED_VALUE"""),160.3)</f>
        <v>160.3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IFERROR(__xludf.DUMMYFUNCTION("""COMPUTED_VALUE"""),154.8)</f>
        <v>154.8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IFERROR(__xludf.DUMMYFUNCTION("""COMPUTED_VALUE"""),153.8)</f>
        <v>153.8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IFERROR(__xludf.DUMMYFUNCTION("""COMPUTED_VALUE"""),146.7)</f>
        <v>146.7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IFERROR(__xludf.DUMMYFUNCTION("""COMPUTED_VALUE"""),144.0)</f>
        <v>144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IFERROR(__xludf.DUMMYFUNCTION("""COMPUTED_VALUE"""),146.5)</f>
        <v>146.5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IFERROR(__xludf.DUMMYFUNCTION("""COMPUTED_VALUE"""),143.8)</f>
        <v>143.8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IFERROR(__xludf.DUMMYFUNCTION("""COMPUTED_VALUE"""),150.05)</f>
        <v>150.05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IFERROR(__xludf.DUMMYFUNCTION("""COMPUTED_VALUE"""),140.0)</f>
        <v>140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IFERROR(__xludf.DUMMYFUNCTION("""COMPUTED_VALUE"""),130.0)</f>
        <v>130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IFERROR(__xludf.DUMMYFUNCTION("""COMPUTED_VALUE"""),133.25)</f>
        <v>133.25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IFERROR(__xludf.DUMMYFUNCTION("""COMPUTED_VALUE"""),133.5)</f>
        <v>133.5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IFERROR(__xludf.DUMMYFUNCTION("""COMPUTED_VALUE"""),130.5)</f>
        <v>130.5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IFERROR(__xludf.DUMMYFUNCTION("""COMPUTED_VALUE"""),125.1)</f>
        <v>125.1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IFERROR(__xludf.DUMMYFUNCTION("""COMPUTED_VALUE"""),131.45)</f>
        <v>131.45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IFERROR(__xludf.DUMMYFUNCTION("""COMPUTED_VALUE"""),123.5)</f>
        <v>123.5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IFERROR(__xludf.DUMMYFUNCTION("""COMPUTED_VALUE"""),129.5)</f>
        <v>129.5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IFERROR(__xludf.DUMMYFUNCTION("""COMPUTED_VALUE"""),117.45)</f>
        <v>117.45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IFERROR(__xludf.DUMMYFUNCTION("""COMPUTED_VALUE"""),110.95)</f>
        <v>110.95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IFERROR(__xludf.DUMMYFUNCTION("""COMPUTED_VALUE"""),113.2)</f>
        <v>113.2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IFERROR(__xludf.DUMMYFUNCTION("""COMPUTED_VALUE"""),112.9)</f>
        <v>112.9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IFERROR(__xludf.DUMMYFUNCTION("""COMPUTED_VALUE"""),121.75)</f>
        <v>121.75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IFERROR(__xludf.DUMMYFUNCTION("""COMPUTED_VALUE"""),126.0)</f>
        <v>126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IFERROR(__xludf.DUMMYFUNCTION("""COMPUTED_VALUE"""),127.9)</f>
        <v>127.9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IFERROR(__xludf.DUMMYFUNCTION("""COMPUTED_VALUE"""),127.5)</f>
        <v>127.5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IFERROR(__xludf.DUMMYFUNCTION("""COMPUTED_VALUE"""),129.5)</f>
        <v>129.5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IFERROR(__xludf.DUMMYFUNCTION("""COMPUTED_VALUE"""),127.5)</f>
        <v>127.5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IFERROR(__xludf.DUMMYFUNCTION("""COMPUTED_VALUE"""),125.95)</f>
        <v>125.95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IFERROR(__xludf.DUMMYFUNCTION("""COMPUTED_VALUE"""),133.0)</f>
        <v>133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IFERROR(__xludf.DUMMYFUNCTION("""COMPUTED_VALUE"""),139.45)</f>
        <v>139.45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IFERROR(__xludf.DUMMYFUNCTION("""COMPUTED_VALUE"""),136.4)</f>
        <v>136.4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IFERROR(__xludf.DUMMYFUNCTION("""COMPUTED_VALUE"""),137.9)</f>
        <v>137.9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IFERROR(__xludf.DUMMYFUNCTION("""COMPUTED_VALUE"""),145.7)</f>
        <v>145.7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IFERROR(__xludf.DUMMYFUNCTION("""COMPUTED_VALUE"""),154.9)</f>
        <v>154.9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IFERROR(__xludf.DUMMYFUNCTION("""COMPUTED_VALUE"""),150.9)</f>
        <v>150.9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IFERROR(__xludf.DUMMYFUNCTION("""COMPUTED_VALUE"""),149.0)</f>
        <v>149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IFERROR(__xludf.DUMMYFUNCTION("""COMPUTED_VALUE"""),146.0)</f>
        <v>146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IFERROR(__xludf.DUMMYFUNCTION("GOOGLEFINANCE(""NSE:HINDUNILVR"",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IFERROR(__xludf.DUMMYFUNCTION("""COMPUTED_VALUE"""),148.6)</f>
        <v>148.6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IFERROR(__xludf.DUMMYFUNCTION("""COMPUTED_VALUE"""),144.2)</f>
        <v>144.2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IFERROR(__xludf.DUMMYFUNCTION("""COMPUTED_VALUE"""),143.9)</f>
        <v>143.9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IFERROR(__xludf.DUMMYFUNCTION("""COMPUTED_VALUE"""),154.35)</f>
        <v>154.35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IFERROR(__xludf.DUMMYFUNCTION("""COMPUTED_VALUE"""),170.4)</f>
        <v>170.4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IFERROR(__xludf.DUMMYFUNCTION("""COMPUTED_VALUE"""),169.0)</f>
        <v>169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IFERROR(__xludf.DUMMYFUNCTION("""COMPUTED_VALUE"""),157.75)</f>
        <v>157.75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IFERROR(__xludf.DUMMYFUNCTION("""COMPUTED_VALUE"""),146.7)</f>
        <v>146.7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IFERROR(__xludf.DUMMYFUNCTION("""COMPUTED_VALUE"""),151.7)</f>
        <v>151.7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IFERROR(__xludf.DUMMYFUNCTION("""COMPUTED_VALUE"""),151.0)</f>
        <v>151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IFERROR(__xludf.DUMMYFUNCTION("""COMPUTED_VALUE"""),144.65)</f>
        <v>144.65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IFERROR(__xludf.DUMMYFUNCTION("""COMPUTED_VALUE"""),137.5)</f>
        <v>137.5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IFERROR(__xludf.DUMMYFUNCTION("""COMPUTED_VALUE"""),137.0)</f>
        <v>137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IFERROR(__xludf.DUMMYFUNCTION("""COMPUTED_VALUE"""),134.55)</f>
        <v>134.55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IFERROR(__xludf.DUMMYFUNCTION("""COMPUTED_VALUE"""),135.6)</f>
        <v>135.6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IFERROR(__xludf.DUMMYFUNCTION("""COMPUTED_VALUE"""),132.9)</f>
        <v>132.9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IFERROR(__xludf.DUMMYFUNCTION("""COMPUTED_VALUE"""),146.0)</f>
        <v>146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IFERROR(__xludf.DUMMYFUNCTION("""COMPUTED_VALUE"""),159.9)</f>
        <v>159.9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IFERROR(__xludf.DUMMYFUNCTION("""COMPUTED_VALUE"""),135.0)</f>
        <v>135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IFERROR(__xludf.DUMMYFUNCTION("""COMPUTED_VALUE"""),133.7)</f>
        <v>133.7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IFERROR(__xludf.DUMMYFUNCTION("""COMPUTED_VALUE"""),141.65)</f>
        <v>141.65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IFERROR(__xludf.DUMMYFUNCTION("""COMPUTED_VALUE"""),151.15)</f>
        <v>151.15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IFERROR(__xludf.DUMMYFUNCTION("""COMPUTED_VALUE"""),151.75)</f>
        <v>151.75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IFERROR(__xludf.DUMMYFUNCTION("""COMPUTED_VALUE"""),164.45)</f>
        <v>164.45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IFERROR(__xludf.DUMMYFUNCTION("""COMPUTED_VALUE"""),168.4)</f>
        <v>168.4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IFERROR(__xludf.DUMMYFUNCTION("""COMPUTED_VALUE"""),166.4)</f>
        <v>166.4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IFERROR(__xludf.DUMMYFUNCTION("""COMPUTED_VALUE"""),162.0)</f>
        <v>162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IFERROR(__xludf.DUMMYFUNCTION("""COMPUTED_VALUE"""),162.55)</f>
        <v>162.55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IFERROR(__xludf.DUMMYFUNCTION("""COMPUTED_VALUE"""),172.0)</f>
        <v>172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IFERROR(__xludf.DUMMYFUNCTION("""COMPUTED_VALUE"""),176.0)</f>
        <v>176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IFERROR(__xludf.DUMMYFUNCTION("""COMPUTED_VALUE"""),172.0)</f>
        <v>172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IFERROR(__xludf.DUMMYFUNCTION("""COMPUTED_VALUE"""),174.0)</f>
        <v>174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IFERROR(__xludf.DUMMYFUNCTION("""COMPUTED_VALUE"""),170.5)</f>
        <v>170.5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IFERROR(__xludf.DUMMYFUNCTION("""COMPUTED_VALUE"""),170.0)</f>
        <v>170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IFERROR(__xludf.DUMMYFUNCTION("""COMPUTED_VALUE"""),170.2)</f>
        <v>170.2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IFERROR(__xludf.DUMMYFUNCTION("""COMPUTED_VALUE"""),179.8)</f>
        <v>179.8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IFERROR(__xludf.DUMMYFUNCTION("""COMPUTED_VALUE"""),179.5)</f>
        <v>179.5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IFERROR(__xludf.DUMMYFUNCTION("""COMPUTED_VALUE"""),186.9)</f>
        <v>186.9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IFERROR(__xludf.DUMMYFUNCTION("""COMPUTED_VALUE"""),186.8)</f>
        <v>186.8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IFERROR(__xludf.DUMMYFUNCTION("""COMPUTED_VALUE"""),183.8)</f>
        <v>183.8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IFERROR(__xludf.DUMMYFUNCTION("""COMPUTED_VALUE"""),178.95)</f>
        <v>178.95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IFERROR(__xludf.DUMMYFUNCTION("""COMPUTED_VALUE"""),172.2)</f>
        <v>172.2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IFERROR(__xludf.DUMMYFUNCTION("""COMPUTED_VALUE"""),172.8)</f>
        <v>172.8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IFERROR(__xludf.DUMMYFUNCTION("""COMPUTED_VALUE"""),173.95)</f>
        <v>173.95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IFERROR(__xludf.DUMMYFUNCTION("""COMPUTED_VALUE"""),179.8)</f>
        <v>179.8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IFERROR(__xludf.DUMMYFUNCTION("""COMPUTED_VALUE"""),198.0)</f>
        <v>198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IFERROR(__xludf.DUMMYFUNCTION("""COMPUTED_VALUE"""),190.4)</f>
        <v>190.4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IFERROR(__xludf.DUMMYFUNCTION("""COMPUTED_VALUE"""),191.45)</f>
        <v>191.45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IFERROR(__xludf.DUMMYFUNCTION("""COMPUTED_VALUE"""),199.15)</f>
        <v>199.15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IFERROR(__xludf.DUMMYFUNCTION("""COMPUTED_VALUE"""),200.8)</f>
        <v>200.8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IFERROR(__xludf.DUMMYFUNCTION("GOOGLEFINANCE(""NSE:HINDUNILVR"",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IFERROR(__xludf.DUMMYFUNCTION("""COMPUTED_VALUE"""),199.5)</f>
        <v>199.5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IFERROR(__xludf.DUMMYFUNCTION("""COMPUTED_VALUE"""),194.7)</f>
        <v>194.7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IFERROR(__xludf.DUMMYFUNCTION("""COMPUTED_VALUE"""),189.9)</f>
        <v>189.9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IFERROR(__xludf.DUMMYFUNCTION("""COMPUTED_VALUE"""),201.05)</f>
        <v>201.05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IFERROR(__xludf.DUMMYFUNCTION("""COMPUTED_VALUE"""),199.3)</f>
        <v>199.3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IFERROR(__xludf.DUMMYFUNCTION("""COMPUTED_VALUE"""),209.4)</f>
        <v>209.4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IFERROR(__xludf.DUMMYFUNCTION("""COMPUTED_VALUE"""),239.9)</f>
        <v>239.9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IFERROR(__xludf.DUMMYFUNCTION("""COMPUTED_VALUE"""),252.65)</f>
        <v>252.65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IFERROR(__xludf.DUMMYFUNCTION("""COMPUTED_VALUE"""),248.95)</f>
        <v>248.95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IFERROR(__xludf.DUMMYFUNCTION("""COMPUTED_VALUE"""),254.1)</f>
        <v>254.1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IFERROR(__xludf.DUMMYFUNCTION("""COMPUTED_VALUE"""),260.0)</f>
        <v>260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IFERROR(__xludf.DUMMYFUNCTION("""COMPUTED_VALUE"""),257.95)</f>
        <v>257.95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IFERROR(__xludf.DUMMYFUNCTION("""COMPUTED_VALUE"""),279.0)</f>
        <v>279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IFERROR(__xludf.DUMMYFUNCTION("""COMPUTED_VALUE"""),295.3)</f>
        <v>295.3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IFERROR(__xludf.DUMMYFUNCTION("""COMPUTED_VALUE"""),285.0)</f>
        <v>285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IFERROR(__xludf.DUMMYFUNCTION("""COMPUTED_VALUE"""),285.75)</f>
        <v>285.75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IFERROR(__xludf.DUMMYFUNCTION("""COMPUTED_VALUE"""),295.85)</f>
        <v>295.85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IFERROR(__xludf.DUMMYFUNCTION("""COMPUTED_VALUE"""),287.8)</f>
        <v>287.8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IFERROR(__xludf.DUMMYFUNCTION("""COMPUTED_VALUE"""),280.0)</f>
        <v>280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IFERROR(__xludf.DUMMYFUNCTION("""COMPUTED_VALUE"""),249.85)</f>
        <v>249.85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IFERROR(__xludf.DUMMYFUNCTION("""COMPUTED_VALUE"""),248.5)</f>
        <v>248.5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IFERROR(__xludf.DUMMYFUNCTION("""COMPUTED_VALUE"""),245.1)</f>
        <v>245.1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IFERROR(__xludf.DUMMYFUNCTION("""COMPUTED_VALUE"""),220.0)</f>
        <v>220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IFERROR(__xludf.DUMMYFUNCTION("""COMPUTED_VALUE"""),226.0)</f>
        <v>226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IFERROR(__xludf.DUMMYFUNCTION("""COMPUTED_VALUE"""),230.8)</f>
        <v>230.8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IFERROR(__xludf.DUMMYFUNCTION("""COMPUTED_VALUE"""),246.2)</f>
        <v>246.2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IFERROR(__xludf.DUMMYFUNCTION("""COMPUTED_VALUE"""),245.0)</f>
        <v>245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IFERROR(__xludf.DUMMYFUNCTION("""COMPUTED_VALUE"""),241.0)</f>
        <v>241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IFERROR(__xludf.DUMMYFUNCTION("""COMPUTED_VALUE"""),249.3)</f>
        <v>249.3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IFERROR(__xludf.DUMMYFUNCTION("""COMPUTED_VALUE"""),249.5)</f>
        <v>249.5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IFERROR(__xludf.DUMMYFUNCTION("""COMPUTED_VALUE"""),227.85)</f>
        <v>227.85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IFERROR(__xludf.DUMMYFUNCTION("""COMPUTED_VALUE"""),239.4)</f>
        <v>239.4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IFERROR(__xludf.DUMMYFUNCTION("""COMPUTED_VALUE"""),238.75)</f>
        <v>238.75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IFERROR(__xludf.DUMMYFUNCTION("""COMPUTED_VALUE"""),242.85)</f>
        <v>242.85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IFERROR(__xludf.DUMMYFUNCTION("""COMPUTED_VALUE"""),244.4)</f>
        <v>244.4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IFERROR(__xludf.DUMMYFUNCTION("""COMPUTED_VALUE"""),244.45)</f>
        <v>244.45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IFERROR(__xludf.DUMMYFUNCTION("""COMPUTED_VALUE"""),259.95)</f>
        <v>259.95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IFERROR(__xludf.DUMMYFUNCTION("""COMPUTED_VALUE"""),262.95)</f>
        <v>262.95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IFERROR(__xludf.DUMMYFUNCTION("""COMPUTED_VALUE"""),258.0)</f>
        <v>258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IFERROR(__xludf.DUMMYFUNCTION("""COMPUTED_VALUE"""),247.2)</f>
        <v>247.2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IFERROR(__xludf.DUMMYFUNCTION("""COMPUTED_VALUE"""),232.8)</f>
        <v>232.8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IFERROR(__xludf.DUMMYFUNCTION("""COMPUTED_VALUE"""),240.9)</f>
        <v>240.9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IFERROR(__xludf.DUMMYFUNCTION("""COMPUTED_VALUE"""),255.3)</f>
        <v>255.3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IFERROR(__xludf.DUMMYFUNCTION("""COMPUTED_VALUE"""),254.95)</f>
        <v>254.95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IFERROR(__xludf.DUMMYFUNCTION("""COMPUTED_VALUE"""),250.0)</f>
        <v>250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IFERROR(__xludf.DUMMYFUNCTION("""COMPUTED_VALUE"""),246.15)</f>
        <v>246.15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IFERROR(__xludf.DUMMYFUNCTION("""COMPUTED_VALUE"""),244.0)</f>
        <v>244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IFERROR(__xludf.DUMMYFUNCTION("""COMPUTED_VALUE"""),236.0)</f>
        <v>236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IFERROR(__xludf.DUMMYFUNCTION("""COMPUTED_VALUE"""),232.05)</f>
        <v>232.05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IFERROR(__xludf.DUMMYFUNCTION("""COMPUTED_VALUE"""),224.35)</f>
        <v>224.35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IFERROR(__xludf.DUMMYFUNCTION("GOOGLEFINANCE(""NSE:HINDUNILVR"",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IFERROR(__xludf.DUMMYFUNCTION("""COMPUTED_VALUE"""),219.0)</f>
        <v>219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IFERROR(__xludf.DUMMYFUNCTION("""COMPUTED_VALUE"""),221.75)</f>
        <v>221.75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IFERROR(__xludf.DUMMYFUNCTION("""COMPUTED_VALUE"""),225.8)</f>
        <v>225.8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IFERROR(__xludf.DUMMYFUNCTION("""COMPUTED_VALUE"""),225.45)</f>
        <v>225.45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IFERROR(__xludf.DUMMYFUNCTION("""COMPUTED_VALUE"""),216.6)</f>
        <v>216.6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IFERROR(__xludf.DUMMYFUNCTION("""COMPUTED_VALUE"""),215.0)</f>
        <v>215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IFERROR(__xludf.DUMMYFUNCTION("""COMPUTED_VALUE"""),207.05)</f>
        <v>207.05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IFERROR(__xludf.DUMMYFUNCTION("""COMPUTED_VALUE"""),209.9)</f>
        <v>209.9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IFERROR(__xludf.DUMMYFUNCTION("""COMPUTED_VALUE"""),191.0)</f>
        <v>191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IFERROR(__xludf.DUMMYFUNCTION("""COMPUTED_VALUE"""),187.8)</f>
        <v>187.8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IFERROR(__xludf.DUMMYFUNCTION("""COMPUTED_VALUE"""),191.55)</f>
        <v>191.55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IFERROR(__xludf.DUMMYFUNCTION("""COMPUTED_VALUE"""),200.0)</f>
        <v>200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IFERROR(__xludf.DUMMYFUNCTION("""COMPUTED_VALUE"""),208.25)</f>
        <v>208.25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IFERROR(__xludf.DUMMYFUNCTION("""COMPUTED_VALUE"""),204.0)</f>
        <v>204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IFERROR(__xludf.DUMMYFUNCTION("""COMPUTED_VALUE"""),210.0)</f>
        <v>210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IFERROR(__xludf.DUMMYFUNCTION("""COMPUTED_VALUE"""),215.8)</f>
        <v>215.8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IFERROR(__xludf.DUMMYFUNCTION("""COMPUTED_VALUE"""),218.75)</f>
        <v>218.75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IFERROR(__xludf.DUMMYFUNCTION("""COMPUTED_VALUE"""),212.0)</f>
        <v>212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IFERROR(__xludf.DUMMYFUNCTION("""COMPUTED_VALUE"""),198.0)</f>
        <v>198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IFERROR(__xludf.DUMMYFUNCTION("""COMPUTED_VALUE"""),200.4)</f>
        <v>200.4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IFERROR(__xludf.DUMMYFUNCTION("""COMPUTED_VALUE"""),205.65)</f>
        <v>205.65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IFERROR(__xludf.DUMMYFUNCTION("""COMPUTED_VALUE"""),206.0)</f>
        <v>206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IFERROR(__xludf.DUMMYFUNCTION("""COMPUTED_VALUE"""),203.8)</f>
        <v>203.8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IFERROR(__xludf.DUMMYFUNCTION("""COMPUTED_VALUE"""),192.4)</f>
        <v>192.4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IFERROR(__xludf.DUMMYFUNCTION("""COMPUTED_VALUE"""),193.2)</f>
        <v>193.2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IFERROR(__xludf.DUMMYFUNCTION("""COMPUTED_VALUE"""),195.0)</f>
        <v>195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IFERROR(__xludf.DUMMYFUNCTION("""COMPUTED_VALUE"""),202.9)</f>
        <v>202.9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IFERROR(__xludf.DUMMYFUNCTION("""COMPUTED_VALUE"""),210.25)</f>
        <v>210.25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IFERROR(__xludf.DUMMYFUNCTION("""COMPUTED_VALUE"""),204.5)</f>
        <v>204.5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IFERROR(__xludf.DUMMYFUNCTION("""COMPUTED_VALUE"""),208.0)</f>
        <v>208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IFERROR(__xludf.DUMMYFUNCTION("""COMPUTED_VALUE"""),220.0)</f>
        <v>220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IFERROR(__xludf.DUMMYFUNCTION("""COMPUTED_VALUE"""),210.0)</f>
        <v>210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IFERROR(__xludf.DUMMYFUNCTION("""COMPUTED_VALUE"""),204.7)</f>
        <v>204.7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IFERROR(__xludf.DUMMYFUNCTION("""COMPUTED_VALUE"""),200.75)</f>
        <v>200.75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IFERROR(__xludf.DUMMYFUNCTION("""COMPUTED_VALUE"""),210.4)</f>
        <v>210.4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IFERROR(__xludf.DUMMYFUNCTION("""COMPUTED_VALUE"""),218.9)</f>
        <v>218.9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IFERROR(__xludf.DUMMYFUNCTION("""COMPUTED_VALUE"""),219.9)</f>
        <v>219.9</v>
      </c>
    </row>
    <row r="314" ht="15.75" customHeight="1">
      <c r="B314" s="3">
        <f>IFERROR(__xludf.DUMMYFUNCTION("""COMPUTED_VALUE"""),39345.645833333336)</f>
        <v>39345.64583</v>
      </c>
      <c r="C314" s="2">
        <f>IFERROR(__xludf.DUMMYFUNCTION("""COMPUTED_VALUE"""),219.8)</f>
        <v>219.8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IFERROR(__xludf.DUMMYFUNCTION("""COMPUTED_VALUE"""),229.9)</f>
        <v>229.9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IFERROR(__xludf.DUMMYFUNCTION("""COMPUTED_VALUE"""),226.1)</f>
        <v>226.1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IFERROR(__xludf.DUMMYFUNCTION("""COMPUTED_VALUE"""),226.95)</f>
        <v>226.95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IFERROR(__xludf.DUMMYFUNCTION("""COMPUTED_VALUE"""),221.4)</f>
        <v>221.4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IFERROR(__xludf.DUMMYFUNCTION("""COMPUTED_VALUE"""),225.9)</f>
        <v>225.9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IFERROR(__xludf.DUMMYFUNCTION("""COMPUTED_VALUE"""),222.5)</f>
        <v>222.5</v>
      </c>
    </row>
    <row r="321" ht="15.75" customHeight="1">
      <c r="B321" s="3">
        <f>IFERROR(__xludf.DUMMYFUNCTION("""COMPUTED_VALUE"""),39395.645833333336)</f>
        <v>39395.64583</v>
      </c>
      <c r="C321" s="2">
        <f>IFERROR(__xludf.DUMMYFUNCTION("""COMPUTED_VALUE"""),197.2)</f>
        <v>197.2</v>
      </c>
    </row>
    <row r="322" ht="15.75" customHeight="1">
      <c r="B322" s="3">
        <f>IFERROR(__xludf.DUMMYFUNCTION("""COMPUTED_VALUE"""),39402.645833333336)</f>
        <v>39402.64583</v>
      </c>
      <c r="C322" s="2">
        <f>IFERROR(__xludf.DUMMYFUNCTION("""COMPUTED_VALUE"""),203.0)</f>
        <v>203</v>
      </c>
    </row>
    <row r="323" ht="15.75" customHeight="1">
      <c r="B323" s="3">
        <f>IFERROR(__xludf.DUMMYFUNCTION("""COMPUTED_VALUE"""),39409.645833333336)</f>
        <v>39409.64583</v>
      </c>
      <c r="C323" s="2">
        <f>IFERROR(__xludf.DUMMYFUNCTION("""COMPUTED_VALUE"""),212.1)</f>
        <v>212.1</v>
      </c>
    </row>
    <row r="324" ht="15.75" customHeight="1">
      <c r="B324" s="3">
        <f>IFERROR(__xludf.DUMMYFUNCTION("""COMPUTED_VALUE"""),39416.645833333336)</f>
        <v>39416.64583</v>
      </c>
      <c r="C324" s="2">
        <f>IFERROR(__xludf.DUMMYFUNCTION("""COMPUTED_VALUE"""),213.15)</f>
        <v>213.15</v>
      </c>
    </row>
    <row r="325" ht="15.75" customHeight="1">
      <c r="B325" s="3">
        <f>IFERROR(__xludf.DUMMYFUNCTION("""COMPUTED_VALUE"""),39423.645833333336)</f>
        <v>39423.64583</v>
      </c>
      <c r="C325" s="2">
        <f>IFERROR(__xludf.DUMMYFUNCTION("""COMPUTED_VALUE"""),212.4)</f>
        <v>212.4</v>
      </c>
    </row>
    <row r="326" ht="15.75" customHeight="1">
      <c r="B326" s="3">
        <f>IFERROR(__xludf.DUMMYFUNCTION("""COMPUTED_VALUE"""),39430.645833333336)</f>
        <v>39430.64583</v>
      </c>
      <c r="C326" s="2">
        <f>IFERROR(__xludf.DUMMYFUNCTION("""COMPUTED_VALUE"""),220.0)</f>
        <v>220</v>
      </c>
    </row>
    <row r="327" ht="15.75" customHeight="1">
      <c r="B327" s="3">
        <f>IFERROR(__xludf.DUMMYFUNCTION("""COMPUTED_VALUE"""),39436.645833333336)</f>
        <v>39436.64583</v>
      </c>
      <c r="C327" s="2">
        <f>IFERROR(__xludf.DUMMYFUNCTION("""COMPUTED_VALUE"""),220.45)</f>
        <v>220.45</v>
      </c>
    </row>
    <row r="328" ht="15.75" customHeight="1">
      <c r="B328" s="3">
        <f>IFERROR(__xludf.DUMMYFUNCTION("""COMPUTED_VALUE"""),39444.645833333336)</f>
        <v>39444.64583</v>
      </c>
      <c r="C328" s="2">
        <f>IFERROR(__xludf.DUMMYFUNCTION("""COMPUTED_VALUE"""),220.0)</f>
        <v>220</v>
      </c>
    </row>
    <row r="329" ht="15.75" customHeight="1"/>
    <row r="330" ht="15.75" customHeight="1"/>
    <row r="331" ht="15.75" customHeight="1">
      <c r="B331" s="2" t="str">
        <f>IFERROR(__xludf.DUMMYFUNCTION("GOOGLEFINANCE(""NSE:HINDUNILVR"",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IFERROR(__xludf.DUMMYFUNCTION("""COMPUTED_VALUE"""),235.5)</f>
        <v>235.5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IFERROR(__xludf.DUMMYFUNCTION("""COMPUTED_VALUE"""),244.0)</f>
        <v>244</v>
      </c>
    </row>
    <row r="334" ht="15.75" customHeight="1">
      <c r="B334" s="3">
        <f>IFERROR(__xludf.DUMMYFUNCTION("""COMPUTED_VALUE"""),39464.645833333336)</f>
        <v>39464.64583</v>
      </c>
      <c r="C334" s="2">
        <f>IFERROR(__xludf.DUMMYFUNCTION("""COMPUTED_VALUE"""),225.0)</f>
        <v>225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IFERROR(__xludf.DUMMYFUNCTION("""COMPUTED_VALUE"""),215.0)</f>
        <v>215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IFERROR(__xludf.DUMMYFUNCTION("""COMPUTED_VALUE"""),217.0)</f>
        <v>217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IFERROR(__xludf.DUMMYFUNCTION("""COMPUTED_VALUE"""),216.5)</f>
        <v>216.5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IFERROR(__xludf.DUMMYFUNCTION("""COMPUTED_VALUE"""),213.0)</f>
        <v>213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IFERROR(__xludf.DUMMYFUNCTION("""COMPUTED_VALUE"""),224.8)</f>
        <v>224.8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IFERROR(__xludf.DUMMYFUNCTION("""COMPUTED_VALUE"""),229.25)</f>
        <v>229.25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IFERROR(__xludf.DUMMYFUNCTION("""COMPUTED_VALUE"""),237.3)</f>
        <v>237.3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IFERROR(__xludf.DUMMYFUNCTION("""COMPUTED_VALUE"""),229.0)</f>
        <v>229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IFERROR(__xludf.DUMMYFUNCTION("""COMPUTED_VALUE"""),241.15)</f>
        <v>241.15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IFERROR(__xludf.DUMMYFUNCTION("""COMPUTED_VALUE"""),247.95)</f>
        <v>247.95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IFERROR(__xludf.DUMMYFUNCTION("""COMPUTED_VALUE"""),248.9)</f>
        <v>248.9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IFERROR(__xludf.DUMMYFUNCTION("""COMPUTED_VALUE"""),255.85)</f>
        <v>255.85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IFERROR(__xludf.DUMMYFUNCTION("""COMPUTED_VALUE"""),248.0)</f>
        <v>248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IFERROR(__xludf.DUMMYFUNCTION("""COMPUTED_VALUE"""),252.0)</f>
        <v>252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IFERROR(__xludf.DUMMYFUNCTION("""COMPUTED_VALUE"""),254.9)</f>
        <v>254.9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IFERROR(__xludf.DUMMYFUNCTION("""COMPUTED_VALUE"""),254.7)</f>
        <v>254.7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IFERROR(__xludf.DUMMYFUNCTION("""COMPUTED_VALUE"""),252.3)</f>
        <v>252.3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IFERROR(__xludf.DUMMYFUNCTION("""COMPUTED_VALUE"""),244.0)</f>
        <v>244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IFERROR(__xludf.DUMMYFUNCTION("""COMPUTED_VALUE"""),241.95)</f>
        <v>241.95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IFERROR(__xludf.DUMMYFUNCTION("""COMPUTED_VALUE"""),240.0)</f>
        <v>240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IFERROR(__xludf.DUMMYFUNCTION("""COMPUTED_VALUE"""),236.2)</f>
        <v>236.2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IFERROR(__xludf.DUMMYFUNCTION("""COMPUTED_VALUE"""),237.9)</f>
        <v>237.9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IFERROR(__xludf.DUMMYFUNCTION("""COMPUTED_VALUE"""),228.9)</f>
        <v>228.9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IFERROR(__xludf.DUMMYFUNCTION("""COMPUTED_VALUE"""),211.0)</f>
        <v>211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IFERROR(__xludf.DUMMYFUNCTION("""COMPUTED_VALUE"""),220.7)</f>
        <v>220.7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IFERROR(__xludf.DUMMYFUNCTION("""COMPUTED_VALUE"""),223.2)</f>
        <v>223.2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IFERROR(__xludf.DUMMYFUNCTION("""COMPUTED_VALUE"""),242.0)</f>
        <v>242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IFERROR(__xludf.DUMMYFUNCTION("""COMPUTED_VALUE"""),241.4)</f>
        <v>241.4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IFERROR(__xludf.DUMMYFUNCTION("""COMPUTED_VALUE"""),250.95)</f>
        <v>250.95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IFERROR(__xludf.DUMMYFUNCTION("""COMPUTED_VALUE"""),246.8)</f>
        <v>246.8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IFERROR(__xludf.DUMMYFUNCTION("""COMPUTED_VALUE"""),245.5)</f>
        <v>245.5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IFERROR(__xludf.DUMMYFUNCTION("""COMPUTED_VALUE"""),249.0)</f>
        <v>249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IFERROR(__xludf.DUMMYFUNCTION("""COMPUTED_VALUE"""),248.4)</f>
        <v>248.4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IFERROR(__xludf.DUMMYFUNCTION("""COMPUTED_VALUE"""),254.9)</f>
        <v>254.9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IFERROR(__xludf.DUMMYFUNCTION("""COMPUTED_VALUE"""),247.85)</f>
        <v>247.85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IFERROR(__xludf.DUMMYFUNCTION("""COMPUTED_VALUE"""),255.5)</f>
        <v>255.5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IFERROR(__xludf.DUMMYFUNCTION("""COMPUTED_VALUE"""),265.5)</f>
        <v>265.5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IFERROR(__xludf.DUMMYFUNCTION("""COMPUTED_VALUE"""),258.95)</f>
        <v>258.95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IFERROR(__xludf.DUMMYFUNCTION("""COMPUTED_VALUE"""),251.1)</f>
        <v>251.1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IFERROR(__xludf.DUMMYFUNCTION("""COMPUTED_VALUE"""),256.7)</f>
        <v>256.7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IFERROR(__xludf.DUMMYFUNCTION("""COMPUTED_VALUE"""),227.0)</f>
        <v>227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IFERROR(__xludf.DUMMYFUNCTION("""COMPUTED_VALUE"""),252.5)</f>
        <v>252.5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IFERROR(__xludf.DUMMYFUNCTION("""COMPUTED_VALUE"""),255.95)</f>
        <v>255.95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IFERROR(__xludf.DUMMYFUNCTION("""COMPUTED_VALUE"""),237.5)</f>
        <v>237.5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IFERROR(__xludf.DUMMYFUNCTION("""COMPUTED_VALUE"""),239.45)</f>
        <v>239.45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IFERROR(__xludf.DUMMYFUNCTION("""COMPUTED_VALUE"""),243.0)</f>
        <v>243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IFERROR(__xludf.DUMMYFUNCTION("""COMPUTED_VALUE"""),245.85)</f>
        <v>245.85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IFERROR(__xludf.DUMMYFUNCTION("""COMPUTED_VALUE"""),267.8)</f>
        <v>267.8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IFERROR(__xludf.DUMMYFUNCTION("""COMPUTED_VALUE"""),267.0)</f>
        <v>267</v>
      </c>
    </row>
    <row r="384" ht="15.75" customHeight="1"/>
    <row r="385" ht="15.75" customHeight="1"/>
    <row r="386" ht="15.75" customHeight="1">
      <c r="B386" s="2" t="str">
        <f>IFERROR(__xludf.DUMMYFUNCTION("GOOGLEFINANCE(""NSE:HINDUNILVR"",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IFERROR(__xludf.DUMMYFUNCTION("""COMPUTED_VALUE"""),256.0)</f>
        <v>256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IFERROR(__xludf.DUMMYFUNCTION("""COMPUTED_VALUE"""),270.0)</f>
        <v>270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IFERROR(__xludf.DUMMYFUNCTION("""COMPUTED_VALUE"""),267.75)</f>
        <v>267.75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IFERROR(__xludf.DUMMYFUNCTION("""COMPUTED_VALUE"""),257.85)</f>
        <v>257.85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IFERROR(__xludf.DUMMYFUNCTION("""COMPUTED_VALUE"""),263.0)</f>
        <v>263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IFERROR(__xludf.DUMMYFUNCTION("""COMPUTED_VALUE"""),271.9)</f>
        <v>271.9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IFERROR(__xludf.DUMMYFUNCTION("""COMPUTED_VALUE"""),263.3)</f>
        <v>263.3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IFERROR(__xludf.DUMMYFUNCTION("""COMPUTED_VALUE"""),260.0)</f>
        <v>260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IFERROR(__xludf.DUMMYFUNCTION("""COMPUTED_VALUE"""),255.85)</f>
        <v>255.85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IFERROR(__xludf.DUMMYFUNCTION("""COMPUTED_VALUE"""),253.1)</f>
        <v>253.1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IFERROR(__xludf.DUMMYFUNCTION("""COMPUTED_VALUE"""),231.45)</f>
        <v>231.45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IFERROR(__xludf.DUMMYFUNCTION("""COMPUTED_VALUE"""),239.7)</f>
        <v>239.7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IFERROR(__xludf.DUMMYFUNCTION("""COMPUTED_VALUE"""),241.75)</f>
        <v>241.75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IFERROR(__xludf.DUMMYFUNCTION("""COMPUTED_VALUE"""),244.85)</f>
        <v>244.85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IFERROR(__xludf.DUMMYFUNCTION("""COMPUTED_VALUE"""),243.75)</f>
        <v>243.75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IFERROR(__xludf.DUMMYFUNCTION("""COMPUTED_VALUE"""),242.1)</f>
        <v>242.1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IFERROR(__xludf.DUMMYFUNCTION("""COMPUTED_VALUE"""),245.45)</f>
        <v>245.45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IFERROR(__xludf.DUMMYFUNCTION("""COMPUTED_VALUE"""),239.0)</f>
        <v>239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IFERROR(__xludf.DUMMYFUNCTION("""COMPUTED_VALUE"""),242.0)</f>
        <v>242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IFERROR(__xludf.DUMMYFUNCTION("""COMPUTED_VALUE"""),236.5)</f>
        <v>236.5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IFERROR(__xludf.DUMMYFUNCTION("""COMPUTED_VALUE"""),264.4)</f>
        <v>264.4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IFERROR(__xludf.DUMMYFUNCTION("""COMPUTED_VALUE"""),238.7)</f>
        <v>238.7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IFERROR(__xludf.DUMMYFUNCTION("""COMPUTED_VALUE"""),257.7)</f>
        <v>257.7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IFERROR(__xludf.DUMMYFUNCTION("""COMPUTED_VALUE"""),269.9)</f>
        <v>269.9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IFERROR(__xludf.DUMMYFUNCTION("""COMPUTED_VALUE"""),267.0)</f>
        <v>267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IFERROR(__xludf.DUMMYFUNCTION("""COMPUTED_VALUE"""),268.0)</f>
        <v>268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IFERROR(__xludf.DUMMYFUNCTION("""COMPUTED_VALUE"""),275.95)</f>
        <v>275.95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IFERROR(__xludf.DUMMYFUNCTION("""COMPUTED_VALUE"""),292.5)</f>
        <v>292.5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IFERROR(__xludf.DUMMYFUNCTION("""COMPUTED_VALUE"""),273.5)</f>
        <v>273.5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IFERROR(__xludf.DUMMYFUNCTION("""COMPUTED_VALUE"""),288.65)</f>
        <v>288.65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IFERROR(__xludf.DUMMYFUNCTION("""COMPUTED_VALUE"""),306.7)</f>
        <v>306.7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IFERROR(__xludf.DUMMYFUNCTION("""COMPUTED_VALUE"""),298.9)</f>
        <v>298.9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IFERROR(__xludf.DUMMYFUNCTION("""COMPUTED_VALUE"""),274.0)</f>
        <v>274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IFERROR(__xludf.DUMMYFUNCTION("""COMPUTED_VALUE"""),262.95)</f>
        <v>262.95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IFERROR(__xludf.DUMMYFUNCTION("""COMPUTED_VALUE"""),272.7)</f>
        <v>272.7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IFERROR(__xludf.DUMMYFUNCTION("""COMPUTED_VALUE"""),277.15)</f>
        <v>277.15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IFERROR(__xludf.DUMMYFUNCTION("""COMPUTED_VALUE"""),277.7)</f>
        <v>277.7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IFERROR(__xludf.DUMMYFUNCTION("""COMPUTED_VALUE"""),263.7)</f>
        <v>263.7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IFERROR(__xludf.DUMMYFUNCTION("""COMPUTED_VALUE"""),266.35)</f>
        <v>266.35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IFERROR(__xludf.DUMMYFUNCTION("""COMPUTED_VALUE"""),266.75)</f>
        <v>266.75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IFERROR(__xludf.DUMMYFUNCTION("""COMPUTED_VALUE"""),292.0)</f>
        <v>292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IFERROR(__xludf.DUMMYFUNCTION("""COMPUTED_VALUE"""),292.1)</f>
        <v>292.1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IFERROR(__xludf.DUMMYFUNCTION("""COMPUTED_VALUE"""),287.65)</f>
        <v>287.65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IFERROR(__xludf.DUMMYFUNCTION("""COMPUTED_VALUE"""),281.7)</f>
        <v>281.7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IFERROR(__xludf.DUMMYFUNCTION("""COMPUTED_VALUE"""),275.0)</f>
        <v>275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IFERROR(__xludf.DUMMYFUNCTION("""COMPUTED_VALUE"""),280.5)</f>
        <v>280.5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IFERROR(__xludf.DUMMYFUNCTION("""COMPUTED_VALUE"""),289.8)</f>
        <v>289.8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IFERROR(__xludf.DUMMYFUNCTION("""COMPUTED_VALUE"""),286.5)</f>
        <v>286.5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IFERROR(__xludf.DUMMYFUNCTION("""COMPUTED_VALUE"""),277.95)</f>
        <v>277.95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IFERROR(__xludf.DUMMYFUNCTION("""COMPUTED_VALUE"""),274.0)</f>
        <v>274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IFERROR(__xludf.DUMMYFUNCTION("""COMPUTED_VALUE"""),269.8)</f>
        <v>269.8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IFERROR(__xludf.DUMMYFUNCTION("""COMPUTED_VALUE"""),269.75)</f>
        <v>269.75</v>
      </c>
    </row>
    <row r="439" ht="15.75" customHeight="1"/>
    <row r="440" ht="15.75" customHeight="1"/>
    <row r="441" ht="15.75" customHeight="1">
      <c r="B441" s="2" t="str">
        <f>IFERROR(__xludf.DUMMYFUNCTION("GOOGLEFINANCE(""NSE:HINDUNILVR"",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IFERROR(__xludf.DUMMYFUNCTION("""COMPUTED_VALUE"""),267.25)</f>
        <v>267.25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IFERROR(__xludf.DUMMYFUNCTION("""COMPUTED_VALUE"""),268.35)</f>
        <v>268.35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IFERROR(__xludf.DUMMYFUNCTION("""COMPUTED_VALUE"""),261.1)</f>
        <v>261.1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IFERROR(__xludf.DUMMYFUNCTION("""COMPUTED_VALUE"""),264.55)</f>
        <v>264.55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IFERROR(__xludf.DUMMYFUNCTION("""COMPUTED_VALUE"""),238.2)</f>
        <v>238.2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IFERROR(__xludf.DUMMYFUNCTION("""COMPUTED_VALUE"""),245.45)</f>
        <v>245.45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IFERROR(__xludf.DUMMYFUNCTION("""COMPUTED_VALUE"""),247.35)</f>
        <v>247.35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IFERROR(__xludf.DUMMYFUNCTION("""COMPUTED_VALUE"""),244.4)</f>
        <v>244.4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IFERROR(__xludf.DUMMYFUNCTION("""COMPUTED_VALUE"""),244.7)</f>
        <v>244.7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IFERROR(__xludf.DUMMYFUNCTION("""COMPUTED_VALUE"""),229.9)</f>
        <v>229.9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IFERROR(__xludf.DUMMYFUNCTION("""COMPUTED_VALUE"""),239.4)</f>
        <v>239.4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IFERROR(__xludf.DUMMYFUNCTION("""COMPUTED_VALUE"""),242.3)</f>
        <v>242.3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IFERROR(__xludf.DUMMYFUNCTION("""COMPUTED_VALUE"""),232.35)</f>
        <v>232.35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IFERROR(__xludf.DUMMYFUNCTION("""COMPUTED_VALUE"""),227.7)</f>
        <v>227.7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IFERROR(__xludf.DUMMYFUNCTION("""COMPUTED_VALUE"""),241.2)</f>
        <v>241.2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IFERROR(__xludf.DUMMYFUNCTION("""COMPUTED_VALUE"""),244.0)</f>
        <v>244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IFERROR(__xludf.DUMMYFUNCTION("""COMPUTED_VALUE"""),242.0)</f>
        <v>242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IFERROR(__xludf.DUMMYFUNCTION("""COMPUTED_VALUE"""),257.0)</f>
        <v>257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IFERROR(__xludf.DUMMYFUNCTION("""COMPUTED_VALUE"""),246.0)</f>
        <v>246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IFERROR(__xludf.DUMMYFUNCTION("""COMPUTED_VALUE"""),239.8)</f>
        <v>239.8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IFERROR(__xludf.DUMMYFUNCTION("""COMPUTED_VALUE"""),257.2)</f>
        <v>257.2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IFERROR(__xludf.DUMMYFUNCTION("""COMPUTED_VALUE"""),256.55)</f>
        <v>256.55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IFERROR(__xludf.DUMMYFUNCTION("""COMPUTED_VALUE"""),261.3)</f>
        <v>261.3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IFERROR(__xludf.DUMMYFUNCTION("""COMPUTED_VALUE"""),274.35)</f>
        <v>274.35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IFERROR(__xludf.DUMMYFUNCTION("""COMPUTED_VALUE"""),273.5)</f>
        <v>273.5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IFERROR(__xludf.DUMMYFUNCTION("""COMPUTED_VALUE"""),269.35)</f>
        <v>269.35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IFERROR(__xludf.DUMMYFUNCTION("""COMPUTED_VALUE"""),266.9)</f>
        <v>266.9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IFERROR(__xludf.DUMMYFUNCTION("""COMPUTED_VALUE"""),269.1)</f>
        <v>269.1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IFERROR(__xludf.DUMMYFUNCTION("""COMPUTED_VALUE"""),266.0)</f>
        <v>266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IFERROR(__xludf.DUMMYFUNCTION("""COMPUTED_VALUE"""),259.4)</f>
        <v>259.4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IFERROR(__xludf.DUMMYFUNCTION("""COMPUTED_VALUE"""),267.8)</f>
        <v>267.8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IFERROR(__xludf.DUMMYFUNCTION("""COMPUTED_VALUE"""),275.0)</f>
        <v>275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IFERROR(__xludf.DUMMYFUNCTION("""COMPUTED_VALUE"""),272.5)</f>
        <v>272.5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IFERROR(__xludf.DUMMYFUNCTION("""COMPUTED_VALUE"""),274.0)</f>
        <v>274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IFERROR(__xludf.DUMMYFUNCTION("""COMPUTED_VALUE"""),284.0)</f>
        <v>284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IFERROR(__xludf.DUMMYFUNCTION("""COMPUTED_VALUE"""),284.0)</f>
        <v>284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IFERROR(__xludf.DUMMYFUNCTION("""COMPUTED_VALUE"""),317.75)</f>
        <v>317.75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IFERROR(__xludf.DUMMYFUNCTION("""COMPUTED_VALUE"""),319.55)</f>
        <v>319.55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IFERROR(__xludf.DUMMYFUNCTION("""COMPUTED_VALUE"""),313.1)</f>
        <v>313.1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IFERROR(__xludf.DUMMYFUNCTION("""COMPUTED_VALUE"""),307.0)</f>
        <v>307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IFERROR(__xludf.DUMMYFUNCTION("""COMPUTED_VALUE"""),308.4)</f>
        <v>308.4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IFERROR(__xludf.DUMMYFUNCTION("""COMPUTED_VALUE"""),308.4)</f>
        <v>308.4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IFERROR(__xludf.DUMMYFUNCTION("""COMPUTED_VALUE"""),303.9)</f>
        <v>303.9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IFERROR(__xludf.DUMMYFUNCTION("""COMPUTED_VALUE"""),320.85)</f>
        <v>320.85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IFERROR(__xludf.DUMMYFUNCTION("""COMPUTED_VALUE"""),305.45)</f>
        <v>305.45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IFERROR(__xludf.DUMMYFUNCTION("""COMPUTED_VALUE"""),303.0)</f>
        <v>303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IFERROR(__xludf.DUMMYFUNCTION("""COMPUTED_VALUE"""),305.5)</f>
        <v>305.5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IFERROR(__xludf.DUMMYFUNCTION("""COMPUTED_VALUE"""),304.2)</f>
        <v>304.2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IFERROR(__xludf.DUMMYFUNCTION("""COMPUTED_VALUE"""),302.0)</f>
        <v>302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IFERROR(__xludf.DUMMYFUNCTION("""COMPUTED_VALUE"""),296.85)</f>
        <v>296.85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IFERROR(__xludf.DUMMYFUNCTION("""COMPUTED_VALUE"""),315.8)</f>
        <v>315.8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IFERROR(__xludf.DUMMYFUNCTION("GOOGLEFINANCE(""NSE:HINDUNILVR"",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IFERROR(__xludf.DUMMYFUNCTION("""COMPUTED_VALUE"""),329.9)</f>
        <v>329.9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IFERROR(__xludf.DUMMYFUNCTION("""COMPUTED_VALUE"""),317.65)</f>
        <v>317.65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IFERROR(__xludf.DUMMYFUNCTION("""COMPUTED_VALUE"""),305.5)</f>
        <v>305.5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IFERROR(__xludf.DUMMYFUNCTION("""COMPUTED_VALUE"""),303.0)</f>
        <v>303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IFERROR(__xludf.DUMMYFUNCTION("""COMPUTED_VALUE"""),282.2)</f>
        <v>282.2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IFERROR(__xludf.DUMMYFUNCTION("""COMPUTED_VALUE"""),278.7)</f>
        <v>278.7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IFERROR(__xludf.DUMMYFUNCTION("""COMPUTED_VALUE"""),282.5)</f>
        <v>282.5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IFERROR(__xludf.DUMMYFUNCTION("""COMPUTED_VALUE"""),284.0)</f>
        <v>284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IFERROR(__xludf.DUMMYFUNCTION("""COMPUTED_VALUE"""),292.0)</f>
        <v>292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IFERROR(__xludf.DUMMYFUNCTION("""COMPUTED_VALUE"""),287.85)</f>
        <v>287.85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IFERROR(__xludf.DUMMYFUNCTION("""COMPUTED_VALUE"""),279.85)</f>
        <v>279.85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IFERROR(__xludf.DUMMYFUNCTION("""COMPUTED_VALUE"""),272.65)</f>
        <v>272.65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IFERROR(__xludf.DUMMYFUNCTION("""COMPUTED_VALUE"""),290.05)</f>
        <v>290.05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IFERROR(__xludf.DUMMYFUNCTION("""COMPUTED_VALUE"""),284.9)</f>
        <v>284.9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IFERROR(__xludf.DUMMYFUNCTION("""COMPUTED_VALUE"""),285.95)</f>
        <v>285.95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IFERROR(__xludf.DUMMYFUNCTION("""COMPUTED_VALUE"""),289.95)</f>
        <v>289.95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IFERROR(__xludf.DUMMYFUNCTION("""COMPUTED_VALUE"""),293.4)</f>
        <v>293.4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IFERROR(__xludf.DUMMYFUNCTION("""COMPUTED_VALUE"""),288.0)</f>
        <v>288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IFERROR(__xludf.DUMMYFUNCTION("""COMPUTED_VALUE"""),311.9)</f>
        <v>311.9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IFERROR(__xludf.DUMMYFUNCTION("""COMPUTED_VALUE"""),312.75)</f>
        <v>312.75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IFERROR(__xludf.DUMMYFUNCTION("""COMPUTED_VALUE"""),310.0)</f>
        <v>310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IFERROR(__xludf.DUMMYFUNCTION("""COMPUTED_VALUE"""),323.8)</f>
        <v>323.8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IFERROR(__xludf.DUMMYFUNCTION("""COMPUTED_VALUE"""),319.5)</f>
        <v>319.5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IFERROR(__xludf.DUMMYFUNCTION("""COMPUTED_VALUE"""),326.5)</f>
        <v>326.5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IFERROR(__xludf.DUMMYFUNCTION("""COMPUTED_VALUE"""),327.0)</f>
        <v>327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IFERROR(__xludf.DUMMYFUNCTION("""COMPUTED_VALUE"""),348.0)</f>
        <v>348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IFERROR(__xludf.DUMMYFUNCTION("""COMPUTED_VALUE"""),341.0)</f>
        <v>341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IFERROR(__xludf.DUMMYFUNCTION("""COMPUTED_VALUE"""),336.05)</f>
        <v>336.05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IFERROR(__xludf.DUMMYFUNCTION("""COMPUTED_VALUE"""),337.4)</f>
        <v>337.4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IFERROR(__xludf.DUMMYFUNCTION("""COMPUTED_VALUE"""),334.0)</f>
        <v>334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IFERROR(__xludf.DUMMYFUNCTION("""COMPUTED_VALUE"""),327.3)</f>
        <v>327.3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IFERROR(__xludf.DUMMYFUNCTION("""COMPUTED_VALUE"""),322.8)</f>
        <v>322.8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IFERROR(__xludf.DUMMYFUNCTION("""COMPUTED_VALUE"""),319.4)</f>
        <v>319.4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IFERROR(__xludf.DUMMYFUNCTION("""COMPUTED_VALUE"""),324.45)</f>
        <v>324.45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IFERROR(__xludf.DUMMYFUNCTION("""COMPUTED_VALUE"""),331.0)</f>
        <v>331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IFERROR(__xludf.DUMMYFUNCTION("""COMPUTED_VALUE"""),338.0)</f>
        <v>338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IFERROR(__xludf.DUMMYFUNCTION("""COMPUTED_VALUE"""),354.8)</f>
        <v>354.8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IFERROR(__xludf.DUMMYFUNCTION("""COMPUTED_VALUE"""),345.95)</f>
        <v>345.95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IFERROR(__xludf.DUMMYFUNCTION("""COMPUTED_VALUE"""),347.0)</f>
        <v>347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IFERROR(__xludf.DUMMYFUNCTION("""COMPUTED_VALUE"""),339.65)</f>
        <v>339.65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IFERROR(__xludf.DUMMYFUNCTION("""COMPUTED_VALUE"""),334.0)</f>
        <v>334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IFERROR(__xludf.DUMMYFUNCTION("""COMPUTED_VALUE"""),335.65)</f>
        <v>335.65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IFERROR(__xludf.DUMMYFUNCTION("""COMPUTED_VALUE"""),360.0)</f>
        <v>360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IFERROR(__xludf.DUMMYFUNCTION("""COMPUTED_VALUE"""),393.25)</f>
        <v>393.25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IFERROR(__xludf.DUMMYFUNCTION("""COMPUTED_VALUE"""),398.2)</f>
        <v>398.2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IFERROR(__xludf.DUMMYFUNCTION("""COMPUTED_VALUE"""),403.35)</f>
        <v>403.35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IFERROR(__xludf.DUMMYFUNCTION("""COMPUTED_VALUE"""),393.0)</f>
        <v>393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IFERROR(__xludf.DUMMYFUNCTION("""COMPUTED_VALUE"""),403.0)</f>
        <v>403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IFERROR(__xludf.DUMMYFUNCTION("""COMPUTED_VALUE"""),400.05)</f>
        <v>400.05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IFERROR(__xludf.DUMMYFUNCTION("""COMPUTED_VALUE"""),405.0)</f>
        <v>405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IFERROR(__xludf.DUMMYFUNCTION("""COMPUTED_VALUE"""),414.9)</f>
        <v>414.9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IFERROR(__xludf.DUMMYFUNCTION("""COMPUTED_VALUE"""),420.25)</f>
        <v>420.25</v>
      </c>
    </row>
    <row r="549" ht="15.75" customHeight="1"/>
    <row r="550" ht="15.75" customHeight="1"/>
    <row r="551" ht="15.75" customHeight="1">
      <c r="B551" s="2" t="str">
        <f>IFERROR(__xludf.DUMMYFUNCTION("GOOGLEFINANCE(""NSE:HINDUNILVR"",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IFERROR(__xludf.DUMMYFUNCTION("""COMPUTED_VALUE"""),399.0)</f>
        <v>399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IFERROR(__xludf.DUMMYFUNCTION("""COMPUTED_VALUE"""),399.5)</f>
        <v>399.5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IFERROR(__xludf.DUMMYFUNCTION("""COMPUTED_VALUE"""),402.65)</f>
        <v>402.65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IFERROR(__xludf.DUMMYFUNCTION("""COMPUTED_VALUE"""),403.95)</f>
        <v>403.95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IFERROR(__xludf.DUMMYFUNCTION("""COMPUTED_VALUE"""),410.9)</f>
        <v>410.9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IFERROR(__xludf.DUMMYFUNCTION("""COMPUTED_VALUE"""),393.75)</f>
        <v>393.75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IFERROR(__xludf.DUMMYFUNCTION("""COMPUTED_VALUE"""),390.4)</f>
        <v>390.4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IFERROR(__xludf.DUMMYFUNCTION("""COMPUTED_VALUE"""),388.1)</f>
        <v>388.1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IFERROR(__xludf.DUMMYFUNCTION("""COMPUTED_VALUE"""),391.95)</f>
        <v>391.95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IFERROR(__xludf.DUMMYFUNCTION("""COMPUTED_VALUE"""),407.0)</f>
        <v>407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IFERROR(__xludf.DUMMYFUNCTION("""COMPUTED_VALUE"""),418.55)</f>
        <v>418.55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IFERROR(__xludf.DUMMYFUNCTION("""COMPUTED_VALUE"""),409.65)</f>
        <v>409.65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IFERROR(__xludf.DUMMYFUNCTION("""COMPUTED_VALUE"""),428.4)</f>
        <v>428.4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IFERROR(__xludf.DUMMYFUNCTION("""COMPUTED_VALUE"""),430.5)</f>
        <v>430.5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IFERROR(__xludf.DUMMYFUNCTION("""COMPUTED_VALUE"""),437.75)</f>
        <v>437.75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IFERROR(__xludf.DUMMYFUNCTION("""COMPUTED_VALUE"""),440.0)</f>
        <v>440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IFERROR(__xludf.DUMMYFUNCTION("""COMPUTED_VALUE"""),437.0)</f>
        <v>437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IFERROR(__xludf.DUMMYFUNCTION("""COMPUTED_VALUE"""),433.95)</f>
        <v>433.95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IFERROR(__xludf.DUMMYFUNCTION("""COMPUTED_VALUE"""),433.0)</f>
        <v>433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IFERROR(__xludf.DUMMYFUNCTION("""COMPUTED_VALUE"""),431.25)</f>
        <v>431.25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IFERROR(__xludf.DUMMYFUNCTION("""COMPUTED_VALUE"""),451.95)</f>
        <v>451.95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IFERROR(__xludf.DUMMYFUNCTION("""COMPUTED_VALUE"""),464.7)</f>
        <v>464.7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IFERROR(__xludf.DUMMYFUNCTION("""COMPUTED_VALUE"""),463.8)</f>
        <v>463.8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IFERROR(__xludf.DUMMYFUNCTION("""COMPUTED_VALUE"""),456.6)</f>
        <v>456.6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IFERROR(__xludf.DUMMYFUNCTION("""COMPUTED_VALUE"""),448.5)</f>
        <v>448.5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IFERROR(__xludf.DUMMYFUNCTION("""COMPUTED_VALUE"""),449.4)</f>
        <v>449.4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IFERROR(__xludf.DUMMYFUNCTION("""COMPUTED_VALUE"""),477.75)</f>
        <v>477.75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IFERROR(__xludf.DUMMYFUNCTION("""COMPUTED_VALUE"""),473.8)</f>
        <v>473.8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IFERROR(__xludf.DUMMYFUNCTION("""COMPUTED_VALUE"""),498.5)</f>
        <v>498.5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IFERROR(__xludf.DUMMYFUNCTION("""COMPUTED_VALUE"""),505.45)</f>
        <v>505.45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IFERROR(__xludf.DUMMYFUNCTION("""COMPUTED_VALUE"""),528.0)</f>
        <v>528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IFERROR(__xludf.DUMMYFUNCTION("""COMPUTED_VALUE"""),550.85)</f>
        <v>550.85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IFERROR(__xludf.DUMMYFUNCTION("""COMPUTED_VALUE"""),554.7)</f>
        <v>554.7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IFERROR(__xludf.DUMMYFUNCTION("""COMPUTED_VALUE"""),554.05)</f>
        <v>554.05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IFERROR(__xludf.DUMMYFUNCTION("""COMPUTED_VALUE"""),549.0)</f>
        <v>549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IFERROR(__xludf.DUMMYFUNCTION("""COMPUTED_VALUE"""),568.7)</f>
        <v>568.7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IFERROR(__xludf.DUMMYFUNCTION("""COMPUTED_VALUE"""),576.25)</f>
        <v>576.25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IFERROR(__xludf.DUMMYFUNCTION("""COMPUTED_VALUE"""),580.45)</f>
        <v>580.45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IFERROR(__xludf.DUMMYFUNCTION("""COMPUTED_VALUE"""),573.15)</f>
        <v>573.15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IFERROR(__xludf.DUMMYFUNCTION("""COMPUTED_VALUE"""),554.2)</f>
        <v>554.2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IFERROR(__xludf.DUMMYFUNCTION("""COMPUTED_VALUE"""),537.25)</f>
        <v>537.25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IFERROR(__xludf.DUMMYFUNCTION("""COMPUTED_VALUE"""),535.95)</f>
        <v>535.95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IFERROR(__xludf.DUMMYFUNCTION("""COMPUTED_VALUE"""),532.5)</f>
        <v>532.5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IFERROR(__xludf.DUMMYFUNCTION("""COMPUTED_VALUE"""),550.9)</f>
        <v>550.9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IFERROR(__xludf.DUMMYFUNCTION("""COMPUTED_VALUE"""),542.3)</f>
        <v>542.3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IFERROR(__xludf.DUMMYFUNCTION("""COMPUTED_VALUE"""),554.25)</f>
        <v>554.25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IFERROR(__xludf.DUMMYFUNCTION("""COMPUTED_VALUE"""),534.5)</f>
        <v>534.5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IFERROR(__xludf.DUMMYFUNCTION("""COMPUTED_VALUE"""),536.55)</f>
        <v>536.55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IFERROR(__xludf.DUMMYFUNCTION("GOOGLEFINANCE(""NSE:HINDUNILVR"",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IFERROR(__xludf.DUMMYFUNCTION("""COMPUTED_VALUE"""),536.3)</f>
        <v>536.3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IFERROR(__xludf.DUMMYFUNCTION("""COMPUTED_VALUE"""),534.65)</f>
        <v>534.65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IFERROR(__xludf.DUMMYFUNCTION("""COMPUTED_VALUE"""),508.4)</f>
        <v>508.4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IFERROR(__xludf.DUMMYFUNCTION("""COMPUTED_VALUE"""),505.5)</f>
        <v>505.5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IFERROR(__xludf.DUMMYFUNCTION("""COMPUTED_VALUE"""),481.8)</f>
        <v>481.8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IFERROR(__xludf.DUMMYFUNCTION("""COMPUTED_VALUE"""),469.5)</f>
        <v>469.5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IFERROR(__xludf.DUMMYFUNCTION("""COMPUTED_VALUE"""),467.95)</f>
        <v>467.95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IFERROR(__xludf.DUMMYFUNCTION("""COMPUTED_VALUE"""),478.7)</f>
        <v>478.7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IFERROR(__xludf.DUMMYFUNCTION("""COMPUTED_VALUE"""),462.0)</f>
        <v>462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IFERROR(__xludf.DUMMYFUNCTION("""COMPUTED_VALUE"""),451.95)</f>
        <v>451.95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IFERROR(__xludf.DUMMYFUNCTION("""COMPUTED_VALUE"""),464.0)</f>
        <v>464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IFERROR(__xludf.DUMMYFUNCTION("""COMPUTED_VALUE"""),472.0)</f>
        <v>472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IFERROR(__xludf.DUMMYFUNCTION("""COMPUTED_VALUE"""),475.8)</f>
        <v>475.8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IFERROR(__xludf.DUMMYFUNCTION("""COMPUTED_VALUE"""),474.8)</f>
        <v>474.8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IFERROR(__xludf.DUMMYFUNCTION("""COMPUTED_VALUE"""),480.5)</f>
        <v>480.5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IFERROR(__xludf.DUMMYFUNCTION("""COMPUTED_VALUE"""),487.95)</f>
        <v>487.95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IFERROR(__xludf.DUMMYFUNCTION("""COMPUTED_VALUE"""),489.5)</f>
        <v>489.5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IFERROR(__xludf.DUMMYFUNCTION("""COMPUTED_VALUE"""),597.0)</f>
        <v>597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IFERROR(__xludf.DUMMYFUNCTION("""COMPUTED_VALUE"""),587.6)</f>
        <v>587.6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IFERROR(__xludf.DUMMYFUNCTION("""COMPUTED_VALUE"""),590.0)</f>
        <v>590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IFERROR(__xludf.DUMMYFUNCTION("""COMPUTED_VALUE"""),597.85)</f>
        <v>597.85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IFERROR(__xludf.DUMMYFUNCTION("""COMPUTED_VALUE"""),593.85)</f>
        <v>593.85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IFERROR(__xludf.DUMMYFUNCTION("""COMPUTED_VALUE"""),595.0)</f>
        <v>595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IFERROR(__xludf.DUMMYFUNCTION("""COMPUTED_VALUE"""),598.05)</f>
        <v>598.05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IFERROR(__xludf.DUMMYFUNCTION("""COMPUTED_VALUE"""),591.75)</f>
        <v>591.75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IFERROR(__xludf.DUMMYFUNCTION("""COMPUTED_VALUE"""),632.0)</f>
        <v>632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IFERROR(__xludf.DUMMYFUNCTION("""COMPUTED_VALUE"""),612.8)</f>
        <v>612.8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IFERROR(__xludf.DUMMYFUNCTION("""COMPUTED_VALUE"""),719.1)</f>
        <v>719.1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IFERROR(__xludf.DUMMYFUNCTION("""COMPUTED_VALUE"""),725.0)</f>
        <v>725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IFERROR(__xludf.DUMMYFUNCTION("""COMPUTED_VALUE"""),660.95)</f>
        <v>660.95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IFERROR(__xludf.DUMMYFUNCTION("""COMPUTED_VALUE"""),627.85)</f>
        <v>627.85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IFERROR(__xludf.DUMMYFUNCTION("""COMPUTED_VALUE"""),624.9)</f>
        <v>624.9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IFERROR(__xludf.DUMMYFUNCTION("""COMPUTED_VALUE"""),606.85)</f>
        <v>606.85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IFERROR(__xludf.DUMMYFUNCTION("""COMPUTED_VALUE"""),638.75)</f>
        <v>638.75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IFERROR(__xludf.DUMMYFUNCTION("""COMPUTED_VALUE"""),647.4)</f>
        <v>647.4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IFERROR(__xludf.DUMMYFUNCTION("""COMPUTED_VALUE"""),659.4)</f>
        <v>659.4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IFERROR(__xludf.DUMMYFUNCTION("""COMPUTED_VALUE"""),685.0)</f>
        <v>685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IFERROR(__xludf.DUMMYFUNCTION("""COMPUTED_VALUE"""),664.75)</f>
        <v>664.75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IFERROR(__xludf.DUMMYFUNCTION("""COMPUTED_VALUE"""),631.85)</f>
        <v>631.85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IFERROR(__xludf.DUMMYFUNCTION("""COMPUTED_VALUE"""),614.95)</f>
        <v>614.95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IFERROR(__xludf.DUMMYFUNCTION("""COMPUTED_VALUE"""),617.3)</f>
        <v>617.3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IFERROR(__xludf.DUMMYFUNCTION("""COMPUTED_VALUE"""),643.9)</f>
        <v>643.9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IFERROR(__xludf.DUMMYFUNCTION("""COMPUTED_VALUE"""),618.65)</f>
        <v>618.65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IFERROR(__xludf.DUMMYFUNCTION("""COMPUTED_VALUE"""),610.8)</f>
        <v>610.8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IFERROR(__xludf.DUMMYFUNCTION("""COMPUTED_VALUE"""),590.85)</f>
        <v>590.85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IFERROR(__xludf.DUMMYFUNCTION("""COMPUTED_VALUE"""),599.0)</f>
        <v>599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IFERROR(__xludf.DUMMYFUNCTION("""COMPUTED_VALUE"""),598.05)</f>
        <v>598.05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IFERROR(__xludf.DUMMYFUNCTION("""COMPUTED_VALUE"""),597.85)</f>
        <v>597.85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IFERROR(__xludf.DUMMYFUNCTION("""COMPUTED_VALUE"""),570.45)</f>
        <v>570.45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IFERROR(__xludf.DUMMYFUNCTION("""COMPUTED_VALUE"""),569.75)</f>
        <v>569.75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IFERROR(__xludf.DUMMYFUNCTION("""COMPUTED_VALUE"""),572.9)</f>
        <v>572.9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IFERROR(__xludf.DUMMYFUNCTION("GOOGLEFINANCE(""NSE:HINDUNILVR"",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IFERROR(__xludf.DUMMYFUNCTION("""COMPUTED_VALUE"""),576.9)</f>
        <v>576.9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IFERROR(__xludf.DUMMYFUNCTION("""COMPUTED_VALUE"""),567.8)</f>
        <v>567.8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IFERROR(__xludf.DUMMYFUNCTION("""COMPUTED_VALUE"""),563.0)</f>
        <v>563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IFERROR(__xludf.DUMMYFUNCTION("""COMPUTED_VALUE"""),570.0)</f>
        <v>570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IFERROR(__xludf.DUMMYFUNCTION("""COMPUTED_VALUE"""),584.9)</f>
        <v>584.9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IFERROR(__xludf.DUMMYFUNCTION("""COMPUTED_VALUE"""),589.65)</f>
        <v>589.65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IFERROR(__xludf.DUMMYFUNCTION("""COMPUTED_VALUE"""),579.75)</f>
        <v>579.75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IFERROR(__xludf.DUMMYFUNCTION("""COMPUTED_VALUE"""),566.0)</f>
        <v>566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IFERROR(__xludf.DUMMYFUNCTION("""COMPUTED_VALUE"""),559.5)</f>
        <v>559.5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IFERROR(__xludf.DUMMYFUNCTION("""COMPUTED_VALUE"""),559.0)</f>
        <v>559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IFERROR(__xludf.DUMMYFUNCTION("""COMPUTED_VALUE"""),567.2)</f>
        <v>567.2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IFERROR(__xludf.DUMMYFUNCTION("""COMPUTED_VALUE"""),604.0)</f>
        <v>604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IFERROR(__xludf.DUMMYFUNCTION("""COMPUTED_VALUE"""),613.5)</f>
        <v>613.5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IFERROR(__xludf.DUMMYFUNCTION("""COMPUTED_VALUE"""),619.8)</f>
        <v>619.8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IFERROR(__xludf.DUMMYFUNCTION("""COMPUTED_VALUE"""),619.2)</f>
        <v>619.2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IFERROR(__xludf.DUMMYFUNCTION("""COMPUTED_VALUE"""),610.9)</f>
        <v>610.9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IFERROR(__xludf.DUMMYFUNCTION("""COMPUTED_VALUE"""),592.0)</f>
        <v>592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IFERROR(__xludf.DUMMYFUNCTION("""COMPUTED_VALUE"""),562.35)</f>
        <v>562.35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IFERROR(__xludf.DUMMYFUNCTION("""COMPUTED_VALUE"""),608.0)</f>
        <v>608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IFERROR(__xludf.DUMMYFUNCTION("""COMPUTED_VALUE"""),594.0)</f>
        <v>594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IFERROR(__xludf.DUMMYFUNCTION("""COMPUTED_VALUE"""),615.0)</f>
        <v>615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IFERROR(__xludf.DUMMYFUNCTION("""COMPUTED_VALUE"""),645.95)</f>
        <v>645.95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IFERROR(__xludf.DUMMYFUNCTION("""COMPUTED_VALUE"""),644.0)</f>
        <v>644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IFERROR(__xludf.DUMMYFUNCTION("""COMPUTED_VALUE"""),641.0)</f>
        <v>641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IFERROR(__xludf.DUMMYFUNCTION("""COMPUTED_VALUE"""),629.0)</f>
        <v>629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IFERROR(__xludf.DUMMYFUNCTION("""COMPUTED_VALUE"""),634.4)</f>
        <v>634.4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IFERROR(__xludf.DUMMYFUNCTION("""COMPUTED_VALUE"""),646.85)</f>
        <v>646.85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IFERROR(__xludf.DUMMYFUNCTION("""COMPUTED_VALUE"""),644.6)</f>
        <v>644.6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IFERROR(__xludf.DUMMYFUNCTION("""COMPUTED_VALUE"""),667.0)</f>
        <v>667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IFERROR(__xludf.DUMMYFUNCTION("""COMPUTED_VALUE"""),702.0)</f>
        <v>702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IFERROR(__xludf.DUMMYFUNCTION("""COMPUTED_VALUE"""),732.0)</f>
        <v>732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IFERROR(__xludf.DUMMYFUNCTION("""COMPUTED_VALUE"""),725.95)</f>
        <v>725.95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IFERROR(__xludf.DUMMYFUNCTION("""COMPUTED_VALUE"""),736.8)</f>
        <v>736.8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IFERROR(__xludf.DUMMYFUNCTION("""COMPUTED_VALUE"""),744.9)</f>
        <v>744.9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IFERROR(__xludf.DUMMYFUNCTION("""COMPUTED_VALUE"""),747.25)</f>
        <v>747.25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IFERROR(__xludf.DUMMYFUNCTION("""COMPUTED_VALUE"""),764.45)</f>
        <v>764.45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IFERROR(__xludf.DUMMYFUNCTION("""COMPUTED_VALUE"""),760.85)</f>
        <v>760.85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IFERROR(__xludf.DUMMYFUNCTION("""COMPUTED_VALUE"""),771.9)</f>
        <v>771.9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IFERROR(__xludf.DUMMYFUNCTION("""COMPUTED_VALUE"""),753.0)</f>
        <v>753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IFERROR(__xludf.DUMMYFUNCTION("""COMPUTED_VALUE"""),744.65)</f>
        <v>744.65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IFERROR(__xludf.DUMMYFUNCTION("""COMPUTED_VALUE"""),745.6)</f>
        <v>745.6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IFERROR(__xludf.DUMMYFUNCTION("""COMPUTED_VALUE"""),760.0)</f>
        <v>760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IFERROR(__xludf.DUMMYFUNCTION("""COMPUTED_VALUE"""),766.05)</f>
        <v>766.05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IFERROR(__xludf.DUMMYFUNCTION("""COMPUTED_VALUE"""),763.45)</f>
        <v>763.45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IFERROR(__xludf.DUMMYFUNCTION("""COMPUTED_VALUE"""),776.75)</f>
        <v>776.75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IFERROR(__xludf.DUMMYFUNCTION("""COMPUTED_VALUE"""),766.8)</f>
        <v>766.8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IFERROR(__xludf.DUMMYFUNCTION("""COMPUTED_VALUE"""),798.85)</f>
        <v>798.85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IFERROR(__xludf.DUMMYFUNCTION("""COMPUTED_VALUE"""),829.75)</f>
        <v>829.75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IFERROR(__xludf.DUMMYFUNCTION("""COMPUTED_VALUE"""),828.45)</f>
        <v>828.45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IFERROR(__xludf.DUMMYFUNCTION("""COMPUTED_VALUE"""),808.85)</f>
        <v>808.85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IFERROR(__xludf.DUMMYFUNCTION("""COMPUTED_VALUE"""),770.8)</f>
        <v>770.8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IFERROR(__xludf.DUMMYFUNCTION("GOOGLEFINANCE(""NSE:HINDUNILVR"",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IFERROR(__xludf.DUMMYFUNCTION("""COMPUTED_VALUE"""),767.25)</f>
        <v>767.25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IFERROR(__xludf.DUMMYFUNCTION("""COMPUTED_VALUE"""),868.4)</f>
        <v>868.4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IFERROR(__xludf.DUMMYFUNCTION("""COMPUTED_VALUE"""),947.0)</f>
        <v>947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IFERROR(__xludf.DUMMYFUNCTION("""COMPUTED_VALUE"""),968.85)</f>
        <v>968.85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IFERROR(__xludf.DUMMYFUNCTION("""COMPUTED_VALUE"""),967.9)</f>
        <v>967.9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IFERROR(__xludf.DUMMYFUNCTION("""COMPUTED_VALUE"""),930.85)</f>
        <v>930.85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IFERROR(__xludf.DUMMYFUNCTION("""COMPUTED_VALUE"""),914.6)</f>
        <v>914.6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IFERROR(__xludf.DUMMYFUNCTION("""COMPUTED_VALUE"""),923.35)</f>
        <v>923.35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IFERROR(__xludf.DUMMYFUNCTION("""COMPUTED_VALUE"""),946.35)</f>
        <v>946.35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IFERROR(__xludf.DUMMYFUNCTION("""COMPUTED_VALUE"""),981.0)</f>
        <v>981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IFERROR(__xludf.DUMMYFUNCTION("""COMPUTED_VALUE"""),957.25)</f>
        <v>957.25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IFERROR(__xludf.DUMMYFUNCTION("""COMPUTED_VALUE"""),910.0)</f>
        <v>910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IFERROR(__xludf.DUMMYFUNCTION("""COMPUTED_VALUE"""),885.8)</f>
        <v>885.8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IFERROR(__xludf.DUMMYFUNCTION("""COMPUTED_VALUE"""),935.8)</f>
        <v>935.8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IFERROR(__xludf.DUMMYFUNCTION("""COMPUTED_VALUE"""),950.95)</f>
        <v>950.95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IFERROR(__xludf.DUMMYFUNCTION("""COMPUTED_VALUE"""),940.75)</f>
        <v>940.75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IFERROR(__xludf.DUMMYFUNCTION("""COMPUTED_VALUE"""),901.8)</f>
        <v>901.8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IFERROR(__xludf.DUMMYFUNCTION("""COMPUTED_VALUE"""),907.05)</f>
        <v>907.05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IFERROR(__xludf.DUMMYFUNCTION("""COMPUTED_VALUE"""),901.0)</f>
        <v>901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IFERROR(__xludf.DUMMYFUNCTION("""COMPUTED_VALUE"""),868.85)</f>
        <v>868.85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IFERROR(__xludf.DUMMYFUNCTION("""COMPUTED_VALUE"""),864.95)</f>
        <v>864.95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IFERROR(__xludf.DUMMYFUNCTION("""COMPUTED_VALUE"""),884.65)</f>
        <v>884.65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IFERROR(__xludf.DUMMYFUNCTION("""COMPUTED_VALUE"""),836.5)</f>
        <v>836.5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IFERROR(__xludf.DUMMYFUNCTION("""COMPUTED_VALUE"""),868.85)</f>
        <v>868.85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IFERROR(__xludf.DUMMYFUNCTION("""COMPUTED_VALUE"""),908.9)</f>
        <v>908.9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IFERROR(__xludf.DUMMYFUNCTION("""COMPUTED_VALUE"""),929.5)</f>
        <v>929.5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IFERROR(__xludf.DUMMYFUNCTION("""COMPUTED_VALUE"""),944.0)</f>
        <v>944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IFERROR(__xludf.DUMMYFUNCTION("""COMPUTED_VALUE"""),941.95)</f>
        <v>941.95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IFERROR(__xludf.DUMMYFUNCTION("""COMPUTED_VALUE"""),931.5)</f>
        <v>931.5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IFERROR(__xludf.DUMMYFUNCTION("""COMPUTED_VALUE"""),934.45)</f>
        <v>934.45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IFERROR(__xludf.DUMMYFUNCTION("""COMPUTED_VALUE"""),924.8)</f>
        <v>924.8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IFERROR(__xludf.DUMMYFUNCTION("""COMPUTED_VALUE"""),909.0)</f>
        <v>909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IFERROR(__xludf.DUMMYFUNCTION("""COMPUTED_VALUE"""),901.85)</f>
        <v>901.85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IFERROR(__xludf.DUMMYFUNCTION("""COMPUTED_VALUE"""),880.0)</f>
        <v>880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IFERROR(__xludf.DUMMYFUNCTION("""COMPUTED_VALUE"""),870.0)</f>
        <v>870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IFERROR(__xludf.DUMMYFUNCTION("""COMPUTED_VALUE"""),834.0)</f>
        <v>834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IFERROR(__xludf.DUMMYFUNCTION("""COMPUTED_VALUE"""),816.8)</f>
        <v>816.8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IFERROR(__xludf.DUMMYFUNCTION("""COMPUTED_VALUE"""),799.9)</f>
        <v>799.9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IFERROR(__xludf.DUMMYFUNCTION("""COMPUTED_VALUE"""),827.25)</f>
        <v>827.25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IFERROR(__xludf.DUMMYFUNCTION("""COMPUTED_VALUE"""),832.0)</f>
        <v>832</v>
      </c>
    </row>
    <row r="757" ht="15.75" customHeight="1">
      <c r="B757" s="3">
        <f>IFERROR(__xludf.DUMMYFUNCTION("""COMPUTED_VALUE"""),42293.64583333333)</f>
        <v>42293.64583</v>
      </c>
      <c r="C757" s="2">
        <f>IFERROR(__xludf.DUMMYFUNCTION("""COMPUTED_VALUE"""),822.5)</f>
        <v>822.5</v>
      </c>
    </row>
    <row r="758" ht="15.75" customHeight="1">
      <c r="B758" s="3">
        <f>IFERROR(__xludf.DUMMYFUNCTION("""COMPUTED_VALUE"""),42300.64583333333)</f>
        <v>42300.64583</v>
      </c>
      <c r="C758" s="2">
        <f>IFERROR(__xludf.DUMMYFUNCTION("""COMPUTED_VALUE"""),805.6)</f>
        <v>805.6</v>
      </c>
    </row>
    <row r="759" ht="15.75" customHeight="1">
      <c r="B759" s="3">
        <f>IFERROR(__xludf.DUMMYFUNCTION("""COMPUTED_VALUE"""),42307.64583333333)</f>
        <v>42307.64583</v>
      </c>
      <c r="C759" s="2">
        <f>IFERROR(__xludf.DUMMYFUNCTION("""COMPUTED_VALUE"""),820.5)</f>
        <v>820.5</v>
      </c>
    </row>
    <row r="760" ht="15.75" customHeight="1">
      <c r="B760" s="3">
        <f>IFERROR(__xludf.DUMMYFUNCTION("""COMPUTED_VALUE"""),42314.64583333333)</f>
        <v>42314.64583</v>
      </c>
      <c r="C760" s="2">
        <f>IFERROR(__xludf.DUMMYFUNCTION("""COMPUTED_VALUE"""),818.1)</f>
        <v>818.1</v>
      </c>
    </row>
    <row r="761" ht="15.75" customHeight="1">
      <c r="B761" s="3">
        <f>IFERROR(__xludf.DUMMYFUNCTION("""COMPUTED_VALUE"""),42321.64583333333)</f>
        <v>42321.64583</v>
      </c>
      <c r="C761" s="2">
        <f>IFERROR(__xludf.DUMMYFUNCTION("""COMPUTED_VALUE"""),809.6)</f>
        <v>809.6</v>
      </c>
    </row>
    <row r="762" ht="15.75" customHeight="1">
      <c r="B762" s="3">
        <f>IFERROR(__xludf.DUMMYFUNCTION("""COMPUTED_VALUE"""),42328.64583333333)</f>
        <v>42328.64583</v>
      </c>
      <c r="C762" s="2">
        <f>IFERROR(__xludf.DUMMYFUNCTION("""COMPUTED_VALUE"""),806.85)</f>
        <v>806.85</v>
      </c>
    </row>
    <row r="763" ht="15.75" customHeight="1">
      <c r="B763" s="3">
        <f>IFERROR(__xludf.DUMMYFUNCTION("""COMPUTED_VALUE"""),42335.64583333333)</f>
        <v>42335.64583</v>
      </c>
      <c r="C763" s="2">
        <f>IFERROR(__xludf.DUMMYFUNCTION("""COMPUTED_VALUE"""),821.5)</f>
        <v>821.5</v>
      </c>
    </row>
    <row r="764" ht="15.75" customHeight="1">
      <c r="B764" s="3">
        <f>IFERROR(__xludf.DUMMYFUNCTION("""COMPUTED_VALUE"""),42342.64583333333)</f>
        <v>42342.64583</v>
      </c>
      <c r="C764" s="2">
        <f>IFERROR(__xludf.DUMMYFUNCTION("""COMPUTED_VALUE"""),836.8)</f>
        <v>836.8</v>
      </c>
    </row>
    <row r="765" ht="15.75" customHeight="1">
      <c r="B765" s="3">
        <f>IFERROR(__xludf.DUMMYFUNCTION("""COMPUTED_VALUE"""),42349.64583333333)</f>
        <v>42349.64583</v>
      </c>
      <c r="C765" s="2">
        <f>IFERROR(__xludf.DUMMYFUNCTION("""COMPUTED_VALUE"""),839.8)</f>
        <v>839.8</v>
      </c>
    </row>
    <row r="766" ht="15.75" customHeight="1">
      <c r="B766" s="3">
        <f>IFERROR(__xludf.DUMMYFUNCTION("""COMPUTED_VALUE"""),42356.64583333333)</f>
        <v>42356.64583</v>
      </c>
      <c r="C766" s="2">
        <f>IFERROR(__xludf.DUMMYFUNCTION("""COMPUTED_VALUE"""),875.6)</f>
        <v>875.6</v>
      </c>
    </row>
    <row r="767" ht="15.75" customHeight="1">
      <c r="B767" s="3">
        <f>IFERROR(__xludf.DUMMYFUNCTION("""COMPUTED_VALUE"""),42362.64583333333)</f>
        <v>42362.64583</v>
      </c>
      <c r="C767" s="2">
        <f>IFERROR(__xludf.DUMMYFUNCTION("""COMPUTED_VALUE"""),870.5)</f>
        <v>870.5</v>
      </c>
    </row>
    <row r="768" ht="15.75" customHeight="1">
      <c r="B768" s="3">
        <f>IFERROR(__xludf.DUMMYFUNCTION("""COMPUTED_VALUE"""),42370.64583333333)</f>
        <v>42370.64583</v>
      </c>
      <c r="C768" s="2">
        <f>IFERROR(__xludf.DUMMYFUNCTION("""COMPUTED_VALUE"""),873.0)</f>
        <v>873</v>
      </c>
    </row>
    <row r="769" ht="15.75" customHeight="1"/>
    <row r="770" ht="15.75" customHeight="1"/>
    <row r="771" ht="15.75" customHeight="1">
      <c r="B771" s="2" t="str">
        <f>IFERROR(__xludf.DUMMYFUNCTION("GOOGLEFINANCE(""NSE:HINDUNILVR"",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IFERROR(__xludf.DUMMYFUNCTION("""COMPUTED_VALUE"""),868.7)</f>
        <v>868.7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IFERROR(__xludf.DUMMYFUNCTION("""COMPUTED_VALUE"""),837.9)</f>
        <v>837.9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IFERROR(__xludf.DUMMYFUNCTION("""COMPUTED_VALUE"""),821.75)</f>
        <v>821.75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IFERROR(__xludf.DUMMYFUNCTION("""COMPUTED_VALUE"""),820.0)</f>
        <v>820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IFERROR(__xludf.DUMMYFUNCTION("""COMPUTED_VALUE"""),855.5)</f>
        <v>855.5</v>
      </c>
    </row>
    <row r="777" ht="15.75" customHeight="1">
      <c r="B777" s="3">
        <f>IFERROR(__xludf.DUMMYFUNCTION("""COMPUTED_VALUE"""),42412.64583333333)</f>
        <v>42412.64583</v>
      </c>
      <c r="C777" s="2">
        <f>IFERROR(__xludf.DUMMYFUNCTION("""COMPUTED_VALUE"""),848.2)</f>
        <v>848.2</v>
      </c>
    </row>
    <row r="778" ht="15.75" customHeight="1">
      <c r="B778" s="3">
        <f>IFERROR(__xludf.DUMMYFUNCTION("""COMPUTED_VALUE"""),42419.64583333333)</f>
        <v>42419.64583</v>
      </c>
      <c r="C778" s="2">
        <f>IFERROR(__xludf.DUMMYFUNCTION("""COMPUTED_VALUE"""),831.85)</f>
        <v>831.85</v>
      </c>
    </row>
    <row r="779" ht="15.75" customHeight="1">
      <c r="B779" s="3">
        <f>IFERROR(__xludf.DUMMYFUNCTION("""COMPUTED_VALUE"""),42426.64583333333)</f>
        <v>42426.64583</v>
      </c>
      <c r="C779" s="2">
        <f>IFERROR(__xludf.DUMMYFUNCTION("""COMPUTED_VALUE"""),866.0)</f>
        <v>866</v>
      </c>
    </row>
    <row r="780" ht="15.75" customHeight="1">
      <c r="B780" s="3">
        <f>IFERROR(__xludf.DUMMYFUNCTION("""COMPUTED_VALUE"""),42433.64583333333)</f>
        <v>42433.64583</v>
      </c>
      <c r="C780" s="2">
        <f>IFERROR(__xludf.DUMMYFUNCTION("""COMPUTED_VALUE"""),856.1)</f>
        <v>856.1</v>
      </c>
    </row>
    <row r="781" ht="15.75" customHeight="1">
      <c r="B781" s="3">
        <f>IFERROR(__xludf.DUMMYFUNCTION("""COMPUTED_VALUE"""),42440.64583333333)</f>
        <v>42440.64583</v>
      </c>
      <c r="C781" s="2">
        <f>IFERROR(__xludf.DUMMYFUNCTION("""COMPUTED_VALUE"""),857.95)</f>
        <v>857.95</v>
      </c>
    </row>
    <row r="782" ht="15.75" customHeight="1">
      <c r="B782" s="3">
        <f>IFERROR(__xludf.DUMMYFUNCTION("""COMPUTED_VALUE"""),42447.64583333333)</f>
        <v>42447.64583</v>
      </c>
      <c r="C782" s="2">
        <f>IFERROR(__xludf.DUMMYFUNCTION("""COMPUTED_VALUE"""),860.0)</f>
        <v>860</v>
      </c>
    </row>
    <row r="783" ht="15.75" customHeight="1">
      <c r="B783" s="3">
        <f>IFERROR(__xludf.DUMMYFUNCTION("""COMPUTED_VALUE"""),42452.64583333333)</f>
        <v>42452.64583</v>
      </c>
      <c r="C783" s="2">
        <f>IFERROR(__xludf.DUMMYFUNCTION("""COMPUTED_VALUE"""),883.0)</f>
        <v>883</v>
      </c>
    </row>
    <row r="784" ht="15.75" customHeight="1">
      <c r="B784" s="3">
        <f>IFERROR(__xludf.DUMMYFUNCTION("""COMPUTED_VALUE"""),42461.64583333333)</f>
        <v>42461.64583</v>
      </c>
      <c r="C784" s="2">
        <f>IFERROR(__xludf.DUMMYFUNCTION("""COMPUTED_VALUE"""),878.95)</f>
        <v>878.95</v>
      </c>
    </row>
    <row r="785" ht="15.75" customHeight="1">
      <c r="B785" s="3">
        <f>IFERROR(__xludf.DUMMYFUNCTION("""COMPUTED_VALUE"""),42468.64583333333)</f>
        <v>42468.64583</v>
      </c>
      <c r="C785" s="2">
        <f>IFERROR(__xludf.DUMMYFUNCTION("""COMPUTED_VALUE"""),882.85)</f>
        <v>882.85</v>
      </c>
    </row>
    <row r="786" ht="15.75" customHeight="1">
      <c r="B786" s="3">
        <f>IFERROR(__xludf.DUMMYFUNCTION("""COMPUTED_VALUE"""),42473.64583333333)</f>
        <v>42473.64583</v>
      </c>
      <c r="C786" s="2">
        <f>IFERROR(__xludf.DUMMYFUNCTION("""COMPUTED_VALUE"""),899.6)</f>
        <v>899.6</v>
      </c>
    </row>
    <row r="787" ht="15.75" customHeight="1">
      <c r="B787" s="3">
        <f>IFERROR(__xludf.DUMMYFUNCTION("""COMPUTED_VALUE"""),42482.64583333333)</f>
        <v>42482.64583</v>
      </c>
      <c r="C787" s="2">
        <f>IFERROR(__xludf.DUMMYFUNCTION("""COMPUTED_VALUE"""),906.9)</f>
        <v>906.9</v>
      </c>
    </row>
    <row r="788" ht="15.75" customHeight="1">
      <c r="B788" s="3">
        <f>IFERROR(__xludf.DUMMYFUNCTION("""COMPUTED_VALUE"""),42489.64583333333)</f>
        <v>42489.64583</v>
      </c>
      <c r="C788" s="2">
        <f>IFERROR(__xludf.DUMMYFUNCTION("""COMPUTED_VALUE"""),896.8)</f>
        <v>896.8</v>
      </c>
    </row>
    <row r="789" ht="15.75" customHeight="1">
      <c r="B789" s="3">
        <f>IFERROR(__xludf.DUMMYFUNCTION("""COMPUTED_VALUE"""),42496.64583333333)</f>
        <v>42496.64583</v>
      </c>
      <c r="C789" s="2">
        <f>IFERROR(__xludf.DUMMYFUNCTION("""COMPUTED_VALUE"""),869.0)</f>
        <v>869</v>
      </c>
    </row>
    <row r="790" ht="15.75" customHeight="1">
      <c r="B790" s="3">
        <f>IFERROR(__xludf.DUMMYFUNCTION("""COMPUTED_VALUE"""),42503.64583333333)</f>
        <v>42503.64583</v>
      </c>
      <c r="C790" s="2">
        <f>IFERROR(__xludf.DUMMYFUNCTION("""COMPUTED_VALUE"""),869.7)</f>
        <v>869.7</v>
      </c>
    </row>
    <row r="791" ht="15.75" customHeight="1">
      <c r="B791" s="3">
        <f>IFERROR(__xludf.DUMMYFUNCTION("""COMPUTED_VALUE"""),42510.64583333333)</f>
        <v>42510.64583</v>
      </c>
      <c r="C791" s="2">
        <f>IFERROR(__xludf.DUMMYFUNCTION("""COMPUTED_VALUE"""),850.35)</f>
        <v>850.35</v>
      </c>
    </row>
    <row r="792" ht="15.75" customHeight="1">
      <c r="B792" s="3">
        <f>IFERROR(__xludf.DUMMYFUNCTION("""COMPUTED_VALUE"""),42517.64583333333)</f>
        <v>42517.64583</v>
      </c>
      <c r="C792" s="2">
        <f>IFERROR(__xludf.DUMMYFUNCTION("""COMPUTED_VALUE"""),865.95)</f>
        <v>865.95</v>
      </c>
    </row>
    <row r="793" ht="15.75" customHeight="1">
      <c r="B793" s="3">
        <f>IFERROR(__xludf.DUMMYFUNCTION("""COMPUTED_VALUE"""),42524.64583333333)</f>
        <v>42524.64583</v>
      </c>
      <c r="C793" s="2">
        <f>IFERROR(__xludf.DUMMYFUNCTION("""COMPUTED_VALUE"""),888.0)</f>
        <v>888</v>
      </c>
    </row>
    <row r="794" ht="15.75" customHeight="1">
      <c r="B794" s="3">
        <f>IFERROR(__xludf.DUMMYFUNCTION("""COMPUTED_VALUE"""),42531.64583333333)</f>
        <v>42531.64583</v>
      </c>
      <c r="C794" s="2">
        <f>IFERROR(__xludf.DUMMYFUNCTION("""COMPUTED_VALUE"""),908.0)</f>
        <v>908</v>
      </c>
    </row>
    <row r="795" ht="15.75" customHeight="1">
      <c r="B795" s="3">
        <f>IFERROR(__xludf.DUMMYFUNCTION("""COMPUTED_VALUE"""),42538.64583333333)</f>
        <v>42538.64583</v>
      </c>
      <c r="C795" s="2">
        <f>IFERROR(__xludf.DUMMYFUNCTION("""COMPUTED_VALUE"""),884.7)</f>
        <v>884.7</v>
      </c>
    </row>
    <row r="796" ht="15.75" customHeight="1">
      <c r="B796" s="3">
        <f>IFERROR(__xludf.DUMMYFUNCTION("""COMPUTED_VALUE"""),42545.64583333333)</f>
        <v>42545.64583</v>
      </c>
      <c r="C796" s="2">
        <f>IFERROR(__xludf.DUMMYFUNCTION("""COMPUTED_VALUE"""),882.35)</f>
        <v>882.35</v>
      </c>
    </row>
    <row r="797" ht="15.75" customHeight="1">
      <c r="B797" s="3">
        <f>IFERROR(__xludf.DUMMYFUNCTION("""COMPUTED_VALUE"""),42552.64583333333)</f>
        <v>42552.64583</v>
      </c>
      <c r="C797" s="2">
        <f>IFERROR(__xludf.DUMMYFUNCTION("""COMPUTED_VALUE"""),904.55)</f>
        <v>904.55</v>
      </c>
    </row>
    <row r="798" ht="15.75" customHeight="1">
      <c r="B798" s="3">
        <f>IFERROR(__xludf.DUMMYFUNCTION("""COMPUTED_VALUE"""),42559.64583333333)</f>
        <v>42559.64583</v>
      </c>
      <c r="C798" s="2">
        <f>IFERROR(__xludf.DUMMYFUNCTION("""COMPUTED_VALUE"""),926.3)</f>
        <v>926.3</v>
      </c>
    </row>
    <row r="799" ht="15.75" customHeight="1">
      <c r="B799" s="3">
        <f>IFERROR(__xludf.DUMMYFUNCTION("""COMPUTED_VALUE"""),42566.64583333333)</f>
        <v>42566.64583</v>
      </c>
      <c r="C799" s="2">
        <f>IFERROR(__xludf.DUMMYFUNCTION("""COMPUTED_VALUE"""),951.45)</f>
        <v>951.45</v>
      </c>
    </row>
    <row r="800" ht="15.75" customHeight="1">
      <c r="B800" s="3">
        <f>IFERROR(__xludf.DUMMYFUNCTION("""COMPUTED_VALUE"""),42573.64583333333)</f>
        <v>42573.64583</v>
      </c>
      <c r="C800" s="2">
        <f>IFERROR(__xludf.DUMMYFUNCTION("""COMPUTED_VALUE"""),946.6)</f>
        <v>946.6</v>
      </c>
    </row>
    <row r="801" ht="15.75" customHeight="1">
      <c r="B801" s="3">
        <f>IFERROR(__xludf.DUMMYFUNCTION("""COMPUTED_VALUE"""),42580.64583333333)</f>
        <v>42580.64583</v>
      </c>
      <c r="C801" s="2">
        <f>IFERROR(__xludf.DUMMYFUNCTION("""COMPUTED_VALUE"""),925.0)</f>
        <v>925</v>
      </c>
    </row>
    <row r="802" ht="15.75" customHeight="1">
      <c r="B802" s="3">
        <f>IFERROR(__xludf.DUMMYFUNCTION("""COMPUTED_VALUE"""),42587.64583333333)</f>
        <v>42587.64583</v>
      </c>
      <c r="C802" s="2">
        <f>IFERROR(__xludf.DUMMYFUNCTION("""COMPUTED_VALUE"""),940.85)</f>
        <v>940.85</v>
      </c>
    </row>
    <row r="803" ht="15.75" customHeight="1">
      <c r="B803" s="3">
        <f>IFERROR(__xludf.DUMMYFUNCTION("""COMPUTED_VALUE"""),42594.64583333333)</f>
        <v>42594.64583</v>
      </c>
      <c r="C803" s="2">
        <f>IFERROR(__xludf.DUMMYFUNCTION("""COMPUTED_VALUE"""),947.0)</f>
        <v>947</v>
      </c>
    </row>
    <row r="804" ht="15.75" customHeight="1">
      <c r="B804" s="3">
        <f>IFERROR(__xludf.DUMMYFUNCTION("""COMPUTED_VALUE"""),42601.64583333333)</f>
        <v>42601.64583</v>
      </c>
      <c r="C804" s="2">
        <f>IFERROR(__xludf.DUMMYFUNCTION("""COMPUTED_VALUE"""),943.9)</f>
        <v>943.9</v>
      </c>
    </row>
    <row r="805" ht="15.75" customHeight="1">
      <c r="B805" s="3">
        <f>IFERROR(__xludf.DUMMYFUNCTION("""COMPUTED_VALUE"""),42608.64583333333)</f>
        <v>42608.64583</v>
      </c>
      <c r="C805" s="2">
        <f>IFERROR(__xludf.DUMMYFUNCTION("""COMPUTED_VALUE"""),933.9)</f>
        <v>933.9</v>
      </c>
    </row>
    <row r="806" ht="15.75" customHeight="1">
      <c r="B806" s="3">
        <f>IFERROR(__xludf.DUMMYFUNCTION("""COMPUTED_VALUE"""),42615.64583333333)</f>
        <v>42615.64583</v>
      </c>
      <c r="C806" s="2">
        <f>IFERROR(__xludf.DUMMYFUNCTION("""COMPUTED_VALUE"""),929.5)</f>
        <v>929.5</v>
      </c>
    </row>
    <row r="807" ht="15.75" customHeight="1">
      <c r="B807" s="3">
        <f>IFERROR(__xludf.DUMMYFUNCTION("""COMPUTED_VALUE"""),42622.64583333333)</f>
        <v>42622.64583</v>
      </c>
      <c r="C807" s="2">
        <f>IFERROR(__xludf.DUMMYFUNCTION("""COMPUTED_VALUE"""),954.0)</f>
        <v>954</v>
      </c>
    </row>
    <row r="808" ht="15.75" customHeight="1">
      <c r="B808" s="3">
        <f>IFERROR(__xludf.DUMMYFUNCTION("""COMPUTED_VALUE"""),42629.64583333333)</f>
        <v>42629.64583</v>
      </c>
      <c r="C808" s="2">
        <f>IFERROR(__xludf.DUMMYFUNCTION("""COMPUTED_VALUE"""),928.6)</f>
        <v>928.6</v>
      </c>
    </row>
    <row r="809" ht="15.75" customHeight="1">
      <c r="B809" s="3">
        <f>IFERROR(__xludf.DUMMYFUNCTION("""COMPUTED_VALUE"""),42636.64583333333)</f>
        <v>42636.64583</v>
      </c>
      <c r="C809" s="2">
        <f>IFERROR(__xludf.DUMMYFUNCTION("""COMPUTED_VALUE"""),922.5)</f>
        <v>922.5</v>
      </c>
    </row>
    <row r="810" ht="15.75" customHeight="1">
      <c r="B810" s="3">
        <f>IFERROR(__xludf.DUMMYFUNCTION("""COMPUTED_VALUE"""),42643.64583333333)</f>
        <v>42643.64583</v>
      </c>
      <c r="C810" s="2">
        <f>IFERROR(__xludf.DUMMYFUNCTION("""COMPUTED_VALUE"""),913.9)</f>
        <v>913.9</v>
      </c>
    </row>
    <row r="811" ht="15.75" customHeight="1">
      <c r="B811" s="3">
        <f>IFERROR(__xludf.DUMMYFUNCTION("""COMPUTED_VALUE"""),42650.64583333333)</f>
        <v>42650.64583</v>
      </c>
      <c r="C811" s="2">
        <f>IFERROR(__xludf.DUMMYFUNCTION("""COMPUTED_VALUE"""),889.7)</f>
        <v>889.7</v>
      </c>
    </row>
    <row r="812" ht="15.75" customHeight="1">
      <c r="B812" s="3">
        <f>IFERROR(__xludf.DUMMYFUNCTION("""COMPUTED_VALUE"""),42657.64583333333)</f>
        <v>42657.64583</v>
      </c>
      <c r="C812" s="2">
        <f>IFERROR(__xludf.DUMMYFUNCTION("""COMPUTED_VALUE"""),885.55)</f>
        <v>885.55</v>
      </c>
    </row>
    <row r="813" ht="15.75" customHeight="1">
      <c r="B813" s="3">
        <f>IFERROR(__xludf.DUMMYFUNCTION("""COMPUTED_VALUE"""),42664.64583333333)</f>
        <v>42664.64583</v>
      </c>
      <c r="C813" s="2">
        <f>IFERROR(__xludf.DUMMYFUNCTION("""COMPUTED_VALUE"""),857.0)</f>
        <v>857</v>
      </c>
    </row>
    <row r="814" ht="15.75" customHeight="1">
      <c r="B814" s="3">
        <f>IFERROR(__xludf.DUMMYFUNCTION("""COMPUTED_VALUE"""),42671.64583333333)</f>
        <v>42671.64583</v>
      </c>
      <c r="C814" s="2">
        <f>IFERROR(__xludf.DUMMYFUNCTION("""COMPUTED_VALUE"""),855.0)</f>
        <v>855</v>
      </c>
    </row>
    <row r="815" ht="15.75" customHeight="1">
      <c r="B815" s="3">
        <f>IFERROR(__xludf.DUMMYFUNCTION("""COMPUTED_VALUE"""),42678.64583333333)</f>
        <v>42678.64583</v>
      </c>
      <c r="C815" s="2">
        <f>IFERROR(__xludf.DUMMYFUNCTION("""COMPUTED_VALUE"""),866.4)</f>
        <v>866.4</v>
      </c>
    </row>
    <row r="816" ht="15.75" customHeight="1">
      <c r="B816" s="3">
        <f>IFERROR(__xludf.DUMMYFUNCTION("""COMPUTED_VALUE"""),42685.64583333333)</f>
        <v>42685.64583</v>
      </c>
      <c r="C816" s="2">
        <f>IFERROR(__xludf.DUMMYFUNCTION("""COMPUTED_VALUE"""),851.75)</f>
        <v>851.75</v>
      </c>
    </row>
    <row r="817" ht="15.75" customHeight="1">
      <c r="B817" s="3">
        <f>IFERROR(__xludf.DUMMYFUNCTION("""COMPUTED_VALUE"""),42692.64583333333)</f>
        <v>42692.64583</v>
      </c>
      <c r="C817" s="2">
        <f>IFERROR(__xludf.DUMMYFUNCTION("""COMPUTED_VALUE"""),816.0)</f>
        <v>816</v>
      </c>
    </row>
    <row r="818" ht="15.75" customHeight="1">
      <c r="B818" s="3">
        <f>IFERROR(__xludf.DUMMYFUNCTION("""COMPUTED_VALUE"""),42699.64583333333)</f>
        <v>42699.64583</v>
      </c>
      <c r="C818" s="2">
        <f>IFERROR(__xludf.DUMMYFUNCTION("""COMPUTED_VALUE"""),838.0)</f>
        <v>838</v>
      </c>
    </row>
    <row r="819" ht="15.75" customHeight="1">
      <c r="B819" s="3">
        <f>IFERROR(__xludf.DUMMYFUNCTION("""COMPUTED_VALUE"""),42706.64583333333)</f>
        <v>42706.64583</v>
      </c>
      <c r="C819" s="2">
        <f>IFERROR(__xludf.DUMMYFUNCTION("""COMPUTED_VALUE"""),855.7)</f>
        <v>855.7</v>
      </c>
    </row>
    <row r="820" ht="15.75" customHeight="1">
      <c r="B820" s="3">
        <f>IFERROR(__xludf.DUMMYFUNCTION("""COMPUTED_VALUE"""),42713.64583333333)</f>
        <v>42713.64583</v>
      </c>
      <c r="C820" s="2">
        <f>IFERROR(__xludf.DUMMYFUNCTION("""COMPUTED_VALUE"""),851.4)</f>
        <v>851.4</v>
      </c>
    </row>
    <row r="821" ht="15.75" customHeight="1">
      <c r="B821" s="3">
        <f>IFERROR(__xludf.DUMMYFUNCTION("""COMPUTED_VALUE"""),42720.64583333333)</f>
        <v>42720.64583</v>
      </c>
      <c r="C821" s="2">
        <f>IFERROR(__xludf.DUMMYFUNCTION("""COMPUTED_VALUE"""),845.85)</f>
        <v>845.85</v>
      </c>
    </row>
    <row r="822" ht="15.75" customHeight="1">
      <c r="B822" s="3">
        <f>IFERROR(__xludf.DUMMYFUNCTION("""COMPUTED_VALUE"""),42727.64583333333)</f>
        <v>42727.64583</v>
      </c>
      <c r="C822" s="2">
        <f>IFERROR(__xludf.DUMMYFUNCTION("""COMPUTED_VALUE"""),817.8)</f>
        <v>817.8</v>
      </c>
    </row>
    <row r="823" ht="15.75" customHeight="1">
      <c r="B823" s="3">
        <f>IFERROR(__xludf.DUMMYFUNCTION("""COMPUTED_VALUE"""),42734.64583333333)</f>
        <v>42734.64583</v>
      </c>
      <c r="C823" s="2">
        <f>IFERROR(__xludf.DUMMYFUNCTION("""COMPUTED_VALUE"""),829.45)</f>
        <v>829.45</v>
      </c>
    </row>
    <row r="824" ht="15.75" customHeight="1"/>
    <row r="825" ht="15.75" customHeight="1"/>
    <row r="826" ht="15.75" customHeight="1">
      <c r="B826" s="2" t="str">
        <f>IFERROR(__xludf.DUMMYFUNCTION("GOOGLEFINANCE(""NSE:HINDUNILVR"",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IFERROR(__xludf.DUMMYFUNCTION("""COMPUTED_VALUE"""),874.8)</f>
        <v>874.8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IFERROR(__xludf.DUMMYFUNCTION("""COMPUTED_VALUE"""),845.0)</f>
        <v>845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IFERROR(__xludf.DUMMYFUNCTION("""COMPUTED_VALUE"""),875.95)</f>
        <v>875.95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IFERROR(__xludf.DUMMYFUNCTION("""COMPUTED_VALUE"""),875.7)</f>
        <v>875.7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IFERROR(__xludf.DUMMYFUNCTION("""COMPUTED_VALUE"""),867.55)</f>
        <v>867.55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IFERROR(__xludf.DUMMYFUNCTION("""COMPUTED_VALUE"""),863.3)</f>
        <v>863.3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IFERROR(__xludf.DUMMYFUNCTION("""COMPUTED_VALUE"""),868.05)</f>
        <v>868.05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IFERROR(__xludf.DUMMYFUNCTION("""COMPUTED_VALUE"""),872.0)</f>
        <v>872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IFERROR(__xludf.DUMMYFUNCTION("""COMPUTED_VALUE"""),883.0)</f>
        <v>883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IFERROR(__xludf.DUMMYFUNCTION("""COMPUTED_VALUE"""),883.15)</f>
        <v>883.15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IFERROR(__xludf.DUMMYFUNCTION("""COMPUTED_VALUE"""),917.2)</f>
        <v>917.2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IFERROR(__xludf.DUMMYFUNCTION("""COMPUTED_VALUE"""),915.25)</f>
        <v>915.25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IFERROR(__xludf.DUMMYFUNCTION("""COMPUTED_VALUE"""),923.8)</f>
        <v>923.8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IFERROR(__xludf.DUMMYFUNCTION("""COMPUTED_VALUE"""),937.45)</f>
        <v>937.45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IFERROR(__xludf.DUMMYFUNCTION("""COMPUTED_VALUE"""),929.7)</f>
        <v>929.7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IFERROR(__xludf.DUMMYFUNCTION("""COMPUTED_VALUE"""),923.9)</f>
        <v>923.9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IFERROR(__xludf.DUMMYFUNCTION("""COMPUTED_VALUE"""),951.0)</f>
        <v>951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IFERROR(__xludf.DUMMYFUNCTION("""COMPUTED_VALUE"""),960.0)</f>
        <v>960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IFERROR(__xludf.DUMMYFUNCTION("""COMPUTED_VALUE"""),999.0)</f>
        <v>999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IFERROR(__xludf.DUMMYFUNCTION("""COMPUTED_VALUE"""),1022.75)</f>
        <v>1022.75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IFERROR(__xludf.DUMMYFUNCTION("""COMPUTED_VALUE"""),1050.0)</f>
        <v>1050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IFERROR(__xludf.DUMMYFUNCTION("""COMPUTED_VALUE"""),1103.0)</f>
        <v>1103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IFERROR(__xludf.DUMMYFUNCTION("""COMPUTED_VALUE"""),1115.0)</f>
        <v>1115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IFERROR(__xludf.DUMMYFUNCTION("""COMPUTED_VALUE"""),1121.5)</f>
        <v>1121.5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IFERROR(__xludf.DUMMYFUNCTION("""COMPUTED_VALUE"""),1129.0)</f>
        <v>1129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IFERROR(__xludf.DUMMYFUNCTION("""COMPUTED_VALUE"""),1114.95)</f>
        <v>1114.95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IFERROR(__xludf.DUMMYFUNCTION("""COMPUTED_VALUE"""),1112.0)</f>
        <v>1112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IFERROR(__xludf.DUMMYFUNCTION("""COMPUTED_VALUE"""),1144.95)</f>
        <v>1144.95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IFERROR(__xludf.DUMMYFUNCTION("""COMPUTED_VALUE"""),1195.05)</f>
        <v>1195.05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IFERROR(__xludf.DUMMYFUNCTION("""COMPUTED_VALUE"""),1192.45)</f>
        <v>1192.45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IFERROR(__xludf.DUMMYFUNCTION("""COMPUTED_VALUE"""),1196.3)</f>
        <v>1196.3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IFERROR(__xludf.DUMMYFUNCTION("""COMPUTED_VALUE"""),1209.0)</f>
        <v>1209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IFERROR(__xludf.DUMMYFUNCTION("""COMPUTED_VALUE"""),1206.3)</f>
        <v>1206.3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IFERROR(__xludf.DUMMYFUNCTION("""COMPUTED_VALUE"""),1208.0)</f>
        <v>1208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IFERROR(__xludf.DUMMYFUNCTION("""COMPUTED_VALUE"""),1222.8)</f>
        <v>1222.8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IFERROR(__xludf.DUMMYFUNCTION("""COMPUTED_VALUE"""),1221.75)</f>
        <v>1221.75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IFERROR(__xludf.DUMMYFUNCTION("""COMPUTED_VALUE"""),1262.1)</f>
        <v>1262.1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IFERROR(__xludf.DUMMYFUNCTION("""COMPUTED_VALUE"""),1287.6)</f>
        <v>1287.6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IFERROR(__xludf.DUMMYFUNCTION("""COMPUTED_VALUE"""),1261.1)</f>
        <v>1261.1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IFERROR(__xludf.DUMMYFUNCTION("""COMPUTED_VALUE"""),1211.6)</f>
        <v>1211.6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IFERROR(__xludf.DUMMYFUNCTION("""COMPUTED_VALUE"""),1253.0)</f>
        <v>1253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IFERROR(__xludf.DUMMYFUNCTION("""COMPUTED_VALUE"""),1288.65)</f>
        <v>1288.65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IFERROR(__xludf.DUMMYFUNCTION("""COMPUTED_VALUE"""),1285.0)</f>
        <v>1285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IFERROR(__xludf.DUMMYFUNCTION("""COMPUTED_VALUE"""),1269.45)</f>
        <v>1269.45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IFERROR(__xludf.DUMMYFUNCTION("""COMPUTED_VALUE"""),1299.25)</f>
        <v>1299.25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IFERROR(__xludf.DUMMYFUNCTION("""COMPUTED_VALUE"""),1315.0)</f>
        <v>1315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IFERROR(__xludf.DUMMYFUNCTION("""COMPUTED_VALUE"""),1285.0)</f>
        <v>1285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IFERROR(__xludf.DUMMYFUNCTION("""COMPUTED_VALUE"""),1281.1)</f>
        <v>1281.1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IFERROR(__xludf.DUMMYFUNCTION("""COMPUTED_VALUE"""),1331.0)</f>
        <v>1331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IFERROR(__xludf.DUMMYFUNCTION("""COMPUTED_VALUE"""),1337.0)</f>
        <v>1337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IFERROR(__xludf.DUMMYFUNCTION("""COMPUTED_VALUE"""),1367.95)</f>
        <v>1367.95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IFERROR(__xludf.DUMMYFUNCTION("""COMPUTED_VALUE"""),1382.8)</f>
        <v>1382.8</v>
      </c>
    </row>
    <row r="879" ht="15.75" customHeight="1"/>
    <row r="880" ht="15.75" customHeight="1"/>
    <row r="881" ht="15.75" customHeight="1">
      <c r="B881" s="2" t="str">
        <f>IFERROR(__xludf.DUMMYFUNCTION("GOOGLEFINANCE(""NSE:HINDUNILVR"",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IFERROR(__xludf.DUMMYFUNCTION("""COMPUTED_VALUE"""),1367.0)</f>
        <v>1367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IFERROR(__xludf.DUMMYFUNCTION("""COMPUTED_VALUE"""),1384.4)</f>
        <v>1384.4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IFERROR(__xludf.DUMMYFUNCTION("""COMPUTED_VALUE"""),1406.9)</f>
        <v>1406.9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IFERROR(__xludf.DUMMYFUNCTION("""COMPUTED_VALUE"""),1378.0)</f>
        <v>1378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IFERROR(__xludf.DUMMYFUNCTION("""COMPUTED_VALUE"""),1410.0)</f>
        <v>1410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IFERROR(__xludf.DUMMYFUNCTION("""COMPUTED_VALUE"""),1361.45)</f>
        <v>1361.45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IFERROR(__xludf.DUMMYFUNCTION("""COMPUTED_VALUE"""),1364.45)</f>
        <v>1364.45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IFERROR(__xludf.DUMMYFUNCTION("""COMPUTED_VALUE"""),1359.0)</f>
        <v>1359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IFERROR(__xludf.DUMMYFUNCTION("""COMPUTED_VALUE"""),1352.5)</f>
        <v>1352.5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IFERROR(__xludf.DUMMYFUNCTION("""COMPUTED_VALUE"""),1320.95)</f>
        <v>1320.95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IFERROR(__xludf.DUMMYFUNCTION("""COMPUTED_VALUE"""),1331.45)</f>
        <v>1331.45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IFERROR(__xludf.DUMMYFUNCTION("""COMPUTED_VALUE"""),1323.1)</f>
        <v>1323.1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IFERROR(__xludf.DUMMYFUNCTION("""COMPUTED_VALUE"""),1340.0)</f>
        <v>1340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IFERROR(__xludf.DUMMYFUNCTION("""COMPUTED_VALUE"""),1383.8)</f>
        <v>1383.8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IFERROR(__xludf.DUMMYFUNCTION("""COMPUTED_VALUE"""),1420.5)</f>
        <v>1420.5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IFERROR(__xludf.DUMMYFUNCTION("""COMPUTED_VALUE"""),1472.15)</f>
        <v>1472.15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IFERROR(__xludf.DUMMYFUNCTION("""COMPUTED_VALUE"""),1498.6)</f>
        <v>1498.6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IFERROR(__xludf.DUMMYFUNCTION("""COMPUTED_VALUE"""),1514.0)</f>
        <v>1514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IFERROR(__xludf.DUMMYFUNCTION("""COMPUTED_VALUE"""),1511.0)</f>
        <v>1511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IFERROR(__xludf.DUMMYFUNCTION("""COMPUTED_VALUE"""),1612.5)</f>
        <v>1612.5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IFERROR(__xludf.DUMMYFUNCTION("""COMPUTED_VALUE"""),1619.4)</f>
        <v>1619.4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IFERROR(__xludf.DUMMYFUNCTION("""COMPUTED_VALUE"""),1624.4)</f>
        <v>1624.4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IFERROR(__xludf.DUMMYFUNCTION("""COMPUTED_VALUE"""),1606.7)</f>
        <v>1606.7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IFERROR(__xludf.DUMMYFUNCTION("""COMPUTED_VALUE"""),1645.0)</f>
        <v>1645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IFERROR(__xludf.DUMMYFUNCTION("""COMPUTED_VALUE"""),1639.0)</f>
        <v>1639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IFERROR(__xludf.DUMMYFUNCTION("""COMPUTED_VALUE"""),1656.65)</f>
        <v>1656.65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IFERROR(__xludf.DUMMYFUNCTION("""COMPUTED_VALUE"""),1697.65)</f>
        <v>1697.65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IFERROR(__xludf.DUMMYFUNCTION("""COMPUTED_VALUE"""),1750.05)</f>
        <v>1750.05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IFERROR(__xludf.DUMMYFUNCTION("""COMPUTED_VALUE"""),1780.0)</f>
        <v>1780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IFERROR(__xludf.DUMMYFUNCTION("""COMPUTED_VALUE"""),1709.7)</f>
        <v>1709.7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IFERROR(__xludf.DUMMYFUNCTION("""COMPUTED_VALUE"""),1767.35)</f>
        <v>1767.35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IFERROR(__xludf.DUMMYFUNCTION("""COMPUTED_VALUE"""),1765.0)</f>
        <v>1765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IFERROR(__xludf.DUMMYFUNCTION("""COMPUTED_VALUE"""),1788.6)</f>
        <v>1788.6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IFERROR(__xludf.DUMMYFUNCTION("""COMPUTED_VALUE"""),1808.65)</f>
        <v>1808.65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IFERROR(__xludf.DUMMYFUNCTION("""COMPUTED_VALUE"""),1798.0)</f>
        <v>1798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IFERROR(__xludf.DUMMYFUNCTION("""COMPUTED_VALUE"""),1791.5)</f>
        <v>1791.5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IFERROR(__xludf.DUMMYFUNCTION("""COMPUTED_VALUE"""),1649.0)</f>
        <v>1649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IFERROR(__xludf.DUMMYFUNCTION("""COMPUTED_VALUE"""),1678.5)</f>
        <v>1678.5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IFERROR(__xludf.DUMMYFUNCTION("""COMPUTED_VALUE"""),1649.0)</f>
        <v>1649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IFERROR(__xludf.DUMMYFUNCTION("""COMPUTED_VALUE"""),1652.4)</f>
        <v>1652.4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IFERROR(__xludf.DUMMYFUNCTION("""COMPUTED_VALUE"""),1577.5)</f>
        <v>1577.5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IFERROR(__xludf.DUMMYFUNCTION("""COMPUTED_VALUE"""),1592.95)</f>
        <v>1592.95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IFERROR(__xludf.DUMMYFUNCTION("""COMPUTED_VALUE"""),1591.75)</f>
        <v>1591.75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IFERROR(__xludf.DUMMYFUNCTION("""COMPUTED_VALUE"""),1648.2)</f>
        <v>1648.2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IFERROR(__xludf.DUMMYFUNCTION("""COMPUTED_VALUE"""),1680.0)</f>
        <v>1680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IFERROR(__xludf.DUMMYFUNCTION("""COMPUTED_VALUE"""),1739.5)</f>
        <v>1739.5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IFERROR(__xludf.DUMMYFUNCTION("""COMPUTED_VALUE"""),1709.9)</f>
        <v>1709.9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IFERROR(__xludf.DUMMYFUNCTION("""COMPUTED_VALUE"""),1798.3)</f>
        <v>1798.3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IFERROR(__xludf.DUMMYFUNCTION("""COMPUTED_VALUE"""),1854.8)</f>
        <v>1854.8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IFERROR(__xludf.DUMMYFUNCTION("""COMPUTED_VALUE"""),1867.45)</f>
        <v>1867.45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IFERROR(__xludf.DUMMYFUNCTION("""COMPUTED_VALUE"""),1869.5)</f>
        <v>1869.5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IFERROR(__xludf.DUMMYFUNCTION("""COMPUTED_VALUE"""),1834.9)</f>
        <v>1834.9</v>
      </c>
    </row>
    <row r="934" ht="15.75" customHeight="1"/>
    <row r="935" ht="15.75" customHeight="1"/>
    <row r="936" ht="15.75" customHeight="1">
      <c r="B936" s="2" t="str">
        <f>IFERROR(__xludf.DUMMYFUNCTION("GOOGLEFINANCE(""NSE:HINDUNILVR"",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IFERROR(__xludf.DUMMYFUNCTION("""COMPUTED_VALUE"""),1836.9)</f>
        <v>1836.9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IFERROR(__xludf.DUMMYFUNCTION("""COMPUTED_VALUE"""),1804.0)</f>
        <v>1804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IFERROR(__xludf.DUMMYFUNCTION("""COMPUTED_VALUE"""),1794.8)</f>
        <v>1794.8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IFERROR(__xludf.DUMMYFUNCTION("""COMPUTED_VALUE"""),1784.05)</f>
        <v>1784.05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IFERROR(__xludf.DUMMYFUNCTION("""COMPUTED_VALUE"""),1832.5)</f>
        <v>1832.5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IFERROR(__xludf.DUMMYFUNCTION("""COMPUTED_VALUE"""),1847.0)</f>
        <v>1847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IFERROR(__xludf.DUMMYFUNCTION("""COMPUTED_VALUE"""),1815.4)</f>
        <v>1815.4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IFERROR(__xludf.DUMMYFUNCTION("""COMPUTED_VALUE"""),1773.0)</f>
        <v>1773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IFERROR(__xludf.DUMMYFUNCTION("""COMPUTED_VALUE"""),1785.9)</f>
        <v>1785.9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IFERROR(__xludf.DUMMYFUNCTION("""COMPUTED_VALUE"""),1739.8)</f>
        <v>1739.8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IFERROR(__xludf.DUMMYFUNCTION("""COMPUTED_VALUE"""),1755.5)</f>
        <v>1755.5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IFERROR(__xludf.DUMMYFUNCTION("""COMPUTED_VALUE"""),1716.5)</f>
        <v>1716.5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IFERROR(__xludf.DUMMYFUNCTION("""COMPUTED_VALUE"""),1712.85)</f>
        <v>1712.85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IFERROR(__xludf.DUMMYFUNCTION("""COMPUTED_VALUE"""),1721.35)</f>
        <v>1721.35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IFERROR(__xludf.DUMMYFUNCTION("""COMPUTED_VALUE"""),1724.7)</f>
        <v>1724.7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IFERROR(__xludf.DUMMYFUNCTION("""COMPUTED_VALUE"""),1744.1)</f>
        <v>1744.1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IFERROR(__xludf.DUMMYFUNCTION("""COMPUTED_VALUE"""),1762.6)</f>
        <v>1762.6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IFERROR(__xludf.DUMMYFUNCTION("""COMPUTED_VALUE"""),1762.5)</f>
        <v>1762.5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IFERROR(__xludf.DUMMYFUNCTION("""COMPUTED_VALUE"""),1713.0)</f>
        <v>1713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IFERROR(__xludf.DUMMYFUNCTION("""COMPUTED_VALUE"""),1742.2)</f>
        <v>1742.2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IFERROR(__xludf.DUMMYFUNCTION("""COMPUTED_VALUE"""),1804.9)</f>
        <v>1804.9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IFERROR(__xludf.DUMMYFUNCTION("""COMPUTED_VALUE"""),1802.65)</f>
        <v>1802.65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IFERROR(__xludf.DUMMYFUNCTION("""COMPUTED_VALUE"""),1849.9)</f>
        <v>1849.9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IFERROR(__xludf.DUMMYFUNCTION("""COMPUTED_VALUE"""),1864.95)</f>
        <v>1864.95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IFERROR(__xludf.DUMMYFUNCTION("""COMPUTED_VALUE"""),1831.9)</f>
        <v>1831.9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IFERROR(__xludf.DUMMYFUNCTION("""COMPUTED_VALUE"""),1790.65)</f>
        <v>1790.65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IFERROR(__xludf.DUMMYFUNCTION("""COMPUTED_VALUE"""),1816.0)</f>
        <v>1816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IFERROR(__xludf.DUMMYFUNCTION("""COMPUTED_VALUE"""),1784.75)</f>
        <v>1784.75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IFERROR(__xludf.DUMMYFUNCTION("""COMPUTED_VALUE"""),1766.0)</f>
        <v>1766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IFERROR(__xludf.DUMMYFUNCTION("""COMPUTED_VALUE"""),1749.9)</f>
        <v>1749.9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IFERROR(__xludf.DUMMYFUNCTION("""COMPUTED_VALUE"""),1753.05)</f>
        <v>1753.05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IFERROR(__xludf.DUMMYFUNCTION("""COMPUTED_VALUE"""),1846.65)</f>
        <v>1846.65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IFERROR(__xludf.DUMMYFUNCTION("""COMPUTED_VALUE"""),1854.15)</f>
        <v>1854.15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IFERROR(__xludf.DUMMYFUNCTION("""COMPUTED_VALUE"""),1880.0)</f>
        <v>1880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IFERROR(__xludf.DUMMYFUNCTION("""COMPUTED_VALUE"""),1889.0)</f>
        <v>1889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IFERROR(__xludf.DUMMYFUNCTION("""COMPUTED_VALUE"""),1875.8)</f>
        <v>1875.8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IFERROR(__xludf.DUMMYFUNCTION("""COMPUTED_VALUE"""),1858.0)</f>
        <v>1858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IFERROR(__xludf.DUMMYFUNCTION("""COMPUTED_VALUE"""),1992.0)</f>
        <v>1992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IFERROR(__xludf.DUMMYFUNCTION("""COMPUTED_VALUE"""),2100.65)</f>
        <v>2100.65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IFERROR(__xludf.DUMMYFUNCTION("""COMPUTED_VALUE"""),2019.9)</f>
        <v>2019.9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IFERROR(__xludf.DUMMYFUNCTION("""COMPUTED_VALUE"""),2016.9)</f>
        <v>2016.9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IFERROR(__xludf.DUMMYFUNCTION("""COMPUTED_VALUE"""),2116.0)</f>
        <v>2116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IFERROR(__xludf.DUMMYFUNCTION("""COMPUTED_VALUE"""),2156.5)</f>
        <v>2156.5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IFERROR(__xludf.DUMMYFUNCTION("""COMPUTED_VALUE"""),2187.25)</f>
        <v>2187.25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IFERROR(__xludf.DUMMYFUNCTION("""COMPUTED_VALUE"""),2190.0)</f>
        <v>2190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IFERROR(__xludf.DUMMYFUNCTION("""COMPUTED_VALUE"""),2100.05)</f>
        <v>2100.05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IFERROR(__xludf.DUMMYFUNCTION("""COMPUTED_VALUE"""),2075.35)</f>
        <v>2075.35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IFERROR(__xludf.DUMMYFUNCTION("""COMPUTED_VALUE"""),2099.9)</f>
        <v>2099.9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IFERROR(__xludf.DUMMYFUNCTION("""COMPUTED_VALUE"""),2062.0)</f>
        <v>2062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IFERROR(__xludf.DUMMYFUNCTION("""COMPUTED_VALUE"""),2041.6)</f>
        <v>2041.6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IFERROR(__xludf.DUMMYFUNCTION("""COMPUTED_VALUE"""),2011.0)</f>
        <v>2011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IFERROR(__xludf.DUMMYFUNCTION("""COMPUTED_VALUE"""),1964.8)</f>
        <v>1964.8</v>
      </c>
    </row>
    <row r="989" ht="15.75" customHeight="1"/>
    <row r="990" ht="15.75" customHeight="1"/>
    <row r="991" ht="15.75" customHeight="1">
      <c r="B991" s="2" t="str">
        <f>IFERROR(__xludf.DUMMYFUNCTION("GOOGLEFINANCE(""NSE:HINDUNILVR"",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IFERROR(__xludf.DUMMYFUNCTION("""COMPUTED_VALUE"""),1954.25)</f>
        <v>1954.25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IFERROR(__xludf.DUMMYFUNCTION("""COMPUTED_VALUE"""),1957.5)</f>
        <v>1957.5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IFERROR(__xludf.DUMMYFUNCTION("""COMPUTED_VALUE"""),2063.9)</f>
        <v>2063.9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IFERROR(__xludf.DUMMYFUNCTION("""COMPUTED_VALUE"""),2079.0)</f>
        <v>2079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IFERROR(__xludf.DUMMYFUNCTION("""COMPUTED_VALUE"""),2096.0)</f>
        <v>2096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IFERROR(__xludf.DUMMYFUNCTION("""COMPUTED_VALUE"""),2204.2)</f>
        <v>2204.2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IFERROR(__xludf.DUMMYFUNCTION("""COMPUTED_VALUE"""),2297.6)</f>
        <v>2297.6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IFERROR(__xludf.DUMMYFUNCTION("""COMPUTED_VALUE"""),2308.2)</f>
        <v>2308.2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IFERROR(__xludf.DUMMYFUNCTION("""COMPUTED_VALUE"""),2279.7)</f>
        <v>2279.7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IFERROR(__xludf.DUMMYFUNCTION("""COMPUTED_VALUE"""),2258.65)</f>
        <v>2258.65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IFERROR(__xludf.DUMMYFUNCTION("""COMPUTED_VALUE"""),2169.6)</f>
        <v>2169.6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IFERROR(__xludf.DUMMYFUNCTION("""COMPUTED_VALUE"""),2088.0)</f>
        <v>2088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IFERROR(__xludf.DUMMYFUNCTION("""COMPUTED_VALUE"""),2267.65)</f>
        <v>2267.65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IFERROR(__xludf.DUMMYFUNCTION("""COMPUTED_VALUE"""),2324.9)</f>
        <v>2324.9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IFERROR(__xludf.DUMMYFUNCTION("""COMPUTED_VALUE"""),2614.3)</f>
        <v>2614.3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IFERROR(__xludf.DUMMYFUNCTION("""COMPUTED_VALUE"""),2526.15)</f>
        <v>2526.15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IFERROR(__xludf.DUMMYFUNCTION("""COMPUTED_VALUE"""),2420.0)</f>
        <v>2420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IFERROR(__xludf.DUMMYFUNCTION("""COMPUTED_VALUE"""),2338.65)</f>
        <v>2338.65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IFERROR(__xludf.DUMMYFUNCTION("""COMPUTED_VALUE"""),2160.0)</f>
        <v>2160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IFERROR(__xludf.DUMMYFUNCTION("""COMPUTED_VALUE"""),2116.55)</f>
        <v>2116.55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IFERROR(__xludf.DUMMYFUNCTION("""COMPUTED_VALUE"""),2047.85)</f>
        <v>2047.85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IFERROR(__xludf.DUMMYFUNCTION("""COMPUTED_VALUE"""),2068.0)</f>
        <v>2068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IFERROR(__xludf.DUMMYFUNCTION("""COMPUTED_VALUE"""),2149.0)</f>
        <v>2149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IFERROR(__xludf.DUMMYFUNCTION("""COMPUTED_VALUE"""),2144.8)</f>
        <v>2144.8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IFERROR(__xludf.DUMMYFUNCTION("""COMPUTED_VALUE"""),2131.7)</f>
        <v>2131.7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IFERROR(__xludf.DUMMYFUNCTION("""COMPUTED_VALUE"""),2189.9)</f>
        <v>2189.9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IFERROR(__xludf.DUMMYFUNCTION("""COMPUTED_VALUE"""),2199.95)</f>
        <v>2199.95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IFERROR(__xludf.DUMMYFUNCTION("""COMPUTED_VALUE"""),2232.0)</f>
        <v>2232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IFERROR(__xludf.DUMMYFUNCTION("""COMPUTED_VALUE"""),2340.0)</f>
        <v>2340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IFERROR(__xludf.DUMMYFUNCTION("""COMPUTED_VALUE"""),2350.0)</f>
        <v>2350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IFERROR(__xludf.DUMMYFUNCTION("""COMPUTED_VALUE"""),2262.2)</f>
        <v>2262.2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IFERROR(__xludf.DUMMYFUNCTION("""COMPUTED_VALUE"""),2234.8)</f>
        <v>2234.8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IFERROR(__xludf.DUMMYFUNCTION("""COMPUTED_VALUE"""),2233.0)</f>
        <v>2233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IFERROR(__xludf.DUMMYFUNCTION("""COMPUTED_VALUE"""),2221.5)</f>
        <v>2221.5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IFERROR(__xludf.DUMMYFUNCTION("""COMPUTED_VALUE"""),2211.65)</f>
        <v>2211.65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IFERROR(__xludf.DUMMYFUNCTION("""COMPUTED_VALUE"""),2185.0)</f>
        <v>2185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IFERROR(__xludf.DUMMYFUNCTION("""COMPUTED_VALUE"""),2174.0)</f>
        <v>2174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IFERROR(__xludf.DUMMYFUNCTION("""COMPUTED_VALUE"""),2169.7)</f>
        <v>2169.7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IFERROR(__xludf.DUMMYFUNCTION("""COMPUTED_VALUE"""),2111.0)</f>
        <v>2111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IFERROR(__xludf.DUMMYFUNCTION("""COMPUTED_VALUE"""),2108.9)</f>
        <v>2108.9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IFERROR(__xludf.DUMMYFUNCTION("""COMPUTED_VALUE"""),2166.95)</f>
        <v>2166.95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IFERROR(__xludf.DUMMYFUNCTION("""COMPUTED_VALUE"""),2179.7)</f>
        <v>2179.7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IFERROR(__xludf.DUMMYFUNCTION("""COMPUTED_VALUE"""),2208.5)</f>
        <v>2208.5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IFERROR(__xludf.DUMMYFUNCTION("""COMPUTED_VALUE"""),2189.0)</f>
        <v>2189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IFERROR(__xludf.DUMMYFUNCTION("""COMPUTED_VALUE"""),2123.95)</f>
        <v>2123.95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IFERROR(__xludf.DUMMYFUNCTION("""COMPUTED_VALUE"""),2220.35)</f>
        <v>2220.35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IFERROR(__xludf.DUMMYFUNCTION("""COMPUTED_VALUE"""),2171.0)</f>
        <v>2171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IFERROR(__xludf.DUMMYFUNCTION("""COMPUTED_VALUE"""),2195.4)</f>
        <v>2195.4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IFERROR(__xludf.DUMMYFUNCTION("""COMPUTED_VALUE"""),2385.0)</f>
        <v>2385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IFERROR(__xludf.DUMMYFUNCTION("""COMPUTED_VALUE"""),2391.4)</f>
        <v>2391.4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IFERROR(__xludf.DUMMYFUNCTION("""COMPUTED_VALUE"""),2410.0)</f>
        <v>2410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IFERROR(__xludf.DUMMYFUNCTION("""COMPUTED_VALUE"""),2417.4)</f>
        <v>2417.4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IFERROR(__xludf.DUMMYFUNCTION("GOOGLEFINANCE(""NSE:ACC"",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IFERROR(__xludf.DUMMYFUNCTION("""COMPUTED_VALUE"""),171.4)</f>
        <v>171.4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IFERROR(__xludf.DUMMYFUNCTION("""COMPUTED_VALUE"""),173.7)</f>
        <v>173.7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IFERROR(__xludf.DUMMYFUNCTION("""COMPUTED_VALUE"""),177.4)</f>
        <v>177.4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IFERROR(__xludf.DUMMYFUNCTION("""COMPUTED_VALUE"""),177.95)</f>
        <v>177.95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IFERROR(__xludf.DUMMYFUNCTION("""COMPUTED_VALUE"""),165.35)</f>
        <v>165.35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IFERROR(__xludf.DUMMYFUNCTION("""COMPUTED_VALUE"""),171.7)</f>
        <v>171.7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IFERROR(__xludf.DUMMYFUNCTION("""COMPUTED_VALUE"""),173.0)</f>
        <v>173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IFERROR(__xludf.DUMMYFUNCTION("""COMPUTED_VALUE"""),176.3)</f>
        <v>176.3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IFERROR(__xludf.DUMMYFUNCTION("""COMPUTED_VALUE"""),179.1)</f>
        <v>179.1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IFERROR(__xludf.DUMMYFUNCTION("""COMPUTED_VALUE"""),176.0)</f>
        <v>176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IFERROR(__xludf.DUMMYFUNCTION("""COMPUTED_VALUE"""),164.25)</f>
        <v>164.25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IFERROR(__xludf.DUMMYFUNCTION("""COMPUTED_VALUE"""),161.95)</f>
        <v>161.95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IFERROR(__xludf.DUMMYFUNCTION("""COMPUTED_VALUE"""),154.9)</f>
        <v>154.9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IFERROR(__xludf.DUMMYFUNCTION("""COMPUTED_VALUE"""),161.3)</f>
        <v>161.3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IFERROR(__xludf.DUMMYFUNCTION("""COMPUTED_VALUE"""),153.95)</f>
        <v>153.95</v>
      </c>
    </row>
    <row r="17">
      <c r="B17" s="3">
        <f>IFERROR(__xludf.DUMMYFUNCTION("""COMPUTED_VALUE"""),37365.645833333336)</f>
        <v>37365.64583</v>
      </c>
      <c r="C17" s="2">
        <f>IFERROR(__xludf.DUMMYFUNCTION("""COMPUTED_VALUE"""),154.5)</f>
        <v>154.5</v>
      </c>
    </row>
    <row r="18">
      <c r="B18" s="3">
        <f>IFERROR(__xludf.DUMMYFUNCTION("""COMPUTED_VALUE"""),37372.645833333336)</f>
        <v>37372.64583</v>
      </c>
      <c r="C18" s="2">
        <f>IFERROR(__xludf.DUMMYFUNCTION("""COMPUTED_VALUE"""),156.25)</f>
        <v>156.25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IFERROR(__xludf.DUMMYFUNCTION("""COMPUTED_VALUE"""),154.0)</f>
        <v>154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IFERROR(__xludf.DUMMYFUNCTION("""COMPUTED_VALUE"""),164.9)</f>
        <v>164.9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IFERROR(__xludf.DUMMYFUNCTION("""COMPUTED_VALUE"""),169.9)</f>
        <v>169.9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IFERROR(__xludf.DUMMYFUNCTION("""COMPUTED_VALUE"""),158.5)</f>
        <v>158.5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IFERROR(__xludf.DUMMYFUNCTION("""COMPUTED_VALUE"""),158.4)</f>
        <v>158.4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IFERROR(__xludf.DUMMYFUNCTION("""COMPUTED_VALUE"""),161.0)</f>
        <v>161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IFERROR(__xludf.DUMMYFUNCTION("""COMPUTED_VALUE"""),165.0)</f>
        <v>165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IFERROR(__xludf.DUMMYFUNCTION("""COMPUTED_VALUE"""),157.8)</f>
        <v>157.8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IFERROR(__xludf.DUMMYFUNCTION("""COMPUTED_VALUE"""),159.45)</f>
        <v>159.45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IFERROR(__xludf.DUMMYFUNCTION("""COMPUTED_VALUE"""),163.35)</f>
        <v>163.35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IFERROR(__xludf.DUMMYFUNCTION("""COMPUTED_VALUE"""),166.0)</f>
        <v>166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IFERROR(__xludf.DUMMYFUNCTION("""COMPUTED_VALUE"""),158.25)</f>
        <v>158.25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IFERROR(__xludf.DUMMYFUNCTION("""COMPUTED_VALUE"""),150.1)</f>
        <v>150.1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IFERROR(__xludf.DUMMYFUNCTION("""COMPUTED_VALUE"""),138.4)</f>
        <v>138.4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IFERROR(__xludf.DUMMYFUNCTION("""COMPUTED_VALUE"""),142.4)</f>
        <v>142.4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IFERROR(__xludf.DUMMYFUNCTION("""COMPUTED_VALUE"""),139.0)</f>
        <v>139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IFERROR(__xludf.DUMMYFUNCTION("""COMPUTED_VALUE"""),141.25)</f>
        <v>141.25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IFERROR(__xludf.DUMMYFUNCTION("""COMPUTED_VALUE"""),142.15)</f>
        <v>142.15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IFERROR(__xludf.DUMMYFUNCTION("""COMPUTED_VALUE"""),143.35)</f>
        <v>143.35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IFERROR(__xludf.DUMMYFUNCTION("""COMPUTED_VALUE"""),147.45)</f>
        <v>147.45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IFERROR(__xludf.DUMMYFUNCTION("""COMPUTED_VALUE"""),146.8)</f>
        <v>146.8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IFERROR(__xludf.DUMMYFUNCTION("""COMPUTED_VALUE"""),140.0)</f>
        <v>140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IFERROR(__xludf.DUMMYFUNCTION("""COMPUTED_VALUE"""),139.1)</f>
        <v>139.1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IFERROR(__xludf.DUMMYFUNCTION("""COMPUTED_VALUE"""),143.0)</f>
        <v>143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IFERROR(__xludf.DUMMYFUNCTION("""COMPUTED_VALUE"""),146.45)</f>
        <v>146.45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IFERROR(__xludf.DUMMYFUNCTION("""COMPUTED_VALUE"""),146.5)</f>
        <v>146.5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IFERROR(__xludf.DUMMYFUNCTION("""COMPUTED_VALUE"""),154.1)</f>
        <v>154.1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IFERROR(__xludf.DUMMYFUNCTION("""COMPUTED_VALUE"""),144.6)</f>
        <v>144.6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IFERROR(__xludf.DUMMYFUNCTION("""COMPUTED_VALUE"""),154.95)</f>
        <v>154.95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IFERROR(__xludf.DUMMYFUNCTION("""COMPUTED_VALUE"""),157.9)</f>
        <v>157.9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IFERROR(__xludf.DUMMYFUNCTION("""COMPUTED_VALUE"""),166.0)</f>
        <v>166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IFERROR(__xludf.DUMMYFUNCTION("""COMPUTED_VALUE"""),166.0)</f>
        <v>166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IFERROR(__xludf.DUMMYFUNCTION("""COMPUTED_VALUE"""),167.65)</f>
        <v>167.65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IFERROR(__xludf.DUMMYFUNCTION("""COMPUTED_VALUE"""),161.45)</f>
        <v>161.45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IFERROR(__xludf.DUMMYFUNCTION("""COMPUTED_VALUE"""),162.6)</f>
        <v>162.6</v>
      </c>
    </row>
    <row r="54" ht="15.75" customHeight="1"/>
    <row r="55" ht="15.75" customHeight="1"/>
    <row r="56" ht="15.75" customHeight="1">
      <c r="B56" s="2" t="str">
        <f>IFERROR(__xludf.DUMMYFUNCTION("GOOGLEFINANCE(""NSE:ACC"",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IFERROR(__xludf.DUMMYFUNCTION("""COMPUTED_VALUE"""),167.3)</f>
        <v>167.3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IFERROR(__xludf.DUMMYFUNCTION("""COMPUTED_VALUE"""),160.25)</f>
        <v>160.25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IFERROR(__xludf.DUMMYFUNCTION("""COMPUTED_VALUE"""),160.4)</f>
        <v>160.4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IFERROR(__xludf.DUMMYFUNCTION("""COMPUTED_VALUE"""),153.85)</f>
        <v>153.85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IFERROR(__xludf.DUMMYFUNCTION("""COMPUTED_VALUE"""),155.0)</f>
        <v>155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IFERROR(__xludf.DUMMYFUNCTION("""COMPUTED_VALUE"""),148.5)</f>
        <v>148.5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IFERROR(__xludf.DUMMYFUNCTION("""COMPUTED_VALUE"""),154.0)</f>
        <v>154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IFERROR(__xludf.DUMMYFUNCTION("""COMPUTED_VALUE"""),159.5)</f>
        <v>159.5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IFERROR(__xludf.DUMMYFUNCTION("""COMPUTED_VALUE"""),157.8)</f>
        <v>157.8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IFERROR(__xludf.DUMMYFUNCTION("""COMPUTED_VALUE"""),155.45)</f>
        <v>155.45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IFERROR(__xludf.DUMMYFUNCTION("""COMPUTED_VALUE"""),145.0)</f>
        <v>145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IFERROR(__xludf.DUMMYFUNCTION("""COMPUTED_VALUE"""),139.5)</f>
        <v>139.5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IFERROR(__xludf.DUMMYFUNCTION("""COMPUTED_VALUE"""),149.35)</f>
        <v>149.35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IFERROR(__xludf.DUMMYFUNCTION("""COMPUTED_VALUE"""),144.9)</f>
        <v>144.9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IFERROR(__xludf.DUMMYFUNCTION("""COMPUTED_VALUE"""),140.85)</f>
        <v>140.85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IFERROR(__xludf.DUMMYFUNCTION("""COMPUTED_VALUE"""),138.5)</f>
        <v>138.5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IFERROR(__xludf.DUMMYFUNCTION("""COMPUTED_VALUE"""),132.2)</f>
        <v>132.2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IFERROR(__xludf.DUMMYFUNCTION("""COMPUTED_VALUE"""),134.3)</f>
        <v>134.3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IFERROR(__xludf.DUMMYFUNCTION("""COMPUTED_VALUE"""),135.0)</f>
        <v>135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IFERROR(__xludf.DUMMYFUNCTION("""COMPUTED_VALUE"""),140.8)</f>
        <v>140.8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IFERROR(__xludf.DUMMYFUNCTION("""COMPUTED_VALUE"""),149.0)</f>
        <v>149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IFERROR(__xludf.DUMMYFUNCTION("""COMPUTED_VALUE"""),150.25)</f>
        <v>150.25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IFERROR(__xludf.DUMMYFUNCTION("""COMPUTED_VALUE"""),153.35)</f>
        <v>153.35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IFERROR(__xludf.DUMMYFUNCTION("""COMPUTED_VALUE"""),164.0)</f>
        <v>164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IFERROR(__xludf.DUMMYFUNCTION("""COMPUTED_VALUE"""),171.65)</f>
        <v>171.65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IFERROR(__xludf.DUMMYFUNCTION("""COMPUTED_VALUE"""),175.8)</f>
        <v>175.8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IFERROR(__xludf.DUMMYFUNCTION("""COMPUTED_VALUE"""),176.85)</f>
        <v>176.85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IFERROR(__xludf.DUMMYFUNCTION("""COMPUTED_VALUE"""),184.55)</f>
        <v>184.55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IFERROR(__xludf.DUMMYFUNCTION("""COMPUTED_VALUE"""),179.3)</f>
        <v>179.3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IFERROR(__xludf.DUMMYFUNCTION("""COMPUTED_VALUE"""),204.5)</f>
        <v>204.5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IFERROR(__xludf.DUMMYFUNCTION("""COMPUTED_VALUE"""),207.9)</f>
        <v>207.9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IFERROR(__xludf.DUMMYFUNCTION("""COMPUTED_VALUE"""),214.9)</f>
        <v>214.9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IFERROR(__xludf.DUMMYFUNCTION("""COMPUTED_VALUE"""),222.2)</f>
        <v>222.2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IFERROR(__xludf.DUMMYFUNCTION("""COMPUTED_VALUE"""),219.45)</f>
        <v>219.45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IFERROR(__xludf.DUMMYFUNCTION("""COMPUTED_VALUE"""),225.35)</f>
        <v>225.35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IFERROR(__xludf.DUMMYFUNCTION("""COMPUTED_VALUE"""),221.4)</f>
        <v>221.4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IFERROR(__xludf.DUMMYFUNCTION("""COMPUTED_VALUE"""),207.9)</f>
        <v>207.9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IFERROR(__xludf.DUMMYFUNCTION("""COMPUTED_VALUE"""),200.0)</f>
        <v>200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IFERROR(__xludf.DUMMYFUNCTION("""COMPUTED_VALUE"""),207.45)</f>
        <v>207.45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IFERROR(__xludf.DUMMYFUNCTION("""COMPUTED_VALUE"""),217.25)</f>
        <v>217.25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IFERROR(__xludf.DUMMYFUNCTION("""COMPUTED_VALUE"""),218.5)</f>
        <v>218.5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IFERROR(__xludf.DUMMYFUNCTION("""COMPUTED_VALUE"""),216.1)</f>
        <v>216.1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IFERROR(__xludf.DUMMYFUNCTION("""COMPUTED_VALUE"""),240.0)</f>
        <v>240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IFERROR(__xludf.DUMMYFUNCTION("""COMPUTED_VALUE"""),234.25)</f>
        <v>234.25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IFERROR(__xludf.DUMMYFUNCTION("""COMPUTED_VALUE"""),228.0)</f>
        <v>228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IFERROR(__xludf.DUMMYFUNCTION("""COMPUTED_VALUE"""),239.0)</f>
        <v>239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IFERROR(__xludf.DUMMYFUNCTION("""COMPUTED_VALUE"""),228.0)</f>
        <v>228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IFERROR(__xludf.DUMMYFUNCTION("""COMPUTED_VALUE"""),234.4)</f>
        <v>234.4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IFERROR(__xludf.DUMMYFUNCTION("""COMPUTED_VALUE"""),250.4)</f>
        <v>250.4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IFERROR(__xludf.DUMMYFUNCTION("GOOGLEFINANCE(""NSE:ACC"",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IFERROR(__xludf.DUMMYFUNCTION("""COMPUTED_VALUE"""),266.9)</f>
        <v>266.9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IFERROR(__xludf.DUMMYFUNCTION("""COMPUTED_VALUE"""),298.0)</f>
        <v>298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IFERROR(__xludf.DUMMYFUNCTION("""COMPUTED_VALUE"""),274.5)</f>
        <v>274.5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IFERROR(__xludf.DUMMYFUNCTION("""COMPUTED_VALUE"""),263.5)</f>
        <v>263.5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IFERROR(__xludf.DUMMYFUNCTION("""COMPUTED_VALUE"""),270.45)</f>
        <v>270.45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IFERROR(__xludf.DUMMYFUNCTION("""COMPUTED_VALUE"""),264.4)</f>
        <v>264.4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IFERROR(__xludf.DUMMYFUNCTION("""COMPUTED_VALUE"""),278.0)</f>
        <v>278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IFERROR(__xludf.DUMMYFUNCTION("""COMPUTED_VALUE"""),277.0)</f>
        <v>277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IFERROR(__xludf.DUMMYFUNCTION("""COMPUTED_VALUE"""),263.0)</f>
        <v>263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IFERROR(__xludf.DUMMYFUNCTION("""COMPUTED_VALUE"""),273.9)</f>
        <v>273.9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IFERROR(__xludf.DUMMYFUNCTION("""COMPUTED_VALUE"""),280.2)</f>
        <v>280.2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IFERROR(__xludf.DUMMYFUNCTION("""COMPUTED_VALUE"""),264.9)</f>
        <v>264.9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IFERROR(__xludf.DUMMYFUNCTION("""COMPUTED_VALUE"""),257.5)</f>
        <v>257.5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IFERROR(__xludf.DUMMYFUNCTION("""COMPUTED_VALUE"""),266.1)</f>
        <v>266.1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IFERROR(__xludf.DUMMYFUNCTION("""COMPUTED_VALUE"""),269.15)</f>
        <v>269.15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IFERROR(__xludf.DUMMYFUNCTION("""COMPUTED_VALUE"""),291.4)</f>
        <v>291.4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IFERROR(__xludf.DUMMYFUNCTION("""COMPUTED_VALUE"""),283.85)</f>
        <v>283.85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IFERROR(__xludf.DUMMYFUNCTION("""COMPUTED_VALUE"""),308.4)</f>
        <v>308.4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IFERROR(__xludf.DUMMYFUNCTION("""COMPUTED_VALUE"""),285.55)</f>
        <v>285.55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IFERROR(__xludf.DUMMYFUNCTION("""COMPUTED_VALUE"""),270.0)</f>
        <v>270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IFERROR(__xludf.DUMMYFUNCTION("""COMPUTED_VALUE"""),264.9)</f>
        <v>264.9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IFERROR(__xludf.DUMMYFUNCTION("""COMPUTED_VALUE"""),254.85)</f>
        <v>254.85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IFERROR(__xludf.DUMMYFUNCTION("""COMPUTED_VALUE"""),249.85)</f>
        <v>249.85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IFERROR(__xludf.DUMMYFUNCTION("""COMPUTED_VALUE"""),247.7)</f>
        <v>247.7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IFERROR(__xludf.DUMMYFUNCTION("""COMPUTED_VALUE"""),281.0)</f>
        <v>281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IFERROR(__xludf.DUMMYFUNCTION("""COMPUTED_VALUE"""),246.5)</f>
        <v>246.5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IFERROR(__xludf.DUMMYFUNCTION("""COMPUTED_VALUE"""),249.25)</f>
        <v>249.25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IFERROR(__xludf.DUMMYFUNCTION("""COMPUTED_VALUE"""),243.2)</f>
        <v>243.2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IFERROR(__xludf.DUMMYFUNCTION("""COMPUTED_VALUE"""),254.85)</f>
        <v>254.85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IFERROR(__xludf.DUMMYFUNCTION("""COMPUTED_VALUE"""),243.0)</f>
        <v>243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IFERROR(__xludf.DUMMYFUNCTION("""COMPUTED_VALUE"""),258.5)</f>
        <v>258.5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IFERROR(__xludf.DUMMYFUNCTION("""COMPUTED_VALUE"""),264.5)</f>
        <v>264.5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IFERROR(__xludf.DUMMYFUNCTION("""COMPUTED_VALUE"""),267.4)</f>
        <v>267.4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IFERROR(__xludf.DUMMYFUNCTION("""COMPUTED_VALUE"""),266.1)</f>
        <v>266.1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IFERROR(__xludf.DUMMYFUNCTION("""COMPUTED_VALUE"""),272.65)</f>
        <v>272.65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IFERROR(__xludf.DUMMYFUNCTION("""COMPUTED_VALUE"""),273.9)</f>
        <v>273.9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IFERROR(__xludf.DUMMYFUNCTION("""COMPUTED_VALUE"""),278.8)</f>
        <v>278.8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IFERROR(__xludf.DUMMYFUNCTION("""COMPUTED_VALUE"""),279.0)</f>
        <v>279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IFERROR(__xludf.DUMMYFUNCTION("""COMPUTED_VALUE"""),275.65)</f>
        <v>275.65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IFERROR(__xludf.DUMMYFUNCTION("""COMPUTED_VALUE"""),279.75)</f>
        <v>279.75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IFERROR(__xludf.DUMMYFUNCTION("""COMPUTED_VALUE"""),268.45)</f>
        <v>268.45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IFERROR(__xludf.DUMMYFUNCTION("""COMPUTED_VALUE"""),264.8)</f>
        <v>264.8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IFERROR(__xludf.DUMMYFUNCTION("""COMPUTED_VALUE"""),265.55)</f>
        <v>265.55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IFERROR(__xludf.DUMMYFUNCTION("""COMPUTED_VALUE"""),269.95)</f>
        <v>269.95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IFERROR(__xludf.DUMMYFUNCTION("""COMPUTED_VALUE"""),275.8)</f>
        <v>275.8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IFERROR(__xludf.DUMMYFUNCTION("""COMPUTED_VALUE"""),292.95)</f>
        <v>292.95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IFERROR(__xludf.DUMMYFUNCTION("""COMPUTED_VALUE"""),301.4)</f>
        <v>301.4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IFERROR(__xludf.DUMMYFUNCTION("""COMPUTED_VALUE"""),319.1)</f>
        <v>319.1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IFERROR(__xludf.DUMMYFUNCTION("""COMPUTED_VALUE"""),323.75)</f>
        <v>323.75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IFERROR(__xludf.DUMMYFUNCTION("""COMPUTED_VALUE"""),323.8)</f>
        <v>323.8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IFERROR(__xludf.DUMMYFUNCTION("""COMPUTED_VALUE"""),340.9)</f>
        <v>340.9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IFERROR(__xludf.DUMMYFUNCTION("GOOGLEFINANCE(""NSE:ACC"",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IFERROR(__xludf.DUMMYFUNCTION("""COMPUTED_VALUE"""),358.9)</f>
        <v>358.9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IFERROR(__xludf.DUMMYFUNCTION("""COMPUTED_VALUE"""),357.5)</f>
        <v>357.5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IFERROR(__xludf.DUMMYFUNCTION("""COMPUTED_VALUE"""),370.5)</f>
        <v>370.5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IFERROR(__xludf.DUMMYFUNCTION("""COMPUTED_VALUE"""),353.0)</f>
        <v>353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IFERROR(__xludf.DUMMYFUNCTION("""COMPUTED_VALUE"""),379.7)</f>
        <v>379.7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IFERROR(__xludf.DUMMYFUNCTION("""COMPUTED_VALUE"""),386.85)</f>
        <v>386.85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IFERROR(__xludf.DUMMYFUNCTION("""COMPUTED_VALUE"""),381.0)</f>
        <v>381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IFERROR(__xludf.DUMMYFUNCTION("""COMPUTED_VALUE"""),367.4)</f>
        <v>367.4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IFERROR(__xludf.DUMMYFUNCTION("""COMPUTED_VALUE"""),376.45)</f>
        <v>376.45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IFERROR(__xludf.DUMMYFUNCTION("""COMPUTED_VALUE"""),377.0)</f>
        <v>377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IFERROR(__xludf.DUMMYFUNCTION("""COMPUTED_VALUE"""),373.7)</f>
        <v>373.7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IFERROR(__xludf.DUMMYFUNCTION("""COMPUTED_VALUE"""),363.5)</f>
        <v>363.5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IFERROR(__xludf.DUMMYFUNCTION("""COMPUTED_VALUE"""),369.8)</f>
        <v>369.8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IFERROR(__xludf.DUMMYFUNCTION("""COMPUTED_VALUE"""),366.1)</f>
        <v>366.1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IFERROR(__xludf.DUMMYFUNCTION("""COMPUTED_VALUE"""),369.95)</f>
        <v>369.95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IFERROR(__xludf.DUMMYFUNCTION("""COMPUTED_VALUE"""),411.0)</f>
        <v>411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IFERROR(__xludf.DUMMYFUNCTION("""COMPUTED_VALUE"""),382.6)</f>
        <v>382.6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IFERROR(__xludf.DUMMYFUNCTION("""COMPUTED_VALUE"""),379.0)</f>
        <v>379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IFERROR(__xludf.DUMMYFUNCTION("""COMPUTED_VALUE"""),395.75)</f>
        <v>395.75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IFERROR(__xludf.DUMMYFUNCTION("""COMPUTED_VALUE"""),400.0)</f>
        <v>400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IFERROR(__xludf.DUMMYFUNCTION("""COMPUTED_VALUE"""),387.8)</f>
        <v>387.8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IFERROR(__xludf.DUMMYFUNCTION("""COMPUTED_VALUE"""),388.5)</f>
        <v>388.5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IFERROR(__xludf.DUMMYFUNCTION("""COMPUTED_VALUE"""),386.0)</f>
        <v>386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IFERROR(__xludf.DUMMYFUNCTION("""COMPUTED_VALUE"""),393.9)</f>
        <v>393.9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IFERROR(__xludf.DUMMYFUNCTION("""COMPUTED_VALUE"""),388.0)</f>
        <v>388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IFERROR(__xludf.DUMMYFUNCTION("""COMPUTED_VALUE"""),397.05)</f>
        <v>397.05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IFERROR(__xludf.DUMMYFUNCTION("""COMPUTED_VALUE"""),440.0)</f>
        <v>440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IFERROR(__xludf.DUMMYFUNCTION("""COMPUTED_VALUE"""),448.0)</f>
        <v>448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IFERROR(__xludf.DUMMYFUNCTION("""COMPUTED_VALUE"""),452.25)</f>
        <v>452.25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IFERROR(__xludf.DUMMYFUNCTION("""COMPUTED_VALUE"""),447.3)</f>
        <v>447.3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IFERROR(__xludf.DUMMYFUNCTION("""COMPUTED_VALUE"""),451.8)</f>
        <v>451.8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IFERROR(__xludf.DUMMYFUNCTION("""COMPUTED_VALUE"""),475.5)</f>
        <v>475.5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IFERROR(__xludf.DUMMYFUNCTION("""COMPUTED_VALUE"""),475.0)</f>
        <v>475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IFERROR(__xludf.DUMMYFUNCTION("""COMPUTED_VALUE"""),483.5)</f>
        <v>483.5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IFERROR(__xludf.DUMMYFUNCTION("""COMPUTED_VALUE"""),486.8)</f>
        <v>486.8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IFERROR(__xludf.DUMMYFUNCTION("""COMPUTED_VALUE"""),482.5)</f>
        <v>482.5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IFERROR(__xludf.DUMMYFUNCTION("""COMPUTED_VALUE"""),483.7)</f>
        <v>483.7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IFERROR(__xludf.DUMMYFUNCTION("""COMPUTED_VALUE"""),496.6)</f>
        <v>496.6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IFERROR(__xludf.DUMMYFUNCTION("""COMPUTED_VALUE"""),501.5)</f>
        <v>501.5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IFERROR(__xludf.DUMMYFUNCTION("""COMPUTED_VALUE"""),481.05)</f>
        <v>481.05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IFERROR(__xludf.DUMMYFUNCTION("""COMPUTED_VALUE"""),458.9)</f>
        <v>458.9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IFERROR(__xludf.DUMMYFUNCTION("""COMPUTED_VALUE"""),475.0)</f>
        <v>475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IFERROR(__xludf.DUMMYFUNCTION("""COMPUTED_VALUE"""),467.0)</f>
        <v>467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IFERROR(__xludf.DUMMYFUNCTION("""COMPUTED_VALUE"""),489.4)</f>
        <v>489.4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IFERROR(__xludf.DUMMYFUNCTION("""COMPUTED_VALUE"""),525.0)</f>
        <v>525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IFERROR(__xludf.DUMMYFUNCTION("""COMPUTED_VALUE"""),544.8)</f>
        <v>544.8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IFERROR(__xludf.DUMMYFUNCTION("""COMPUTED_VALUE"""),554.0)</f>
        <v>554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IFERROR(__xludf.DUMMYFUNCTION("""COMPUTED_VALUE"""),564.0)</f>
        <v>564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IFERROR(__xludf.DUMMYFUNCTION("""COMPUTED_VALUE"""),568.5)</f>
        <v>568.5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IFERROR(__xludf.DUMMYFUNCTION("""COMPUTED_VALUE"""),544.05)</f>
        <v>544.05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IFERROR(__xludf.DUMMYFUNCTION("GOOGLEFINANCE(""NSE:ACC"",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IFERROR(__xludf.DUMMYFUNCTION("""COMPUTED_VALUE"""),563.1)</f>
        <v>563.1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IFERROR(__xludf.DUMMYFUNCTION("""COMPUTED_VALUE"""),561.0)</f>
        <v>561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IFERROR(__xludf.DUMMYFUNCTION("""COMPUTED_VALUE"""),555.0)</f>
        <v>555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IFERROR(__xludf.DUMMYFUNCTION("""COMPUTED_VALUE"""),570.9)</f>
        <v>570.9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IFERROR(__xludf.DUMMYFUNCTION("""COMPUTED_VALUE"""),595.95)</f>
        <v>595.95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IFERROR(__xludf.DUMMYFUNCTION("""COMPUTED_VALUE"""),607.0)</f>
        <v>607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IFERROR(__xludf.DUMMYFUNCTION("""COMPUTED_VALUE"""),594.8)</f>
        <v>594.8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IFERROR(__xludf.DUMMYFUNCTION("""COMPUTED_VALUE"""),603.65)</f>
        <v>603.65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IFERROR(__xludf.DUMMYFUNCTION("""COMPUTED_VALUE"""),722.0)</f>
        <v>722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IFERROR(__xludf.DUMMYFUNCTION("""COMPUTED_VALUE"""),777.9)</f>
        <v>777.9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IFERROR(__xludf.DUMMYFUNCTION("""COMPUTED_VALUE"""),781.0)</f>
        <v>781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IFERROR(__xludf.DUMMYFUNCTION("""COMPUTED_VALUE"""),776.8)</f>
        <v>776.8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IFERROR(__xludf.DUMMYFUNCTION("""COMPUTED_VALUE"""),798.75)</f>
        <v>798.75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IFERROR(__xludf.DUMMYFUNCTION("""COMPUTED_VALUE"""),919.4)</f>
        <v>919.4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IFERROR(__xludf.DUMMYFUNCTION("""COMPUTED_VALUE"""),952.8)</f>
        <v>952.8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IFERROR(__xludf.DUMMYFUNCTION("""COMPUTED_VALUE"""),981.1)</f>
        <v>981.1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IFERROR(__xludf.DUMMYFUNCTION("""COMPUTED_VALUE"""),1063.0)</f>
        <v>1063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IFERROR(__xludf.DUMMYFUNCTION("""COMPUTED_VALUE"""),1022.9)</f>
        <v>1022.9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IFERROR(__xludf.DUMMYFUNCTION("""COMPUTED_VALUE"""),922.4)</f>
        <v>922.4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IFERROR(__xludf.DUMMYFUNCTION("""COMPUTED_VALUE"""),826.0)</f>
        <v>826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IFERROR(__xludf.DUMMYFUNCTION("""COMPUTED_VALUE"""),829.0)</f>
        <v>829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IFERROR(__xludf.DUMMYFUNCTION("""COMPUTED_VALUE"""),847.0)</f>
        <v>847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IFERROR(__xludf.DUMMYFUNCTION("""COMPUTED_VALUE"""),765.0)</f>
        <v>765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IFERROR(__xludf.DUMMYFUNCTION("""COMPUTED_VALUE"""),792.9)</f>
        <v>792.9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IFERROR(__xludf.DUMMYFUNCTION("""COMPUTED_VALUE"""),792.9)</f>
        <v>792.9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IFERROR(__xludf.DUMMYFUNCTION("""COMPUTED_VALUE"""),826.8)</f>
        <v>826.8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IFERROR(__xludf.DUMMYFUNCTION("""COMPUTED_VALUE"""),846.2)</f>
        <v>846.2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IFERROR(__xludf.DUMMYFUNCTION("""COMPUTED_VALUE"""),841.8)</f>
        <v>841.8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IFERROR(__xludf.DUMMYFUNCTION("""COMPUTED_VALUE"""),856.0)</f>
        <v>856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IFERROR(__xludf.DUMMYFUNCTION("""COMPUTED_VALUE"""),890.0)</f>
        <v>890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IFERROR(__xludf.DUMMYFUNCTION("""COMPUTED_VALUE"""),889.0)</f>
        <v>889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IFERROR(__xludf.DUMMYFUNCTION("""COMPUTED_VALUE"""),907.0)</f>
        <v>907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IFERROR(__xludf.DUMMYFUNCTION("""COMPUTED_VALUE"""),919.95)</f>
        <v>919.95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IFERROR(__xludf.DUMMYFUNCTION("""COMPUTED_VALUE"""),929.7)</f>
        <v>929.7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IFERROR(__xludf.DUMMYFUNCTION("""COMPUTED_VALUE"""),957.0)</f>
        <v>957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IFERROR(__xludf.DUMMYFUNCTION("""COMPUTED_VALUE"""),958.8)</f>
        <v>958.8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IFERROR(__xludf.DUMMYFUNCTION("""COMPUTED_VALUE"""),982.0)</f>
        <v>982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IFERROR(__xludf.DUMMYFUNCTION("""COMPUTED_VALUE"""),999.0)</f>
        <v>999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IFERROR(__xludf.DUMMYFUNCTION("""COMPUTED_VALUE"""),1002.7)</f>
        <v>1002.7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IFERROR(__xludf.DUMMYFUNCTION("""COMPUTED_VALUE"""),1009.4)</f>
        <v>1009.4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IFERROR(__xludf.DUMMYFUNCTION("""COMPUTED_VALUE"""),990.0)</f>
        <v>990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IFERROR(__xludf.DUMMYFUNCTION("""COMPUTED_VALUE"""),1010.0)</f>
        <v>1010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IFERROR(__xludf.DUMMYFUNCTION("""COMPUTED_VALUE"""),1025.0)</f>
        <v>1025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IFERROR(__xludf.DUMMYFUNCTION("""COMPUTED_VALUE"""),1109.75)</f>
        <v>1109.75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IFERROR(__xludf.DUMMYFUNCTION("""COMPUTED_VALUE"""),1094.0)</f>
        <v>1094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IFERROR(__xludf.DUMMYFUNCTION("""COMPUTED_VALUE"""),1153.5)</f>
        <v>1153.5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IFERROR(__xludf.DUMMYFUNCTION("""COMPUTED_VALUE"""),1194.8)</f>
        <v>1194.8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IFERROR(__xludf.DUMMYFUNCTION("""COMPUTED_VALUE"""),1114.8)</f>
        <v>1114.8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IFERROR(__xludf.DUMMYFUNCTION("""COMPUTED_VALUE"""),1079.95)</f>
        <v>1079.95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IFERROR(__xludf.DUMMYFUNCTION("""COMPUTED_VALUE"""),1099.0)</f>
        <v>1099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IFERROR(__xludf.DUMMYFUNCTION("GOOGLEFINANCE(""NSE:ACC"",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IFERROR(__xludf.DUMMYFUNCTION("""COMPUTED_VALUE"""),1104.4)</f>
        <v>1104.4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IFERROR(__xludf.DUMMYFUNCTION("""COMPUTED_VALUE"""),1068.45)</f>
        <v>1068.45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IFERROR(__xludf.DUMMYFUNCTION("""COMPUTED_VALUE"""),1119.0)</f>
        <v>1119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IFERROR(__xludf.DUMMYFUNCTION("""COMPUTED_VALUE"""),1128.0)</f>
        <v>1128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IFERROR(__xludf.DUMMYFUNCTION("""COMPUTED_VALUE"""),1057.7)</f>
        <v>1057.7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IFERROR(__xludf.DUMMYFUNCTION("""COMPUTED_VALUE"""),1074.7)</f>
        <v>1074.7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IFERROR(__xludf.DUMMYFUNCTION("""COMPUTED_VALUE"""),1039.0)</f>
        <v>1039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IFERROR(__xludf.DUMMYFUNCTION("""COMPUTED_VALUE"""),1027.7)</f>
        <v>1027.7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IFERROR(__xludf.DUMMYFUNCTION("""COMPUTED_VALUE"""),964.5)</f>
        <v>964.5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IFERROR(__xludf.DUMMYFUNCTION("""COMPUTED_VALUE"""),868.0)</f>
        <v>868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IFERROR(__xludf.DUMMYFUNCTION("""COMPUTED_VALUE"""),890.0)</f>
        <v>890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IFERROR(__xludf.DUMMYFUNCTION("""COMPUTED_VALUE"""),781.0)</f>
        <v>781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IFERROR(__xludf.DUMMYFUNCTION("""COMPUTED_VALUE"""),755.0)</f>
        <v>755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IFERROR(__xludf.DUMMYFUNCTION("""COMPUTED_VALUE"""),735.95)</f>
        <v>735.95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IFERROR(__xludf.DUMMYFUNCTION("""COMPUTED_VALUE"""),753.5)</f>
        <v>753.5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IFERROR(__xludf.DUMMYFUNCTION("""COMPUTED_VALUE"""),829.8)</f>
        <v>829.8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IFERROR(__xludf.DUMMYFUNCTION("""COMPUTED_VALUE"""),849.5)</f>
        <v>849.5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IFERROR(__xludf.DUMMYFUNCTION("""COMPUTED_VALUE"""),880.0)</f>
        <v>880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IFERROR(__xludf.DUMMYFUNCTION("""COMPUTED_VALUE"""),896.5)</f>
        <v>896.5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IFERROR(__xludf.DUMMYFUNCTION("""COMPUTED_VALUE"""),906.9)</f>
        <v>906.9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IFERROR(__xludf.DUMMYFUNCTION("""COMPUTED_VALUE"""),894.8)</f>
        <v>894.8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IFERROR(__xludf.DUMMYFUNCTION("""COMPUTED_VALUE"""),880.95)</f>
        <v>880.95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IFERROR(__xludf.DUMMYFUNCTION("""COMPUTED_VALUE"""),861.85)</f>
        <v>861.85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IFERROR(__xludf.DUMMYFUNCTION("""COMPUTED_VALUE"""),838.0)</f>
        <v>838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IFERROR(__xludf.DUMMYFUNCTION("""COMPUTED_VALUE"""),867.4)</f>
        <v>867.4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IFERROR(__xludf.DUMMYFUNCTION("""COMPUTED_VALUE"""),940.0)</f>
        <v>940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IFERROR(__xludf.DUMMYFUNCTION("""COMPUTED_VALUE"""),1050.0)</f>
        <v>1050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IFERROR(__xludf.DUMMYFUNCTION("""COMPUTED_VALUE"""),1122.7)</f>
        <v>1122.7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IFERROR(__xludf.DUMMYFUNCTION("""COMPUTED_VALUE"""),1159.0)</f>
        <v>1159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IFERROR(__xludf.DUMMYFUNCTION("""COMPUTED_VALUE"""),1142.0)</f>
        <v>1142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IFERROR(__xludf.DUMMYFUNCTION("""COMPUTED_VALUE"""),1090.0)</f>
        <v>1090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IFERROR(__xludf.DUMMYFUNCTION("""COMPUTED_VALUE"""),1048.8)</f>
        <v>1048.8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IFERROR(__xludf.DUMMYFUNCTION("""COMPUTED_VALUE"""),1039.8)</f>
        <v>1039.8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IFERROR(__xludf.DUMMYFUNCTION("""COMPUTED_VALUE"""),1017.25)</f>
        <v>1017.25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IFERROR(__xludf.DUMMYFUNCTION("""COMPUTED_VALUE"""),1080.1)</f>
        <v>1080.1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IFERROR(__xludf.DUMMYFUNCTION("""COMPUTED_VALUE"""),1116.0)</f>
        <v>1116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IFERROR(__xludf.DUMMYFUNCTION("""COMPUTED_VALUE"""),1145.0)</f>
        <v>1145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IFERROR(__xludf.DUMMYFUNCTION("""COMPUTED_VALUE"""),1175.7)</f>
        <v>1175.7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IFERROR(__xludf.DUMMYFUNCTION("""COMPUTED_VALUE"""),1224.9)</f>
        <v>1224.9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IFERROR(__xludf.DUMMYFUNCTION("""COMPUTED_VALUE"""),1298.95)</f>
        <v>1298.95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IFERROR(__xludf.DUMMYFUNCTION("""COMPUTED_VALUE"""),1303.9)</f>
        <v>1303.9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IFERROR(__xludf.DUMMYFUNCTION("""COMPUTED_VALUE"""),1315.0)</f>
        <v>1315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IFERROR(__xludf.DUMMYFUNCTION("""COMPUTED_VALUE"""),1105.0)</f>
        <v>1105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IFERROR(__xludf.DUMMYFUNCTION("""COMPUTED_VALUE"""),1117.7)</f>
        <v>1117.7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IFERROR(__xludf.DUMMYFUNCTION("""COMPUTED_VALUE"""),1087.5)</f>
        <v>1087.5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IFERROR(__xludf.DUMMYFUNCTION("""COMPUTED_VALUE"""),1131.0)</f>
        <v>1131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IFERROR(__xludf.DUMMYFUNCTION("""COMPUTED_VALUE"""),1146.45)</f>
        <v>1146.45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IFERROR(__xludf.DUMMYFUNCTION("""COMPUTED_VALUE"""),1118.2)</f>
        <v>1118.2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IFERROR(__xludf.DUMMYFUNCTION("""COMPUTED_VALUE"""),1110.0)</f>
        <v>1110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IFERROR(__xludf.DUMMYFUNCTION("""COMPUTED_VALUE"""),1129.9)</f>
        <v>1129.9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IFERROR(__xludf.DUMMYFUNCTION("""COMPUTED_VALUE"""),1075.7)</f>
        <v>1075.7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IFERROR(__xludf.DUMMYFUNCTION("GOOGLEFINANCE(""NSE:ACC"",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IFERROR(__xludf.DUMMYFUNCTION("""COMPUTED_VALUE"""),1038.7)</f>
        <v>1038.7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IFERROR(__xludf.DUMMYFUNCTION("""COMPUTED_VALUE"""),1010.0)</f>
        <v>1010</v>
      </c>
    </row>
    <row r="334" ht="15.75" customHeight="1">
      <c r="B334" s="3">
        <f>IFERROR(__xludf.DUMMYFUNCTION("""COMPUTED_VALUE"""),39464.645833333336)</f>
        <v>39464.64583</v>
      </c>
      <c r="C334" s="2">
        <f>IFERROR(__xludf.DUMMYFUNCTION("""COMPUTED_VALUE"""),902.0)</f>
        <v>902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IFERROR(__xludf.DUMMYFUNCTION("""COMPUTED_VALUE"""),874.0)</f>
        <v>874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IFERROR(__xludf.DUMMYFUNCTION("""COMPUTED_VALUE"""),828.0)</f>
        <v>828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IFERROR(__xludf.DUMMYFUNCTION("""COMPUTED_VALUE"""),801.45)</f>
        <v>801.45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IFERROR(__xludf.DUMMYFUNCTION("""COMPUTED_VALUE"""),786.0)</f>
        <v>786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IFERROR(__xludf.DUMMYFUNCTION("""COMPUTED_VALUE"""),799.5)</f>
        <v>799.5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IFERROR(__xludf.DUMMYFUNCTION("""COMPUTED_VALUE"""),850.0)</f>
        <v>850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IFERROR(__xludf.DUMMYFUNCTION("""COMPUTED_VALUE"""),804.0)</f>
        <v>804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IFERROR(__xludf.DUMMYFUNCTION("""COMPUTED_VALUE"""),844.7)</f>
        <v>844.7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IFERROR(__xludf.DUMMYFUNCTION("""COMPUTED_VALUE"""),794.4)</f>
        <v>794.4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IFERROR(__xludf.DUMMYFUNCTION("""COMPUTED_VALUE"""),845.0)</f>
        <v>845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IFERROR(__xludf.DUMMYFUNCTION("""COMPUTED_VALUE"""),859.85)</f>
        <v>859.85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IFERROR(__xludf.DUMMYFUNCTION("""COMPUTED_VALUE"""),840.0)</f>
        <v>840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IFERROR(__xludf.DUMMYFUNCTION("""COMPUTED_VALUE"""),822.0)</f>
        <v>822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IFERROR(__xludf.DUMMYFUNCTION("""COMPUTED_VALUE"""),850.0)</f>
        <v>850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IFERROR(__xludf.DUMMYFUNCTION("""COMPUTED_VALUE"""),790.0)</f>
        <v>790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IFERROR(__xludf.DUMMYFUNCTION("""COMPUTED_VALUE"""),769.9)</f>
        <v>769.9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IFERROR(__xludf.DUMMYFUNCTION("""COMPUTED_VALUE"""),722.0)</f>
        <v>722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IFERROR(__xludf.DUMMYFUNCTION("""COMPUTED_VALUE"""),700.0)</f>
        <v>700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IFERROR(__xludf.DUMMYFUNCTION("""COMPUTED_VALUE"""),685.0)</f>
        <v>685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IFERROR(__xludf.DUMMYFUNCTION("""COMPUTED_VALUE"""),666.0)</f>
        <v>666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IFERROR(__xludf.DUMMYFUNCTION("""COMPUTED_VALUE"""),647.0)</f>
        <v>647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IFERROR(__xludf.DUMMYFUNCTION("""COMPUTED_VALUE"""),668.0)</f>
        <v>668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IFERROR(__xludf.DUMMYFUNCTION("""COMPUTED_VALUE"""),624.0)</f>
        <v>624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IFERROR(__xludf.DUMMYFUNCTION("""COMPUTED_VALUE"""),579.0)</f>
        <v>579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IFERROR(__xludf.DUMMYFUNCTION("""COMPUTED_VALUE"""),567.7)</f>
        <v>567.7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IFERROR(__xludf.DUMMYFUNCTION("""COMPUTED_VALUE"""),552.0)</f>
        <v>552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IFERROR(__xludf.DUMMYFUNCTION("""COMPUTED_VALUE"""),600.0)</f>
        <v>600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IFERROR(__xludf.DUMMYFUNCTION("""COMPUTED_VALUE"""),604.2)</f>
        <v>604.2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IFERROR(__xludf.DUMMYFUNCTION("""COMPUTED_VALUE"""),651.0)</f>
        <v>651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IFERROR(__xludf.DUMMYFUNCTION("""COMPUTED_VALUE"""),649.9)</f>
        <v>649.9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IFERROR(__xludf.DUMMYFUNCTION("""COMPUTED_VALUE"""),611.0)</f>
        <v>611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IFERROR(__xludf.DUMMYFUNCTION("""COMPUTED_VALUE"""),576.0)</f>
        <v>576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IFERROR(__xludf.DUMMYFUNCTION("""COMPUTED_VALUE"""),595.95)</f>
        <v>595.95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IFERROR(__xludf.DUMMYFUNCTION("""COMPUTED_VALUE"""),611.0)</f>
        <v>611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IFERROR(__xludf.DUMMYFUNCTION("""COMPUTED_VALUE"""),622.9)</f>
        <v>622.9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IFERROR(__xludf.DUMMYFUNCTION("""COMPUTED_VALUE"""),634.9)</f>
        <v>634.9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IFERROR(__xludf.DUMMYFUNCTION("""COMPUTED_VALUE"""),649.0)</f>
        <v>649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IFERROR(__xludf.DUMMYFUNCTION("""COMPUTED_VALUE"""),620.0)</f>
        <v>620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IFERROR(__xludf.DUMMYFUNCTION("""COMPUTED_VALUE"""),581.6)</f>
        <v>581.6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IFERROR(__xludf.DUMMYFUNCTION("""COMPUTED_VALUE"""),514.7)</f>
        <v>514.7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IFERROR(__xludf.DUMMYFUNCTION("""COMPUTED_VALUE"""),522.5)</f>
        <v>522.5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IFERROR(__xludf.DUMMYFUNCTION("""COMPUTED_VALUE"""),532.9)</f>
        <v>532.9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IFERROR(__xludf.DUMMYFUNCTION("""COMPUTED_VALUE"""),499.0)</f>
        <v>499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IFERROR(__xludf.DUMMYFUNCTION("""COMPUTED_VALUE"""),441.0)</f>
        <v>441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IFERROR(__xludf.DUMMYFUNCTION("""COMPUTED_VALUE"""),414.9)</f>
        <v>414.9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IFERROR(__xludf.DUMMYFUNCTION("""COMPUTED_VALUE"""),441.1)</f>
        <v>441.1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IFERROR(__xludf.DUMMYFUNCTION("""COMPUTED_VALUE"""),499.0)</f>
        <v>499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IFERROR(__xludf.DUMMYFUNCTION("""COMPUTED_VALUE"""),581.15)</f>
        <v>581.15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IFERROR(__xludf.DUMMYFUNCTION("""COMPUTED_VALUE"""),507.0)</f>
        <v>507</v>
      </c>
    </row>
    <row r="384" ht="15.75" customHeight="1"/>
    <row r="385" ht="15.75" customHeight="1"/>
    <row r="386" ht="15.75" customHeight="1">
      <c r="B386" s="2" t="str">
        <f>IFERROR(__xludf.DUMMYFUNCTION("GOOGLEFINANCE(""NSE:ACC"",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IFERROR(__xludf.DUMMYFUNCTION("""COMPUTED_VALUE"""),503.9)</f>
        <v>503.9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IFERROR(__xludf.DUMMYFUNCTION("""COMPUTED_VALUE"""),559.9)</f>
        <v>559.9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IFERROR(__xludf.DUMMYFUNCTION("""COMPUTED_VALUE"""),527.0)</f>
        <v>527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IFERROR(__xludf.DUMMYFUNCTION("""COMPUTED_VALUE"""),511.0)</f>
        <v>511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IFERROR(__xludf.DUMMYFUNCTION("""COMPUTED_VALUE"""),511.45)</f>
        <v>511.45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IFERROR(__xludf.DUMMYFUNCTION("""COMPUTED_VALUE"""),543.8)</f>
        <v>543.8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IFERROR(__xludf.DUMMYFUNCTION("""COMPUTED_VALUE"""),589.0)</f>
        <v>589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IFERROR(__xludf.DUMMYFUNCTION("""COMPUTED_VALUE"""),578.0)</f>
        <v>578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IFERROR(__xludf.DUMMYFUNCTION("""COMPUTED_VALUE"""),571.0)</f>
        <v>571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IFERROR(__xludf.DUMMYFUNCTION("""COMPUTED_VALUE"""),551.9)</f>
        <v>551.9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IFERROR(__xludf.DUMMYFUNCTION("""COMPUTED_VALUE"""),564.2)</f>
        <v>564.2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IFERROR(__xludf.DUMMYFUNCTION("""COMPUTED_VALUE"""),575.0)</f>
        <v>575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IFERROR(__xludf.DUMMYFUNCTION("""COMPUTED_VALUE"""),589.8)</f>
        <v>589.8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IFERROR(__xludf.DUMMYFUNCTION("""COMPUTED_VALUE"""),611.0)</f>
        <v>611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IFERROR(__xludf.DUMMYFUNCTION("""COMPUTED_VALUE"""),618.7)</f>
        <v>618.7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IFERROR(__xludf.DUMMYFUNCTION("""COMPUTED_VALUE"""),635.9)</f>
        <v>635.9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IFERROR(__xludf.DUMMYFUNCTION("""COMPUTED_VALUE"""),682.9)</f>
        <v>682.9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IFERROR(__xludf.DUMMYFUNCTION("""COMPUTED_VALUE"""),690.0)</f>
        <v>690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IFERROR(__xludf.DUMMYFUNCTION("""COMPUTED_VALUE"""),682.0)</f>
        <v>682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IFERROR(__xludf.DUMMYFUNCTION("""COMPUTED_VALUE"""),640.0)</f>
        <v>640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IFERROR(__xludf.DUMMYFUNCTION("""COMPUTED_VALUE"""),786.5)</f>
        <v>786.5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IFERROR(__xludf.DUMMYFUNCTION("""COMPUTED_VALUE"""),804.85)</f>
        <v>804.85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IFERROR(__xludf.DUMMYFUNCTION("""COMPUTED_VALUE"""),880.0)</f>
        <v>880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IFERROR(__xludf.DUMMYFUNCTION("""COMPUTED_VALUE"""),903.6)</f>
        <v>903.6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IFERROR(__xludf.DUMMYFUNCTION("""COMPUTED_VALUE"""),873.0)</f>
        <v>873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IFERROR(__xludf.DUMMYFUNCTION("""COMPUTED_VALUE"""),803.0)</f>
        <v>803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IFERROR(__xludf.DUMMYFUNCTION("""COMPUTED_VALUE"""),811.9)</f>
        <v>811.9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IFERROR(__xludf.DUMMYFUNCTION("""COMPUTED_VALUE"""),809.8)</f>
        <v>809.8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IFERROR(__xludf.DUMMYFUNCTION("""COMPUTED_VALUE"""),831.6)</f>
        <v>831.6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IFERROR(__xludf.DUMMYFUNCTION("""COMPUTED_VALUE"""),876.0)</f>
        <v>876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IFERROR(__xludf.DUMMYFUNCTION("""COMPUTED_VALUE"""),888.0)</f>
        <v>888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IFERROR(__xludf.DUMMYFUNCTION("""COMPUTED_VALUE"""),928.8)</f>
        <v>928.8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IFERROR(__xludf.DUMMYFUNCTION("""COMPUTED_VALUE"""),897.7)</f>
        <v>897.7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IFERROR(__xludf.DUMMYFUNCTION("""COMPUTED_VALUE"""),827.0)</f>
        <v>827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IFERROR(__xludf.DUMMYFUNCTION("""COMPUTED_VALUE"""),816.8)</f>
        <v>816.8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IFERROR(__xludf.DUMMYFUNCTION("""COMPUTED_VALUE"""),821.7)</f>
        <v>821.7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IFERROR(__xludf.DUMMYFUNCTION("""COMPUTED_VALUE"""),816.7)</f>
        <v>816.7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IFERROR(__xludf.DUMMYFUNCTION("""COMPUTED_VALUE"""),853.9)</f>
        <v>853.9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IFERROR(__xludf.DUMMYFUNCTION("""COMPUTED_VALUE"""),855.0)</f>
        <v>855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IFERROR(__xludf.DUMMYFUNCTION("""COMPUTED_VALUE"""),842.5)</f>
        <v>842.5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IFERROR(__xludf.DUMMYFUNCTION("""COMPUTED_VALUE"""),821.8)</f>
        <v>821.8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IFERROR(__xludf.DUMMYFUNCTION("""COMPUTED_VALUE"""),808.0)</f>
        <v>808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IFERROR(__xludf.DUMMYFUNCTION("""COMPUTED_VALUE"""),774.0)</f>
        <v>774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IFERROR(__xludf.DUMMYFUNCTION("""COMPUTED_VALUE"""),748.0)</f>
        <v>748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IFERROR(__xludf.DUMMYFUNCTION("""COMPUTED_VALUE"""),745.85)</f>
        <v>745.85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IFERROR(__xludf.DUMMYFUNCTION("""COMPUTED_VALUE"""),770.0)</f>
        <v>770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IFERROR(__xludf.DUMMYFUNCTION("""COMPUTED_VALUE"""),817.0)</f>
        <v>817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IFERROR(__xludf.DUMMYFUNCTION("""COMPUTED_VALUE"""),822.9)</f>
        <v>822.9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IFERROR(__xludf.DUMMYFUNCTION("""COMPUTED_VALUE"""),821.5)</f>
        <v>821.5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IFERROR(__xludf.DUMMYFUNCTION("""COMPUTED_VALUE"""),872.9)</f>
        <v>872.9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IFERROR(__xludf.DUMMYFUNCTION("""COMPUTED_VALUE"""),868.0)</f>
        <v>868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IFERROR(__xludf.DUMMYFUNCTION("""COMPUTED_VALUE"""),883.9)</f>
        <v>883.9</v>
      </c>
    </row>
    <row r="439" ht="15.75" customHeight="1"/>
    <row r="440" ht="15.75" customHeight="1"/>
    <row r="441" ht="15.75" customHeight="1">
      <c r="B441" s="2" t="str">
        <f>IFERROR(__xludf.DUMMYFUNCTION("GOOGLEFINANCE(""NSE:ACC"",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IFERROR(__xludf.DUMMYFUNCTION("""COMPUTED_VALUE"""),926.4)</f>
        <v>926.4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IFERROR(__xludf.DUMMYFUNCTION("""COMPUTED_VALUE"""),989.9)</f>
        <v>989.9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IFERROR(__xludf.DUMMYFUNCTION("""COMPUTED_VALUE"""),989.0)</f>
        <v>989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IFERROR(__xludf.DUMMYFUNCTION("""COMPUTED_VALUE"""),931.0)</f>
        <v>931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IFERROR(__xludf.DUMMYFUNCTION("""COMPUTED_VALUE"""),891.1)</f>
        <v>891.1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IFERROR(__xludf.DUMMYFUNCTION("""COMPUTED_VALUE"""),946.0)</f>
        <v>946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IFERROR(__xludf.DUMMYFUNCTION("""COMPUTED_VALUE"""),929.8)</f>
        <v>929.8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IFERROR(__xludf.DUMMYFUNCTION("""COMPUTED_VALUE"""),987.4)</f>
        <v>987.4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IFERROR(__xludf.DUMMYFUNCTION("""COMPUTED_VALUE"""),1020.0)</f>
        <v>1020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IFERROR(__xludf.DUMMYFUNCTION("""COMPUTED_VALUE"""),999.8)</f>
        <v>999.8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IFERROR(__xludf.DUMMYFUNCTION("""COMPUTED_VALUE"""),991.0)</f>
        <v>991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IFERROR(__xludf.DUMMYFUNCTION("""COMPUTED_VALUE"""),969.95)</f>
        <v>969.95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IFERROR(__xludf.DUMMYFUNCTION("""COMPUTED_VALUE"""),986.95)</f>
        <v>986.95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IFERROR(__xludf.DUMMYFUNCTION("""COMPUTED_VALUE"""),967.7)</f>
        <v>967.7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IFERROR(__xludf.DUMMYFUNCTION("""COMPUTED_VALUE"""),946.9)</f>
        <v>946.9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IFERROR(__xludf.DUMMYFUNCTION("""COMPUTED_VALUE"""),925.95)</f>
        <v>925.95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IFERROR(__xludf.DUMMYFUNCTION("""COMPUTED_VALUE"""),913.85)</f>
        <v>913.85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IFERROR(__xludf.DUMMYFUNCTION("""COMPUTED_VALUE"""),902.0)</f>
        <v>902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IFERROR(__xludf.DUMMYFUNCTION("""COMPUTED_VALUE"""),884.0)</f>
        <v>884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IFERROR(__xludf.DUMMYFUNCTION("""COMPUTED_VALUE"""),875.1)</f>
        <v>875.1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IFERROR(__xludf.DUMMYFUNCTION("""COMPUTED_VALUE"""),854.95)</f>
        <v>854.95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IFERROR(__xludf.DUMMYFUNCTION("""COMPUTED_VALUE"""),898.7)</f>
        <v>898.7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IFERROR(__xludf.DUMMYFUNCTION("""COMPUTED_VALUE"""),885.0)</f>
        <v>885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IFERROR(__xludf.DUMMYFUNCTION("""COMPUTED_VALUE"""),897.0)</f>
        <v>897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IFERROR(__xludf.DUMMYFUNCTION("""COMPUTED_VALUE"""),880.0)</f>
        <v>880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IFERROR(__xludf.DUMMYFUNCTION("""COMPUTED_VALUE"""),868.95)</f>
        <v>868.95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IFERROR(__xludf.DUMMYFUNCTION("""COMPUTED_VALUE"""),842.0)</f>
        <v>842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IFERROR(__xludf.DUMMYFUNCTION("""COMPUTED_VALUE"""),832.0)</f>
        <v>832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IFERROR(__xludf.DUMMYFUNCTION("""COMPUTED_VALUE"""),849.9)</f>
        <v>849.9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IFERROR(__xludf.DUMMYFUNCTION("""COMPUTED_VALUE"""),839.55)</f>
        <v>839.55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IFERROR(__xludf.DUMMYFUNCTION("""COMPUTED_VALUE"""),857.0)</f>
        <v>857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IFERROR(__xludf.DUMMYFUNCTION("""COMPUTED_VALUE"""),888.4)</f>
        <v>888.4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IFERROR(__xludf.DUMMYFUNCTION("""COMPUTED_VALUE"""),882.0)</f>
        <v>882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IFERROR(__xludf.DUMMYFUNCTION("""COMPUTED_VALUE"""),903.5)</f>
        <v>903.5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IFERROR(__xludf.DUMMYFUNCTION("""COMPUTED_VALUE"""),1002.0)</f>
        <v>1002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IFERROR(__xludf.DUMMYFUNCTION("""COMPUTED_VALUE"""),1016.85)</f>
        <v>1016.85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IFERROR(__xludf.DUMMYFUNCTION("""COMPUTED_VALUE"""),1030.0)</f>
        <v>1030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IFERROR(__xludf.DUMMYFUNCTION("""COMPUTED_VALUE"""),1037.95)</f>
        <v>1037.95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IFERROR(__xludf.DUMMYFUNCTION("""COMPUTED_VALUE"""),1050.0)</f>
        <v>1050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IFERROR(__xludf.DUMMYFUNCTION("""COMPUTED_VALUE"""),1041.7)</f>
        <v>1041.7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IFERROR(__xludf.DUMMYFUNCTION("""COMPUTED_VALUE"""),999.0)</f>
        <v>999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IFERROR(__xludf.DUMMYFUNCTION("""COMPUTED_VALUE"""),1029.0)</f>
        <v>1029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IFERROR(__xludf.DUMMYFUNCTION("""COMPUTED_VALUE"""),1102.0)</f>
        <v>1102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IFERROR(__xludf.DUMMYFUNCTION("""COMPUTED_VALUE"""),1134.4)</f>
        <v>1134.4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IFERROR(__xludf.DUMMYFUNCTION("""COMPUTED_VALUE"""),1080.0)</f>
        <v>1080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IFERROR(__xludf.DUMMYFUNCTION("""COMPUTED_VALUE"""),1038.0)</f>
        <v>1038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IFERROR(__xludf.DUMMYFUNCTION("""COMPUTED_VALUE"""),1024.9)</f>
        <v>1024.9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IFERROR(__xludf.DUMMYFUNCTION("""COMPUTED_VALUE"""),1087.7)</f>
        <v>1087.7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IFERROR(__xludf.DUMMYFUNCTION("""COMPUTED_VALUE"""),1081.8)</f>
        <v>1081.8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IFERROR(__xludf.DUMMYFUNCTION("""COMPUTED_VALUE"""),1098.85)</f>
        <v>1098.85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IFERROR(__xludf.DUMMYFUNCTION("""COMPUTED_VALUE"""),1098.35)</f>
        <v>1098.35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IFERROR(__xludf.DUMMYFUNCTION("GOOGLEFINANCE(""NSE:ACC"",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IFERROR(__xludf.DUMMYFUNCTION("""COMPUTED_VALUE"""),1088.0)</f>
        <v>1088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IFERROR(__xludf.DUMMYFUNCTION("""COMPUTED_VALUE"""),1052.0)</f>
        <v>1052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IFERROR(__xludf.DUMMYFUNCTION("""COMPUTED_VALUE"""),1033.0)</f>
        <v>1033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IFERROR(__xludf.DUMMYFUNCTION("""COMPUTED_VALUE"""),1046.75)</f>
        <v>1046.75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IFERROR(__xludf.DUMMYFUNCTION("""COMPUTED_VALUE"""),999.9)</f>
        <v>999.9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IFERROR(__xludf.DUMMYFUNCTION("""COMPUTED_VALUE"""),995.0)</f>
        <v>995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IFERROR(__xludf.DUMMYFUNCTION("""COMPUTED_VALUE"""),1028.0)</f>
        <v>1028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IFERROR(__xludf.DUMMYFUNCTION("""COMPUTED_VALUE"""),1024.45)</f>
        <v>1024.45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IFERROR(__xludf.DUMMYFUNCTION("""COMPUTED_VALUE"""),1000.0)</f>
        <v>1000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IFERROR(__xludf.DUMMYFUNCTION("""COMPUTED_VALUE"""),1015.0)</f>
        <v>1015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IFERROR(__xludf.DUMMYFUNCTION("""COMPUTED_VALUE"""),1035.0)</f>
        <v>1035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IFERROR(__xludf.DUMMYFUNCTION("""COMPUTED_VALUE"""),1042.8)</f>
        <v>1042.8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IFERROR(__xludf.DUMMYFUNCTION("""COMPUTED_VALUE"""),1099.0)</f>
        <v>1099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IFERROR(__xludf.DUMMYFUNCTION("""COMPUTED_VALUE"""),1144.0)</f>
        <v>1144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IFERROR(__xludf.DUMMYFUNCTION("""COMPUTED_VALUE"""),1123.6)</f>
        <v>1123.6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IFERROR(__xludf.DUMMYFUNCTION("""COMPUTED_VALUE"""),1130.0)</f>
        <v>1130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IFERROR(__xludf.DUMMYFUNCTION("""COMPUTED_VALUE"""),1135.0)</f>
        <v>1135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IFERROR(__xludf.DUMMYFUNCTION("""COMPUTED_VALUE"""),1114.8)</f>
        <v>1114.8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IFERROR(__xludf.DUMMYFUNCTION("""COMPUTED_VALUE"""),1010.0)</f>
        <v>1010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IFERROR(__xludf.DUMMYFUNCTION("""COMPUTED_VALUE"""),1016.4)</f>
        <v>1016.4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IFERROR(__xludf.DUMMYFUNCTION("""COMPUTED_VALUE"""),1012.0)</f>
        <v>1012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IFERROR(__xludf.DUMMYFUNCTION("""COMPUTED_VALUE"""),1053.05)</f>
        <v>1053.05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IFERROR(__xludf.DUMMYFUNCTION("""COMPUTED_VALUE"""),1049.0)</f>
        <v>1049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IFERROR(__xludf.DUMMYFUNCTION("""COMPUTED_VALUE"""),1019.35)</f>
        <v>1019.35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IFERROR(__xludf.DUMMYFUNCTION("""COMPUTED_VALUE"""),985.0)</f>
        <v>985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IFERROR(__xludf.DUMMYFUNCTION("""COMPUTED_VALUE"""),988.0)</f>
        <v>988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IFERROR(__xludf.DUMMYFUNCTION("""COMPUTED_VALUE"""),998.0)</f>
        <v>998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IFERROR(__xludf.DUMMYFUNCTION("""COMPUTED_VALUE"""),989.5)</f>
        <v>989.5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IFERROR(__xludf.DUMMYFUNCTION("""COMPUTED_VALUE"""),996.95)</f>
        <v>996.95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IFERROR(__xludf.DUMMYFUNCTION("""COMPUTED_VALUE"""),1036.5)</f>
        <v>1036.5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IFERROR(__xludf.DUMMYFUNCTION("""COMPUTED_VALUE"""),1020.0)</f>
        <v>1020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IFERROR(__xludf.DUMMYFUNCTION("""COMPUTED_VALUE"""),1024.8)</f>
        <v>1024.8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IFERROR(__xludf.DUMMYFUNCTION("""COMPUTED_VALUE"""),1011.55)</f>
        <v>1011.55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IFERROR(__xludf.DUMMYFUNCTION("""COMPUTED_VALUE"""),1019.0)</f>
        <v>1019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IFERROR(__xludf.DUMMYFUNCTION("""COMPUTED_VALUE"""),1034.0)</f>
        <v>1034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IFERROR(__xludf.DUMMYFUNCTION("""COMPUTED_VALUE"""),1080.0)</f>
        <v>1080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IFERROR(__xludf.DUMMYFUNCTION("""COMPUTED_VALUE"""),1073.2)</f>
        <v>1073.2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IFERROR(__xludf.DUMMYFUNCTION("""COMPUTED_VALUE"""),1084.8)</f>
        <v>1084.8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IFERROR(__xludf.DUMMYFUNCTION("""COMPUTED_VALUE"""),1105.0)</f>
        <v>1105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IFERROR(__xludf.DUMMYFUNCTION("""COMPUTED_VALUE"""),1128.55)</f>
        <v>1128.55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IFERROR(__xludf.DUMMYFUNCTION("""COMPUTED_VALUE"""),1147.15)</f>
        <v>1147.15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IFERROR(__xludf.DUMMYFUNCTION("""COMPUTED_VALUE"""),1134.0)</f>
        <v>1134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IFERROR(__xludf.DUMMYFUNCTION("""COMPUTED_VALUE"""),1237.4)</f>
        <v>1237.4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IFERROR(__xludf.DUMMYFUNCTION("""COMPUTED_VALUE"""),1231.75)</f>
        <v>1231.75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IFERROR(__xludf.DUMMYFUNCTION("""COMPUTED_VALUE"""),1229.75)</f>
        <v>1229.75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IFERROR(__xludf.DUMMYFUNCTION("""COMPUTED_VALUE"""),1232.95)</f>
        <v>1232.95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IFERROR(__xludf.DUMMYFUNCTION("""COMPUTED_VALUE"""),1150.0)</f>
        <v>1150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IFERROR(__xludf.DUMMYFUNCTION("""COMPUTED_VALUE"""),1219.0)</f>
        <v>1219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IFERROR(__xludf.DUMMYFUNCTION("""COMPUTED_VALUE"""),1230.0)</f>
        <v>1230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IFERROR(__xludf.DUMMYFUNCTION("""COMPUTED_VALUE"""),1177.9)</f>
        <v>1177.9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IFERROR(__xludf.DUMMYFUNCTION("""COMPUTED_VALUE"""),1162.2)</f>
        <v>1162.2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IFERROR(__xludf.DUMMYFUNCTION("""COMPUTED_VALUE"""),1186.0)</f>
        <v>1186</v>
      </c>
    </row>
    <row r="549" ht="15.75" customHeight="1"/>
    <row r="550" ht="15.75" customHeight="1"/>
    <row r="551" ht="15.75" customHeight="1">
      <c r="B551" s="2" t="str">
        <f>IFERROR(__xludf.DUMMYFUNCTION("GOOGLEFINANCE(""NSE:ACC"",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IFERROR(__xludf.DUMMYFUNCTION("""COMPUTED_VALUE"""),1132.5)</f>
        <v>1132.5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IFERROR(__xludf.DUMMYFUNCTION("""COMPUTED_VALUE"""),1178.5)</f>
        <v>1178.5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IFERROR(__xludf.DUMMYFUNCTION("""COMPUTED_VALUE"""),1207.0)</f>
        <v>1207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IFERROR(__xludf.DUMMYFUNCTION("""COMPUTED_VALUE"""),1275.0)</f>
        <v>1275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IFERROR(__xludf.DUMMYFUNCTION("""COMPUTED_VALUE"""),1421.75)</f>
        <v>1421.75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IFERROR(__xludf.DUMMYFUNCTION("""COMPUTED_VALUE"""),1387.5)</f>
        <v>1387.5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IFERROR(__xludf.DUMMYFUNCTION("""COMPUTED_VALUE"""),1380.55)</f>
        <v>1380.55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IFERROR(__xludf.DUMMYFUNCTION("""COMPUTED_VALUE"""),1331.2)</f>
        <v>1331.2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IFERROR(__xludf.DUMMYFUNCTION("""COMPUTED_VALUE"""),1365.9)</f>
        <v>1365.9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IFERROR(__xludf.DUMMYFUNCTION("""COMPUTED_VALUE"""),1405.0)</f>
        <v>1405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IFERROR(__xludf.DUMMYFUNCTION("""COMPUTED_VALUE"""),1375.0)</f>
        <v>1375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IFERROR(__xludf.DUMMYFUNCTION("""COMPUTED_VALUE"""),1373.25)</f>
        <v>1373.25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IFERROR(__xludf.DUMMYFUNCTION("""COMPUTED_VALUE"""),1337.0)</f>
        <v>1337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IFERROR(__xludf.DUMMYFUNCTION("""COMPUTED_VALUE"""),1319.0)</f>
        <v>1319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IFERROR(__xludf.DUMMYFUNCTION("""COMPUTED_VALUE"""),1249.8)</f>
        <v>1249.8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IFERROR(__xludf.DUMMYFUNCTION("""COMPUTED_VALUE"""),1250.0)</f>
        <v>1250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IFERROR(__xludf.DUMMYFUNCTION("""COMPUTED_VALUE"""),1187.75)</f>
        <v>1187.75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IFERROR(__xludf.DUMMYFUNCTION("""COMPUTED_VALUE"""),1168.7)</f>
        <v>1168.7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IFERROR(__xludf.DUMMYFUNCTION("""COMPUTED_VALUE"""),1174.5)</f>
        <v>1174.5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IFERROR(__xludf.DUMMYFUNCTION("""COMPUTED_VALUE"""),1171.6)</f>
        <v>1171.6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IFERROR(__xludf.DUMMYFUNCTION("""COMPUTED_VALUE"""),1231.6)</f>
        <v>1231.6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IFERROR(__xludf.DUMMYFUNCTION("""COMPUTED_VALUE"""),1282.7)</f>
        <v>1282.7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IFERROR(__xludf.DUMMYFUNCTION("""COMPUTED_VALUE"""),1273.8)</f>
        <v>1273.8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IFERROR(__xludf.DUMMYFUNCTION("""COMPUTED_VALUE"""),1321.0)</f>
        <v>1321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IFERROR(__xludf.DUMMYFUNCTION("""COMPUTED_VALUE"""),1292.15)</f>
        <v>1292.15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IFERROR(__xludf.DUMMYFUNCTION("""COMPUTED_VALUE"""),1281.4)</f>
        <v>1281.4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IFERROR(__xludf.DUMMYFUNCTION("""COMPUTED_VALUE"""),1309.0)</f>
        <v>1309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IFERROR(__xludf.DUMMYFUNCTION("""COMPUTED_VALUE"""),1332.3)</f>
        <v>1332.3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IFERROR(__xludf.DUMMYFUNCTION("""COMPUTED_VALUE"""),1356.9)</f>
        <v>1356.9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IFERROR(__xludf.DUMMYFUNCTION("""COMPUTED_VALUE"""),1364.0)</f>
        <v>1364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IFERROR(__xludf.DUMMYFUNCTION("""COMPUTED_VALUE"""),1370.8)</f>
        <v>1370.8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IFERROR(__xludf.DUMMYFUNCTION("""COMPUTED_VALUE"""),1350.9)</f>
        <v>1350.9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IFERROR(__xludf.DUMMYFUNCTION("""COMPUTED_VALUE"""),1389.8)</f>
        <v>1389.8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IFERROR(__xludf.DUMMYFUNCTION("""COMPUTED_VALUE"""),1398.8)</f>
        <v>1398.8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IFERROR(__xludf.DUMMYFUNCTION("""COMPUTED_VALUE"""),1477.5)</f>
        <v>1477.5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IFERROR(__xludf.DUMMYFUNCTION("""COMPUTED_VALUE"""),1545.35)</f>
        <v>1545.35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IFERROR(__xludf.DUMMYFUNCTION("""COMPUTED_VALUE"""),1509.9)</f>
        <v>1509.9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IFERROR(__xludf.DUMMYFUNCTION("""COMPUTED_VALUE"""),1514.4)</f>
        <v>1514.4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IFERROR(__xludf.DUMMYFUNCTION("""COMPUTED_VALUE"""),1424.0)</f>
        <v>1424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IFERROR(__xludf.DUMMYFUNCTION("""COMPUTED_VALUE"""),1420.6)</f>
        <v>1420.6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IFERROR(__xludf.DUMMYFUNCTION("""COMPUTED_VALUE"""),1487.95)</f>
        <v>1487.95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IFERROR(__xludf.DUMMYFUNCTION("""COMPUTED_VALUE"""),1464.6)</f>
        <v>1464.6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IFERROR(__xludf.DUMMYFUNCTION("""COMPUTED_VALUE"""),1404.9)</f>
        <v>1404.9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IFERROR(__xludf.DUMMYFUNCTION("""COMPUTED_VALUE"""),1409.0)</f>
        <v>1409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IFERROR(__xludf.DUMMYFUNCTION("""COMPUTED_VALUE"""),1447.3)</f>
        <v>1447.3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IFERROR(__xludf.DUMMYFUNCTION("""COMPUTED_VALUE"""),1454.0)</f>
        <v>1454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IFERROR(__xludf.DUMMYFUNCTION("""COMPUTED_VALUE"""),1424.0)</f>
        <v>1424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IFERROR(__xludf.DUMMYFUNCTION("""COMPUTED_VALUE"""),1426.15)</f>
        <v>1426.15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IFERROR(__xludf.DUMMYFUNCTION("GOOGLEFINANCE(""NSE:ACC"",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IFERROR(__xludf.DUMMYFUNCTION("""COMPUTED_VALUE"""),1452.5)</f>
        <v>1452.5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IFERROR(__xludf.DUMMYFUNCTION("""COMPUTED_VALUE"""),1440.8)</f>
        <v>1440.8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IFERROR(__xludf.DUMMYFUNCTION("""COMPUTED_VALUE"""),1393.25)</f>
        <v>1393.25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IFERROR(__xludf.DUMMYFUNCTION("""COMPUTED_VALUE"""),1371.7)</f>
        <v>1371.7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IFERROR(__xludf.DUMMYFUNCTION("""COMPUTED_VALUE"""),1347.95)</f>
        <v>1347.95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IFERROR(__xludf.DUMMYFUNCTION("""COMPUTED_VALUE"""),1349.0)</f>
        <v>1349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IFERROR(__xludf.DUMMYFUNCTION("""COMPUTED_VALUE"""),1306.4)</f>
        <v>1306.4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IFERROR(__xludf.DUMMYFUNCTION("""COMPUTED_VALUE"""),1316.0)</f>
        <v>1316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IFERROR(__xludf.DUMMYFUNCTION("""COMPUTED_VALUE"""),1321.0)</f>
        <v>1321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IFERROR(__xludf.DUMMYFUNCTION("""COMPUTED_VALUE"""),1277.35)</f>
        <v>1277.35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IFERROR(__xludf.DUMMYFUNCTION("""COMPUTED_VALUE"""),1300.7)</f>
        <v>1300.7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IFERROR(__xludf.DUMMYFUNCTION("""COMPUTED_VALUE"""),1259.7)</f>
        <v>1259.7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IFERROR(__xludf.DUMMYFUNCTION("""COMPUTED_VALUE"""),1169.9)</f>
        <v>1169.9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IFERROR(__xludf.DUMMYFUNCTION("""COMPUTED_VALUE"""),1181.0)</f>
        <v>1181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IFERROR(__xludf.DUMMYFUNCTION("""COMPUTED_VALUE"""),1161.75)</f>
        <v>1161.75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IFERROR(__xludf.DUMMYFUNCTION("""COMPUTED_VALUE"""),1218.85)</f>
        <v>1218.85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IFERROR(__xludf.DUMMYFUNCTION("""COMPUTED_VALUE"""),1263.9)</f>
        <v>1263.9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IFERROR(__xludf.DUMMYFUNCTION("""COMPUTED_VALUE"""),1275.0)</f>
        <v>1275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IFERROR(__xludf.DUMMYFUNCTION("""COMPUTED_VALUE"""),1279.9)</f>
        <v>1279.9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IFERROR(__xludf.DUMMYFUNCTION("""COMPUTED_VALUE"""),1278.0)</f>
        <v>1278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IFERROR(__xludf.DUMMYFUNCTION("""COMPUTED_VALUE"""),1252.0)</f>
        <v>1252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IFERROR(__xludf.DUMMYFUNCTION("""COMPUTED_VALUE"""),1236.0)</f>
        <v>1236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IFERROR(__xludf.DUMMYFUNCTION("""COMPUTED_VALUE"""),1255.45)</f>
        <v>1255.45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IFERROR(__xludf.DUMMYFUNCTION("""COMPUTED_VALUE"""),1228.0)</f>
        <v>1228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IFERROR(__xludf.DUMMYFUNCTION("""COMPUTED_VALUE"""),1230.0)</f>
        <v>1230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IFERROR(__xludf.DUMMYFUNCTION("""COMPUTED_VALUE"""),1247.9)</f>
        <v>1247.9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IFERROR(__xludf.DUMMYFUNCTION("""COMPUTED_VALUE"""),1275.0)</f>
        <v>1275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IFERROR(__xludf.DUMMYFUNCTION("""COMPUTED_VALUE"""),1292.95)</f>
        <v>1292.95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IFERROR(__xludf.DUMMYFUNCTION("""COMPUTED_VALUE"""),1277.95)</f>
        <v>1277.95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IFERROR(__xludf.DUMMYFUNCTION("""COMPUTED_VALUE"""),1218.7)</f>
        <v>1218.7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IFERROR(__xludf.DUMMYFUNCTION("""COMPUTED_VALUE"""),1205.0)</f>
        <v>1205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IFERROR(__xludf.DUMMYFUNCTION("""COMPUTED_VALUE"""),1195.0)</f>
        <v>1195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IFERROR(__xludf.DUMMYFUNCTION("""COMPUTED_VALUE"""),1146.0)</f>
        <v>1146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IFERROR(__xludf.DUMMYFUNCTION("""COMPUTED_VALUE"""),1018.0)</f>
        <v>1018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IFERROR(__xludf.DUMMYFUNCTION("""COMPUTED_VALUE"""),974.5)</f>
        <v>974.5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IFERROR(__xludf.DUMMYFUNCTION("""COMPUTED_VALUE"""),1069.15)</f>
        <v>1069.15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IFERROR(__xludf.DUMMYFUNCTION("""COMPUTED_VALUE"""),1131.0)</f>
        <v>1131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IFERROR(__xludf.DUMMYFUNCTION("""COMPUTED_VALUE"""),1138.0)</f>
        <v>1138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IFERROR(__xludf.DUMMYFUNCTION("""COMPUTED_VALUE"""),1145.0)</f>
        <v>1145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IFERROR(__xludf.DUMMYFUNCTION("""COMPUTED_VALUE"""),1146.55)</f>
        <v>1146.55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IFERROR(__xludf.DUMMYFUNCTION("""COMPUTED_VALUE"""),1161.95)</f>
        <v>1161.95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IFERROR(__xludf.DUMMYFUNCTION("""COMPUTED_VALUE"""),1165.0)</f>
        <v>1165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IFERROR(__xludf.DUMMYFUNCTION("""COMPUTED_VALUE"""),1166.95)</f>
        <v>1166.95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IFERROR(__xludf.DUMMYFUNCTION("""COMPUTED_VALUE"""),1146.05)</f>
        <v>1146.05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IFERROR(__xludf.DUMMYFUNCTION("""COMPUTED_VALUE"""),1085.0)</f>
        <v>1085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IFERROR(__xludf.DUMMYFUNCTION("""COMPUTED_VALUE"""),1074.0)</f>
        <v>1074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IFERROR(__xludf.DUMMYFUNCTION("""COMPUTED_VALUE"""),1099.95)</f>
        <v>1099.95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IFERROR(__xludf.DUMMYFUNCTION("""COMPUTED_VALUE"""),1121.5)</f>
        <v>1121.5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IFERROR(__xludf.DUMMYFUNCTION("""COMPUTED_VALUE"""),1183.9)</f>
        <v>1183.9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IFERROR(__xludf.DUMMYFUNCTION("""COMPUTED_VALUE"""),1108.75)</f>
        <v>1108.75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IFERROR(__xludf.DUMMYFUNCTION("""COMPUTED_VALUE"""),1132.0)</f>
        <v>1132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IFERROR(__xludf.DUMMYFUNCTION("GOOGLEFINANCE(""NSE:ACC"",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IFERROR(__xludf.DUMMYFUNCTION("""COMPUTED_VALUE"""),1124.0)</f>
        <v>1124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IFERROR(__xludf.DUMMYFUNCTION("""COMPUTED_VALUE"""),1098.0)</f>
        <v>1098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IFERROR(__xludf.DUMMYFUNCTION("""COMPUTED_VALUE"""),1048.75)</f>
        <v>1048.75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IFERROR(__xludf.DUMMYFUNCTION("""COMPUTED_VALUE"""),1037.0)</f>
        <v>1037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IFERROR(__xludf.DUMMYFUNCTION("""COMPUTED_VALUE"""),1016.7)</f>
        <v>1016.7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IFERROR(__xludf.DUMMYFUNCTION("""COMPUTED_VALUE"""),1055.0)</f>
        <v>1055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IFERROR(__xludf.DUMMYFUNCTION("""COMPUTED_VALUE"""),1055.1)</f>
        <v>1055.1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IFERROR(__xludf.DUMMYFUNCTION("""COMPUTED_VALUE"""),1070.0)</f>
        <v>1070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IFERROR(__xludf.DUMMYFUNCTION("""COMPUTED_VALUE"""),1110.0)</f>
        <v>1110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IFERROR(__xludf.DUMMYFUNCTION("""COMPUTED_VALUE"""),1269.9)</f>
        <v>1269.9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IFERROR(__xludf.DUMMYFUNCTION("""COMPUTED_VALUE"""),1285.3)</f>
        <v>1285.3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IFERROR(__xludf.DUMMYFUNCTION("""COMPUTED_VALUE"""),1372.3)</f>
        <v>1372.3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IFERROR(__xludf.DUMMYFUNCTION("""COMPUTED_VALUE"""),1407.0)</f>
        <v>1407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IFERROR(__xludf.DUMMYFUNCTION("""COMPUTED_VALUE"""),1403.0)</f>
        <v>1403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IFERROR(__xludf.DUMMYFUNCTION("""COMPUTED_VALUE"""),1397.0)</f>
        <v>1397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IFERROR(__xludf.DUMMYFUNCTION("""COMPUTED_VALUE"""),1369.0)</f>
        <v>1369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IFERROR(__xludf.DUMMYFUNCTION("""COMPUTED_VALUE"""),1316.9)</f>
        <v>1316.9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IFERROR(__xludf.DUMMYFUNCTION("""COMPUTED_VALUE"""),1347.45)</f>
        <v>1347.45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IFERROR(__xludf.DUMMYFUNCTION("""COMPUTED_VALUE"""),1459.9)</f>
        <v>1459.9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IFERROR(__xludf.DUMMYFUNCTION("""COMPUTED_VALUE"""),1458.7)</f>
        <v>1458.7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IFERROR(__xludf.DUMMYFUNCTION("""COMPUTED_VALUE"""),1433.5)</f>
        <v>1433.5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IFERROR(__xludf.DUMMYFUNCTION("""COMPUTED_VALUE"""),1459.65)</f>
        <v>1459.65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IFERROR(__xludf.DUMMYFUNCTION("""COMPUTED_VALUE"""),1525.5)</f>
        <v>1525.5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IFERROR(__xludf.DUMMYFUNCTION("""COMPUTED_VALUE"""),1520.0)</f>
        <v>1520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IFERROR(__xludf.DUMMYFUNCTION("""COMPUTED_VALUE"""),1485.0)</f>
        <v>1485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IFERROR(__xludf.DUMMYFUNCTION("""COMPUTED_VALUE"""),1514.95)</f>
        <v>1514.95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IFERROR(__xludf.DUMMYFUNCTION("""COMPUTED_VALUE"""),1487.8)</f>
        <v>1487.8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IFERROR(__xludf.DUMMYFUNCTION("""COMPUTED_VALUE"""),1479.5)</f>
        <v>1479.5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IFERROR(__xludf.DUMMYFUNCTION("""COMPUTED_VALUE"""),1500.0)</f>
        <v>1500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IFERROR(__xludf.DUMMYFUNCTION("""COMPUTED_VALUE"""),1437.9)</f>
        <v>1437.9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IFERROR(__xludf.DUMMYFUNCTION("""COMPUTED_VALUE"""),1488.7)</f>
        <v>1488.7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IFERROR(__xludf.DUMMYFUNCTION("""COMPUTED_VALUE"""),1486.0)</f>
        <v>1486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IFERROR(__xludf.DUMMYFUNCTION("""COMPUTED_VALUE"""),1549.75)</f>
        <v>1549.75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IFERROR(__xludf.DUMMYFUNCTION("""COMPUTED_VALUE"""),1547.9)</f>
        <v>1547.9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IFERROR(__xludf.DUMMYFUNCTION("""COMPUTED_VALUE"""),1564.65)</f>
        <v>1564.65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IFERROR(__xludf.DUMMYFUNCTION("""COMPUTED_VALUE"""),1560.5)</f>
        <v>1560.5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IFERROR(__xludf.DUMMYFUNCTION("""COMPUTED_VALUE"""),1528.7)</f>
        <v>1528.7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IFERROR(__xludf.DUMMYFUNCTION("""COMPUTED_VALUE"""),1500.0)</f>
        <v>1500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IFERROR(__xludf.DUMMYFUNCTION("""COMPUTED_VALUE"""),1456.4)</f>
        <v>1456.4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IFERROR(__xludf.DUMMYFUNCTION("""COMPUTED_VALUE"""),1433.0)</f>
        <v>1433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IFERROR(__xludf.DUMMYFUNCTION("""COMPUTED_VALUE"""),1416.75)</f>
        <v>1416.75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IFERROR(__xludf.DUMMYFUNCTION("""COMPUTED_VALUE"""),1485.0)</f>
        <v>1485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IFERROR(__xludf.DUMMYFUNCTION("""COMPUTED_VALUE"""),1509.0)</f>
        <v>1509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IFERROR(__xludf.DUMMYFUNCTION("""COMPUTED_VALUE"""),1523.55)</f>
        <v>1523.55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IFERROR(__xludf.DUMMYFUNCTION("""COMPUTED_VALUE"""),1531.6)</f>
        <v>1531.6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IFERROR(__xludf.DUMMYFUNCTION("""COMPUTED_VALUE"""),1511.8)</f>
        <v>1511.8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IFERROR(__xludf.DUMMYFUNCTION("""COMPUTED_VALUE"""),1480.0)</f>
        <v>1480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IFERROR(__xludf.DUMMYFUNCTION("""COMPUTED_VALUE"""),1510.65)</f>
        <v>1510.65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IFERROR(__xludf.DUMMYFUNCTION("""COMPUTED_VALUE"""),1517.0)</f>
        <v>1517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IFERROR(__xludf.DUMMYFUNCTION("""COMPUTED_VALUE"""),1447.95)</f>
        <v>1447.95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IFERROR(__xludf.DUMMYFUNCTION("""COMPUTED_VALUE"""),1411.3)</f>
        <v>1411.3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IFERROR(__xludf.DUMMYFUNCTION("GOOGLEFINANCE(""NSE:ACC"",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IFERROR(__xludf.DUMMYFUNCTION("""COMPUTED_VALUE"""),1431.0)</f>
        <v>1431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IFERROR(__xludf.DUMMYFUNCTION("""COMPUTED_VALUE"""),1439.75)</f>
        <v>1439.75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IFERROR(__xludf.DUMMYFUNCTION("""COMPUTED_VALUE"""),1528.9)</f>
        <v>1528.9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IFERROR(__xludf.DUMMYFUNCTION("""COMPUTED_VALUE"""),1569.0)</f>
        <v>1569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IFERROR(__xludf.DUMMYFUNCTION("""COMPUTED_VALUE"""),1595.0)</f>
        <v>1595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IFERROR(__xludf.DUMMYFUNCTION("""COMPUTED_VALUE"""),1570.5)</f>
        <v>1570.5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IFERROR(__xludf.DUMMYFUNCTION("""COMPUTED_VALUE"""),1637.55)</f>
        <v>1637.55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IFERROR(__xludf.DUMMYFUNCTION("""COMPUTED_VALUE"""),1665.0)</f>
        <v>1665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IFERROR(__xludf.DUMMYFUNCTION("""COMPUTED_VALUE"""),1774.65)</f>
        <v>1774.65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IFERROR(__xludf.DUMMYFUNCTION("""COMPUTED_VALUE"""),1689.8)</f>
        <v>1689.8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IFERROR(__xludf.DUMMYFUNCTION("""COMPUTED_VALUE"""),1628.95)</f>
        <v>1628.95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IFERROR(__xludf.DUMMYFUNCTION("""COMPUTED_VALUE"""),1604.0)</f>
        <v>1604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IFERROR(__xludf.DUMMYFUNCTION("""COMPUTED_VALUE"""),1594.9)</f>
        <v>1594.9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IFERROR(__xludf.DUMMYFUNCTION("""COMPUTED_VALUE"""),1676.85)</f>
        <v>1676.85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IFERROR(__xludf.DUMMYFUNCTION("""COMPUTED_VALUE"""),1649.45)</f>
        <v>1649.45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IFERROR(__xludf.DUMMYFUNCTION("""COMPUTED_VALUE"""),1575.0)</f>
        <v>1575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IFERROR(__xludf.DUMMYFUNCTION("""COMPUTED_VALUE"""),1546.95)</f>
        <v>1546.95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IFERROR(__xludf.DUMMYFUNCTION("""COMPUTED_VALUE"""),1482.0)</f>
        <v>1482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IFERROR(__xludf.DUMMYFUNCTION("""COMPUTED_VALUE"""),1509.2)</f>
        <v>1509.2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IFERROR(__xludf.DUMMYFUNCTION("""COMPUTED_VALUE"""),1541.85)</f>
        <v>1541.85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IFERROR(__xludf.DUMMYFUNCTION("""COMPUTED_VALUE"""),1528.0)</f>
        <v>1528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IFERROR(__xludf.DUMMYFUNCTION("""COMPUTED_VALUE"""),1532.0)</f>
        <v>1532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IFERROR(__xludf.DUMMYFUNCTION("""COMPUTED_VALUE"""),1452.15)</f>
        <v>1452.15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IFERROR(__xludf.DUMMYFUNCTION("""COMPUTED_VALUE"""),1432.95)</f>
        <v>1432.95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IFERROR(__xludf.DUMMYFUNCTION("""COMPUTED_VALUE"""),1459.0)</f>
        <v>1459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IFERROR(__xludf.DUMMYFUNCTION("""COMPUTED_VALUE"""),1487.0)</f>
        <v>1487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IFERROR(__xludf.DUMMYFUNCTION("""COMPUTED_VALUE"""),1515.55)</f>
        <v>1515.55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IFERROR(__xludf.DUMMYFUNCTION("""COMPUTED_VALUE"""),1510.5)</f>
        <v>1510.5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IFERROR(__xludf.DUMMYFUNCTION("""COMPUTED_VALUE"""),1472.9)</f>
        <v>1472.9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IFERROR(__xludf.DUMMYFUNCTION("""COMPUTED_VALUE"""),1406.25)</f>
        <v>1406.25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IFERROR(__xludf.DUMMYFUNCTION("""COMPUTED_VALUE"""),1417.0)</f>
        <v>1417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IFERROR(__xludf.DUMMYFUNCTION("""COMPUTED_VALUE"""),1408.95)</f>
        <v>1408.95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IFERROR(__xludf.DUMMYFUNCTION("""COMPUTED_VALUE"""),1454.35)</f>
        <v>1454.35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IFERROR(__xludf.DUMMYFUNCTION("""COMPUTED_VALUE"""),1394.7)</f>
        <v>1394.7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IFERROR(__xludf.DUMMYFUNCTION("""COMPUTED_VALUE"""),1398.85)</f>
        <v>1398.85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IFERROR(__xludf.DUMMYFUNCTION("""COMPUTED_VALUE"""),1394.7)</f>
        <v>1394.7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IFERROR(__xludf.DUMMYFUNCTION("""COMPUTED_VALUE"""),1408.0)</f>
        <v>1408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IFERROR(__xludf.DUMMYFUNCTION("""COMPUTED_VALUE"""),1397.0)</f>
        <v>1397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IFERROR(__xludf.DUMMYFUNCTION("""COMPUTED_VALUE"""),1375.0)</f>
        <v>1375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IFERROR(__xludf.DUMMYFUNCTION("""COMPUTED_VALUE"""),1384.8)</f>
        <v>1384.8</v>
      </c>
    </row>
    <row r="757" ht="15.75" customHeight="1">
      <c r="B757" s="3">
        <f>IFERROR(__xludf.DUMMYFUNCTION("""COMPUTED_VALUE"""),42293.64583333333)</f>
        <v>42293.64583</v>
      </c>
      <c r="C757" s="2">
        <f>IFERROR(__xludf.DUMMYFUNCTION("""COMPUTED_VALUE"""),1399.9)</f>
        <v>1399.9</v>
      </c>
    </row>
    <row r="758" ht="15.75" customHeight="1">
      <c r="B758" s="3">
        <f>IFERROR(__xludf.DUMMYFUNCTION("""COMPUTED_VALUE"""),42300.64583333333)</f>
        <v>42300.64583</v>
      </c>
      <c r="C758" s="2">
        <f>IFERROR(__xludf.DUMMYFUNCTION("""COMPUTED_VALUE"""),1407.0)</f>
        <v>1407</v>
      </c>
    </row>
    <row r="759" ht="15.75" customHeight="1">
      <c r="B759" s="3">
        <f>IFERROR(__xludf.DUMMYFUNCTION("""COMPUTED_VALUE"""),42307.64583333333)</f>
        <v>42307.64583</v>
      </c>
      <c r="C759" s="2">
        <f>IFERROR(__xludf.DUMMYFUNCTION("""COMPUTED_VALUE"""),1407.45)</f>
        <v>1407.45</v>
      </c>
    </row>
    <row r="760" ht="15.75" customHeight="1">
      <c r="B760" s="3">
        <f>IFERROR(__xludf.DUMMYFUNCTION("""COMPUTED_VALUE"""),42314.64583333333)</f>
        <v>42314.64583</v>
      </c>
      <c r="C760" s="2">
        <f>IFERROR(__xludf.DUMMYFUNCTION("""COMPUTED_VALUE"""),1443.0)</f>
        <v>1443</v>
      </c>
    </row>
    <row r="761" ht="15.75" customHeight="1">
      <c r="B761" s="3">
        <f>IFERROR(__xludf.DUMMYFUNCTION("""COMPUTED_VALUE"""),42321.64583333333)</f>
        <v>42321.64583</v>
      </c>
      <c r="C761" s="2">
        <f>IFERROR(__xludf.DUMMYFUNCTION("""COMPUTED_VALUE"""),1373.8)</f>
        <v>1373.8</v>
      </c>
    </row>
    <row r="762" ht="15.75" customHeight="1">
      <c r="B762" s="3">
        <f>IFERROR(__xludf.DUMMYFUNCTION("""COMPUTED_VALUE"""),42328.64583333333)</f>
        <v>42328.64583</v>
      </c>
      <c r="C762" s="2">
        <f>IFERROR(__xludf.DUMMYFUNCTION("""COMPUTED_VALUE"""),1349.45)</f>
        <v>1349.45</v>
      </c>
    </row>
    <row r="763" ht="15.75" customHeight="1">
      <c r="B763" s="3">
        <f>IFERROR(__xludf.DUMMYFUNCTION("""COMPUTED_VALUE"""),42335.64583333333)</f>
        <v>42335.64583</v>
      </c>
      <c r="C763" s="2">
        <f>IFERROR(__xludf.DUMMYFUNCTION("""COMPUTED_VALUE"""),1365.4)</f>
        <v>1365.4</v>
      </c>
    </row>
    <row r="764" ht="15.75" customHeight="1">
      <c r="B764" s="3">
        <f>IFERROR(__xludf.DUMMYFUNCTION("""COMPUTED_VALUE"""),42342.64583333333)</f>
        <v>42342.64583</v>
      </c>
      <c r="C764" s="2">
        <f>IFERROR(__xludf.DUMMYFUNCTION("""COMPUTED_VALUE"""),1373.15)</f>
        <v>1373.15</v>
      </c>
    </row>
    <row r="765" ht="15.75" customHeight="1">
      <c r="B765" s="3">
        <f>IFERROR(__xludf.DUMMYFUNCTION("""COMPUTED_VALUE"""),42349.64583333333)</f>
        <v>42349.64583</v>
      </c>
      <c r="C765" s="2">
        <f>IFERROR(__xludf.DUMMYFUNCTION("""COMPUTED_VALUE"""),1355.95)</f>
        <v>1355.95</v>
      </c>
    </row>
    <row r="766" ht="15.75" customHeight="1">
      <c r="B766" s="3">
        <f>IFERROR(__xludf.DUMMYFUNCTION("""COMPUTED_VALUE"""),42356.64583333333)</f>
        <v>42356.64583</v>
      </c>
      <c r="C766" s="2">
        <f>IFERROR(__xludf.DUMMYFUNCTION("""COMPUTED_VALUE"""),1364.8)</f>
        <v>1364.8</v>
      </c>
    </row>
    <row r="767" ht="15.75" customHeight="1">
      <c r="B767" s="3">
        <f>IFERROR(__xludf.DUMMYFUNCTION("""COMPUTED_VALUE"""),42362.64583333333)</f>
        <v>42362.64583</v>
      </c>
      <c r="C767" s="2">
        <f>IFERROR(__xludf.DUMMYFUNCTION("""COMPUTED_VALUE"""),1360.1)</f>
        <v>1360.1</v>
      </c>
    </row>
    <row r="768" ht="15.75" customHeight="1">
      <c r="B768" s="3">
        <f>IFERROR(__xludf.DUMMYFUNCTION("""COMPUTED_VALUE"""),42370.64583333333)</f>
        <v>42370.64583</v>
      </c>
      <c r="C768" s="2">
        <f>IFERROR(__xludf.DUMMYFUNCTION("""COMPUTED_VALUE"""),1380.4)</f>
        <v>1380.4</v>
      </c>
    </row>
    <row r="769" ht="15.75" customHeight="1"/>
    <row r="770" ht="15.75" customHeight="1"/>
    <row r="771" ht="15.75" customHeight="1">
      <c r="B771" s="2" t="str">
        <f>IFERROR(__xludf.DUMMYFUNCTION("GOOGLEFINANCE(""NSE:ACC"",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IFERROR(__xludf.DUMMYFUNCTION("""COMPUTED_VALUE"""),1378.2)</f>
        <v>1378.2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IFERROR(__xludf.DUMMYFUNCTION("""COMPUTED_VALUE"""),1303.0)</f>
        <v>1303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IFERROR(__xludf.DUMMYFUNCTION("""COMPUTED_VALUE"""),1256.65)</f>
        <v>1256.65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IFERROR(__xludf.DUMMYFUNCTION("""COMPUTED_VALUE"""),1263.5)</f>
        <v>1263.5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IFERROR(__xludf.DUMMYFUNCTION("""COMPUTED_VALUE"""),1286.0)</f>
        <v>1286</v>
      </c>
    </row>
    <row r="777" ht="15.75" customHeight="1">
      <c r="B777" s="3">
        <f>IFERROR(__xludf.DUMMYFUNCTION("""COMPUTED_VALUE"""),42412.64583333333)</f>
        <v>42412.64583</v>
      </c>
      <c r="C777" s="2">
        <f>IFERROR(__xludf.DUMMYFUNCTION("""COMPUTED_VALUE"""),1309.75)</f>
        <v>1309.75</v>
      </c>
    </row>
    <row r="778" ht="15.75" customHeight="1">
      <c r="B778" s="3">
        <f>IFERROR(__xludf.DUMMYFUNCTION("""COMPUTED_VALUE"""),42419.64583333333)</f>
        <v>42419.64583</v>
      </c>
      <c r="C778" s="2">
        <f>IFERROR(__xludf.DUMMYFUNCTION("""COMPUTED_VALUE"""),1280.9)</f>
        <v>1280.9</v>
      </c>
    </row>
    <row r="779" ht="15.75" customHeight="1">
      <c r="B779" s="3">
        <f>IFERROR(__xludf.DUMMYFUNCTION("""COMPUTED_VALUE"""),42426.64583333333)</f>
        <v>42426.64583</v>
      </c>
      <c r="C779" s="2">
        <f>IFERROR(__xludf.DUMMYFUNCTION("""COMPUTED_VALUE"""),1287.3)</f>
        <v>1287.3</v>
      </c>
    </row>
    <row r="780" ht="15.75" customHeight="1">
      <c r="B780" s="3">
        <f>IFERROR(__xludf.DUMMYFUNCTION("""COMPUTED_VALUE"""),42433.64583333333)</f>
        <v>42433.64583</v>
      </c>
      <c r="C780" s="2">
        <f>IFERROR(__xludf.DUMMYFUNCTION("""COMPUTED_VALUE"""),1259.8)</f>
        <v>1259.8</v>
      </c>
    </row>
    <row r="781" ht="15.75" customHeight="1">
      <c r="B781" s="3">
        <f>IFERROR(__xludf.DUMMYFUNCTION("""COMPUTED_VALUE"""),42440.64583333333)</f>
        <v>42440.64583</v>
      </c>
      <c r="C781" s="2">
        <f>IFERROR(__xludf.DUMMYFUNCTION("""COMPUTED_VALUE"""),1254.95)</f>
        <v>1254.95</v>
      </c>
    </row>
    <row r="782" ht="15.75" customHeight="1">
      <c r="B782" s="3">
        <f>IFERROR(__xludf.DUMMYFUNCTION("""COMPUTED_VALUE"""),42447.64583333333)</f>
        <v>42447.64583</v>
      </c>
      <c r="C782" s="2">
        <f>IFERROR(__xludf.DUMMYFUNCTION("""COMPUTED_VALUE"""),1340.3)</f>
        <v>1340.3</v>
      </c>
    </row>
    <row r="783" ht="15.75" customHeight="1">
      <c r="B783" s="3">
        <f>IFERROR(__xludf.DUMMYFUNCTION("""COMPUTED_VALUE"""),42452.64583333333)</f>
        <v>42452.64583</v>
      </c>
      <c r="C783" s="2">
        <f>IFERROR(__xludf.DUMMYFUNCTION("""COMPUTED_VALUE"""),1400.0)</f>
        <v>1400</v>
      </c>
    </row>
    <row r="784" ht="15.75" customHeight="1">
      <c r="B784" s="3">
        <f>IFERROR(__xludf.DUMMYFUNCTION("""COMPUTED_VALUE"""),42461.64583333333)</f>
        <v>42461.64583</v>
      </c>
      <c r="C784" s="2">
        <f>IFERROR(__xludf.DUMMYFUNCTION("""COMPUTED_VALUE"""),1417.0)</f>
        <v>1417</v>
      </c>
    </row>
    <row r="785" ht="15.75" customHeight="1">
      <c r="B785" s="3">
        <f>IFERROR(__xludf.DUMMYFUNCTION("""COMPUTED_VALUE"""),42468.64583333333)</f>
        <v>42468.64583</v>
      </c>
      <c r="C785" s="2">
        <f>IFERROR(__xludf.DUMMYFUNCTION("""COMPUTED_VALUE"""),1448.85)</f>
        <v>1448.85</v>
      </c>
    </row>
    <row r="786" ht="15.75" customHeight="1">
      <c r="B786" s="3">
        <f>IFERROR(__xludf.DUMMYFUNCTION("""COMPUTED_VALUE"""),42473.64583333333)</f>
        <v>42473.64583</v>
      </c>
      <c r="C786" s="2">
        <f>IFERROR(__xludf.DUMMYFUNCTION("""COMPUTED_VALUE"""),1475.0)</f>
        <v>1475</v>
      </c>
    </row>
    <row r="787" ht="15.75" customHeight="1">
      <c r="B787" s="3">
        <f>IFERROR(__xludf.DUMMYFUNCTION("""COMPUTED_VALUE"""),42482.64583333333)</f>
        <v>42482.64583</v>
      </c>
      <c r="C787" s="2">
        <f>IFERROR(__xludf.DUMMYFUNCTION("""COMPUTED_VALUE"""),1482.5)</f>
        <v>1482.5</v>
      </c>
    </row>
    <row r="788" ht="15.75" customHeight="1">
      <c r="B788" s="3">
        <f>IFERROR(__xludf.DUMMYFUNCTION("""COMPUTED_VALUE"""),42489.64583333333)</f>
        <v>42489.64583</v>
      </c>
      <c r="C788" s="2">
        <f>IFERROR(__xludf.DUMMYFUNCTION("""COMPUTED_VALUE"""),1459.0)</f>
        <v>1459</v>
      </c>
    </row>
    <row r="789" ht="15.75" customHeight="1">
      <c r="B789" s="3">
        <f>IFERROR(__xludf.DUMMYFUNCTION("""COMPUTED_VALUE"""),42496.64583333333)</f>
        <v>42496.64583</v>
      </c>
      <c r="C789" s="2">
        <f>IFERROR(__xludf.DUMMYFUNCTION("""COMPUTED_VALUE"""),1446.45)</f>
        <v>1446.45</v>
      </c>
    </row>
    <row r="790" ht="15.75" customHeight="1">
      <c r="B790" s="3">
        <f>IFERROR(__xludf.DUMMYFUNCTION("""COMPUTED_VALUE"""),42503.64583333333)</f>
        <v>42503.64583</v>
      </c>
      <c r="C790" s="2">
        <f>IFERROR(__xludf.DUMMYFUNCTION("""COMPUTED_VALUE"""),1475.0)</f>
        <v>1475</v>
      </c>
    </row>
    <row r="791" ht="15.75" customHeight="1">
      <c r="B791" s="3">
        <f>IFERROR(__xludf.DUMMYFUNCTION("""COMPUTED_VALUE"""),42510.64583333333)</f>
        <v>42510.64583</v>
      </c>
      <c r="C791" s="2">
        <f>IFERROR(__xludf.DUMMYFUNCTION("""COMPUTED_VALUE"""),1468.0)</f>
        <v>1468</v>
      </c>
    </row>
    <row r="792" ht="15.75" customHeight="1">
      <c r="B792" s="3">
        <f>IFERROR(__xludf.DUMMYFUNCTION("""COMPUTED_VALUE"""),42517.64583333333)</f>
        <v>42517.64583</v>
      </c>
      <c r="C792" s="2">
        <f>IFERROR(__xludf.DUMMYFUNCTION("""COMPUTED_VALUE"""),1533.3)</f>
        <v>1533.3</v>
      </c>
    </row>
    <row r="793" ht="15.75" customHeight="1">
      <c r="B793" s="3">
        <f>IFERROR(__xludf.DUMMYFUNCTION("""COMPUTED_VALUE"""),42524.64583333333)</f>
        <v>42524.64583</v>
      </c>
      <c r="C793" s="2">
        <f>IFERROR(__xludf.DUMMYFUNCTION("""COMPUTED_VALUE"""),1564.0)</f>
        <v>1564</v>
      </c>
    </row>
    <row r="794" ht="15.75" customHeight="1">
      <c r="B794" s="3">
        <f>IFERROR(__xludf.DUMMYFUNCTION("""COMPUTED_VALUE"""),42531.64583333333)</f>
        <v>42531.64583</v>
      </c>
      <c r="C794" s="2">
        <f>IFERROR(__xludf.DUMMYFUNCTION("""COMPUTED_VALUE"""),1559.95)</f>
        <v>1559.95</v>
      </c>
    </row>
    <row r="795" ht="15.75" customHeight="1">
      <c r="B795" s="3">
        <f>IFERROR(__xludf.DUMMYFUNCTION("""COMPUTED_VALUE"""),42538.64583333333)</f>
        <v>42538.64583</v>
      </c>
      <c r="C795" s="2">
        <f>IFERROR(__xludf.DUMMYFUNCTION("""COMPUTED_VALUE"""),1571.4)</f>
        <v>1571.4</v>
      </c>
    </row>
    <row r="796" ht="15.75" customHeight="1">
      <c r="B796" s="3">
        <f>IFERROR(__xludf.DUMMYFUNCTION("""COMPUTED_VALUE"""),42545.64583333333)</f>
        <v>42545.64583</v>
      </c>
      <c r="C796" s="2">
        <f>IFERROR(__xludf.DUMMYFUNCTION("""COMPUTED_VALUE"""),1579.7)</f>
        <v>1579.7</v>
      </c>
    </row>
    <row r="797" ht="15.75" customHeight="1">
      <c r="B797" s="3">
        <f>IFERROR(__xludf.DUMMYFUNCTION("""COMPUTED_VALUE"""),42552.64583333333)</f>
        <v>42552.64583</v>
      </c>
      <c r="C797" s="2">
        <f>IFERROR(__xludf.DUMMYFUNCTION("""COMPUTED_VALUE"""),1626.05)</f>
        <v>1626.05</v>
      </c>
    </row>
    <row r="798" ht="15.75" customHeight="1">
      <c r="B798" s="3">
        <f>IFERROR(__xludf.DUMMYFUNCTION("""COMPUTED_VALUE"""),42559.64583333333)</f>
        <v>42559.64583</v>
      </c>
      <c r="C798" s="2">
        <f>IFERROR(__xludf.DUMMYFUNCTION("""COMPUTED_VALUE"""),1625.95)</f>
        <v>1625.95</v>
      </c>
    </row>
    <row r="799" ht="15.75" customHeight="1">
      <c r="B799" s="3">
        <f>IFERROR(__xludf.DUMMYFUNCTION("""COMPUTED_VALUE"""),42566.64583333333)</f>
        <v>42566.64583</v>
      </c>
      <c r="C799" s="2">
        <f>IFERROR(__xludf.DUMMYFUNCTION("""COMPUTED_VALUE"""),1644.3)</f>
        <v>1644.3</v>
      </c>
    </row>
    <row r="800" ht="15.75" customHeight="1">
      <c r="B800" s="3">
        <f>IFERROR(__xludf.DUMMYFUNCTION("""COMPUTED_VALUE"""),42573.64583333333)</f>
        <v>42573.64583</v>
      </c>
      <c r="C800" s="2">
        <f>IFERROR(__xludf.DUMMYFUNCTION("""COMPUTED_VALUE"""),1718.0)</f>
        <v>1718</v>
      </c>
    </row>
    <row r="801" ht="15.75" customHeight="1">
      <c r="B801" s="3">
        <f>IFERROR(__xludf.DUMMYFUNCTION("""COMPUTED_VALUE"""),42580.64583333333)</f>
        <v>42580.64583</v>
      </c>
      <c r="C801" s="2">
        <f>IFERROR(__xludf.DUMMYFUNCTION("""COMPUTED_VALUE"""),1717.95)</f>
        <v>1717.95</v>
      </c>
    </row>
    <row r="802" ht="15.75" customHeight="1">
      <c r="B802" s="3">
        <f>IFERROR(__xludf.DUMMYFUNCTION("""COMPUTED_VALUE"""),42587.64583333333)</f>
        <v>42587.64583</v>
      </c>
      <c r="C802" s="2">
        <f>IFERROR(__xludf.DUMMYFUNCTION("""COMPUTED_VALUE"""),1724.45)</f>
        <v>1724.45</v>
      </c>
    </row>
    <row r="803" ht="15.75" customHeight="1">
      <c r="B803" s="3">
        <f>IFERROR(__xludf.DUMMYFUNCTION("""COMPUTED_VALUE"""),42594.64583333333)</f>
        <v>42594.64583</v>
      </c>
      <c r="C803" s="2">
        <f>IFERROR(__xludf.DUMMYFUNCTION("""COMPUTED_VALUE"""),1736.4)</f>
        <v>1736.4</v>
      </c>
    </row>
    <row r="804" ht="15.75" customHeight="1">
      <c r="B804" s="3">
        <f>IFERROR(__xludf.DUMMYFUNCTION("""COMPUTED_VALUE"""),42601.64583333333)</f>
        <v>42601.64583</v>
      </c>
      <c r="C804" s="2">
        <f>IFERROR(__xludf.DUMMYFUNCTION("""COMPUTED_VALUE"""),1708.05)</f>
        <v>1708.05</v>
      </c>
    </row>
    <row r="805" ht="15.75" customHeight="1">
      <c r="B805" s="3">
        <f>IFERROR(__xludf.DUMMYFUNCTION("""COMPUTED_VALUE"""),42608.64583333333)</f>
        <v>42608.64583</v>
      </c>
      <c r="C805" s="2">
        <f>IFERROR(__xludf.DUMMYFUNCTION("""COMPUTED_VALUE"""),1696.0)</f>
        <v>1696</v>
      </c>
    </row>
    <row r="806" ht="15.75" customHeight="1">
      <c r="B806" s="3">
        <f>IFERROR(__xludf.DUMMYFUNCTION("""COMPUTED_VALUE"""),42615.64583333333)</f>
        <v>42615.64583</v>
      </c>
      <c r="C806" s="2">
        <f>IFERROR(__xludf.DUMMYFUNCTION("""COMPUTED_VALUE"""),1725.0)</f>
        <v>1725</v>
      </c>
    </row>
    <row r="807" ht="15.75" customHeight="1">
      <c r="B807" s="3">
        <f>IFERROR(__xludf.DUMMYFUNCTION("""COMPUTED_VALUE"""),42622.64583333333)</f>
        <v>42622.64583</v>
      </c>
      <c r="C807" s="2">
        <f>IFERROR(__xludf.DUMMYFUNCTION("""COMPUTED_VALUE"""),1715.0)</f>
        <v>1715</v>
      </c>
    </row>
    <row r="808" ht="15.75" customHeight="1">
      <c r="B808" s="3">
        <f>IFERROR(__xludf.DUMMYFUNCTION("""COMPUTED_VALUE"""),42629.64583333333)</f>
        <v>42629.64583</v>
      </c>
      <c r="C808" s="2">
        <f>IFERROR(__xludf.DUMMYFUNCTION("""COMPUTED_VALUE"""),1640.0)</f>
        <v>1640</v>
      </c>
    </row>
    <row r="809" ht="15.75" customHeight="1">
      <c r="B809" s="3">
        <f>IFERROR(__xludf.DUMMYFUNCTION("""COMPUTED_VALUE"""),42636.64583333333)</f>
        <v>42636.64583</v>
      </c>
      <c r="C809" s="2">
        <f>IFERROR(__xludf.DUMMYFUNCTION("""COMPUTED_VALUE"""),1672.0)</f>
        <v>1672</v>
      </c>
    </row>
    <row r="810" ht="15.75" customHeight="1">
      <c r="B810" s="3">
        <f>IFERROR(__xludf.DUMMYFUNCTION("""COMPUTED_VALUE"""),42643.64583333333)</f>
        <v>42643.64583</v>
      </c>
      <c r="C810" s="2">
        <f>IFERROR(__xludf.DUMMYFUNCTION("""COMPUTED_VALUE"""),1627.4)</f>
        <v>1627.4</v>
      </c>
    </row>
    <row r="811" ht="15.75" customHeight="1">
      <c r="B811" s="3">
        <f>IFERROR(__xludf.DUMMYFUNCTION("""COMPUTED_VALUE"""),42650.64583333333)</f>
        <v>42650.64583</v>
      </c>
      <c r="C811" s="2">
        <f>IFERROR(__xludf.DUMMYFUNCTION("""COMPUTED_VALUE"""),1653.0)</f>
        <v>1653</v>
      </c>
    </row>
    <row r="812" ht="15.75" customHeight="1">
      <c r="B812" s="3">
        <f>IFERROR(__xludf.DUMMYFUNCTION("""COMPUTED_VALUE"""),42657.64583333333)</f>
        <v>42657.64583</v>
      </c>
      <c r="C812" s="2">
        <f>IFERROR(__xludf.DUMMYFUNCTION("""COMPUTED_VALUE"""),1674.0)</f>
        <v>1674</v>
      </c>
    </row>
    <row r="813" ht="15.75" customHeight="1">
      <c r="B813" s="3">
        <f>IFERROR(__xludf.DUMMYFUNCTION("""COMPUTED_VALUE"""),42664.64583333333)</f>
        <v>42664.64583</v>
      </c>
      <c r="C813" s="2">
        <f>IFERROR(__xludf.DUMMYFUNCTION("""COMPUTED_VALUE"""),1644.9)</f>
        <v>1644.9</v>
      </c>
    </row>
    <row r="814" ht="15.75" customHeight="1">
      <c r="B814" s="3">
        <f>IFERROR(__xludf.DUMMYFUNCTION("""COMPUTED_VALUE"""),42671.64583333333)</f>
        <v>42671.64583</v>
      </c>
      <c r="C814" s="2">
        <f>IFERROR(__xludf.DUMMYFUNCTION("""COMPUTED_VALUE"""),1586.7)</f>
        <v>1586.7</v>
      </c>
    </row>
    <row r="815" ht="15.75" customHeight="1">
      <c r="B815" s="3">
        <f>IFERROR(__xludf.DUMMYFUNCTION("""COMPUTED_VALUE"""),42678.64583333333)</f>
        <v>42678.64583</v>
      </c>
      <c r="C815" s="2">
        <f>IFERROR(__xludf.DUMMYFUNCTION("""COMPUTED_VALUE"""),1528.7)</f>
        <v>1528.7</v>
      </c>
    </row>
    <row r="816" ht="15.75" customHeight="1">
      <c r="B816" s="3">
        <f>IFERROR(__xludf.DUMMYFUNCTION("""COMPUTED_VALUE"""),42685.64583333333)</f>
        <v>42685.64583</v>
      </c>
      <c r="C816" s="2">
        <f>IFERROR(__xludf.DUMMYFUNCTION("""COMPUTED_VALUE"""),1517.0)</f>
        <v>1517</v>
      </c>
    </row>
    <row r="817" ht="15.75" customHeight="1">
      <c r="B817" s="3">
        <f>IFERROR(__xludf.DUMMYFUNCTION("""COMPUTED_VALUE"""),42692.64583333333)</f>
        <v>42692.64583</v>
      </c>
      <c r="C817" s="2">
        <f>IFERROR(__xludf.DUMMYFUNCTION("""COMPUTED_VALUE"""),1431.95)</f>
        <v>1431.95</v>
      </c>
    </row>
    <row r="818" ht="15.75" customHeight="1">
      <c r="B818" s="3">
        <f>IFERROR(__xludf.DUMMYFUNCTION("""COMPUTED_VALUE"""),42699.64583333333)</f>
        <v>42699.64583</v>
      </c>
      <c r="C818" s="2">
        <f>IFERROR(__xludf.DUMMYFUNCTION("""COMPUTED_VALUE"""),1335.0)</f>
        <v>1335</v>
      </c>
    </row>
    <row r="819" ht="15.75" customHeight="1">
      <c r="B819" s="3">
        <f>IFERROR(__xludf.DUMMYFUNCTION("""COMPUTED_VALUE"""),42706.64583333333)</f>
        <v>42706.64583</v>
      </c>
      <c r="C819" s="2">
        <f>IFERROR(__xludf.DUMMYFUNCTION("""COMPUTED_VALUE"""),1354.9)</f>
        <v>1354.9</v>
      </c>
    </row>
    <row r="820" ht="15.75" customHeight="1">
      <c r="B820" s="3">
        <f>IFERROR(__xludf.DUMMYFUNCTION("""COMPUTED_VALUE"""),42713.64583333333)</f>
        <v>42713.64583</v>
      </c>
      <c r="C820" s="2">
        <f>IFERROR(__xludf.DUMMYFUNCTION("""COMPUTED_VALUE"""),1385.0)</f>
        <v>1385</v>
      </c>
    </row>
    <row r="821" ht="15.75" customHeight="1">
      <c r="B821" s="3">
        <f>IFERROR(__xludf.DUMMYFUNCTION("""COMPUTED_VALUE"""),42720.64583333333)</f>
        <v>42720.64583</v>
      </c>
      <c r="C821" s="2">
        <f>IFERROR(__xludf.DUMMYFUNCTION("""COMPUTED_VALUE"""),1375.75)</f>
        <v>1375.75</v>
      </c>
    </row>
    <row r="822" ht="15.75" customHeight="1">
      <c r="B822" s="3">
        <f>IFERROR(__xludf.DUMMYFUNCTION("""COMPUTED_VALUE"""),42727.64583333333)</f>
        <v>42727.64583</v>
      </c>
      <c r="C822" s="2">
        <f>IFERROR(__xludf.DUMMYFUNCTION("""COMPUTED_VALUE"""),1314.1)</f>
        <v>1314.1</v>
      </c>
    </row>
    <row r="823" ht="15.75" customHeight="1">
      <c r="B823" s="3">
        <f>IFERROR(__xludf.DUMMYFUNCTION("""COMPUTED_VALUE"""),42734.64583333333)</f>
        <v>42734.64583</v>
      </c>
      <c r="C823" s="2">
        <f>IFERROR(__xludf.DUMMYFUNCTION("""COMPUTED_VALUE"""),1336.0)</f>
        <v>1336</v>
      </c>
    </row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IFERROR(__xludf.DUMMYFUNCTION("GOOGLEFINANCE(""NSE:ABB"",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IFERROR(__xludf.DUMMYFUNCTION("""COMPUTED_VALUE"""),37.31)</f>
        <v>37.31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IFERROR(__xludf.DUMMYFUNCTION("""COMPUTED_VALUE"""),38.03)</f>
        <v>38.03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IFERROR(__xludf.DUMMYFUNCTION("""COMPUTED_VALUE"""),37.49)</f>
        <v>37.49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IFERROR(__xludf.DUMMYFUNCTION("""COMPUTED_VALUE"""),40.17)</f>
        <v>40.17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IFERROR(__xludf.DUMMYFUNCTION("""COMPUTED_VALUE"""),40.78)</f>
        <v>40.78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IFERROR(__xludf.DUMMYFUNCTION("""COMPUTED_VALUE"""),42.31)</f>
        <v>42.31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IFERROR(__xludf.DUMMYFUNCTION("""COMPUTED_VALUE"""),44.63)</f>
        <v>44.63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IFERROR(__xludf.DUMMYFUNCTION("""COMPUTED_VALUE"""),48.92)</f>
        <v>48.92</v>
      </c>
    </row>
    <row r="10">
      <c r="B10" s="3">
        <f>IFERROR(__xludf.DUMMYFUNCTION("""COMPUTED_VALUE"""),37316.645833333336)</f>
        <v>37316.64583</v>
      </c>
      <c r="C10" s="2">
        <f>IFERROR(__xludf.DUMMYFUNCTION("""COMPUTED_VALUE"""),52.13)</f>
        <v>52.13</v>
      </c>
    </row>
    <row r="11">
      <c r="B11" s="3">
        <f>IFERROR(__xludf.DUMMYFUNCTION("""COMPUTED_VALUE"""),37323.645833333336)</f>
        <v>37323.64583</v>
      </c>
      <c r="C11" s="2">
        <f>IFERROR(__xludf.DUMMYFUNCTION("""COMPUTED_VALUE"""),51.42)</f>
        <v>51.42</v>
      </c>
    </row>
    <row r="12">
      <c r="B12" s="3">
        <f>IFERROR(__xludf.DUMMYFUNCTION("""COMPUTED_VALUE"""),37330.645833333336)</f>
        <v>37330.64583</v>
      </c>
      <c r="C12" s="2">
        <f>IFERROR(__xludf.DUMMYFUNCTION("""COMPUTED_VALUE"""),50.88)</f>
        <v>50.88</v>
      </c>
    </row>
    <row r="13">
      <c r="B13" s="3">
        <f>IFERROR(__xludf.DUMMYFUNCTION("""COMPUTED_VALUE"""),37337.645833333336)</f>
        <v>37337.64583</v>
      </c>
      <c r="C13" s="2">
        <f>IFERROR(__xludf.DUMMYFUNCTION("""COMPUTED_VALUE"""),49.81)</f>
        <v>49.81</v>
      </c>
    </row>
    <row r="14">
      <c r="B14" s="3">
        <f>IFERROR(__xludf.DUMMYFUNCTION("""COMPUTED_VALUE"""),37343.645833333336)</f>
        <v>37343.64583</v>
      </c>
      <c r="C14" s="2">
        <f>IFERROR(__xludf.DUMMYFUNCTION("""COMPUTED_VALUE"""),48.56)</f>
        <v>48.56</v>
      </c>
    </row>
    <row r="15">
      <c r="B15" s="3">
        <f>IFERROR(__xludf.DUMMYFUNCTION("""COMPUTED_VALUE"""),37351.645833333336)</f>
        <v>37351.64583</v>
      </c>
      <c r="C15" s="2">
        <f>IFERROR(__xludf.DUMMYFUNCTION("""COMPUTED_VALUE"""),47.85)</f>
        <v>47.85</v>
      </c>
    </row>
    <row r="16">
      <c r="B16" s="3">
        <f>IFERROR(__xludf.DUMMYFUNCTION("""COMPUTED_VALUE"""),37358.645833333336)</f>
        <v>37358.64583</v>
      </c>
      <c r="C16" s="2">
        <f>IFERROR(__xludf.DUMMYFUNCTION("""COMPUTED_VALUE"""),47.81)</f>
        <v>47.81</v>
      </c>
    </row>
    <row r="17">
      <c r="B17" s="3">
        <f>IFERROR(__xludf.DUMMYFUNCTION("""COMPUTED_VALUE"""),37365.645833333336)</f>
        <v>37365.64583</v>
      </c>
      <c r="C17" s="2">
        <f>IFERROR(__xludf.DUMMYFUNCTION("""COMPUTED_VALUE"""),49.87)</f>
        <v>49.87</v>
      </c>
    </row>
    <row r="18">
      <c r="B18" s="3">
        <f>IFERROR(__xludf.DUMMYFUNCTION("""COMPUTED_VALUE"""),37372.645833333336)</f>
        <v>37372.64583</v>
      </c>
      <c r="C18" s="2">
        <f>IFERROR(__xludf.DUMMYFUNCTION("""COMPUTED_VALUE"""),49.28)</f>
        <v>49.28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IFERROR(__xludf.DUMMYFUNCTION("""COMPUTED_VALUE"""),49.62)</f>
        <v>49.62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IFERROR(__xludf.DUMMYFUNCTION("""COMPUTED_VALUE"""),48.74)</f>
        <v>48.74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IFERROR(__xludf.DUMMYFUNCTION("""COMPUTED_VALUE"""),47.29)</f>
        <v>47.29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IFERROR(__xludf.DUMMYFUNCTION("""COMPUTED_VALUE"""),46.42)</f>
        <v>46.42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IFERROR(__xludf.DUMMYFUNCTION("""COMPUTED_VALUE"""),44.88)</f>
        <v>44.88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IFERROR(__xludf.DUMMYFUNCTION("""COMPUTED_VALUE"""),44.63)</f>
        <v>44.63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IFERROR(__xludf.DUMMYFUNCTION("""COMPUTED_VALUE"""),47.31)</f>
        <v>47.31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IFERROR(__xludf.DUMMYFUNCTION("""COMPUTED_VALUE"""),48.2)</f>
        <v>48.2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IFERROR(__xludf.DUMMYFUNCTION("""COMPUTED_VALUE"""),48.56)</f>
        <v>48.56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IFERROR(__xludf.DUMMYFUNCTION("""COMPUTED_VALUE"""),51.4)</f>
        <v>51.4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IFERROR(__xludf.DUMMYFUNCTION("""COMPUTED_VALUE"""),51.02)</f>
        <v>51.02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IFERROR(__xludf.DUMMYFUNCTION("""COMPUTED_VALUE"""),48.2)</f>
        <v>48.2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IFERROR(__xludf.DUMMYFUNCTION("""COMPUTED_VALUE"""),49.99)</f>
        <v>49.99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IFERROR(__xludf.DUMMYFUNCTION("""COMPUTED_VALUE"""),51.13)</f>
        <v>51.13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IFERROR(__xludf.DUMMYFUNCTION("""COMPUTED_VALUE"""),51.24)</f>
        <v>51.24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IFERROR(__xludf.DUMMYFUNCTION("""COMPUTED_VALUE"""),52.31)</f>
        <v>52.31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IFERROR(__xludf.DUMMYFUNCTION("""COMPUTED_VALUE"""),51.15)</f>
        <v>51.15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IFERROR(__xludf.DUMMYFUNCTION("""COMPUTED_VALUE"""),50.88)</f>
        <v>50.88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IFERROR(__xludf.DUMMYFUNCTION("""COMPUTED_VALUE"""),51.24)</f>
        <v>51.24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IFERROR(__xludf.DUMMYFUNCTION("""COMPUTED_VALUE"""),51.42)</f>
        <v>51.42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IFERROR(__xludf.DUMMYFUNCTION("""COMPUTED_VALUE"""),50.88)</f>
        <v>50.88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IFERROR(__xludf.DUMMYFUNCTION("""COMPUTED_VALUE"""),50.52)</f>
        <v>50.52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IFERROR(__xludf.DUMMYFUNCTION("""COMPUTED_VALUE"""),51.04)</f>
        <v>51.04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IFERROR(__xludf.DUMMYFUNCTION("""COMPUTED_VALUE"""),51.06)</f>
        <v>51.06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IFERROR(__xludf.DUMMYFUNCTION("""COMPUTED_VALUE"""),50.87)</f>
        <v>50.87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IFERROR(__xludf.DUMMYFUNCTION("""COMPUTED_VALUE"""),51.1)</f>
        <v>51.1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IFERROR(__xludf.DUMMYFUNCTION("""COMPUTED_VALUE"""),44.63)</f>
        <v>44.63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IFERROR(__xludf.DUMMYFUNCTION("""COMPUTED_VALUE"""),43.74)</f>
        <v>43.74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IFERROR(__xludf.DUMMYFUNCTION("""COMPUTED_VALUE"""),42.13)</f>
        <v>42.13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IFERROR(__xludf.DUMMYFUNCTION("""COMPUTED_VALUE"""),40.17)</f>
        <v>40.17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IFERROR(__xludf.DUMMYFUNCTION("""COMPUTED_VALUE"""),43.92)</f>
        <v>43.92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IFERROR(__xludf.DUMMYFUNCTION("""COMPUTED_VALUE"""),45.17)</f>
        <v>45.17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IFERROR(__xludf.DUMMYFUNCTION("""COMPUTED_VALUE"""),44.99)</f>
        <v>44.99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IFERROR(__xludf.DUMMYFUNCTION("""COMPUTED_VALUE"""),45.96)</f>
        <v>45.96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IFERROR(__xludf.DUMMYFUNCTION("""COMPUTED_VALUE"""),45.34)</f>
        <v>45.34</v>
      </c>
    </row>
    <row r="54" ht="15.75" customHeight="1"/>
    <row r="55" ht="15.75" customHeight="1"/>
    <row r="56" ht="15.75" customHeight="1">
      <c r="B56" s="2" t="str">
        <f>IFERROR(__xludf.DUMMYFUNCTION("GOOGLEFINANCE(""NSE:ABB"",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IFERROR(__xludf.DUMMYFUNCTION("""COMPUTED_VALUE"""),45.79)</f>
        <v>45.79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IFERROR(__xludf.DUMMYFUNCTION("""COMPUTED_VALUE"""),50.7)</f>
        <v>50.7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IFERROR(__xludf.DUMMYFUNCTION("""COMPUTED_VALUE"""),50.35)</f>
        <v>50.35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IFERROR(__xludf.DUMMYFUNCTION("""COMPUTED_VALUE"""),49.99)</f>
        <v>49.99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IFERROR(__xludf.DUMMYFUNCTION("""COMPUTED_VALUE"""),52.11)</f>
        <v>52.11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IFERROR(__xludf.DUMMYFUNCTION("""COMPUTED_VALUE"""),55.24)</f>
        <v>55.24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IFERROR(__xludf.DUMMYFUNCTION("""COMPUTED_VALUE"""),56.06)</f>
        <v>56.06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IFERROR(__xludf.DUMMYFUNCTION("""COMPUTED_VALUE"""),59.54)</f>
        <v>59.54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IFERROR(__xludf.DUMMYFUNCTION("""COMPUTED_VALUE"""),58.92)</f>
        <v>58.92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IFERROR(__xludf.DUMMYFUNCTION("""COMPUTED_VALUE"""),57.85)</f>
        <v>57.85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IFERROR(__xludf.DUMMYFUNCTION("""COMPUTED_VALUE"""),54.76)</f>
        <v>54.76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IFERROR(__xludf.DUMMYFUNCTION("""COMPUTED_VALUE"""),54.79)</f>
        <v>54.79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IFERROR(__xludf.DUMMYFUNCTION("""COMPUTED_VALUE"""),56.42)</f>
        <v>56.42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IFERROR(__xludf.DUMMYFUNCTION("""COMPUTED_VALUE"""),58.87)</f>
        <v>58.87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IFERROR(__xludf.DUMMYFUNCTION("""COMPUTED_VALUE"""),59.81)</f>
        <v>59.81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IFERROR(__xludf.DUMMYFUNCTION("""COMPUTED_VALUE"""),56.6)</f>
        <v>56.6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IFERROR(__xludf.DUMMYFUNCTION("""COMPUTED_VALUE"""),56.42)</f>
        <v>56.42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IFERROR(__xludf.DUMMYFUNCTION("""COMPUTED_VALUE"""),57.89)</f>
        <v>57.89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IFERROR(__xludf.DUMMYFUNCTION("""COMPUTED_VALUE"""),60.97)</f>
        <v>60.97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IFERROR(__xludf.DUMMYFUNCTION("""COMPUTED_VALUE"""),63.15)</f>
        <v>63.15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IFERROR(__xludf.DUMMYFUNCTION("""COMPUTED_VALUE"""),62.13)</f>
        <v>62.13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IFERROR(__xludf.DUMMYFUNCTION("""COMPUTED_VALUE"""),63.17)</f>
        <v>63.17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IFERROR(__xludf.DUMMYFUNCTION("""COMPUTED_VALUE"""),70.38)</f>
        <v>70.38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IFERROR(__xludf.DUMMYFUNCTION("""COMPUTED_VALUE"""),69.27)</f>
        <v>69.27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IFERROR(__xludf.DUMMYFUNCTION("""COMPUTED_VALUE"""),67.67)</f>
        <v>67.67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IFERROR(__xludf.DUMMYFUNCTION("""COMPUTED_VALUE"""),70.69)</f>
        <v>70.69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IFERROR(__xludf.DUMMYFUNCTION("""COMPUTED_VALUE"""),69.25)</f>
        <v>69.25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IFERROR(__xludf.DUMMYFUNCTION("""COMPUTED_VALUE"""),67.45)</f>
        <v>67.45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IFERROR(__xludf.DUMMYFUNCTION("""COMPUTED_VALUE"""),67.84)</f>
        <v>67.84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IFERROR(__xludf.DUMMYFUNCTION("""COMPUTED_VALUE"""),71.41)</f>
        <v>71.41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IFERROR(__xludf.DUMMYFUNCTION("""COMPUTED_VALUE"""),72.66)</f>
        <v>72.66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IFERROR(__xludf.DUMMYFUNCTION("""COMPUTED_VALUE"""),77.04)</f>
        <v>77.04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IFERROR(__xludf.DUMMYFUNCTION("""COMPUTED_VALUE"""),90.34)</f>
        <v>90.34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IFERROR(__xludf.DUMMYFUNCTION("""COMPUTED_VALUE"""),87.91)</f>
        <v>87.91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IFERROR(__xludf.DUMMYFUNCTION("""COMPUTED_VALUE"""),86.95)</f>
        <v>86.95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IFERROR(__xludf.DUMMYFUNCTION("""COMPUTED_VALUE"""),93.32)</f>
        <v>93.32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IFERROR(__xludf.DUMMYFUNCTION("""COMPUTED_VALUE"""),87.48)</f>
        <v>87.48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IFERROR(__xludf.DUMMYFUNCTION("""COMPUTED_VALUE"""),87.48)</f>
        <v>87.48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IFERROR(__xludf.DUMMYFUNCTION("""COMPUTED_VALUE"""),89.63)</f>
        <v>89.63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IFERROR(__xludf.DUMMYFUNCTION("""COMPUTED_VALUE"""),89.27)</f>
        <v>89.27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IFERROR(__xludf.DUMMYFUNCTION("""COMPUTED_VALUE"""),89.98)</f>
        <v>89.98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IFERROR(__xludf.DUMMYFUNCTION("""COMPUTED_VALUE"""),99.09)</f>
        <v>99.09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IFERROR(__xludf.DUMMYFUNCTION("""COMPUTED_VALUE"""),99.09)</f>
        <v>99.09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IFERROR(__xludf.DUMMYFUNCTION("""COMPUTED_VALUE"""),97.3)</f>
        <v>97.3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IFERROR(__xludf.DUMMYFUNCTION("""COMPUTED_VALUE"""),97.3)</f>
        <v>97.3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IFERROR(__xludf.DUMMYFUNCTION("""COMPUTED_VALUE"""),116.94)</f>
        <v>116.94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IFERROR(__xludf.DUMMYFUNCTION("""COMPUTED_VALUE"""),114.08)</f>
        <v>114.08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IFERROR(__xludf.DUMMYFUNCTION("""COMPUTED_VALUE"""),112.48)</f>
        <v>112.48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IFERROR(__xludf.DUMMYFUNCTION("""COMPUTED_VALUE"""),114.08)</f>
        <v>114.08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IFERROR(__xludf.DUMMYFUNCTION("GOOGLEFINANCE(""NSE:ABB"",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IFERROR(__xludf.DUMMYFUNCTION("""COMPUTED_VALUE"""),130.33)</f>
        <v>130.33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IFERROR(__xludf.DUMMYFUNCTION("""COMPUTED_VALUE"""),132.12)</f>
        <v>132.12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IFERROR(__xludf.DUMMYFUNCTION("""COMPUTED_VALUE"""),127.76)</f>
        <v>127.76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IFERROR(__xludf.DUMMYFUNCTION("""COMPUTED_VALUE"""),132.99)</f>
        <v>132.99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IFERROR(__xludf.DUMMYFUNCTION("""COMPUTED_VALUE"""),127.48)</f>
        <v>127.48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IFERROR(__xludf.DUMMYFUNCTION("""COMPUTED_VALUE"""),122.3)</f>
        <v>122.3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IFERROR(__xludf.DUMMYFUNCTION("""COMPUTED_VALUE"""),123.19)</f>
        <v>123.19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IFERROR(__xludf.DUMMYFUNCTION("""COMPUTED_VALUE"""),121.16)</f>
        <v>121.16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IFERROR(__xludf.DUMMYFUNCTION("""COMPUTED_VALUE"""),126.05)</f>
        <v>126.05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IFERROR(__xludf.DUMMYFUNCTION("""COMPUTED_VALUE"""),129.26)</f>
        <v>129.26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IFERROR(__xludf.DUMMYFUNCTION("""COMPUTED_VALUE"""),138.37)</f>
        <v>138.37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IFERROR(__xludf.DUMMYFUNCTION("""COMPUTED_VALUE"""),138.37)</f>
        <v>138.37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IFERROR(__xludf.DUMMYFUNCTION("""COMPUTED_VALUE"""),137.47)</f>
        <v>137.47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IFERROR(__xludf.DUMMYFUNCTION("""COMPUTED_VALUE"""),146.04)</f>
        <v>146.04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IFERROR(__xludf.DUMMYFUNCTION("""COMPUTED_VALUE"""),148.74)</f>
        <v>148.74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IFERROR(__xludf.DUMMYFUNCTION("""COMPUTED_VALUE"""),151.76)</f>
        <v>151.76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IFERROR(__xludf.DUMMYFUNCTION("""COMPUTED_VALUE"""),145.49)</f>
        <v>145.49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IFERROR(__xludf.DUMMYFUNCTION("""COMPUTED_VALUE"""),145.51)</f>
        <v>145.51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IFERROR(__xludf.DUMMYFUNCTION("""COMPUTED_VALUE"""),143.53)</f>
        <v>143.53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IFERROR(__xludf.DUMMYFUNCTION("""COMPUTED_VALUE"""),124.98)</f>
        <v>124.98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IFERROR(__xludf.DUMMYFUNCTION("""COMPUTED_VALUE"""),120.51)</f>
        <v>120.51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IFERROR(__xludf.DUMMYFUNCTION("""COMPUTED_VALUE"""),124.8)</f>
        <v>124.8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IFERROR(__xludf.DUMMYFUNCTION("""COMPUTED_VALUE"""),121.4)</f>
        <v>121.4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IFERROR(__xludf.DUMMYFUNCTION("""COMPUTED_VALUE"""),133.72)</f>
        <v>133.72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IFERROR(__xludf.DUMMYFUNCTION("""COMPUTED_VALUE"""),118.91)</f>
        <v>118.91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IFERROR(__xludf.DUMMYFUNCTION("""COMPUTED_VALUE"""),126.76)</f>
        <v>126.76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IFERROR(__xludf.DUMMYFUNCTION("""COMPUTED_VALUE"""),133.9)</f>
        <v>133.9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IFERROR(__xludf.DUMMYFUNCTION("""COMPUTED_VALUE"""),139.26)</f>
        <v>139.26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IFERROR(__xludf.DUMMYFUNCTION("""COMPUTED_VALUE"""),133.71)</f>
        <v>133.71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IFERROR(__xludf.DUMMYFUNCTION("""COMPUTED_VALUE"""),130.15)</f>
        <v>130.15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IFERROR(__xludf.DUMMYFUNCTION("""COMPUTED_VALUE"""),134.83)</f>
        <v>134.83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IFERROR(__xludf.DUMMYFUNCTION("""COMPUTED_VALUE"""),129.62)</f>
        <v>129.62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IFERROR(__xludf.DUMMYFUNCTION("""COMPUTED_VALUE"""),128.89)</f>
        <v>128.89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IFERROR(__xludf.DUMMYFUNCTION("""COMPUTED_VALUE"""),138.28)</f>
        <v>138.28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IFERROR(__xludf.DUMMYFUNCTION("""COMPUTED_VALUE"""),143.36)</f>
        <v>143.36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IFERROR(__xludf.DUMMYFUNCTION("""COMPUTED_VALUE"""),142.79)</f>
        <v>142.79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IFERROR(__xludf.DUMMYFUNCTION("""COMPUTED_VALUE"""),142.46)</f>
        <v>142.46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IFERROR(__xludf.DUMMYFUNCTION("""COMPUTED_VALUE"""),141.93)</f>
        <v>141.93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IFERROR(__xludf.DUMMYFUNCTION("""COMPUTED_VALUE"""),138.19)</f>
        <v>138.19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IFERROR(__xludf.DUMMYFUNCTION("""COMPUTED_VALUE"""),133.19)</f>
        <v>133.19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IFERROR(__xludf.DUMMYFUNCTION("""COMPUTED_VALUE"""),139.24)</f>
        <v>139.24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IFERROR(__xludf.DUMMYFUNCTION("""COMPUTED_VALUE"""),141.93)</f>
        <v>141.93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IFERROR(__xludf.DUMMYFUNCTION("""COMPUTED_VALUE"""),146.35)</f>
        <v>146.35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IFERROR(__xludf.DUMMYFUNCTION("""COMPUTED_VALUE"""),158.54)</f>
        <v>158.54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IFERROR(__xludf.DUMMYFUNCTION("""COMPUTED_VALUE"""),160.33)</f>
        <v>160.33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IFERROR(__xludf.DUMMYFUNCTION("""COMPUTED_VALUE"""),171.4)</f>
        <v>171.4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IFERROR(__xludf.DUMMYFUNCTION("""COMPUTED_VALUE"""),174.07)</f>
        <v>174.07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IFERROR(__xludf.DUMMYFUNCTION("""COMPUTED_VALUE"""),171.18)</f>
        <v>171.18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IFERROR(__xludf.DUMMYFUNCTION("""COMPUTED_VALUE"""),171.4)</f>
        <v>171.4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IFERROR(__xludf.DUMMYFUNCTION("""COMPUTED_VALUE"""),178.36)</f>
        <v>178.36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IFERROR(__xludf.DUMMYFUNCTION("""COMPUTED_VALUE"""),178.36)</f>
        <v>178.36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IFERROR(__xludf.DUMMYFUNCTION("GOOGLEFINANCE(""NSE:ABB"",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IFERROR(__xludf.DUMMYFUNCTION("""COMPUTED_VALUE"""),175.64)</f>
        <v>175.64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IFERROR(__xludf.DUMMYFUNCTION("""COMPUTED_VALUE"""),171.22)</f>
        <v>171.22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IFERROR(__xludf.DUMMYFUNCTION("""COMPUTED_VALUE"""),167.47)</f>
        <v>167.47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IFERROR(__xludf.DUMMYFUNCTION("""COMPUTED_VALUE"""),171.4)</f>
        <v>171.4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IFERROR(__xludf.DUMMYFUNCTION("""COMPUTED_VALUE"""),196.21)</f>
        <v>196.21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IFERROR(__xludf.DUMMYFUNCTION("""COMPUTED_VALUE"""),235.65)</f>
        <v>235.65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IFERROR(__xludf.DUMMYFUNCTION("""COMPUTED_VALUE"""),231.92)</f>
        <v>231.92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IFERROR(__xludf.DUMMYFUNCTION("""COMPUTED_VALUE"""),231.92)</f>
        <v>231.92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IFERROR(__xludf.DUMMYFUNCTION("""COMPUTED_VALUE"""),234.42)</f>
        <v>234.42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IFERROR(__xludf.DUMMYFUNCTION("""COMPUTED_VALUE"""),234.95)</f>
        <v>234.95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IFERROR(__xludf.DUMMYFUNCTION("""COMPUTED_VALUE"""),222.28)</f>
        <v>222.28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IFERROR(__xludf.DUMMYFUNCTION("""COMPUTED_VALUE"""),226.38)</f>
        <v>226.38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IFERROR(__xludf.DUMMYFUNCTION("""COMPUTED_VALUE"""),218.71)</f>
        <v>218.71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IFERROR(__xludf.DUMMYFUNCTION("""COMPUTED_VALUE"""),222.99)</f>
        <v>222.99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IFERROR(__xludf.DUMMYFUNCTION("""COMPUTED_VALUE"""),240.85)</f>
        <v>240.85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IFERROR(__xludf.DUMMYFUNCTION("""COMPUTED_VALUE"""),237.99)</f>
        <v>237.99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IFERROR(__xludf.DUMMYFUNCTION("""COMPUTED_VALUE"""),226.71)</f>
        <v>226.71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IFERROR(__xludf.DUMMYFUNCTION("""COMPUTED_VALUE"""),224.96)</f>
        <v>224.96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IFERROR(__xludf.DUMMYFUNCTION("""COMPUTED_VALUE"""),227.63)</f>
        <v>227.63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IFERROR(__xludf.DUMMYFUNCTION("""COMPUTED_VALUE"""),236.38)</f>
        <v>236.38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IFERROR(__xludf.DUMMYFUNCTION("""COMPUTED_VALUE"""),238.87)</f>
        <v>238.87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IFERROR(__xludf.DUMMYFUNCTION("""COMPUTED_VALUE"""),245.47)</f>
        <v>245.47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IFERROR(__xludf.DUMMYFUNCTION("""COMPUTED_VALUE"""),238.34)</f>
        <v>238.34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IFERROR(__xludf.DUMMYFUNCTION("""COMPUTED_VALUE"""),236.65)</f>
        <v>236.65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IFERROR(__xludf.DUMMYFUNCTION("""COMPUTED_VALUE"""),239.27)</f>
        <v>239.27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IFERROR(__xludf.DUMMYFUNCTION("""COMPUTED_VALUE"""),272.27)</f>
        <v>272.27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IFERROR(__xludf.DUMMYFUNCTION("""COMPUTED_VALUE"""),276.55)</f>
        <v>276.55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IFERROR(__xludf.DUMMYFUNCTION("""COMPUTED_VALUE"""),274.95)</f>
        <v>274.95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IFERROR(__xludf.DUMMYFUNCTION("""COMPUTED_VALUE"""),276.55)</f>
        <v>276.55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IFERROR(__xludf.DUMMYFUNCTION("""COMPUTED_VALUE"""),283.69)</f>
        <v>283.69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IFERROR(__xludf.DUMMYFUNCTION("""COMPUTED_VALUE"""),282.98)</f>
        <v>282.98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IFERROR(__xludf.DUMMYFUNCTION("""COMPUTED_VALUE"""),284.73)</f>
        <v>284.73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IFERROR(__xludf.DUMMYFUNCTION("""COMPUTED_VALUE"""),278.52)</f>
        <v>278.52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IFERROR(__xludf.DUMMYFUNCTION("""COMPUTED_VALUE"""),304.4)</f>
        <v>304.4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IFERROR(__xludf.DUMMYFUNCTION("""COMPUTED_VALUE"""),328.51)</f>
        <v>328.51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IFERROR(__xludf.DUMMYFUNCTION("""COMPUTED_VALUE"""),335.65)</f>
        <v>335.65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IFERROR(__xludf.DUMMYFUNCTION("""COMPUTED_VALUE"""),322.97)</f>
        <v>322.97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IFERROR(__xludf.DUMMYFUNCTION("""COMPUTED_VALUE"""),321.72)</f>
        <v>321.72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IFERROR(__xludf.DUMMYFUNCTION("""COMPUTED_VALUE"""),319.22)</f>
        <v>319.22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IFERROR(__xludf.DUMMYFUNCTION("""COMPUTED_VALUE"""),314.22)</f>
        <v>314.22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IFERROR(__xludf.DUMMYFUNCTION("""COMPUTED_VALUE"""),302.62)</f>
        <v>302.62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IFERROR(__xludf.DUMMYFUNCTION("""COMPUTED_VALUE"""),304.46)</f>
        <v>304.46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IFERROR(__xludf.DUMMYFUNCTION("""COMPUTED_VALUE"""),303.69)</f>
        <v>303.69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IFERROR(__xludf.DUMMYFUNCTION("""COMPUTED_VALUE"""),337.42)</f>
        <v>337.42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IFERROR(__xludf.DUMMYFUNCTION("""COMPUTED_VALUE"""),344.58)</f>
        <v>344.58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IFERROR(__xludf.DUMMYFUNCTION("""COMPUTED_VALUE"""),367.75)</f>
        <v>367.75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IFERROR(__xludf.DUMMYFUNCTION("""COMPUTED_VALUE"""),354.4)</f>
        <v>354.4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IFERROR(__xludf.DUMMYFUNCTION("""COMPUTED_VALUE"""),348.15)</f>
        <v>348.15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IFERROR(__xludf.DUMMYFUNCTION("""COMPUTED_VALUE"""),360.64)</f>
        <v>360.64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IFERROR(__xludf.DUMMYFUNCTION("""COMPUTED_VALUE"""),351.72)</f>
        <v>351.72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IFERROR(__xludf.DUMMYFUNCTION("GOOGLEFINANCE(""NSE:ABB"",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IFERROR(__xludf.DUMMYFUNCTION("""COMPUTED_VALUE"""),363.13)</f>
        <v>363.13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IFERROR(__xludf.DUMMYFUNCTION("""COMPUTED_VALUE"""),365.11)</f>
        <v>365.11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IFERROR(__xludf.DUMMYFUNCTION("""COMPUTED_VALUE"""),405.99)</f>
        <v>405.99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IFERROR(__xludf.DUMMYFUNCTION("""COMPUTED_VALUE"""),477.12)</f>
        <v>477.12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IFERROR(__xludf.DUMMYFUNCTION("""COMPUTED_VALUE"""),460.27)</f>
        <v>460.27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IFERROR(__xludf.DUMMYFUNCTION("""COMPUTED_VALUE"""),448.11)</f>
        <v>448.11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IFERROR(__xludf.DUMMYFUNCTION("""COMPUTED_VALUE"""),453.48)</f>
        <v>453.48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IFERROR(__xludf.DUMMYFUNCTION("""COMPUTED_VALUE"""),443.48)</f>
        <v>443.48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IFERROR(__xludf.DUMMYFUNCTION("""COMPUTED_VALUE"""),485.44)</f>
        <v>485.44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IFERROR(__xludf.DUMMYFUNCTION("""COMPUTED_VALUE"""),553.46)</f>
        <v>553.46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IFERROR(__xludf.DUMMYFUNCTION("""COMPUTED_VALUE"""),550.79)</f>
        <v>550.79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IFERROR(__xludf.DUMMYFUNCTION("""COMPUTED_VALUE"""),548.11)</f>
        <v>548.11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IFERROR(__xludf.DUMMYFUNCTION("""COMPUTED_VALUE"""),540.79)</f>
        <v>540.79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IFERROR(__xludf.DUMMYFUNCTION("""COMPUTED_VALUE"""),579.89)</f>
        <v>579.89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IFERROR(__xludf.DUMMYFUNCTION("""COMPUTED_VALUE"""),579.89)</f>
        <v>579.89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IFERROR(__xludf.DUMMYFUNCTION("""COMPUTED_VALUE"""),564.18)</f>
        <v>564.18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IFERROR(__xludf.DUMMYFUNCTION("""COMPUTED_VALUE"""),594.53)</f>
        <v>594.53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IFERROR(__xludf.DUMMYFUNCTION("""COMPUTED_VALUE"""),588.99)</f>
        <v>588.99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IFERROR(__xludf.DUMMYFUNCTION("""COMPUTED_VALUE"""),569.35)</f>
        <v>569.35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IFERROR(__xludf.DUMMYFUNCTION("""COMPUTED_VALUE"""),475.8)</f>
        <v>475.8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IFERROR(__xludf.DUMMYFUNCTION("""COMPUTED_VALUE"""),464.2)</f>
        <v>464.2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IFERROR(__xludf.DUMMYFUNCTION("""COMPUTED_VALUE"""),427.42)</f>
        <v>427.42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IFERROR(__xludf.DUMMYFUNCTION("""COMPUTED_VALUE"""),414.2)</f>
        <v>414.2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IFERROR(__xludf.DUMMYFUNCTION("""COMPUTED_VALUE"""),415.99)</f>
        <v>415.99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IFERROR(__xludf.DUMMYFUNCTION("""COMPUTED_VALUE"""),463.66)</f>
        <v>463.66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IFERROR(__xludf.DUMMYFUNCTION("""COMPUTED_VALUE"""),462.41)</f>
        <v>462.41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IFERROR(__xludf.DUMMYFUNCTION("""COMPUTED_VALUE"""),472.94)</f>
        <v>472.94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IFERROR(__xludf.DUMMYFUNCTION("""COMPUTED_VALUE"""),457.02)</f>
        <v>457.02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IFERROR(__xludf.DUMMYFUNCTION("""COMPUTED_VALUE"""),452.59)</f>
        <v>452.59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IFERROR(__xludf.DUMMYFUNCTION("""COMPUTED_VALUE"""),468.66)</f>
        <v>468.66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IFERROR(__xludf.DUMMYFUNCTION("""COMPUTED_VALUE"""),496.15)</f>
        <v>496.15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IFERROR(__xludf.DUMMYFUNCTION("""COMPUTED_VALUE"""),506.87)</f>
        <v>506.87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IFERROR(__xludf.DUMMYFUNCTION("""COMPUTED_VALUE"""),511.86)</f>
        <v>511.86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IFERROR(__xludf.DUMMYFUNCTION("""COMPUTED_VALUE"""),511.51)</f>
        <v>511.51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IFERROR(__xludf.DUMMYFUNCTION("""COMPUTED_VALUE"""),519.54)</f>
        <v>519.54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IFERROR(__xludf.DUMMYFUNCTION("""COMPUTED_VALUE"""),512.4)</f>
        <v>512.4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IFERROR(__xludf.DUMMYFUNCTION("""COMPUTED_VALUE"""),523.29)</f>
        <v>523.29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IFERROR(__xludf.DUMMYFUNCTION("""COMPUTED_VALUE"""),533.82)</f>
        <v>533.82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IFERROR(__xludf.DUMMYFUNCTION("""COMPUTED_VALUE"""),529.54)</f>
        <v>529.54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IFERROR(__xludf.DUMMYFUNCTION("""COMPUTED_VALUE"""),554.71)</f>
        <v>554.71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IFERROR(__xludf.DUMMYFUNCTION("""COMPUTED_VALUE"""),676.65)</f>
        <v>676.65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IFERROR(__xludf.DUMMYFUNCTION("""COMPUTED_VALUE"""),676.83)</f>
        <v>676.83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IFERROR(__xludf.DUMMYFUNCTION("""COMPUTED_VALUE"""),633.8)</f>
        <v>633.8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IFERROR(__xludf.DUMMYFUNCTION("""COMPUTED_VALUE"""),628.09)</f>
        <v>628.09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IFERROR(__xludf.DUMMYFUNCTION("""COMPUTED_VALUE"""),649.69)</f>
        <v>649.69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IFERROR(__xludf.DUMMYFUNCTION("""COMPUTED_VALUE"""),669.3)</f>
        <v>669.3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IFERROR(__xludf.DUMMYFUNCTION("""COMPUTED_VALUE"""),699.68)</f>
        <v>699.68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IFERROR(__xludf.DUMMYFUNCTION("""COMPUTED_VALUE"""),703.92)</f>
        <v>703.92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IFERROR(__xludf.DUMMYFUNCTION("""COMPUTED_VALUE"""),663.26)</f>
        <v>663.26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IFERROR(__xludf.DUMMYFUNCTION("""COMPUTED_VALUE"""),669.16)</f>
        <v>669.16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IFERROR(__xludf.DUMMYFUNCTION("GOOGLEFINANCE(""NSE:ABB"",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IFERROR(__xludf.DUMMYFUNCTION("""COMPUTED_VALUE"""),674.69)</f>
        <v>674.69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IFERROR(__xludf.DUMMYFUNCTION("""COMPUTED_VALUE"""),651.83)</f>
        <v>651.83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IFERROR(__xludf.DUMMYFUNCTION("""COMPUTED_VALUE"""),660.41)</f>
        <v>660.41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IFERROR(__xludf.DUMMYFUNCTION("""COMPUTED_VALUE"""),648.97)</f>
        <v>648.97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IFERROR(__xludf.DUMMYFUNCTION("""COMPUTED_VALUE"""),686.49)</f>
        <v>686.49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IFERROR(__xludf.DUMMYFUNCTION("""COMPUTED_VALUE"""),702.49)</f>
        <v>702.49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IFERROR(__xludf.DUMMYFUNCTION("""COMPUTED_VALUE"""),713.97)</f>
        <v>713.97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IFERROR(__xludf.DUMMYFUNCTION("""COMPUTED_VALUE"""),710.58)</f>
        <v>710.58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IFERROR(__xludf.DUMMYFUNCTION("""COMPUTED_VALUE"""),669.51)</f>
        <v>669.51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IFERROR(__xludf.DUMMYFUNCTION("""COMPUTED_VALUE"""),633.89)</f>
        <v>633.89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IFERROR(__xludf.DUMMYFUNCTION("""COMPUTED_VALUE"""),657.01)</f>
        <v>657.01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IFERROR(__xludf.DUMMYFUNCTION("""COMPUTED_VALUE"""),649.69)</f>
        <v>649.69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IFERROR(__xludf.DUMMYFUNCTION("""COMPUTED_VALUE"""),658.44)</f>
        <v>658.44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IFERROR(__xludf.DUMMYFUNCTION("""COMPUTED_VALUE"""),644.16)</f>
        <v>644.16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IFERROR(__xludf.DUMMYFUNCTION("""COMPUTED_VALUE"""),670.4)</f>
        <v>670.4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IFERROR(__xludf.DUMMYFUNCTION("""COMPUTED_VALUE"""),691.83)</f>
        <v>691.83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IFERROR(__xludf.DUMMYFUNCTION("""COMPUTED_VALUE"""),744.5)</f>
        <v>744.5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IFERROR(__xludf.DUMMYFUNCTION("""COMPUTED_VALUE"""),740.74)</f>
        <v>740.74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IFERROR(__xludf.DUMMYFUNCTION("""COMPUTED_VALUE"""),760.74)</f>
        <v>760.74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IFERROR(__xludf.DUMMYFUNCTION("""COMPUTED_VALUE"""),778.61)</f>
        <v>778.61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IFERROR(__xludf.DUMMYFUNCTION("""COMPUTED_VALUE"""),813.29)</f>
        <v>813.29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IFERROR(__xludf.DUMMYFUNCTION("""COMPUTED_VALUE"""),849.48)</f>
        <v>849.48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IFERROR(__xludf.DUMMYFUNCTION("""COMPUTED_VALUE"""),851.51)</f>
        <v>851.51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IFERROR(__xludf.DUMMYFUNCTION("""COMPUTED_VALUE"""),820.36)</f>
        <v>820.36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IFERROR(__xludf.DUMMYFUNCTION("""COMPUTED_VALUE"""),853.23)</f>
        <v>853.23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IFERROR(__xludf.DUMMYFUNCTION("""COMPUTED_VALUE"""),981.95)</f>
        <v>981.95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IFERROR(__xludf.DUMMYFUNCTION("""COMPUTED_VALUE"""),1026.59)</f>
        <v>1026.59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IFERROR(__xludf.DUMMYFUNCTION("""COMPUTED_VALUE"""),1026.59)</f>
        <v>1026.59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IFERROR(__xludf.DUMMYFUNCTION("""COMPUTED_VALUE"""),1014.98)</f>
        <v>1014.98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IFERROR(__xludf.DUMMYFUNCTION("""COMPUTED_VALUE"""),1048.72)</f>
        <v>1048.72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IFERROR(__xludf.DUMMYFUNCTION("""COMPUTED_VALUE"""),1029.26)</f>
        <v>1029.26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IFERROR(__xludf.DUMMYFUNCTION("""COMPUTED_VALUE"""),1035.51)</f>
        <v>1035.51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IFERROR(__xludf.DUMMYFUNCTION("""COMPUTED_VALUE"""),999.36)</f>
        <v>999.36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IFERROR(__xludf.DUMMYFUNCTION("""COMPUTED_VALUE"""),968.56)</f>
        <v>968.56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IFERROR(__xludf.DUMMYFUNCTION("""COMPUTED_VALUE"""),1031.05)</f>
        <v>1031.05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IFERROR(__xludf.DUMMYFUNCTION("""COMPUTED_VALUE"""),1086.4)</f>
        <v>1086.4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IFERROR(__xludf.DUMMYFUNCTION("""COMPUTED_VALUE"""),1107.82)</f>
        <v>1107.82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IFERROR(__xludf.DUMMYFUNCTION("""COMPUTED_VALUE"""),1178.16)</f>
        <v>1178.16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IFERROR(__xludf.DUMMYFUNCTION("""COMPUTED_VALUE"""),1187.27)</f>
        <v>1187.27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IFERROR(__xludf.DUMMYFUNCTION("""COMPUTED_VALUE"""),1283.68)</f>
        <v>1283.68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IFERROR(__xludf.DUMMYFUNCTION("""COMPUTED_VALUE"""),1292.6)</f>
        <v>1292.6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IFERROR(__xludf.DUMMYFUNCTION("""COMPUTED_VALUE"""),1449.72)</f>
        <v>1449.72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IFERROR(__xludf.DUMMYFUNCTION("""COMPUTED_VALUE"""),1379.2)</f>
        <v>1379.2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IFERROR(__xludf.DUMMYFUNCTION("""COMPUTED_VALUE"""),1472.93)</f>
        <v>1472.93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IFERROR(__xludf.DUMMYFUNCTION("""COMPUTED_VALUE"""),1498.81)</f>
        <v>1498.81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IFERROR(__xludf.DUMMYFUNCTION("""COMPUTED_VALUE"""),1493.46)</f>
        <v>1493.46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IFERROR(__xludf.DUMMYFUNCTION("""COMPUTED_VALUE"""),1427.4)</f>
        <v>1427.4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IFERROR(__xludf.DUMMYFUNCTION("""COMPUTED_VALUE"""),1472.84)</f>
        <v>1472.84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IFERROR(__xludf.DUMMYFUNCTION("""COMPUTED_VALUE"""),1472.93)</f>
        <v>1472.93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IFERROR(__xludf.DUMMYFUNCTION("""COMPUTED_VALUE"""),1428.29)</f>
        <v>1428.29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IFERROR(__xludf.DUMMYFUNCTION("""COMPUTED_VALUE"""),1350.63)</f>
        <v>1350.63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IFERROR(__xludf.DUMMYFUNCTION("GOOGLEFINANCE(""NSE:ABB"",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IFERROR(__xludf.DUMMYFUNCTION("""COMPUTED_VALUE"""),1364.02)</f>
        <v>1364.02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IFERROR(__xludf.DUMMYFUNCTION("""COMPUTED_VALUE"""),1605.4)</f>
        <v>1605.4</v>
      </c>
    </row>
    <row r="334" ht="15.75" customHeight="1">
      <c r="B334" s="3">
        <f>IFERROR(__xludf.DUMMYFUNCTION("""COMPUTED_VALUE"""),39464.645833333336)</f>
        <v>39464.64583</v>
      </c>
      <c r="C334" s="2">
        <f>IFERROR(__xludf.DUMMYFUNCTION("""COMPUTED_VALUE"""),1328.31)</f>
        <v>1328.31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IFERROR(__xludf.DUMMYFUNCTION("""COMPUTED_VALUE"""),1219.4)</f>
        <v>1219.4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IFERROR(__xludf.DUMMYFUNCTION("""COMPUTED_VALUE"""),1123.89)</f>
        <v>1123.89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IFERROR(__xludf.DUMMYFUNCTION("""COMPUTED_VALUE"""),1168.52)</f>
        <v>1168.52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IFERROR(__xludf.DUMMYFUNCTION("""COMPUTED_VALUE"""),1218.47)</f>
        <v>1218.47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IFERROR(__xludf.DUMMYFUNCTION("""COMPUTED_VALUE"""),1227.17)</f>
        <v>1227.17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IFERROR(__xludf.DUMMYFUNCTION("""COMPUTED_VALUE"""),1110.5)</f>
        <v>1110.5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IFERROR(__xludf.DUMMYFUNCTION("""COMPUTED_VALUE"""),1024.8)</f>
        <v>1024.8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IFERROR(__xludf.DUMMYFUNCTION("""COMPUTED_VALUE"""),1044.44)</f>
        <v>1044.44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IFERROR(__xludf.DUMMYFUNCTION("""COMPUTED_VALUE"""),1026.59)</f>
        <v>1026.59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IFERROR(__xludf.DUMMYFUNCTION("""COMPUTED_VALUE"""),1079.61)</f>
        <v>1079.61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IFERROR(__xludf.DUMMYFUNCTION("""COMPUTED_VALUE"""),1114.07)</f>
        <v>1114.07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IFERROR(__xludf.DUMMYFUNCTION("""COMPUTED_VALUE"""),1025.69)</f>
        <v>1025.69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IFERROR(__xludf.DUMMYFUNCTION("""COMPUTED_VALUE"""),1057.83)</f>
        <v>1057.83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IFERROR(__xludf.DUMMYFUNCTION("""COMPUTED_VALUE"""),1080.01)</f>
        <v>1080.01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IFERROR(__xludf.DUMMYFUNCTION("""COMPUTED_VALUE"""),1053.37)</f>
        <v>1053.37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IFERROR(__xludf.DUMMYFUNCTION("""COMPUTED_VALUE"""),1016.77)</f>
        <v>1016.77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IFERROR(__xludf.DUMMYFUNCTION("""COMPUTED_VALUE"""),979.99)</f>
        <v>979.99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IFERROR(__xludf.DUMMYFUNCTION("""COMPUTED_VALUE"""),971.82)</f>
        <v>971.82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IFERROR(__xludf.DUMMYFUNCTION("""COMPUTED_VALUE"""),925.62)</f>
        <v>925.62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IFERROR(__xludf.DUMMYFUNCTION("""COMPUTED_VALUE"""),950.62)</f>
        <v>950.62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IFERROR(__xludf.DUMMYFUNCTION("""COMPUTED_VALUE"""),887.33)</f>
        <v>887.33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IFERROR(__xludf.DUMMYFUNCTION("""COMPUTED_VALUE"""),873.85)</f>
        <v>873.85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IFERROR(__xludf.DUMMYFUNCTION("""COMPUTED_VALUE"""),831.49)</f>
        <v>831.49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IFERROR(__xludf.DUMMYFUNCTION("""COMPUTED_VALUE"""),776.63)</f>
        <v>776.63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IFERROR(__xludf.DUMMYFUNCTION("""COMPUTED_VALUE"""),843.05)</f>
        <v>843.05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IFERROR(__xludf.DUMMYFUNCTION("""COMPUTED_VALUE"""),809.66)</f>
        <v>809.66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IFERROR(__xludf.DUMMYFUNCTION("""COMPUTED_VALUE"""),836.27)</f>
        <v>836.27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IFERROR(__xludf.DUMMYFUNCTION("""COMPUTED_VALUE"""),746.28)</f>
        <v>746.28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IFERROR(__xludf.DUMMYFUNCTION("""COMPUTED_VALUE"""),787.35)</f>
        <v>787.35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IFERROR(__xludf.DUMMYFUNCTION("""COMPUTED_VALUE"""),808.77)</f>
        <v>808.77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IFERROR(__xludf.DUMMYFUNCTION("""COMPUTED_VALUE"""),812.16)</f>
        <v>812.16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IFERROR(__xludf.DUMMYFUNCTION("""COMPUTED_VALUE"""),821.27)</f>
        <v>821.27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IFERROR(__xludf.DUMMYFUNCTION("""COMPUTED_VALUE"""),817.7)</f>
        <v>817.7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IFERROR(__xludf.DUMMYFUNCTION("""COMPUTED_VALUE"""),824.84)</f>
        <v>824.84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IFERROR(__xludf.DUMMYFUNCTION("""COMPUTED_VALUE"""),757.8)</f>
        <v>757.8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IFERROR(__xludf.DUMMYFUNCTION("""COMPUTED_VALUE"""),767.17)</f>
        <v>767.17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IFERROR(__xludf.DUMMYFUNCTION("""COMPUTED_VALUE"""),723.07)</f>
        <v>723.07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IFERROR(__xludf.DUMMYFUNCTION("""COMPUTED_VALUE"""),698.52)</f>
        <v>698.52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IFERROR(__xludf.DUMMYFUNCTION("""COMPUTED_VALUE"""),661.48)</f>
        <v>661.48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IFERROR(__xludf.DUMMYFUNCTION("""COMPUTED_VALUE"""),605.24)</f>
        <v>605.24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IFERROR(__xludf.DUMMYFUNCTION("""COMPUTED_VALUE"""),524.81)</f>
        <v>524.81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IFERROR(__xludf.DUMMYFUNCTION("""COMPUTED_VALUE"""),522.09)</f>
        <v>522.09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IFERROR(__xludf.DUMMYFUNCTION("""COMPUTED_VALUE"""),494.99)</f>
        <v>494.99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IFERROR(__xludf.DUMMYFUNCTION("""COMPUTED_VALUE"""),414.2)</f>
        <v>414.2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IFERROR(__xludf.DUMMYFUNCTION("""COMPUTED_VALUE"""),402.6)</f>
        <v>402.6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IFERROR(__xludf.DUMMYFUNCTION("""COMPUTED_VALUE"""),408.98)</f>
        <v>408.98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IFERROR(__xludf.DUMMYFUNCTION("""COMPUTED_VALUE"""),428.49)</f>
        <v>428.49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IFERROR(__xludf.DUMMYFUNCTION("""COMPUTED_VALUE"""),429.38)</f>
        <v>429.38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IFERROR(__xludf.DUMMYFUNCTION("""COMPUTED_VALUE"""),430.23)</f>
        <v>430.23</v>
      </c>
    </row>
    <row r="384" ht="15.75" customHeight="1"/>
    <row r="385" ht="15.75" customHeight="1"/>
    <row r="386" ht="15.75" customHeight="1">
      <c r="B386" s="2" t="str">
        <f>IFERROR(__xludf.DUMMYFUNCTION("GOOGLEFINANCE(""NSE:ABB"",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IFERROR(__xludf.DUMMYFUNCTION("""COMPUTED_VALUE"""),444.11)</f>
        <v>444.11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IFERROR(__xludf.DUMMYFUNCTION("""COMPUTED_VALUE"""),463.88)</f>
        <v>463.88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IFERROR(__xludf.DUMMYFUNCTION("""COMPUTED_VALUE"""),441.34)</f>
        <v>441.34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IFERROR(__xludf.DUMMYFUNCTION("""COMPUTED_VALUE"""),414.2)</f>
        <v>414.2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IFERROR(__xludf.DUMMYFUNCTION("""COMPUTED_VALUE"""),439.2)</f>
        <v>439.2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IFERROR(__xludf.DUMMYFUNCTION("""COMPUTED_VALUE"""),426.7)</f>
        <v>426.7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IFERROR(__xludf.DUMMYFUNCTION("""COMPUTED_VALUE"""),424.02)</f>
        <v>424.02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IFERROR(__xludf.DUMMYFUNCTION("""COMPUTED_VALUE"""),400.55)</f>
        <v>400.55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IFERROR(__xludf.DUMMYFUNCTION("""COMPUTED_VALUE"""),357.07)</f>
        <v>357.07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IFERROR(__xludf.DUMMYFUNCTION("""COMPUTED_VALUE"""),332.52)</f>
        <v>332.52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IFERROR(__xludf.DUMMYFUNCTION("""COMPUTED_VALUE"""),338.86)</f>
        <v>338.86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IFERROR(__xludf.DUMMYFUNCTION("""COMPUTED_VALUE"""),339.04)</f>
        <v>339.04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IFERROR(__xludf.DUMMYFUNCTION("""COMPUTED_VALUE"""),379.21)</f>
        <v>379.21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IFERROR(__xludf.DUMMYFUNCTION("""COMPUTED_VALUE"""),399.03)</f>
        <v>399.03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IFERROR(__xludf.DUMMYFUNCTION("""COMPUTED_VALUE"""),418.36)</f>
        <v>418.36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IFERROR(__xludf.DUMMYFUNCTION("""COMPUTED_VALUE"""),474.64)</f>
        <v>474.64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IFERROR(__xludf.DUMMYFUNCTION("""COMPUTED_VALUE"""),499.9)</f>
        <v>499.9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IFERROR(__xludf.DUMMYFUNCTION("""COMPUTED_VALUE"""),449.38)</f>
        <v>449.38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IFERROR(__xludf.DUMMYFUNCTION("""COMPUTED_VALUE"""),441.79)</f>
        <v>441.79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IFERROR(__xludf.DUMMYFUNCTION("""COMPUTED_VALUE"""),444.56)</f>
        <v>444.56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IFERROR(__xludf.DUMMYFUNCTION("""COMPUTED_VALUE"""),624.88)</f>
        <v>624.88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IFERROR(__xludf.DUMMYFUNCTION("""COMPUTED_VALUE"""),594.53)</f>
        <v>594.53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IFERROR(__xludf.DUMMYFUNCTION("""COMPUTED_VALUE"""),673.98)</f>
        <v>673.98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IFERROR(__xludf.DUMMYFUNCTION("""COMPUTED_VALUE"""),700.76)</f>
        <v>700.76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IFERROR(__xludf.DUMMYFUNCTION("""COMPUTED_VALUE"""),694.51)</f>
        <v>694.51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IFERROR(__xludf.DUMMYFUNCTION("""COMPUTED_VALUE"""),709.68)</f>
        <v>709.68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IFERROR(__xludf.DUMMYFUNCTION("""COMPUTED_VALUE"""),744.5)</f>
        <v>744.5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IFERROR(__xludf.DUMMYFUNCTION("""COMPUTED_VALUE"""),719.5)</f>
        <v>719.5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IFERROR(__xludf.DUMMYFUNCTION("""COMPUTED_VALUE"""),652.55)</f>
        <v>652.55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IFERROR(__xludf.DUMMYFUNCTION("""COMPUTED_VALUE"""),670.94)</f>
        <v>670.94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IFERROR(__xludf.DUMMYFUNCTION("""COMPUTED_VALUE"""),677.37)</f>
        <v>677.37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IFERROR(__xludf.DUMMYFUNCTION("""COMPUTED_VALUE"""),651.66)</f>
        <v>651.66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IFERROR(__xludf.DUMMYFUNCTION("""COMPUTED_VALUE"""),629.34)</f>
        <v>629.34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IFERROR(__xludf.DUMMYFUNCTION("""COMPUTED_VALUE"""),631.93)</f>
        <v>631.93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IFERROR(__xludf.DUMMYFUNCTION("""COMPUTED_VALUE"""),678.44)</f>
        <v>678.44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IFERROR(__xludf.DUMMYFUNCTION("""COMPUTED_VALUE"""),691.83)</f>
        <v>691.83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IFERROR(__xludf.DUMMYFUNCTION("""COMPUTED_VALUE"""),690.85)</f>
        <v>690.85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IFERROR(__xludf.DUMMYFUNCTION("""COMPUTED_VALUE"""),724.86)</f>
        <v>724.86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IFERROR(__xludf.DUMMYFUNCTION("""COMPUTED_VALUE"""),732.0)</f>
        <v>732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IFERROR(__xludf.DUMMYFUNCTION("""COMPUTED_VALUE"""),709.68)</f>
        <v>709.68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IFERROR(__xludf.DUMMYFUNCTION("""COMPUTED_VALUE"""),738.47)</f>
        <v>738.47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IFERROR(__xludf.DUMMYFUNCTION("""COMPUTED_VALUE"""),737.8)</f>
        <v>737.8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IFERROR(__xludf.DUMMYFUNCTION("""COMPUTED_VALUE"""),708.61)</f>
        <v>708.61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IFERROR(__xludf.DUMMYFUNCTION("""COMPUTED_VALUE"""),689.15)</f>
        <v>689.15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IFERROR(__xludf.DUMMYFUNCTION("""COMPUTED_VALUE"""),694.73)</f>
        <v>694.73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IFERROR(__xludf.DUMMYFUNCTION("""COMPUTED_VALUE"""),702.36)</f>
        <v>702.36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IFERROR(__xludf.DUMMYFUNCTION("""COMPUTED_VALUE"""),694.51)</f>
        <v>694.51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IFERROR(__xludf.DUMMYFUNCTION("""COMPUTED_VALUE"""),677.5)</f>
        <v>677.5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IFERROR(__xludf.DUMMYFUNCTION("""COMPUTED_VALUE"""),703.43)</f>
        <v>703.43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IFERROR(__xludf.DUMMYFUNCTION("""COMPUTED_VALUE"""),682.99)</f>
        <v>682.99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IFERROR(__xludf.DUMMYFUNCTION("""COMPUTED_VALUE"""),694.33)</f>
        <v>694.33</v>
      </c>
    </row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IFERROR(__xludf.DUMMYFUNCTION("GOOGLEFINANCE(""NSE:GLAXO"",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IFERROR(__xludf.DUMMYFUNCTION("""COMPUTED_VALUE"""),153.98)</f>
        <v>153.98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IFERROR(__xludf.DUMMYFUNCTION("""COMPUTED_VALUE"""),153.95)</f>
        <v>153.95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IFERROR(__xludf.DUMMYFUNCTION("""COMPUTED_VALUE"""),163.75)</f>
        <v>163.75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IFERROR(__xludf.DUMMYFUNCTION("""COMPUTED_VALUE"""),172.85)</f>
        <v>172.85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IFERROR(__xludf.DUMMYFUNCTION("""COMPUTED_VALUE"""),172.5)</f>
        <v>172.5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IFERROR(__xludf.DUMMYFUNCTION("""COMPUTED_VALUE"""),189.5)</f>
        <v>189.5</v>
      </c>
    </row>
    <row r="8">
      <c r="B8" s="3">
        <f>IFERROR(__xludf.DUMMYFUNCTION("""COMPUTED_VALUE"""),37302.645833333336)</f>
        <v>37302.64583</v>
      </c>
      <c r="C8" s="2">
        <f>IFERROR(__xludf.DUMMYFUNCTION("""COMPUTED_VALUE"""),187.0)</f>
        <v>187</v>
      </c>
    </row>
    <row r="9">
      <c r="B9" s="3">
        <f>IFERROR(__xludf.DUMMYFUNCTION("""COMPUTED_VALUE"""),37309.645833333336)</f>
        <v>37309.64583</v>
      </c>
      <c r="C9" s="2">
        <f>IFERROR(__xludf.DUMMYFUNCTION("""COMPUTED_VALUE"""),180.0)</f>
        <v>180</v>
      </c>
    </row>
    <row r="10">
      <c r="B10" s="3">
        <f>IFERROR(__xludf.DUMMYFUNCTION("""COMPUTED_VALUE"""),37316.645833333336)</f>
        <v>37316.64583</v>
      </c>
      <c r="C10" s="2">
        <f>IFERROR(__xludf.DUMMYFUNCTION("""COMPUTED_VALUE"""),176.8)</f>
        <v>176.8</v>
      </c>
    </row>
    <row r="11">
      <c r="B11" s="3">
        <f>IFERROR(__xludf.DUMMYFUNCTION("""COMPUTED_VALUE"""),37323.645833333336)</f>
        <v>37323.64583</v>
      </c>
      <c r="C11" s="2">
        <f>IFERROR(__xludf.DUMMYFUNCTION("""COMPUTED_VALUE"""),180.0)</f>
        <v>180</v>
      </c>
    </row>
    <row r="12">
      <c r="B12" s="3">
        <f>IFERROR(__xludf.DUMMYFUNCTION("""COMPUTED_VALUE"""),37330.645833333336)</f>
        <v>37330.64583</v>
      </c>
      <c r="C12" s="2">
        <f>IFERROR(__xludf.DUMMYFUNCTION("""COMPUTED_VALUE"""),178.48)</f>
        <v>178.48</v>
      </c>
    </row>
    <row r="13">
      <c r="B13" s="3">
        <f>IFERROR(__xludf.DUMMYFUNCTION("""COMPUTED_VALUE"""),37337.645833333336)</f>
        <v>37337.64583</v>
      </c>
      <c r="C13" s="2">
        <f>IFERROR(__xludf.DUMMYFUNCTION("""COMPUTED_VALUE"""),180.5)</f>
        <v>180.5</v>
      </c>
    </row>
    <row r="14">
      <c r="B14" s="3">
        <f>IFERROR(__xludf.DUMMYFUNCTION("""COMPUTED_VALUE"""),37343.645833333336)</f>
        <v>37343.64583</v>
      </c>
      <c r="C14" s="2">
        <f>IFERROR(__xludf.DUMMYFUNCTION("""COMPUTED_VALUE"""),172.5)</f>
        <v>172.5</v>
      </c>
    </row>
    <row r="15">
      <c r="B15" s="3">
        <f>IFERROR(__xludf.DUMMYFUNCTION("""COMPUTED_VALUE"""),37351.645833333336)</f>
        <v>37351.64583</v>
      </c>
      <c r="C15" s="2">
        <f>IFERROR(__xludf.DUMMYFUNCTION("""COMPUTED_VALUE"""),191.68)</f>
        <v>191.68</v>
      </c>
    </row>
    <row r="16">
      <c r="B16" s="3">
        <f>IFERROR(__xludf.DUMMYFUNCTION("""COMPUTED_VALUE"""),37358.645833333336)</f>
        <v>37358.64583</v>
      </c>
      <c r="C16" s="2">
        <f>IFERROR(__xludf.DUMMYFUNCTION("""COMPUTED_VALUE"""),195.4)</f>
        <v>195.4</v>
      </c>
    </row>
    <row r="17">
      <c r="B17" s="3">
        <f>IFERROR(__xludf.DUMMYFUNCTION("""COMPUTED_VALUE"""),37365.645833333336)</f>
        <v>37365.64583</v>
      </c>
      <c r="C17" s="2">
        <f>IFERROR(__xludf.DUMMYFUNCTION("""COMPUTED_VALUE"""),222.45)</f>
        <v>222.45</v>
      </c>
    </row>
    <row r="18">
      <c r="B18" s="3">
        <f>IFERROR(__xludf.DUMMYFUNCTION("""COMPUTED_VALUE"""),37372.645833333336)</f>
        <v>37372.64583</v>
      </c>
      <c r="C18" s="2">
        <f>IFERROR(__xludf.DUMMYFUNCTION("""COMPUTED_VALUE"""),218.4)</f>
        <v>218.4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IFERROR(__xludf.DUMMYFUNCTION("""COMPUTED_VALUE"""),214.95)</f>
        <v>214.95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IFERROR(__xludf.DUMMYFUNCTION("""COMPUTED_VALUE"""),213.5)</f>
        <v>213.5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IFERROR(__xludf.DUMMYFUNCTION("""COMPUTED_VALUE"""),207.5)</f>
        <v>207.5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IFERROR(__xludf.DUMMYFUNCTION("""COMPUTED_VALUE"""),199.9)</f>
        <v>199.9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IFERROR(__xludf.DUMMYFUNCTION("""COMPUTED_VALUE"""),196.0)</f>
        <v>196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IFERROR(__xludf.DUMMYFUNCTION("""COMPUTED_VALUE"""),186.48)</f>
        <v>186.48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IFERROR(__xludf.DUMMYFUNCTION("""COMPUTED_VALUE"""),199.0)</f>
        <v>199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IFERROR(__xludf.DUMMYFUNCTION("""COMPUTED_VALUE"""),197.5)</f>
        <v>197.5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IFERROR(__xludf.DUMMYFUNCTION("""COMPUTED_VALUE"""),187.5)</f>
        <v>187.5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IFERROR(__xludf.DUMMYFUNCTION("""COMPUTED_VALUE"""),186.9)</f>
        <v>186.9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IFERROR(__xludf.DUMMYFUNCTION("""COMPUTED_VALUE"""),186.0)</f>
        <v>186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IFERROR(__xludf.DUMMYFUNCTION("""COMPUTED_VALUE"""),191.0)</f>
        <v>191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IFERROR(__xludf.DUMMYFUNCTION("""COMPUTED_VALUE"""),201.6)</f>
        <v>201.6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IFERROR(__xludf.DUMMYFUNCTION("""COMPUTED_VALUE"""),200.0)</f>
        <v>200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IFERROR(__xludf.DUMMYFUNCTION("""COMPUTED_VALUE"""),190.25)</f>
        <v>190.25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IFERROR(__xludf.DUMMYFUNCTION("""COMPUTED_VALUE"""),187.5)</f>
        <v>187.5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IFERROR(__xludf.DUMMYFUNCTION("""COMPUTED_VALUE"""),186.0)</f>
        <v>186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IFERROR(__xludf.DUMMYFUNCTION("""COMPUTED_VALUE"""),189.9)</f>
        <v>189.9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IFERROR(__xludf.DUMMYFUNCTION("""COMPUTED_VALUE"""),189.98)</f>
        <v>189.98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IFERROR(__xludf.DUMMYFUNCTION("""COMPUTED_VALUE"""),196.5)</f>
        <v>196.5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IFERROR(__xludf.DUMMYFUNCTION("""COMPUTED_VALUE"""),186.15)</f>
        <v>186.15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IFERROR(__xludf.DUMMYFUNCTION("""COMPUTED_VALUE"""),189.0)</f>
        <v>189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IFERROR(__xludf.DUMMYFUNCTION("""COMPUTED_VALUE"""),186.5)</f>
        <v>186.5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IFERROR(__xludf.DUMMYFUNCTION("""COMPUTED_VALUE"""),185.45)</f>
        <v>185.45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IFERROR(__xludf.DUMMYFUNCTION("""COMPUTED_VALUE"""),182.65)</f>
        <v>182.65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IFERROR(__xludf.DUMMYFUNCTION("""COMPUTED_VALUE"""),175.0)</f>
        <v>175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IFERROR(__xludf.DUMMYFUNCTION("""COMPUTED_VALUE"""),169.5)</f>
        <v>169.5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IFERROR(__xludf.DUMMYFUNCTION("""COMPUTED_VALUE"""),172.5)</f>
        <v>172.5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IFERROR(__xludf.DUMMYFUNCTION("""COMPUTED_VALUE"""),172.5)</f>
        <v>172.5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IFERROR(__xludf.DUMMYFUNCTION("""COMPUTED_VALUE"""),166.45)</f>
        <v>166.45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IFERROR(__xludf.DUMMYFUNCTION("""COMPUTED_VALUE"""),166.65)</f>
        <v>166.65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IFERROR(__xludf.DUMMYFUNCTION("""COMPUTED_VALUE"""),169.75)</f>
        <v>169.75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IFERROR(__xludf.DUMMYFUNCTION("""COMPUTED_VALUE"""),167.0)</f>
        <v>167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IFERROR(__xludf.DUMMYFUNCTION("""COMPUTED_VALUE"""),163.95)</f>
        <v>163.95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IFERROR(__xludf.DUMMYFUNCTION("""COMPUTED_VALUE"""),162.48)</f>
        <v>162.48</v>
      </c>
    </row>
    <row r="54" ht="15.75" customHeight="1"/>
    <row r="55" ht="15.75" customHeight="1"/>
    <row r="56" ht="15.75" customHeight="1">
      <c r="B56" s="2" t="str">
        <f>IFERROR(__xludf.DUMMYFUNCTION("GOOGLEFINANCE(""NSE:GLAXO"",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IFERROR(__xludf.DUMMYFUNCTION("""COMPUTED_VALUE"""),157.25)</f>
        <v>157.25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IFERROR(__xludf.DUMMYFUNCTION("""COMPUTED_VALUE"""),157.43)</f>
        <v>157.43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IFERROR(__xludf.DUMMYFUNCTION("""COMPUTED_VALUE"""),156.5)</f>
        <v>156.5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IFERROR(__xludf.DUMMYFUNCTION("""COMPUTED_VALUE"""),153.13)</f>
        <v>153.13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IFERROR(__xludf.DUMMYFUNCTION("""COMPUTED_VALUE"""),152.0)</f>
        <v>152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IFERROR(__xludf.DUMMYFUNCTION("""COMPUTED_VALUE"""),156.5)</f>
        <v>156.5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IFERROR(__xludf.DUMMYFUNCTION("""COMPUTED_VALUE"""),149.8)</f>
        <v>149.8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IFERROR(__xludf.DUMMYFUNCTION("""COMPUTED_VALUE"""),151.38)</f>
        <v>151.38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IFERROR(__xludf.DUMMYFUNCTION("""COMPUTED_VALUE"""),159.2)</f>
        <v>159.2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IFERROR(__xludf.DUMMYFUNCTION("""COMPUTED_VALUE"""),157.0)</f>
        <v>157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IFERROR(__xludf.DUMMYFUNCTION("""COMPUTED_VALUE"""),157.5)</f>
        <v>157.5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IFERROR(__xludf.DUMMYFUNCTION("""COMPUTED_VALUE"""),150.5)</f>
        <v>150.5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IFERROR(__xludf.DUMMYFUNCTION("""COMPUTED_VALUE"""),154.0)</f>
        <v>154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IFERROR(__xludf.DUMMYFUNCTION("""COMPUTED_VALUE"""),160.0)</f>
        <v>160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IFERROR(__xludf.DUMMYFUNCTION("""COMPUTED_VALUE"""),159.9)</f>
        <v>159.9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IFERROR(__xludf.DUMMYFUNCTION("""COMPUTED_VALUE"""),154.45)</f>
        <v>154.45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IFERROR(__xludf.DUMMYFUNCTION("""COMPUTED_VALUE"""),177.5)</f>
        <v>177.5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IFERROR(__xludf.DUMMYFUNCTION("""COMPUTED_VALUE"""),170.0)</f>
        <v>170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IFERROR(__xludf.DUMMYFUNCTION("""COMPUTED_VALUE"""),179.43)</f>
        <v>179.43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IFERROR(__xludf.DUMMYFUNCTION("""COMPUTED_VALUE"""),187.88)</f>
        <v>187.88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IFERROR(__xludf.DUMMYFUNCTION("""COMPUTED_VALUE"""),193.0)</f>
        <v>193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IFERROR(__xludf.DUMMYFUNCTION("""COMPUTED_VALUE"""),189.58)</f>
        <v>189.58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IFERROR(__xludf.DUMMYFUNCTION("""COMPUTED_VALUE"""),186.5)</f>
        <v>186.5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IFERROR(__xludf.DUMMYFUNCTION("""COMPUTED_VALUE"""),183.0)</f>
        <v>183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IFERROR(__xludf.DUMMYFUNCTION("""COMPUTED_VALUE"""),180.7)</f>
        <v>180.7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IFERROR(__xludf.DUMMYFUNCTION("""COMPUTED_VALUE"""),198.5)</f>
        <v>198.5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IFERROR(__xludf.DUMMYFUNCTION("""COMPUTED_VALUE"""),192.5)</f>
        <v>192.5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IFERROR(__xludf.DUMMYFUNCTION("""COMPUTED_VALUE"""),190.7)</f>
        <v>190.7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IFERROR(__xludf.DUMMYFUNCTION("""COMPUTED_VALUE"""),186.5)</f>
        <v>186.5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IFERROR(__xludf.DUMMYFUNCTION("""COMPUTED_VALUE"""),210.13)</f>
        <v>210.13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IFERROR(__xludf.DUMMYFUNCTION("""COMPUTED_VALUE"""),207.0)</f>
        <v>207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IFERROR(__xludf.DUMMYFUNCTION("""COMPUTED_VALUE"""),214.5)</f>
        <v>214.5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IFERROR(__xludf.DUMMYFUNCTION("""COMPUTED_VALUE"""),208.5)</f>
        <v>208.5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IFERROR(__xludf.DUMMYFUNCTION("""COMPUTED_VALUE"""),224.0)</f>
        <v>224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IFERROR(__xludf.DUMMYFUNCTION("""COMPUTED_VALUE"""),223.45)</f>
        <v>223.45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IFERROR(__xludf.DUMMYFUNCTION("""COMPUTED_VALUE"""),242.2)</f>
        <v>242.2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IFERROR(__xludf.DUMMYFUNCTION("""COMPUTED_VALUE"""),230.0)</f>
        <v>230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IFERROR(__xludf.DUMMYFUNCTION("""COMPUTED_VALUE"""),233.35)</f>
        <v>233.35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IFERROR(__xludf.DUMMYFUNCTION("""COMPUTED_VALUE"""),230.0)</f>
        <v>230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IFERROR(__xludf.DUMMYFUNCTION("""COMPUTED_VALUE"""),242.5)</f>
        <v>242.5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IFERROR(__xludf.DUMMYFUNCTION("""COMPUTED_VALUE"""),237.13)</f>
        <v>237.13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IFERROR(__xludf.DUMMYFUNCTION("""COMPUTED_VALUE"""),241.5)</f>
        <v>241.5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IFERROR(__xludf.DUMMYFUNCTION("""COMPUTED_VALUE"""),258.4)</f>
        <v>258.4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IFERROR(__xludf.DUMMYFUNCTION("""COMPUTED_VALUE"""),259.45)</f>
        <v>259.45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IFERROR(__xludf.DUMMYFUNCTION("""COMPUTED_VALUE"""),250.5)</f>
        <v>250.5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IFERROR(__xludf.DUMMYFUNCTION("""COMPUTED_VALUE"""),273.5)</f>
        <v>273.5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IFERROR(__xludf.DUMMYFUNCTION("""COMPUTED_VALUE"""),294.95)</f>
        <v>294.95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IFERROR(__xludf.DUMMYFUNCTION("""COMPUTED_VALUE"""),310.0)</f>
        <v>310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IFERROR(__xludf.DUMMYFUNCTION("""COMPUTED_VALUE"""),317.4)</f>
        <v>317.4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IFERROR(__xludf.DUMMYFUNCTION("GOOGLEFINANCE(""NSE:GLAXO"",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IFERROR(__xludf.DUMMYFUNCTION("""COMPUTED_VALUE"""),309.5)</f>
        <v>309.5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IFERROR(__xludf.DUMMYFUNCTION("""COMPUTED_VALUE"""),312.5)</f>
        <v>312.5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IFERROR(__xludf.DUMMYFUNCTION("""COMPUTED_VALUE"""),307.45)</f>
        <v>307.45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IFERROR(__xludf.DUMMYFUNCTION("""COMPUTED_VALUE"""),316.5)</f>
        <v>316.5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IFERROR(__xludf.DUMMYFUNCTION("""COMPUTED_VALUE"""),313.75)</f>
        <v>313.75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IFERROR(__xludf.DUMMYFUNCTION("""COMPUTED_VALUE"""),312.5)</f>
        <v>312.5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IFERROR(__xludf.DUMMYFUNCTION("""COMPUTED_VALUE"""),325.0)</f>
        <v>325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IFERROR(__xludf.DUMMYFUNCTION("""COMPUTED_VALUE"""),324.98)</f>
        <v>324.98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IFERROR(__xludf.DUMMYFUNCTION("""COMPUTED_VALUE"""),315.0)</f>
        <v>315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IFERROR(__xludf.DUMMYFUNCTION("""COMPUTED_VALUE"""),308.95)</f>
        <v>308.95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IFERROR(__xludf.DUMMYFUNCTION("""COMPUTED_VALUE"""),323.5)</f>
        <v>323.5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IFERROR(__xludf.DUMMYFUNCTION("""COMPUTED_VALUE"""),321.0)</f>
        <v>321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IFERROR(__xludf.DUMMYFUNCTION("""COMPUTED_VALUE"""),305.0)</f>
        <v>305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IFERROR(__xludf.DUMMYFUNCTION("""COMPUTED_VALUE"""),315.0)</f>
        <v>315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IFERROR(__xludf.DUMMYFUNCTION("""COMPUTED_VALUE"""),310.0)</f>
        <v>310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IFERROR(__xludf.DUMMYFUNCTION("""COMPUTED_VALUE"""),349.5)</f>
        <v>349.5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IFERROR(__xludf.DUMMYFUNCTION("""COMPUTED_VALUE"""),352.42)</f>
        <v>352.42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IFERROR(__xludf.DUMMYFUNCTION("""COMPUTED_VALUE"""),354.45)</f>
        <v>354.45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IFERROR(__xludf.DUMMYFUNCTION("""COMPUTED_VALUE"""),350.0)</f>
        <v>350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IFERROR(__xludf.DUMMYFUNCTION("""COMPUTED_VALUE"""),319.0)</f>
        <v>319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IFERROR(__xludf.DUMMYFUNCTION("""COMPUTED_VALUE"""),306.5)</f>
        <v>306.5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IFERROR(__xludf.DUMMYFUNCTION("""COMPUTED_VALUE"""),310.5)</f>
        <v>310.5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IFERROR(__xludf.DUMMYFUNCTION("""COMPUTED_VALUE"""),303.0)</f>
        <v>303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IFERROR(__xludf.DUMMYFUNCTION("""COMPUTED_VALUE"""),307.5)</f>
        <v>307.5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IFERROR(__xludf.DUMMYFUNCTION("""COMPUTED_VALUE"""),303.0)</f>
        <v>303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IFERROR(__xludf.DUMMYFUNCTION("""COMPUTED_VALUE"""),303.5)</f>
        <v>303.5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IFERROR(__xludf.DUMMYFUNCTION("""COMPUTED_VALUE"""),312.5)</f>
        <v>312.5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IFERROR(__xludf.DUMMYFUNCTION("""COMPUTED_VALUE"""),312.25)</f>
        <v>312.25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IFERROR(__xludf.DUMMYFUNCTION("""COMPUTED_VALUE"""),311.9)</f>
        <v>311.9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IFERROR(__xludf.DUMMYFUNCTION("""COMPUTED_VALUE"""),306.0)</f>
        <v>306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IFERROR(__xludf.DUMMYFUNCTION("""COMPUTED_VALUE"""),310.95)</f>
        <v>310.95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IFERROR(__xludf.DUMMYFUNCTION("""COMPUTED_VALUE"""),304.0)</f>
        <v>304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IFERROR(__xludf.DUMMYFUNCTION("""COMPUTED_VALUE"""),304.5)</f>
        <v>304.5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IFERROR(__xludf.DUMMYFUNCTION("""COMPUTED_VALUE"""),304.95)</f>
        <v>304.95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IFERROR(__xludf.DUMMYFUNCTION("""COMPUTED_VALUE"""),301.5)</f>
        <v>301.5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IFERROR(__xludf.DUMMYFUNCTION("""COMPUTED_VALUE"""),307.5)</f>
        <v>307.5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IFERROR(__xludf.DUMMYFUNCTION("""COMPUTED_VALUE"""),321.0)</f>
        <v>321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IFERROR(__xludf.DUMMYFUNCTION("""COMPUTED_VALUE"""),334.45)</f>
        <v>334.45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IFERROR(__xludf.DUMMYFUNCTION("""COMPUTED_VALUE"""),342.5)</f>
        <v>342.5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IFERROR(__xludf.DUMMYFUNCTION("""COMPUTED_VALUE"""),330.0)</f>
        <v>330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IFERROR(__xludf.DUMMYFUNCTION("""COMPUTED_VALUE"""),374.4)</f>
        <v>374.4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IFERROR(__xludf.DUMMYFUNCTION("""COMPUTED_VALUE"""),339.0)</f>
        <v>339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IFERROR(__xludf.DUMMYFUNCTION("""COMPUTED_VALUE"""),383.0)</f>
        <v>383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IFERROR(__xludf.DUMMYFUNCTION("""COMPUTED_VALUE"""),391.88)</f>
        <v>391.88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IFERROR(__xludf.DUMMYFUNCTION("""COMPUTED_VALUE"""),389.85)</f>
        <v>389.85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IFERROR(__xludf.DUMMYFUNCTION("""COMPUTED_VALUE"""),387.0)</f>
        <v>387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IFERROR(__xludf.DUMMYFUNCTION("""COMPUTED_VALUE"""),376.5)</f>
        <v>376.5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IFERROR(__xludf.DUMMYFUNCTION("""COMPUTED_VALUE"""),370.5)</f>
        <v>370.5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IFERROR(__xludf.DUMMYFUNCTION("""COMPUTED_VALUE"""),380.0)</f>
        <v>380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IFERROR(__xludf.DUMMYFUNCTION("""COMPUTED_VALUE"""),399.4)</f>
        <v>399.4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IFERROR(__xludf.DUMMYFUNCTION("""COMPUTED_VALUE"""),395.5)</f>
        <v>395.5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IFERROR(__xludf.DUMMYFUNCTION("GOOGLEFINANCE(""NSE:GLAXO"",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IFERROR(__xludf.DUMMYFUNCTION("""COMPUTED_VALUE"""),391.0)</f>
        <v>391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IFERROR(__xludf.DUMMYFUNCTION("""COMPUTED_VALUE"""),357.95)</f>
        <v>357.95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IFERROR(__xludf.DUMMYFUNCTION("""COMPUTED_VALUE"""),397.5)</f>
        <v>397.5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IFERROR(__xludf.DUMMYFUNCTION("""COMPUTED_VALUE"""),365.5)</f>
        <v>365.5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IFERROR(__xludf.DUMMYFUNCTION("""COMPUTED_VALUE"""),357.5)</f>
        <v>357.5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IFERROR(__xludf.DUMMYFUNCTION("""COMPUTED_VALUE"""),348.5)</f>
        <v>348.5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IFERROR(__xludf.DUMMYFUNCTION("""COMPUTED_VALUE"""),369.5)</f>
        <v>369.5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IFERROR(__xludf.DUMMYFUNCTION("""COMPUTED_VALUE"""),383.9)</f>
        <v>383.9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IFERROR(__xludf.DUMMYFUNCTION("""COMPUTED_VALUE"""),379.0)</f>
        <v>379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IFERROR(__xludf.DUMMYFUNCTION("""COMPUTED_VALUE"""),387.0)</f>
        <v>387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IFERROR(__xludf.DUMMYFUNCTION("""COMPUTED_VALUE"""),392.0)</f>
        <v>392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IFERROR(__xludf.DUMMYFUNCTION("""COMPUTED_VALUE"""),365.5)</f>
        <v>365.5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IFERROR(__xludf.DUMMYFUNCTION("""COMPUTED_VALUE"""),364.5)</f>
        <v>364.5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IFERROR(__xludf.DUMMYFUNCTION("""COMPUTED_VALUE"""),362.5)</f>
        <v>362.5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IFERROR(__xludf.DUMMYFUNCTION("""COMPUTED_VALUE"""),360.0)</f>
        <v>360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IFERROR(__xludf.DUMMYFUNCTION("""COMPUTED_VALUE"""),366.5)</f>
        <v>366.5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IFERROR(__xludf.DUMMYFUNCTION("""COMPUTED_VALUE"""),372.2)</f>
        <v>372.2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IFERROR(__xludf.DUMMYFUNCTION("""COMPUTED_VALUE"""),372.0)</f>
        <v>372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IFERROR(__xludf.DUMMYFUNCTION("""COMPUTED_VALUE"""),376.3)</f>
        <v>376.3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IFERROR(__xludf.DUMMYFUNCTION("""COMPUTED_VALUE"""),377.45)</f>
        <v>377.45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IFERROR(__xludf.DUMMYFUNCTION("""COMPUTED_VALUE"""),394.5)</f>
        <v>394.5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IFERROR(__xludf.DUMMYFUNCTION("""COMPUTED_VALUE"""),394.5)</f>
        <v>394.5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IFERROR(__xludf.DUMMYFUNCTION("""COMPUTED_VALUE"""),392.5)</f>
        <v>392.5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IFERROR(__xludf.DUMMYFUNCTION("""COMPUTED_VALUE"""),399.48)</f>
        <v>399.48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IFERROR(__xludf.DUMMYFUNCTION("""COMPUTED_VALUE"""),431.0)</f>
        <v>431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IFERROR(__xludf.DUMMYFUNCTION("""COMPUTED_VALUE"""),437.5)</f>
        <v>437.5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IFERROR(__xludf.DUMMYFUNCTION("""COMPUTED_VALUE"""),444.0)</f>
        <v>444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IFERROR(__xludf.DUMMYFUNCTION("""COMPUTED_VALUE"""),442.5)</f>
        <v>442.5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IFERROR(__xludf.DUMMYFUNCTION("""COMPUTED_VALUE"""),449.0)</f>
        <v>449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IFERROR(__xludf.DUMMYFUNCTION("""COMPUTED_VALUE"""),462.45)</f>
        <v>462.45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IFERROR(__xludf.DUMMYFUNCTION("""COMPUTED_VALUE"""),460.0)</f>
        <v>460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IFERROR(__xludf.DUMMYFUNCTION("""COMPUTED_VALUE"""),460.0)</f>
        <v>460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IFERROR(__xludf.DUMMYFUNCTION("""COMPUTED_VALUE"""),448.95)</f>
        <v>448.95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IFERROR(__xludf.DUMMYFUNCTION("""COMPUTED_VALUE"""),442.5)</f>
        <v>442.5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IFERROR(__xludf.DUMMYFUNCTION("""COMPUTED_VALUE"""),452.5)</f>
        <v>452.5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IFERROR(__xludf.DUMMYFUNCTION("""COMPUTED_VALUE"""),459.0)</f>
        <v>459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IFERROR(__xludf.DUMMYFUNCTION("""COMPUTED_VALUE"""),449.75)</f>
        <v>449.75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IFERROR(__xludf.DUMMYFUNCTION("""COMPUTED_VALUE"""),447.5)</f>
        <v>447.5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IFERROR(__xludf.DUMMYFUNCTION("""COMPUTED_VALUE"""),456.9)</f>
        <v>456.9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IFERROR(__xludf.DUMMYFUNCTION("""COMPUTED_VALUE"""),447.38)</f>
        <v>447.38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IFERROR(__xludf.DUMMYFUNCTION("""COMPUTED_VALUE"""),439.5)</f>
        <v>439.5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IFERROR(__xludf.DUMMYFUNCTION("""COMPUTED_VALUE"""),455.0)</f>
        <v>455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IFERROR(__xludf.DUMMYFUNCTION("""COMPUTED_VALUE"""),460.0)</f>
        <v>460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IFERROR(__xludf.DUMMYFUNCTION("""COMPUTED_VALUE"""),477.4)</f>
        <v>477.4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IFERROR(__xludf.DUMMYFUNCTION("""COMPUTED_VALUE"""),500.0)</f>
        <v>500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IFERROR(__xludf.DUMMYFUNCTION("""COMPUTED_VALUE"""),592.5)</f>
        <v>592.5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IFERROR(__xludf.DUMMYFUNCTION("""COMPUTED_VALUE"""),578.0)</f>
        <v>578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IFERROR(__xludf.DUMMYFUNCTION("""COMPUTED_VALUE"""),573.5)</f>
        <v>573.5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IFERROR(__xludf.DUMMYFUNCTION("""COMPUTED_VALUE"""),564.95)</f>
        <v>564.95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IFERROR(__xludf.DUMMYFUNCTION("""COMPUTED_VALUE"""),562.5)</f>
        <v>562.5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IFERROR(__xludf.DUMMYFUNCTION("GOOGLEFINANCE(""NSE:GLAXO"",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IFERROR(__xludf.DUMMYFUNCTION("""COMPUTED_VALUE"""),630.5)</f>
        <v>630.5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IFERROR(__xludf.DUMMYFUNCTION("""COMPUTED_VALUE"""),623.4)</f>
        <v>623.4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IFERROR(__xludf.DUMMYFUNCTION("""COMPUTED_VALUE"""),619.45)</f>
        <v>619.45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IFERROR(__xludf.DUMMYFUNCTION("""COMPUTED_VALUE"""),642.5)</f>
        <v>642.5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IFERROR(__xludf.DUMMYFUNCTION("""COMPUTED_VALUE"""),674.7)</f>
        <v>674.7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IFERROR(__xludf.DUMMYFUNCTION("""COMPUTED_VALUE"""),705.0)</f>
        <v>705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IFERROR(__xludf.DUMMYFUNCTION("""COMPUTED_VALUE"""),718.0)</f>
        <v>718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IFERROR(__xludf.DUMMYFUNCTION("""COMPUTED_VALUE"""),683.0)</f>
        <v>683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IFERROR(__xludf.DUMMYFUNCTION("""COMPUTED_VALUE"""),691.9)</f>
        <v>691.9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IFERROR(__xludf.DUMMYFUNCTION("""COMPUTED_VALUE"""),700.0)</f>
        <v>700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IFERROR(__xludf.DUMMYFUNCTION("""COMPUTED_VALUE"""),693.0)</f>
        <v>693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IFERROR(__xludf.DUMMYFUNCTION("""COMPUTED_VALUE"""),692.0)</f>
        <v>692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IFERROR(__xludf.DUMMYFUNCTION("""COMPUTED_VALUE"""),747.5)</f>
        <v>747.5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IFERROR(__xludf.DUMMYFUNCTION("""COMPUTED_VALUE"""),776.8)</f>
        <v>776.8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IFERROR(__xludf.DUMMYFUNCTION("""COMPUTED_VALUE"""),757.5)</f>
        <v>757.5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IFERROR(__xludf.DUMMYFUNCTION("""COMPUTED_VALUE"""),770.0)</f>
        <v>770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IFERROR(__xludf.DUMMYFUNCTION("""COMPUTED_VALUE"""),724.0)</f>
        <v>724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IFERROR(__xludf.DUMMYFUNCTION("""COMPUTED_VALUE"""),744.5)</f>
        <v>744.5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IFERROR(__xludf.DUMMYFUNCTION("""COMPUTED_VALUE"""),714.5)</f>
        <v>714.5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IFERROR(__xludf.DUMMYFUNCTION("""COMPUTED_VALUE"""),614.45)</f>
        <v>614.45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IFERROR(__xludf.DUMMYFUNCTION("""COMPUTED_VALUE"""),600.0)</f>
        <v>600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IFERROR(__xludf.DUMMYFUNCTION("""COMPUTED_VALUE"""),583.0)</f>
        <v>583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IFERROR(__xludf.DUMMYFUNCTION("""COMPUTED_VALUE"""),547.5)</f>
        <v>547.5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IFERROR(__xludf.DUMMYFUNCTION("""COMPUTED_VALUE"""),543.5)</f>
        <v>543.5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IFERROR(__xludf.DUMMYFUNCTION("""COMPUTED_VALUE"""),525.0)</f>
        <v>525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IFERROR(__xludf.DUMMYFUNCTION("""COMPUTED_VALUE"""),531.95)</f>
        <v>531.95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IFERROR(__xludf.DUMMYFUNCTION("""COMPUTED_VALUE"""),535.9)</f>
        <v>535.9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IFERROR(__xludf.DUMMYFUNCTION("""COMPUTED_VALUE"""),517.45)</f>
        <v>517.45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IFERROR(__xludf.DUMMYFUNCTION("""COMPUTED_VALUE"""),525.0)</f>
        <v>525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IFERROR(__xludf.DUMMYFUNCTION("""COMPUTED_VALUE"""),523.5)</f>
        <v>523.5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IFERROR(__xludf.DUMMYFUNCTION("""COMPUTED_VALUE"""),577.0)</f>
        <v>577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IFERROR(__xludf.DUMMYFUNCTION("""COMPUTED_VALUE"""),609.95)</f>
        <v>609.95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IFERROR(__xludf.DUMMYFUNCTION("""COMPUTED_VALUE"""),615.0)</f>
        <v>615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IFERROR(__xludf.DUMMYFUNCTION("""COMPUTED_VALUE"""),637.0)</f>
        <v>637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IFERROR(__xludf.DUMMYFUNCTION("""COMPUTED_VALUE"""),651.0)</f>
        <v>651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IFERROR(__xludf.DUMMYFUNCTION("""COMPUTED_VALUE"""),650.0)</f>
        <v>650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IFERROR(__xludf.DUMMYFUNCTION("""COMPUTED_VALUE"""),640.0)</f>
        <v>640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IFERROR(__xludf.DUMMYFUNCTION("""COMPUTED_VALUE"""),634.0)</f>
        <v>634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IFERROR(__xludf.DUMMYFUNCTION("""COMPUTED_VALUE"""),631.5)</f>
        <v>631.5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IFERROR(__xludf.DUMMYFUNCTION("""COMPUTED_VALUE"""),624.05)</f>
        <v>624.05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IFERROR(__xludf.DUMMYFUNCTION("""COMPUTED_VALUE"""),610.0)</f>
        <v>610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IFERROR(__xludf.DUMMYFUNCTION("""COMPUTED_VALUE"""),595.0)</f>
        <v>595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IFERROR(__xludf.DUMMYFUNCTION("""COMPUTED_VALUE"""),613.5)</f>
        <v>613.5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IFERROR(__xludf.DUMMYFUNCTION("""COMPUTED_VALUE"""),596.88)</f>
        <v>596.88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IFERROR(__xludf.DUMMYFUNCTION("""COMPUTED_VALUE"""),597.5)</f>
        <v>597.5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IFERROR(__xludf.DUMMYFUNCTION("""COMPUTED_VALUE"""),606.0)</f>
        <v>606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IFERROR(__xludf.DUMMYFUNCTION("""COMPUTED_VALUE"""),622.0)</f>
        <v>622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IFERROR(__xludf.DUMMYFUNCTION("""COMPUTED_VALUE"""),599.0)</f>
        <v>599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IFERROR(__xludf.DUMMYFUNCTION("""COMPUTED_VALUE"""),584.73)</f>
        <v>584.73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IFERROR(__xludf.DUMMYFUNCTION("""COMPUTED_VALUE"""),594.5)</f>
        <v>594.5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IFERROR(__xludf.DUMMYFUNCTION("GOOGLEFINANCE(""NSE:GLAXO"",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IFERROR(__xludf.DUMMYFUNCTION("""COMPUTED_VALUE"""),599.5)</f>
        <v>599.5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IFERROR(__xludf.DUMMYFUNCTION("""COMPUTED_VALUE"""),590.0)</f>
        <v>590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IFERROR(__xludf.DUMMYFUNCTION("""COMPUTED_VALUE"""),594.17)</f>
        <v>594.17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IFERROR(__xludf.DUMMYFUNCTION("""COMPUTED_VALUE"""),580.0)</f>
        <v>580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IFERROR(__xludf.DUMMYFUNCTION("""COMPUTED_VALUE"""),597.48)</f>
        <v>597.48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IFERROR(__xludf.DUMMYFUNCTION("""COMPUTED_VALUE"""),620.5)</f>
        <v>620.5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IFERROR(__xludf.DUMMYFUNCTION("""COMPUTED_VALUE"""),582.3)</f>
        <v>582.3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IFERROR(__xludf.DUMMYFUNCTION("""COMPUTED_VALUE"""),591.95)</f>
        <v>591.95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IFERROR(__xludf.DUMMYFUNCTION("""COMPUTED_VALUE"""),599.0)</f>
        <v>599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IFERROR(__xludf.DUMMYFUNCTION("""COMPUTED_VALUE"""),597.0)</f>
        <v>597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IFERROR(__xludf.DUMMYFUNCTION("""COMPUTED_VALUE"""),593.5)</f>
        <v>593.5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IFERROR(__xludf.DUMMYFUNCTION("""COMPUTED_VALUE"""),592.5)</f>
        <v>592.5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IFERROR(__xludf.DUMMYFUNCTION("""COMPUTED_VALUE"""),570.0)</f>
        <v>570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IFERROR(__xludf.DUMMYFUNCTION("""COMPUTED_VALUE"""),564.98)</f>
        <v>564.98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IFERROR(__xludf.DUMMYFUNCTION("""COMPUTED_VALUE"""),587.5)</f>
        <v>587.5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IFERROR(__xludf.DUMMYFUNCTION("""COMPUTED_VALUE"""),599.25)</f>
        <v>599.25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IFERROR(__xludf.DUMMYFUNCTION("""COMPUTED_VALUE"""),627.78)</f>
        <v>627.78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IFERROR(__xludf.DUMMYFUNCTION("""COMPUTED_VALUE"""),604.4)</f>
        <v>604.4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IFERROR(__xludf.DUMMYFUNCTION("""COMPUTED_VALUE"""),609.5)</f>
        <v>609.5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IFERROR(__xludf.DUMMYFUNCTION("""COMPUTED_VALUE"""),629.63)</f>
        <v>629.63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IFERROR(__xludf.DUMMYFUNCTION("""COMPUTED_VALUE"""),621.5)</f>
        <v>621.5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IFERROR(__xludf.DUMMYFUNCTION("""COMPUTED_VALUE"""),663.0)</f>
        <v>663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IFERROR(__xludf.DUMMYFUNCTION("""COMPUTED_VALUE"""),670.0)</f>
        <v>670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IFERROR(__xludf.DUMMYFUNCTION("""COMPUTED_VALUE"""),672.35)</f>
        <v>672.35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IFERROR(__xludf.DUMMYFUNCTION("""COMPUTED_VALUE"""),663.5)</f>
        <v>663.5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IFERROR(__xludf.DUMMYFUNCTION("""COMPUTED_VALUE"""),655.0)</f>
        <v>655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IFERROR(__xludf.DUMMYFUNCTION("""COMPUTED_VALUE"""),640.0)</f>
        <v>640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IFERROR(__xludf.DUMMYFUNCTION("""COMPUTED_VALUE"""),638.5)</f>
        <v>638.5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IFERROR(__xludf.DUMMYFUNCTION("""COMPUTED_VALUE"""),672.5)</f>
        <v>672.5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IFERROR(__xludf.DUMMYFUNCTION("""COMPUTED_VALUE"""),645.0)</f>
        <v>645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IFERROR(__xludf.DUMMYFUNCTION("""COMPUTED_VALUE"""),617.5)</f>
        <v>617.5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IFERROR(__xludf.DUMMYFUNCTION("""COMPUTED_VALUE"""),630.0)</f>
        <v>630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IFERROR(__xludf.DUMMYFUNCTION("""COMPUTED_VALUE"""),614.98)</f>
        <v>614.98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IFERROR(__xludf.DUMMYFUNCTION("""COMPUTED_VALUE"""),602.0)</f>
        <v>602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IFERROR(__xludf.DUMMYFUNCTION("""COMPUTED_VALUE"""),612.5)</f>
        <v>612.5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IFERROR(__xludf.DUMMYFUNCTION("""COMPUTED_VALUE"""),599.5)</f>
        <v>599.5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IFERROR(__xludf.DUMMYFUNCTION("""COMPUTED_VALUE"""),595.0)</f>
        <v>595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IFERROR(__xludf.DUMMYFUNCTION("""COMPUTED_VALUE"""),594.25)</f>
        <v>594.25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IFERROR(__xludf.DUMMYFUNCTION("""COMPUTED_VALUE"""),578.4)</f>
        <v>578.4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IFERROR(__xludf.DUMMYFUNCTION("""COMPUTED_VALUE"""),575.0)</f>
        <v>575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IFERROR(__xludf.DUMMYFUNCTION("""COMPUTED_VALUE"""),570.1)</f>
        <v>570.1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IFERROR(__xludf.DUMMYFUNCTION("""COMPUTED_VALUE"""),564.85)</f>
        <v>564.85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IFERROR(__xludf.DUMMYFUNCTION("""COMPUTED_VALUE"""),549.5)</f>
        <v>549.5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IFERROR(__xludf.DUMMYFUNCTION("""COMPUTED_VALUE"""),565.0)</f>
        <v>565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IFERROR(__xludf.DUMMYFUNCTION("""COMPUTED_VALUE"""),522.45)</f>
        <v>522.45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IFERROR(__xludf.DUMMYFUNCTION("""COMPUTED_VALUE"""),526.0)</f>
        <v>526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IFERROR(__xludf.DUMMYFUNCTION("""COMPUTED_VALUE"""),534.85)</f>
        <v>534.85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IFERROR(__xludf.DUMMYFUNCTION("""COMPUTED_VALUE"""),499.5)</f>
        <v>499.5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IFERROR(__xludf.DUMMYFUNCTION("""COMPUTED_VALUE"""),552.5)</f>
        <v>552.5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IFERROR(__xludf.DUMMYFUNCTION("""COMPUTED_VALUE"""),569.0)</f>
        <v>569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IFERROR(__xludf.DUMMYFUNCTION("""COMPUTED_VALUE"""),534.0)</f>
        <v>534</v>
      </c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IFERROR(__xludf.DUMMYFUNCTION("GOOGLEFINANCE(""NSE:M&amp;M"",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IFERROR(__xludf.DUMMYFUNCTION("""COMPUTED_VALUE"""),11.75)</f>
        <v>11.75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IFERROR(__xludf.DUMMYFUNCTION("""COMPUTED_VALUE"""),12.24)</f>
        <v>12.24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IFERROR(__xludf.DUMMYFUNCTION("""COMPUTED_VALUE"""),14.61)</f>
        <v>14.61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IFERROR(__xludf.DUMMYFUNCTION("""COMPUTED_VALUE"""),15.06)</f>
        <v>15.06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IFERROR(__xludf.DUMMYFUNCTION("""COMPUTED_VALUE"""),15.21)</f>
        <v>15.21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IFERROR(__xludf.DUMMYFUNCTION("""COMPUTED_VALUE"""),15.74)</f>
        <v>15.74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IFERROR(__xludf.DUMMYFUNCTION("""COMPUTED_VALUE"""),16.69)</f>
        <v>16.69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IFERROR(__xludf.DUMMYFUNCTION("""COMPUTED_VALUE"""),16.59)</f>
        <v>16.59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IFERROR(__xludf.DUMMYFUNCTION("""COMPUTED_VALUE"""),15.83)</f>
        <v>15.83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IFERROR(__xludf.DUMMYFUNCTION("""COMPUTED_VALUE"""),16.04)</f>
        <v>16.04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IFERROR(__xludf.DUMMYFUNCTION("""COMPUTED_VALUE"""),15.47)</f>
        <v>15.47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IFERROR(__xludf.DUMMYFUNCTION("""COMPUTED_VALUE"""),15.0)</f>
        <v>15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IFERROR(__xludf.DUMMYFUNCTION("""COMPUTED_VALUE"""),14.53)</f>
        <v>14.53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IFERROR(__xludf.DUMMYFUNCTION("""COMPUTED_VALUE"""),15.59)</f>
        <v>15.59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IFERROR(__xludf.DUMMYFUNCTION("""COMPUTED_VALUE"""),15.86)</f>
        <v>15.86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IFERROR(__xludf.DUMMYFUNCTION("""COMPUTED_VALUE"""),15.5)</f>
        <v>15.5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IFERROR(__xludf.DUMMYFUNCTION("""COMPUTED_VALUE"""),14.16)</f>
        <v>14.16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IFERROR(__xludf.DUMMYFUNCTION("""COMPUTED_VALUE"""),13.63)</f>
        <v>13.63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IFERROR(__xludf.DUMMYFUNCTION("""COMPUTED_VALUE"""),13.99)</f>
        <v>13.99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IFERROR(__xludf.DUMMYFUNCTION("""COMPUTED_VALUE"""),13.86)</f>
        <v>13.86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IFERROR(__xludf.DUMMYFUNCTION("""COMPUTED_VALUE"""),12.61)</f>
        <v>12.61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IFERROR(__xludf.DUMMYFUNCTION("""COMPUTED_VALUE"""),12.25)</f>
        <v>12.25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IFERROR(__xludf.DUMMYFUNCTION("""COMPUTED_VALUE"""),12.17)</f>
        <v>12.17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IFERROR(__xludf.DUMMYFUNCTION("""COMPUTED_VALUE"""),13.79)</f>
        <v>13.79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IFERROR(__xludf.DUMMYFUNCTION("""COMPUTED_VALUE"""),14.24)</f>
        <v>14.24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IFERROR(__xludf.DUMMYFUNCTION("""COMPUTED_VALUE"""),14.61)</f>
        <v>14.61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IFERROR(__xludf.DUMMYFUNCTION("""COMPUTED_VALUE"""),14.93)</f>
        <v>14.93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IFERROR(__xludf.DUMMYFUNCTION("""COMPUTED_VALUE"""),15.06)</f>
        <v>15.06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IFERROR(__xludf.DUMMYFUNCTION("""COMPUTED_VALUE"""),14.0)</f>
        <v>14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IFERROR(__xludf.DUMMYFUNCTION("""COMPUTED_VALUE"""),12.81)</f>
        <v>12.81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IFERROR(__xludf.DUMMYFUNCTION("""COMPUTED_VALUE"""),12.33)</f>
        <v>12.33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IFERROR(__xludf.DUMMYFUNCTION("""COMPUTED_VALUE"""),12.0)</f>
        <v>12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IFERROR(__xludf.DUMMYFUNCTION("""COMPUTED_VALUE"""),12.13)</f>
        <v>12.13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IFERROR(__xludf.DUMMYFUNCTION("""COMPUTED_VALUE"""),11.43)</f>
        <v>11.43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IFERROR(__xludf.DUMMYFUNCTION("""COMPUTED_VALUE"""),11.32)</f>
        <v>11.32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IFERROR(__xludf.DUMMYFUNCTION("""COMPUTED_VALUE"""),11.31)</f>
        <v>11.31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IFERROR(__xludf.DUMMYFUNCTION("""COMPUTED_VALUE"""),11.16)</f>
        <v>11.16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IFERROR(__xludf.DUMMYFUNCTION("""COMPUTED_VALUE"""),11.13)</f>
        <v>11.13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IFERROR(__xludf.DUMMYFUNCTION("""COMPUTED_VALUE"""),10.53)</f>
        <v>10.53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IFERROR(__xludf.DUMMYFUNCTION("""COMPUTED_VALUE"""),10.43)</f>
        <v>10.43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IFERROR(__xludf.DUMMYFUNCTION("""COMPUTED_VALUE"""),10.85)</f>
        <v>10.85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IFERROR(__xludf.DUMMYFUNCTION("""COMPUTED_VALUE"""),10.78)</f>
        <v>10.78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IFERROR(__xludf.DUMMYFUNCTION("""COMPUTED_VALUE"""),10.94)</f>
        <v>10.94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IFERROR(__xludf.DUMMYFUNCTION("""COMPUTED_VALUE"""),10.66)</f>
        <v>10.66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IFERROR(__xludf.DUMMYFUNCTION("""COMPUTED_VALUE"""),11.16)</f>
        <v>11.16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IFERROR(__xludf.DUMMYFUNCTION("""COMPUTED_VALUE"""),11.63)</f>
        <v>11.63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IFERROR(__xludf.DUMMYFUNCTION("""COMPUTED_VALUE"""),12.85)</f>
        <v>12.85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IFERROR(__xludf.DUMMYFUNCTION("""COMPUTED_VALUE"""),13.38)</f>
        <v>13.38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IFERROR(__xludf.DUMMYFUNCTION("""COMPUTED_VALUE"""),13.75)</f>
        <v>13.75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IFERROR(__xludf.DUMMYFUNCTION("""COMPUTED_VALUE"""),13.93)</f>
        <v>13.93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IFERROR(__xludf.DUMMYFUNCTION("""COMPUTED_VALUE"""),13.81)</f>
        <v>13.81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IFERROR(__xludf.DUMMYFUNCTION("""COMPUTED_VALUE"""),14.06)</f>
        <v>14.06</v>
      </c>
    </row>
    <row r="54" ht="15.75" customHeight="1"/>
    <row r="55" ht="15.75" customHeight="1"/>
    <row r="56" ht="15.75" customHeight="1">
      <c r="B56" s="2" t="str">
        <f>IFERROR(__xludf.DUMMYFUNCTION("GOOGLEFINANCE(""NSE:M&amp;M"",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IFERROR(__xludf.DUMMYFUNCTION("""COMPUTED_VALUE"""),14.43)</f>
        <v>14.43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IFERROR(__xludf.DUMMYFUNCTION("""COMPUTED_VALUE"""),14.25)</f>
        <v>14.25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IFERROR(__xludf.DUMMYFUNCTION("""COMPUTED_VALUE"""),14.03)</f>
        <v>14.03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IFERROR(__xludf.DUMMYFUNCTION("""COMPUTED_VALUE"""),14.3)</f>
        <v>14.3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IFERROR(__xludf.DUMMYFUNCTION("""COMPUTED_VALUE"""),13.63)</f>
        <v>13.63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IFERROR(__xludf.DUMMYFUNCTION("""COMPUTED_VALUE"""),12.63)</f>
        <v>12.63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IFERROR(__xludf.DUMMYFUNCTION("""COMPUTED_VALUE"""),12.65)</f>
        <v>12.65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IFERROR(__xludf.DUMMYFUNCTION("""COMPUTED_VALUE"""),13.28)</f>
        <v>13.28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IFERROR(__xludf.DUMMYFUNCTION("""COMPUTED_VALUE"""),13.86)</f>
        <v>13.86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IFERROR(__xludf.DUMMYFUNCTION("""COMPUTED_VALUE"""),14.12)</f>
        <v>14.12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IFERROR(__xludf.DUMMYFUNCTION("""COMPUTED_VALUE"""),13.06)</f>
        <v>13.06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IFERROR(__xludf.DUMMYFUNCTION("""COMPUTED_VALUE"""),13.26)</f>
        <v>13.26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IFERROR(__xludf.DUMMYFUNCTION("""COMPUTED_VALUE"""),13.33)</f>
        <v>13.33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IFERROR(__xludf.DUMMYFUNCTION("""COMPUTED_VALUE"""),13.73)</f>
        <v>13.73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IFERROR(__xludf.DUMMYFUNCTION("""COMPUTED_VALUE"""),13.71)</f>
        <v>13.71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IFERROR(__xludf.DUMMYFUNCTION("""COMPUTED_VALUE"""),14.06)</f>
        <v>14.06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IFERROR(__xludf.DUMMYFUNCTION("""COMPUTED_VALUE"""),14.5)</f>
        <v>14.5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IFERROR(__xludf.DUMMYFUNCTION("""COMPUTED_VALUE"""),14.9)</f>
        <v>14.9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IFERROR(__xludf.DUMMYFUNCTION("""COMPUTED_VALUE"""),15.31)</f>
        <v>15.31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IFERROR(__xludf.DUMMYFUNCTION("""COMPUTED_VALUE"""),16.1)</f>
        <v>16.1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IFERROR(__xludf.DUMMYFUNCTION("""COMPUTED_VALUE"""),16.61)</f>
        <v>16.61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IFERROR(__xludf.DUMMYFUNCTION("""COMPUTED_VALUE"""),16.55)</f>
        <v>16.55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IFERROR(__xludf.DUMMYFUNCTION("""COMPUTED_VALUE"""),16.99)</f>
        <v>16.99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IFERROR(__xludf.DUMMYFUNCTION("""COMPUTED_VALUE"""),17.25)</f>
        <v>17.25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IFERROR(__xludf.DUMMYFUNCTION("""COMPUTED_VALUE"""),18.13)</f>
        <v>18.13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IFERROR(__xludf.DUMMYFUNCTION("""COMPUTED_VALUE"""),21.08)</f>
        <v>21.08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IFERROR(__xludf.DUMMYFUNCTION("""COMPUTED_VALUE"""),21.38)</f>
        <v>21.38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IFERROR(__xludf.DUMMYFUNCTION("""COMPUTED_VALUE"""),23.78)</f>
        <v>23.78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IFERROR(__xludf.DUMMYFUNCTION("""COMPUTED_VALUE"""),22.38)</f>
        <v>22.38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IFERROR(__xludf.DUMMYFUNCTION("""COMPUTED_VALUE"""),25.61)</f>
        <v>25.61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IFERROR(__xludf.DUMMYFUNCTION("""COMPUTED_VALUE"""),25.68)</f>
        <v>25.68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IFERROR(__xludf.DUMMYFUNCTION("""COMPUTED_VALUE"""),26.41)</f>
        <v>26.41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IFERROR(__xludf.DUMMYFUNCTION("""COMPUTED_VALUE"""),26.88)</f>
        <v>26.88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IFERROR(__xludf.DUMMYFUNCTION("""COMPUTED_VALUE"""),26.83)</f>
        <v>26.83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IFERROR(__xludf.DUMMYFUNCTION("""COMPUTED_VALUE"""),25.31)</f>
        <v>25.31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IFERROR(__xludf.DUMMYFUNCTION("""COMPUTED_VALUE"""),27.71)</f>
        <v>27.71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IFERROR(__xludf.DUMMYFUNCTION("""COMPUTED_VALUE"""),28.2)</f>
        <v>28.2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IFERROR(__xludf.DUMMYFUNCTION("""COMPUTED_VALUE"""),29.16)</f>
        <v>29.16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IFERROR(__xludf.DUMMYFUNCTION("""COMPUTED_VALUE"""),31.63)</f>
        <v>31.63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IFERROR(__xludf.DUMMYFUNCTION("""COMPUTED_VALUE"""),36.6)</f>
        <v>36.6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IFERROR(__xludf.DUMMYFUNCTION("""COMPUTED_VALUE"""),39.31)</f>
        <v>39.31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IFERROR(__xludf.DUMMYFUNCTION("""COMPUTED_VALUE"""),42.84)</f>
        <v>42.84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IFERROR(__xludf.DUMMYFUNCTION("""COMPUTED_VALUE"""),45.18)</f>
        <v>45.18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IFERROR(__xludf.DUMMYFUNCTION("""COMPUTED_VALUE"""),42.78)</f>
        <v>42.78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IFERROR(__xludf.DUMMYFUNCTION("""COMPUTED_VALUE"""),44.38)</f>
        <v>44.38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IFERROR(__xludf.DUMMYFUNCTION("""COMPUTED_VALUE"""),45.55)</f>
        <v>45.55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IFERROR(__xludf.DUMMYFUNCTION("""COMPUTED_VALUE"""),44.8)</f>
        <v>44.8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IFERROR(__xludf.DUMMYFUNCTION("""COMPUTED_VALUE"""),47.63)</f>
        <v>47.63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IFERROR(__xludf.DUMMYFUNCTION("""COMPUTED_VALUE"""),50.63)</f>
        <v>50.63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IFERROR(__xludf.DUMMYFUNCTION("GOOGLEFINANCE(""NSE:M&amp;M"",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IFERROR(__xludf.DUMMYFUNCTION("""COMPUTED_VALUE"""),49.71)</f>
        <v>49.71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IFERROR(__xludf.DUMMYFUNCTION("""COMPUTED_VALUE"""),53.25)</f>
        <v>53.25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IFERROR(__xludf.DUMMYFUNCTION("""COMPUTED_VALUE"""),55.93)</f>
        <v>55.93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IFERROR(__xludf.DUMMYFUNCTION("""COMPUTED_VALUE"""),53.1)</f>
        <v>53.1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IFERROR(__xludf.DUMMYFUNCTION("""COMPUTED_VALUE"""),53.45)</f>
        <v>53.45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IFERROR(__xludf.DUMMYFUNCTION("""COMPUTED_VALUE"""),57.59)</f>
        <v>57.59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IFERROR(__xludf.DUMMYFUNCTION("""COMPUTED_VALUE"""),58.26)</f>
        <v>58.26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IFERROR(__xludf.DUMMYFUNCTION("""COMPUTED_VALUE"""),63.19)</f>
        <v>63.19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IFERROR(__xludf.DUMMYFUNCTION("""COMPUTED_VALUE"""),62.25)</f>
        <v>62.25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IFERROR(__xludf.DUMMYFUNCTION("""COMPUTED_VALUE"""),62.16)</f>
        <v>62.16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IFERROR(__xludf.DUMMYFUNCTION("""COMPUTED_VALUE"""),62.88)</f>
        <v>62.88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IFERROR(__xludf.DUMMYFUNCTION("""COMPUTED_VALUE"""),61.25)</f>
        <v>61.25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IFERROR(__xludf.DUMMYFUNCTION("""COMPUTED_VALUE"""),58.48)</f>
        <v>58.48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IFERROR(__xludf.DUMMYFUNCTION("""COMPUTED_VALUE"""),60.63)</f>
        <v>60.63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IFERROR(__xludf.DUMMYFUNCTION("""COMPUTED_VALUE"""),60.74)</f>
        <v>60.74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IFERROR(__xludf.DUMMYFUNCTION("""COMPUTED_VALUE"""),62.13)</f>
        <v>62.13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IFERROR(__xludf.DUMMYFUNCTION("""COMPUTED_VALUE"""),60.6)</f>
        <v>60.6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IFERROR(__xludf.DUMMYFUNCTION("""COMPUTED_VALUE"""),62.11)</f>
        <v>62.11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IFERROR(__xludf.DUMMYFUNCTION("""COMPUTED_VALUE"""),62.19)</f>
        <v>62.19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IFERROR(__xludf.DUMMYFUNCTION("""COMPUTED_VALUE"""),59.75)</f>
        <v>59.75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IFERROR(__xludf.DUMMYFUNCTION("""COMPUTED_VALUE"""),60.0)</f>
        <v>60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IFERROR(__xludf.DUMMYFUNCTION("""COMPUTED_VALUE"""),56.0)</f>
        <v>56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IFERROR(__xludf.DUMMYFUNCTION("""COMPUTED_VALUE"""),57.18)</f>
        <v>57.18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IFERROR(__xludf.DUMMYFUNCTION("""COMPUTED_VALUE"""),56.38)</f>
        <v>56.38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IFERROR(__xludf.DUMMYFUNCTION("""COMPUTED_VALUE"""),55.13)</f>
        <v>55.13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IFERROR(__xludf.DUMMYFUNCTION("""COMPUTED_VALUE"""),58.62)</f>
        <v>58.62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IFERROR(__xludf.DUMMYFUNCTION("""COMPUTED_VALUE"""),65.63)</f>
        <v>65.63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IFERROR(__xludf.DUMMYFUNCTION("""COMPUTED_VALUE"""),64.38)</f>
        <v>64.38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IFERROR(__xludf.DUMMYFUNCTION("""COMPUTED_VALUE"""),59.99)</f>
        <v>59.99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IFERROR(__xludf.DUMMYFUNCTION("""COMPUTED_VALUE"""),58.47)</f>
        <v>58.47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IFERROR(__xludf.DUMMYFUNCTION("""COMPUTED_VALUE"""),58.93)</f>
        <v>58.93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IFERROR(__xludf.DUMMYFUNCTION("""COMPUTED_VALUE"""),57.97)</f>
        <v>57.97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IFERROR(__xludf.DUMMYFUNCTION("""COMPUTED_VALUE"""),54.25)</f>
        <v>54.25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IFERROR(__xludf.DUMMYFUNCTION("""COMPUTED_VALUE"""),53.68)</f>
        <v>53.68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IFERROR(__xludf.DUMMYFUNCTION("""COMPUTED_VALUE"""),54.81)</f>
        <v>54.81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IFERROR(__xludf.DUMMYFUNCTION("""COMPUTED_VALUE"""),55.98)</f>
        <v>55.98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IFERROR(__xludf.DUMMYFUNCTION("""COMPUTED_VALUE"""),56.8)</f>
        <v>56.8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IFERROR(__xludf.DUMMYFUNCTION("""COMPUTED_VALUE"""),57.34)</f>
        <v>57.34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IFERROR(__xludf.DUMMYFUNCTION("""COMPUTED_VALUE"""),55.84)</f>
        <v>55.84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IFERROR(__xludf.DUMMYFUNCTION("""COMPUTED_VALUE"""),56.71)</f>
        <v>56.71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IFERROR(__xludf.DUMMYFUNCTION("""COMPUTED_VALUE"""),55.0)</f>
        <v>55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IFERROR(__xludf.DUMMYFUNCTION("""COMPUTED_VALUE"""),58.5)</f>
        <v>58.5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IFERROR(__xludf.DUMMYFUNCTION("""COMPUTED_VALUE"""),56.88)</f>
        <v>56.88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IFERROR(__xludf.DUMMYFUNCTION("""COMPUTED_VALUE"""),57.21)</f>
        <v>57.21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IFERROR(__xludf.DUMMYFUNCTION("""COMPUTED_VALUE"""),60.25)</f>
        <v>60.25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IFERROR(__xludf.DUMMYFUNCTION("""COMPUTED_VALUE"""),61.09)</f>
        <v>61.09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IFERROR(__xludf.DUMMYFUNCTION("""COMPUTED_VALUE"""),64.0)</f>
        <v>64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IFERROR(__xludf.DUMMYFUNCTION("""COMPUTED_VALUE"""),64.28)</f>
        <v>64.28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IFERROR(__xludf.DUMMYFUNCTION("""COMPUTED_VALUE"""),67.25)</f>
        <v>67.25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IFERROR(__xludf.DUMMYFUNCTION("""COMPUTED_VALUE"""),69.18)</f>
        <v>69.18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IFERROR(__xludf.DUMMYFUNCTION("""COMPUTED_VALUE"""),69.11)</f>
        <v>69.11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IFERROR(__xludf.DUMMYFUNCTION("GOOGLEFINANCE(""NSE:M&amp;M"",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IFERROR(__xludf.DUMMYFUNCTION("""COMPUTED_VALUE"""),70.38)</f>
        <v>70.38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IFERROR(__xludf.DUMMYFUNCTION("""COMPUTED_VALUE"""),66.61)</f>
        <v>66.61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IFERROR(__xludf.DUMMYFUNCTION("""COMPUTED_VALUE"""),63.13)</f>
        <v>63.13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IFERROR(__xludf.DUMMYFUNCTION("""COMPUTED_VALUE"""),67.68)</f>
        <v>67.68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IFERROR(__xludf.DUMMYFUNCTION("""COMPUTED_VALUE"""),69.38)</f>
        <v>69.38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IFERROR(__xludf.DUMMYFUNCTION("""COMPUTED_VALUE"""),71.38)</f>
        <v>71.38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IFERROR(__xludf.DUMMYFUNCTION("""COMPUTED_VALUE"""),71.69)</f>
        <v>71.69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IFERROR(__xludf.DUMMYFUNCTION("""COMPUTED_VALUE"""),68.72)</f>
        <v>68.72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IFERROR(__xludf.DUMMYFUNCTION("""COMPUTED_VALUE"""),70.0)</f>
        <v>70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IFERROR(__xludf.DUMMYFUNCTION("""COMPUTED_VALUE"""),70.25)</f>
        <v>70.25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IFERROR(__xludf.DUMMYFUNCTION("""COMPUTED_VALUE"""),67.5)</f>
        <v>67.5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IFERROR(__xludf.DUMMYFUNCTION("""COMPUTED_VALUE"""),65.0)</f>
        <v>65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IFERROR(__xludf.DUMMYFUNCTION("""COMPUTED_VALUE"""),65.0)</f>
        <v>65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IFERROR(__xludf.DUMMYFUNCTION("""COMPUTED_VALUE"""),64.0)</f>
        <v>64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IFERROR(__xludf.DUMMYFUNCTION("""COMPUTED_VALUE"""),60.25)</f>
        <v>60.25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IFERROR(__xludf.DUMMYFUNCTION("""COMPUTED_VALUE"""),58.63)</f>
        <v>58.63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IFERROR(__xludf.DUMMYFUNCTION("""COMPUTED_VALUE"""),58.29)</f>
        <v>58.29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IFERROR(__xludf.DUMMYFUNCTION("""COMPUTED_VALUE"""),59.86)</f>
        <v>59.86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IFERROR(__xludf.DUMMYFUNCTION("""COMPUTED_VALUE"""),59.99)</f>
        <v>59.99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IFERROR(__xludf.DUMMYFUNCTION("""COMPUTED_VALUE"""),60.81)</f>
        <v>60.81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IFERROR(__xludf.DUMMYFUNCTION("""COMPUTED_VALUE"""),63.71)</f>
        <v>63.71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IFERROR(__xludf.DUMMYFUNCTION("""COMPUTED_VALUE"""),68.6)</f>
        <v>68.6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IFERROR(__xludf.DUMMYFUNCTION("""COMPUTED_VALUE"""),71.05)</f>
        <v>71.05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IFERROR(__xludf.DUMMYFUNCTION("""COMPUTED_VALUE"""),73.38)</f>
        <v>73.38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IFERROR(__xludf.DUMMYFUNCTION("""COMPUTED_VALUE"""),73.36)</f>
        <v>73.36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IFERROR(__xludf.DUMMYFUNCTION("""COMPUTED_VALUE"""),76.6)</f>
        <v>76.6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IFERROR(__xludf.DUMMYFUNCTION("""COMPUTED_VALUE"""),76.88)</f>
        <v>76.88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IFERROR(__xludf.DUMMYFUNCTION("""COMPUTED_VALUE"""),77.84)</f>
        <v>77.84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IFERROR(__xludf.DUMMYFUNCTION("""COMPUTED_VALUE"""),98.13)</f>
        <v>98.13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IFERROR(__xludf.DUMMYFUNCTION("""COMPUTED_VALUE"""),88.49)</f>
        <v>88.49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IFERROR(__xludf.DUMMYFUNCTION("""COMPUTED_VALUE"""),87.36)</f>
        <v>87.36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IFERROR(__xludf.DUMMYFUNCTION("""COMPUTED_VALUE"""),92.74)</f>
        <v>92.74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IFERROR(__xludf.DUMMYFUNCTION("""COMPUTED_VALUE"""),91.32)</f>
        <v>91.32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IFERROR(__xludf.DUMMYFUNCTION("""COMPUTED_VALUE"""),92.75)</f>
        <v>92.75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IFERROR(__xludf.DUMMYFUNCTION("""COMPUTED_VALUE"""),93.5)</f>
        <v>93.5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IFERROR(__xludf.DUMMYFUNCTION("""COMPUTED_VALUE"""),94.85)</f>
        <v>94.85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IFERROR(__xludf.DUMMYFUNCTION("""COMPUTED_VALUE"""),96.98)</f>
        <v>96.98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IFERROR(__xludf.DUMMYFUNCTION("""COMPUTED_VALUE"""),94.95)</f>
        <v>94.95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IFERROR(__xludf.DUMMYFUNCTION("""COMPUTED_VALUE"""),102.98)</f>
        <v>102.98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IFERROR(__xludf.DUMMYFUNCTION("""COMPUTED_VALUE"""),97.75)</f>
        <v>97.75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IFERROR(__xludf.DUMMYFUNCTION("""COMPUTED_VALUE"""),95.0)</f>
        <v>95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IFERROR(__xludf.DUMMYFUNCTION("""COMPUTED_VALUE"""),93.16)</f>
        <v>93.16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IFERROR(__xludf.DUMMYFUNCTION("""COMPUTED_VALUE"""),92.45)</f>
        <v>92.45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IFERROR(__xludf.DUMMYFUNCTION("""COMPUTED_VALUE"""),99.75)</f>
        <v>99.75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IFERROR(__xludf.DUMMYFUNCTION("""COMPUTED_VALUE"""),103.75)</f>
        <v>103.75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IFERROR(__xludf.DUMMYFUNCTION("""COMPUTED_VALUE"""),121.24)</f>
        <v>121.24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IFERROR(__xludf.DUMMYFUNCTION("""COMPUTED_VALUE"""),123.31)</f>
        <v>123.31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IFERROR(__xludf.DUMMYFUNCTION("""COMPUTED_VALUE"""),131.13)</f>
        <v>131.13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IFERROR(__xludf.DUMMYFUNCTION("""COMPUTED_VALUE"""),128.68)</f>
        <v>128.68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IFERROR(__xludf.DUMMYFUNCTION("""COMPUTED_VALUE"""),128.96)</f>
        <v>128.96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IFERROR(__xludf.DUMMYFUNCTION("GOOGLEFINANCE(""NSE:M&amp;M"",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IFERROR(__xludf.DUMMYFUNCTION("""COMPUTED_VALUE"""),132.21)</f>
        <v>132.21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IFERROR(__xludf.DUMMYFUNCTION("""COMPUTED_VALUE"""),130.88)</f>
        <v>130.88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IFERROR(__xludf.DUMMYFUNCTION("""COMPUTED_VALUE"""),133.0)</f>
        <v>133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IFERROR(__xludf.DUMMYFUNCTION("""COMPUTED_VALUE"""),135.5)</f>
        <v>135.5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IFERROR(__xludf.DUMMYFUNCTION("""COMPUTED_VALUE"""),142.6)</f>
        <v>142.6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IFERROR(__xludf.DUMMYFUNCTION("""COMPUTED_VALUE"""),148.25)</f>
        <v>148.25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IFERROR(__xludf.DUMMYFUNCTION("""COMPUTED_VALUE"""),156.73)</f>
        <v>156.73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IFERROR(__xludf.DUMMYFUNCTION("""COMPUTED_VALUE"""),150.48)</f>
        <v>150.48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IFERROR(__xludf.DUMMYFUNCTION("""COMPUTED_VALUE"""),156.25)</f>
        <v>156.25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IFERROR(__xludf.DUMMYFUNCTION("""COMPUTED_VALUE"""),162.86)</f>
        <v>162.86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IFERROR(__xludf.DUMMYFUNCTION("""COMPUTED_VALUE"""),158.0)</f>
        <v>158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IFERROR(__xludf.DUMMYFUNCTION("""COMPUTED_VALUE"""),158.35)</f>
        <v>158.35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IFERROR(__xludf.DUMMYFUNCTION("""COMPUTED_VALUE"""),162.86)</f>
        <v>162.86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IFERROR(__xludf.DUMMYFUNCTION("""COMPUTED_VALUE"""),166.25)</f>
        <v>166.25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IFERROR(__xludf.DUMMYFUNCTION("""COMPUTED_VALUE"""),163.75)</f>
        <v>163.75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IFERROR(__xludf.DUMMYFUNCTION("""COMPUTED_VALUE"""),162.91)</f>
        <v>162.91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IFERROR(__xludf.DUMMYFUNCTION("""COMPUTED_VALUE"""),171.73)</f>
        <v>171.73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IFERROR(__xludf.DUMMYFUNCTION("""COMPUTED_VALUE"""),180.96)</f>
        <v>180.96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IFERROR(__xludf.DUMMYFUNCTION("""COMPUTED_VALUE"""),178.23)</f>
        <v>178.23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IFERROR(__xludf.DUMMYFUNCTION("""COMPUTED_VALUE"""),162.75)</f>
        <v>162.75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IFERROR(__xludf.DUMMYFUNCTION("""COMPUTED_VALUE"""),158.94)</f>
        <v>158.94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IFERROR(__xludf.DUMMYFUNCTION("""COMPUTED_VALUE"""),154.23)</f>
        <v>154.23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IFERROR(__xludf.DUMMYFUNCTION("""COMPUTED_VALUE"""),144.84)</f>
        <v>144.84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IFERROR(__xludf.DUMMYFUNCTION("""COMPUTED_VALUE"""),148.35)</f>
        <v>148.35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IFERROR(__xludf.DUMMYFUNCTION("""COMPUTED_VALUE"""),157.75)</f>
        <v>157.75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IFERROR(__xludf.DUMMYFUNCTION("""COMPUTED_VALUE"""),158.76)</f>
        <v>158.76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IFERROR(__xludf.DUMMYFUNCTION("""COMPUTED_VALUE"""),159.6)</f>
        <v>159.6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IFERROR(__xludf.DUMMYFUNCTION("""COMPUTED_VALUE"""),145.5)</f>
        <v>145.5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IFERROR(__xludf.DUMMYFUNCTION("""COMPUTED_VALUE"""),146.63)</f>
        <v>146.63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IFERROR(__xludf.DUMMYFUNCTION("""COMPUTED_VALUE"""),155.0)</f>
        <v>155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IFERROR(__xludf.DUMMYFUNCTION("""COMPUTED_VALUE"""),157.98)</f>
        <v>157.98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IFERROR(__xludf.DUMMYFUNCTION("""COMPUTED_VALUE"""),163.73)</f>
        <v>163.73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IFERROR(__xludf.DUMMYFUNCTION("""COMPUTED_VALUE"""),168.0)</f>
        <v>168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IFERROR(__xludf.DUMMYFUNCTION("""COMPUTED_VALUE"""),166.25)</f>
        <v>166.25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IFERROR(__xludf.DUMMYFUNCTION("""COMPUTED_VALUE"""),167.46)</f>
        <v>167.46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IFERROR(__xludf.DUMMYFUNCTION("""COMPUTED_VALUE"""),162.45)</f>
        <v>162.45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IFERROR(__xludf.DUMMYFUNCTION("""COMPUTED_VALUE"""),166.24)</f>
        <v>166.24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IFERROR(__xludf.DUMMYFUNCTION("""COMPUTED_VALUE"""),170.69)</f>
        <v>170.69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IFERROR(__xludf.DUMMYFUNCTION("""COMPUTED_VALUE"""),176.9)</f>
        <v>176.9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IFERROR(__xludf.DUMMYFUNCTION("""COMPUTED_VALUE"""),177.5)</f>
        <v>177.5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IFERROR(__xludf.DUMMYFUNCTION("""COMPUTED_VALUE"""),192.21)</f>
        <v>192.21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IFERROR(__xludf.DUMMYFUNCTION("""COMPUTED_VALUE"""),201.6)</f>
        <v>201.6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IFERROR(__xludf.DUMMYFUNCTION("""COMPUTED_VALUE"""),211.75)</f>
        <v>211.75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IFERROR(__xludf.DUMMYFUNCTION("""COMPUTED_VALUE"""),213.09)</f>
        <v>213.09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IFERROR(__xludf.DUMMYFUNCTION("""COMPUTED_VALUE"""),212.1)</f>
        <v>212.1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IFERROR(__xludf.DUMMYFUNCTION("""COMPUTED_VALUE"""),211.68)</f>
        <v>211.68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IFERROR(__xludf.DUMMYFUNCTION("""COMPUTED_VALUE"""),216.13)</f>
        <v>216.13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IFERROR(__xludf.DUMMYFUNCTION("""COMPUTED_VALUE"""),208.7)</f>
        <v>208.7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IFERROR(__xludf.DUMMYFUNCTION("""COMPUTED_VALUE"""),219.75)</f>
        <v>219.75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IFERROR(__xludf.DUMMYFUNCTION("""COMPUTED_VALUE"""),228.75)</f>
        <v>228.75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IFERROR(__xludf.DUMMYFUNCTION("GOOGLEFINANCE(""NSE:M&amp;M"",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IFERROR(__xludf.DUMMYFUNCTION("""COMPUTED_VALUE"""),242.96)</f>
        <v>242.96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IFERROR(__xludf.DUMMYFUNCTION("""COMPUTED_VALUE"""),234.93)</f>
        <v>234.93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IFERROR(__xludf.DUMMYFUNCTION("""COMPUTED_VALUE"""),250.25)</f>
        <v>250.25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IFERROR(__xludf.DUMMYFUNCTION("""COMPUTED_VALUE"""),237.18)</f>
        <v>237.18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IFERROR(__xludf.DUMMYFUNCTION("""COMPUTED_VALUE"""),234.19)</f>
        <v>234.19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IFERROR(__xludf.DUMMYFUNCTION("""COMPUTED_VALUE"""),238.69)</f>
        <v>238.69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IFERROR(__xludf.DUMMYFUNCTION("""COMPUTED_VALUE"""),230.49)</f>
        <v>230.49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IFERROR(__xludf.DUMMYFUNCTION("""COMPUTED_VALUE"""),228.11)</f>
        <v>228.11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IFERROR(__xludf.DUMMYFUNCTION("""COMPUTED_VALUE"""),218.75)</f>
        <v>218.75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IFERROR(__xludf.DUMMYFUNCTION("""COMPUTED_VALUE"""),198.68)</f>
        <v>198.68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IFERROR(__xludf.DUMMYFUNCTION("""COMPUTED_VALUE"""),192.11)</f>
        <v>192.11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IFERROR(__xludf.DUMMYFUNCTION("""COMPUTED_VALUE"""),201.0)</f>
        <v>201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IFERROR(__xludf.DUMMYFUNCTION("""COMPUTED_VALUE"""),201.93)</f>
        <v>201.93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IFERROR(__xludf.DUMMYFUNCTION("""COMPUTED_VALUE"""),191.0)</f>
        <v>191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IFERROR(__xludf.DUMMYFUNCTION("""COMPUTED_VALUE"""),186.75)</f>
        <v>186.75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IFERROR(__xludf.DUMMYFUNCTION("""COMPUTED_VALUE"""),192.5)</f>
        <v>192.5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IFERROR(__xludf.DUMMYFUNCTION("""COMPUTED_VALUE"""),194.43)</f>
        <v>194.43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IFERROR(__xludf.DUMMYFUNCTION("""COMPUTED_VALUE"""),200.75)</f>
        <v>200.75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IFERROR(__xludf.DUMMYFUNCTION("""COMPUTED_VALUE"""),199.99)</f>
        <v>199.99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IFERROR(__xludf.DUMMYFUNCTION("""COMPUTED_VALUE"""),183.75)</f>
        <v>183.75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IFERROR(__xludf.DUMMYFUNCTION("""COMPUTED_VALUE"""),186.51)</f>
        <v>186.51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IFERROR(__xludf.DUMMYFUNCTION("""COMPUTED_VALUE"""),193.13)</f>
        <v>193.13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IFERROR(__xludf.DUMMYFUNCTION("""COMPUTED_VALUE"""),195.68)</f>
        <v>195.68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IFERROR(__xludf.DUMMYFUNCTION("""COMPUTED_VALUE"""),182.0)</f>
        <v>182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IFERROR(__xludf.DUMMYFUNCTION("""COMPUTED_VALUE"""),185.0)</f>
        <v>185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IFERROR(__xludf.DUMMYFUNCTION("""COMPUTED_VALUE"""),187.3)</f>
        <v>187.3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IFERROR(__xludf.DUMMYFUNCTION("""COMPUTED_VALUE"""),199.24)</f>
        <v>199.24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IFERROR(__xludf.DUMMYFUNCTION("""COMPUTED_VALUE"""),208.08)</f>
        <v>208.08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IFERROR(__xludf.DUMMYFUNCTION("""COMPUTED_VALUE"""),209.68)</f>
        <v>209.68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IFERROR(__xludf.DUMMYFUNCTION("""COMPUTED_VALUE"""),208.01)</f>
        <v>208.01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IFERROR(__xludf.DUMMYFUNCTION("""COMPUTED_VALUE"""),197.03)</f>
        <v>197.03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IFERROR(__xludf.DUMMYFUNCTION("""COMPUTED_VALUE"""),175.25)</f>
        <v>175.25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IFERROR(__xludf.DUMMYFUNCTION("""COMPUTED_VALUE"""),173.75)</f>
        <v>173.75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IFERROR(__xludf.DUMMYFUNCTION("""COMPUTED_VALUE"""),168.75)</f>
        <v>168.75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IFERROR(__xludf.DUMMYFUNCTION("""COMPUTED_VALUE"""),180.61)</f>
        <v>180.61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IFERROR(__xludf.DUMMYFUNCTION("""COMPUTED_VALUE"""),183.13)</f>
        <v>183.13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IFERROR(__xludf.DUMMYFUNCTION("""COMPUTED_VALUE"""),179.75)</f>
        <v>179.75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IFERROR(__xludf.DUMMYFUNCTION("""COMPUTED_VALUE"""),202.43)</f>
        <v>202.43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IFERROR(__xludf.DUMMYFUNCTION("""COMPUTED_VALUE"""),198.25)</f>
        <v>198.25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IFERROR(__xludf.DUMMYFUNCTION("""COMPUTED_VALUE"""),200.38)</f>
        <v>200.38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IFERROR(__xludf.DUMMYFUNCTION("""COMPUTED_VALUE"""),212.63)</f>
        <v>212.63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IFERROR(__xludf.DUMMYFUNCTION("""COMPUTED_VALUE"""),214.25)</f>
        <v>214.25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IFERROR(__xludf.DUMMYFUNCTION("""COMPUTED_VALUE"""),213.0)</f>
        <v>213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IFERROR(__xludf.DUMMYFUNCTION("""COMPUTED_VALUE"""),206.71)</f>
        <v>206.71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IFERROR(__xludf.DUMMYFUNCTION("""COMPUTED_VALUE"""),185.0)</f>
        <v>185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IFERROR(__xludf.DUMMYFUNCTION("""COMPUTED_VALUE"""),205.25)</f>
        <v>205.25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IFERROR(__xludf.DUMMYFUNCTION("""COMPUTED_VALUE"""),186.25)</f>
        <v>186.25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IFERROR(__xludf.DUMMYFUNCTION("""COMPUTED_VALUE"""),211.23)</f>
        <v>211.23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IFERROR(__xludf.DUMMYFUNCTION("""COMPUTED_VALUE"""),203.51)</f>
        <v>203.51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IFERROR(__xludf.DUMMYFUNCTION("""COMPUTED_VALUE"""),205.25)</f>
        <v>205.25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IFERROR(__xludf.DUMMYFUNCTION("""COMPUTED_VALUE"""),212.25)</f>
        <v>212.25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IFERROR(__xludf.DUMMYFUNCTION("GOOGLEFINANCE(""NSE:M&amp;M"",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IFERROR(__xludf.DUMMYFUNCTION("""COMPUTED_VALUE"""),218.48)</f>
        <v>218.48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IFERROR(__xludf.DUMMYFUNCTION("""COMPUTED_VALUE"""),210.75)</f>
        <v>210.75</v>
      </c>
    </row>
    <row r="334" ht="15.75" customHeight="1">
      <c r="B334" s="3">
        <f>IFERROR(__xludf.DUMMYFUNCTION("""COMPUTED_VALUE"""),39465.645833333336)</f>
        <v>39465.64583</v>
      </c>
      <c r="C334" s="2">
        <f>IFERROR(__xludf.DUMMYFUNCTION("""COMPUTED_VALUE"""),196.64)</f>
        <v>196.64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IFERROR(__xludf.DUMMYFUNCTION("""COMPUTED_VALUE"""),184.5)</f>
        <v>184.5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IFERROR(__xludf.DUMMYFUNCTION("""COMPUTED_VALUE"""),178.0)</f>
        <v>178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IFERROR(__xludf.DUMMYFUNCTION("""COMPUTED_VALUE"""),175.25)</f>
        <v>175.25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IFERROR(__xludf.DUMMYFUNCTION("""COMPUTED_VALUE"""),162.0)</f>
        <v>162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IFERROR(__xludf.DUMMYFUNCTION("""COMPUTED_VALUE"""),167.73)</f>
        <v>167.73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IFERROR(__xludf.DUMMYFUNCTION("""COMPUTED_VALUE"""),176.5)</f>
        <v>176.5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IFERROR(__xludf.DUMMYFUNCTION("""COMPUTED_VALUE"""),177.5)</f>
        <v>177.5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IFERROR(__xludf.DUMMYFUNCTION("""COMPUTED_VALUE"""),175.15)</f>
        <v>175.15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IFERROR(__xludf.DUMMYFUNCTION("""COMPUTED_VALUE"""),171.19)</f>
        <v>171.19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IFERROR(__xludf.DUMMYFUNCTION("""COMPUTED_VALUE"""),174.99)</f>
        <v>174.99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IFERROR(__xludf.DUMMYFUNCTION("""COMPUTED_VALUE"""),181.0)</f>
        <v>181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IFERROR(__xludf.DUMMYFUNCTION("""COMPUTED_VALUE"""),156.98)</f>
        <v>156.98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IFERROR(__xludf.DUMMYFUNCTION("""COMPUTED_VALUE"""),161.29)</f>
        <v>161.29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IFERROR(__xludf.DUMMYFUNCTION("""COMPUTED_VALUE"""),162.01)</f>
        <v>162.01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IFERROR(__xludf.DUMMYFUNCTION("""COMPUTED_VALUE"""),176.25)</f>
        <v>176.25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IFERROR(__xludf.DUMMYFUNCTION("""COMPUTED_VALUE"""),175.0)</f>
        <v>175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IFERROR(__xludf.DUMMYFUNCTION("""COMPUTED_VALUE"""),169.0)</f>
        <v>169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IFERROR(__xludf.DUMMYFUNCTION("""COMPUTED_VALUE"""),167.38)</f>
        <v>167.38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IFERROR(__xludf.DUMMYFUNCTION("""COMPUTED_VALUE"""),164.75)</f>
        <v>164.75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IFERROR(__xludf.DUMMYFUNCTION("""COMPUTED_VALUE"""),151.75)</f>
        <v>151.75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IFERROR(__xludf.DUMMYFUNCTION("""COMPUTED_VALUE"""),149.93)</f>
        <v>149.93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IFERROR(__xludf.DUMMYFUNCTION("""COMPUTED_VALUE"""),146.75)</f>
        <v>146.75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IFERROR(__xludf.DUMMYFUNCTION("""COMPUTED_VALUE"""),147.0)</f>
        <v>147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IFERROR(__xludf.DUMMYFUNCTION("""COMPUTED_VALUE"""),137.44)</f>
        <v>137.44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IFERROR(__xludf.DUMMYFUNCTION("""COMPUTED_VALUE"""),140.0)</f>
        <v>140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IFERROR(__xludf.DUMMYFUNCTION("""COMPUTED_VALUE"""),139.19)</f>
        <v>139.19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IFERROR(__xludf.DUMMYFUNCTION("""COMPUTED_VALUE"""),143.6)</f>
        <v>143.6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IFERROR(__xludf.DUMMYFUNCTION("""COMPUTED_VALUE"""),137.0)</f>
        <v>137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IFERROR(__xludf.DUMMYFUNCTION("""COMPUTED_VALUE"""),146.75)</f>
        <v>146.75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IFERROR(__xludf.DUMMYFUNCTION("""COMPUTED_VALUE"""),150.75)</f>
        <v>150.75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IFERROR(__xludf.DUMMYFUNCTION("""COMPUTED_VALUE"""),147.5)</f>
        <v>147.5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IFERROR(__xludf.DUMMYFUNCTION("""COMPUTED_VALUE"""),145.5)</f>
        <v>145.5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IFERROR(__xludf.DUMMYFUNCTION("""COMPUTED_VALUE"""),148.7)</f>
        <v>148.7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IFERROR(__xludf.DUMMYFUNCTION("""COMPUTED_VALUE"""),154.68)</f>
        <v>154.68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IFERROR(__xludf.DUMMYFUNCTION("""COMPUTED_VALUE"""),143.5)</f>
        <v>143.5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IFERROR(__xludf.DUMMYFUNCTION("""COMPUTED_VALUE"""),142.51)</f>
        <v>142.51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IFERROR(__xludf.DUMMYFUNCTION("""COMPUTED_VALUE"""),133.69)</f>
        <v>133.69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IFERROR(__xludf.DUMMYFUNCTION("""COMPUTED_VALUE"""),130.49)</f>
        <v>130.49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IFERROR(__xludf.DUMMYFUNCTION("""COMPUTED_VALUE"""),134.75)</f>
        <v>134.75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IFERROR(__xludf.DUMMYFUNCTION("""COMPUTED_VALUE"""),113.25)</f>
        <v>113.25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IFERROR(__xludf.DUMMYFUNCTION("""COMPUTED_VALUE"""),98.75)</f>
        <v>98.75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IFERROR(__xludf.DUMMYFUNCTION("""COMPUTED_VALUE"""),103.0)</f>
        <v>103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IFERROR(__xludf.DUMMYFUNCTION("""COMPUTED_VALUE"""),98.75)</f>
        <v>98.75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IFERROR(__xludf.DUMMYFUNCTION("""COMPUTED_VALUE"""),84.71)</f>
        <v>84.71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IFERROR(__xludf.DUMMYFUNCTION("""COMPUTED_VALUE"""),79.39)</f>
        <v>79.39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IFERROR(__xludf.DUMMYFUNCTION("""COMPUTED_VALUE"""),71.75)</f>
        <v>71.75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IFERROR(__xludf.DUMMYFUNCTION("""COMPUTED_VALUE"""),76.25)</f>
        <v>76.25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IFERROR(__xludf.DUMMYFUNCTION("""COMPUTED_VALUE"""),86.75)</f>
        <v>86.75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IFERROR(__xludf.DUMMYFUNCTION("""COMPUTED_VALUE"""),82.48)</f>
        <v>82.48</v>
      </c>
    </row>
    <row r="384" ht="15.75" customHeight="1"/>
    <row r="385" ht="15.75" customHeight="1"/>
    <row r="386" ht="15.75" customHeight="1">
      <c r="B386" s="2" t="str">
        <f>IFERROR(__xludf.DUMMYFUNCTION("GOOGLEFINANCE(""NSE:M&amp;M"",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IFERROR(__xludf.DUMMYFUNCTION("""COMPUTED_VALUE"""),73.5)</f>
        <v>73.5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IFERROR(__xludf.DUMMYFUNCTION("""COMPUTED_VALUE"""),82.48)</f>
        <v>82.48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IFERROR(__xludf.DUMMYFUNCTION("""COMPUTED_VALUE"""),82.5)</f>
        <v>82.5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IFERROR(__xludf.DUMMYFUNCTION("""COMPUTED_VALUE"""),81.53)</f>
        <v>81.53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IFERROR(__xludf.DUMMYFUNCTION("""COMPUTED_VALUE"""),76.75)</f>
        <v>76.75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IFERROR(__xludf.DUMMYFUNCTION("""COMPUTED_VALUE"""),75.5)</f>
        <v>75.5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IFERROR(__xludf.DUMMYFUNCTION("""COMPUTED_VALUE"""),80.95)</f>
        <v>80.95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IFERROR(__xludf.DUMMYFUNCTION("""COMPUTED_VALUE"""),83.39)</f>
        <v>83.39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IFERROR(__xludf.DUMMYFUNCTION("""COMPUTED_VALUE"""),81.7)</f>
        <v>81.7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IFERROR(__xludf.DUMMYFUNCTION("""COMPUTED_VALUE"""),82.0)</f>
        <v>82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IFERROR(__xludf.DUMMYFUNCTION("""COMPUTED_VALUE"""),91.4)</f>
        <v>91.4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IFERROR(__xludf.DUMMYFUNCTION("""COMPUTED_VALUE"""),96.11)</f>
        <v>96.11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IFERROR(__xludf.DUMMYFUNCTION("""COMPUTED_VALUE"""),98.75)</f>
        <v>98.75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IFERROR(__xludf.DUMMYFUNCTION("""COMPUTED_VALUE"""),109.0)</f>
        <v>109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IFERROR(__xludf.DUMMYFUNCTION("""COMPUTED_VALUE"""),117.75)</f>
        <v>117.75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IFERROR(__xludf.DUMMYFUNCTION("""COMPUTED_VALUE"""),126.14)</f>
        <v>126.14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IFERROR(__xludf.DUMMYFUNCTION("""COMPUTED_VALUE"""),121.48)</f>
        <v>121.48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IFERROR(__xludf.DUMMYFUNCTION("""COMPUTED_VALUE"""),125.88)</f>
        <v>125.88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IFERROR(__xludf.DUMMYFUNCTION("""COMPUTED_VALUE"""),142.82)</f>
        <v>142.82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IFERROR(__xludf.DUMMYFUNCTION("""COMPUTED_VALUE"""),131.98)</f>
        <v>131.98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IFERROR(__xludf.DUMMYFUNCTION("""COMPUTED_VALUE"""),172.5)</f>
        <v>172.5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IFERROR(__xludf.DUMMYFUNCTION("""COMPUTED_VALUE"""),174.5)</f>
        <v>174.5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IFERROR(__xludf.DUMMYFUNCTION("""COMPUTED_VALUE"""),184.5)</f>
        <v>184.5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IFERROR(__xludf.DUMMYFUNCTION("""COMPUTED_VALUE"""),207.25)</f>
        <v>207.25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IFERROR(__xludf.DUMMYFUNCTION("""COMPUTED_VALUE"""),195.75)</f>
        <v>195.75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IFERROR(__xludf.DUMMYFUNCTION("""COMPUTED_VALUE"""),187.45)</f>
        <v>187.45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IFERROR(__xludf.DUMMYFUNCTION("""COMPUTED_VALUE"""),187.0)</f>
        <v>187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IFERROR(__xludf.DUMMYFUNCTION("""COMPUTED_VALUE"""),189.85)</f>
        <v>189.85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IFERROR(__xludf.DUMMYFUNCTION("""COMPUTED_VALUE"""),197.5)</f>
        <v>197.5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IFERROR(__xludf.DUMMYFUNCTION("""COMPUTED_VALUE"""),208.95)</f>
        <v>208.95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IFERROR(__xludf.DUMMYFUNCTION("""COMPUTED_VALUE"""),222.45)</f>
        <v>222.45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IFERROR(__xludf.DUMMYFUNCTION("""COMPUTED_VALUE"""),235.99)</f>
        <v>235.99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IFERROR(__xludf.DUMMYFUNCTION("""COMPUTED_VALUE"""),212.5)</f>
        <v>212.5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IFERROR(__xludf.DUMMYFUNCTION("""COMPUTED_VALUE"""),201.25)</f>
        <v>201.25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IFERROR(__xludf.DUMMYFUNCTION("""COMPUTED_VALUE"""),208.34)</f>
        <v>208.34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IFERROR(__xludf.DUMMYFUNCTION("""COMPUTED_VALUE"""),226.5)</f>
        <v>226.5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IFERROR(__xludf.DUMMYFUNCTION("""COMPUTED_VALUE"""),219.2)</f>
        <v>219.2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IFERROR(__xludf.DUMMYFUNCTION("""COMPUTED_VALUE"""),224.65)</f>
        <v>224.65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IFERROR(__xludf.DUMMYFUNCTION("""COMPUTED_VALUE"""),227.5)</f>
        <v>227.5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IFERROR(__xludf.DUMMYFUNCTION("""COMPUTED_VALUE"""),224.4)</f>
        <v>224.4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IFERROR(__xludf.DUMMYFUNCTION("""COMPUTED_VALUE"""),231.7)</f>
        <v>231.7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IFERROR(__xludf.DUMMYFUNCTION("""COMPUTED_VALUE"""),235.06)</f>
        <v>235.06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IFERROR(__xludf.DUMMYFUNCTION("""COMPUTED_VALUE"""),242.33)</f>
        <v>242.33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IFERROR(__xludf.DUMMYFUNCTION("""COMPUTED_VALUE"""),247.25)</f>
        <v>247.25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IFERROR(__xludf.DUMMYFUNCTION("""COMPUTED_VALUE"""),263.6)</f>
        <v>263.6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IFERROR(__xludf.DUMMYFUNCTION("""COMPUTED_VALUE"""),265.84)</f>
        <v>265.84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IFERROR(__xludf.DUMMYFUNCTION("""COMPUTED_VALUE"""),272.75)</f>
        <v>272.75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IFERROR(__xludf.DUMMYFUNCTION("""COMPUTED_VALUE"""),273.5)</f>
        <v>273.5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IFERROR(__xludf.DUMMYFUNCTION("""COMPUTED_VALUE"""),264.6)</f>
        <v>264.6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IFERROR(__xludf.DUMMYFUNCTION("""COMPUTED_VALUE"""),268.5)</f>
        <v>268.5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IFERROR(__xludf.DUMMYFUNCTION("""COMPUTED_VALUE"""),267.0)</f>
        <v>267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IFERROR(__xludf.DUMMYFUNCTION("""COMPUTED_VALUE"""),271.61)</f>
        <v>271.61</v>
      </c>
    </row>
    <row r="439" ht="15.75" customHeight="1"/>
    <row r="440" ht="15.75" customHeight="1"/>
    <row r="441" ht="15.75" customHeight="1">
      <c r="B441" s="2" t="str">
        <f>IFERROR(__xludf.DUMMYFUNCTION("GOOGLEFINANCE(""NSE:M&amp;M"",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IFERROR(__xludf.DUMMYFUNCTION("""COMPUTED_VALUE"""),296.73)</f>
        <v>296.73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IFERROR(__xludf.DUMMYFUNCTION("""COMPUTED_VALUE"""),299.75)</f>
        <v>299.75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IFERROR(__xludf.DUMMYFUNCTION("""COMPUTED_VALUE"""),297.73)</f>
        <v>297.73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IFERROR(__xludf.DUMMYFUNCTION("""COMPUTED_VALUE"""),288.14)</f>
        <v>288.14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IFERROR(__xludf.DUMMYFUNCTION("""COMPUTED_VALUE"""),253.59)</f>
        <v>253.59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IFERROR(__xludf.DUMMYFUNCTION("""COMPUTED_VALUE"""),260.21)</f>
        <v>260.21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IFERROR(__xludf.DUMMYFUNCTION("""COMPUTED_VALUE"""),257.96)</f>
        <v>257.96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IFERROR(__xludf.DUMMYFUNCTION("""COMPUTED_VALUE"""),272.45)</f>
        <v>272.45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IFERROR(__xludf.DUMMYFUNCTION("""COMPUTED_VALUE"""),288.74)</f>
        <v>288.74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IFERROR(__xludf.DUMMYFUNCTION("""COMPUTED_VALUE"""),287.25)</f>
        <v>287.25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IFERROR(__xludf.DUMMYFUNCTION("""COMPUTED_VALUE"""),272.23)</f>
        <v>272.23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IFERROR(__xludf.DUMMYFUNCTION("""COMPUTED_VALUE"""),285.0)</f>
        <v>285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IFERROR(__xludf.DUMMYFUNCTION("""COMPUTED_VALUE"""),276.95)</f>
        <v>276.95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IFERROR(__xludf.DUMMYFUNCTION("""COMPUTED_VALUE"""),265.83)</f>
        <v>265.83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IFERROR(__xludf.DUMMYFUNCTION("""COMPUTED_VALUE"""),261.63)</f>
        <v>261.63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IFERROR(__xludf.DUMMYFUNCTION("""COMPUTED_VALUE"""),270.35)</f>
        <v>270.35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IFERROR(__xludf.DUMMYFUNCTION("""COMPUTED_VALUE"""),267.98)</f>
        <v>267.98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IFERROR(__xludf.DUMMYFUNCTION("""COMPUTED_VALUE"""),287.45)</f>
        <v>287.45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IFERROR(__xludf.DUMMYFUNCTION("""COMPUTED_VALUE"""),284.25)</f>
        <v>284.25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IFERROR(__xludf.DUMMYFUNCTION("""COMPUTED_VALUE"""),287.5)</f>
        <v>287.5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IFERROR(__xludf.DUMMYFUNCTION("""COMPUTED_VALUE"""),294.5)</f>
        <v>294.5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IFERROR(__xludf.DUMMYFUNCTION("""COMPUTED_VALUE"""),308.25)</f>
        <v>308.25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IFERROR(__xludf.DUMMYFUNCTION("""COMPUTED_VALUE"""),321.5)</f>
        <v>321.5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IFERROR(__xludf.DUMMYFUNCTION("""COMPUTED_VALUE"""),322.5)</f>
        <v>322.5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IFERROR(__xludf.DUMMYFUNCTION("""COMPUTED_VALUE"""),316.48)</f>
        <v>316.48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IFERROR(__xludf.DUMMYFUNCTION("""COMPUTED_VALUE"""),320.45)</f>
        <v>320.45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IFERROR(__xludf.DUMMYFUNCTION("""COMPUTED_VALUE"""),324.0)</f>
        <v>324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IFERROR(__xludf.DUMMYFUNCTION("""COMPUTED_VALUE"""),320.5)</f>
        <v>320.5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IFERROR(__xludf.DUMMYFUNCTION("""COMPUTED_VALUE"""),332.45)</f>
        <v>332.45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IFERROR(__xludf.DUMMYFUNCTION("""COMPUTED_VALUE"""),335.0)</f>
        <v>335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IFERROR(__xludf.DUMMYFUNCTION("""COMPUTED_VALUE"""),339.85)</f>
        <v>339.85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IFERROR(__xludf.DUMMYFUNCTION("""COMPUTED_VALUE"""),317.73)</f>
        <v>317.73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IFERROR(__xludf.DUMMYFUNCTION("""COMPUTED_VALUE"""),317.25)</f>
        <v>317.25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IFERROR(__xludf.DUMMYFUNCTION("""COMPUTED_VALUE"""),320.4)</f>
        <v>320.4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IFERROR(__xludf.DUMMYFUNCTION("""COMPUTED_VALUE"""),329.0)</f>
        <v>329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IFERROR(__xludf.DUMMYFUNCTION("""COMPUTED_VALUE"""),343.0)</f>
        <v>343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IFERROR(__xludf.DUMMYFUNCTION("""COMPUTED_VALUE"""),353.23)</f>
        <v>353.23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IFERROR(__xludf.DUMMYFUNCTION("""COMPUTED_VALUE"""),360.1)</f>
        <v>360.1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IFERROR(__xludf.DUMMYFUNCTION("""COMPUTED_VALUE"""),379.75)</f>
        <v>379.75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IFERROR(__xludf.DUMMYFUNCTION("""COMPUTED_VALUE"""),372.0)</f>
        <v>372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IFERROR(__xludf.DUMMYFUNCTION("""COMPUTED_VALUE"""),362.0)</f>
        <v>362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IFERROR(__xludf.DUMMYFUNCTION("""COMPUTED_VALUE"""),372.65)</f>
        <v>372.65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IFERROR(__xludf.DUMMYFUNCTION("""COMPUTED_VALUE"""),397.98)</f>
        <v>397.98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IFERROR(__xludf.DUMMYFUNCTION("""COMPUTED_VALUE"""),413.35)</f>
        <v>413.35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IFERROR(__xludf.DUMMYFUNCTION("""COMPUTED_VALUE"""),401.9)</f>
        <v>401.9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IFERROR(__xludf.DUMMYFUNCTION("""COMPUTED_VALUE"""),399.4)</f>
        <v>399.4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IFERROR(__xludf.DUMMYFUNCTION("""COMPUTED_VALUE"""),407.4)</f>
        <v>407.4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IFERROR(__xludf.DUMMYFUNCTION("""COMPUTED_VALUE"""),404.75)</f>
        <v>404.75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IFERROR(__xludf.DUMMYFUNCTION("""COMPUTED_VALUE"""),395.0)</f>
        <v>395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IFERROR(__xludf.DUMMYFUNCTION("""COMPUTED_VALUE"""),382.5)</f>
        <v>382.5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IFERROR(__xludf.DUMMYFUNCTION("""COMPUTED_VALUE"""),392.45)</f>
        <v>392.45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IFERROR(__xludf.DUMMYFUNCTION("GOOGLEFINANCE(""NSE:M&amp;M"",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IFERROR(__xludf.DUMMYFUNCTION("""COMPUTED_VALUE"""),400.85)</f>
        <v>400.85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IFERROR(__xludf.DUMMYFUNCTION("""COMPUTED_VALUE"""),379.65)</f>
        <v>379.65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IFERROR(__xludf.DUMMYFUNCTION("""COMPUTED_VALUE"""),387.8)</f>
        <v>387.8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IFERROR(__xludf.DUMMYFUNCTION("""COMPUTED_VALUE"""),399.35)</f>
        <v>399.35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IFERROR(__xludf.DUMMYFUNCTION("""COMPUTED_VALUE"""),359.95)</f>
        <v>359.95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IFERROR(__xludf.DUMMYFUNCTION("""COMPUTED_VALUE"""),340.9)</f>
        <v>340.9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IFERROR(__xludf.DUMMYFUNCTION("""COMPUTED_VALUE"""),344.8)</f>
        <v>344.8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IFERROR(__xludf.DUMMYFUNCTION("""COMPUTED_VALUE"""),327.02)</f>
        <v>327.02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IFERROR(__xludf.DUMMYFUNCTION("""COMPUTED_VALUE"""),346.0)</f>
        <v>346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IFERROR(__xludf.DUMMYFUNCTION("""COMPUTED_VALUE"""),337.0)</f>
        <v>337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IFERROR(__xludf.DUMMYFUNCTION("""COMPUTED_VALUE"""),333.75)</f>
        <v>333.75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IFERROR(__xludf.DUMMYFUNCTION("""COMPUTED_VALUE"""),342.28)</f>
        <v>342.28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IFERROR(__xludf.DUMMYFUNCTION("""COMPUTED_VALUE"""),358.3)</f>
        <v>358.3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IFERROR(__xludf.DUMMYFUNCTION("""COMPUTED_VALUE"""),374.45)</f>
        <v>374.45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IFERROR(__xludf.DUMMYFUNCTION("""COMPUTED_VALUE"""),367.45)</f>
        <v>367.45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IFERROR(__xludf.DUMMYFUNCTION("""COMPUTED_VALUE"""),387.4)</f>
        <v>387.4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IFERROR(__xludf.DUMMYFUNCTION("""COMPUTED_VALUE"""),389.48)</f>
        <v>389.48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IFERROR(__xludf.DUMMYFUNCTION("""COMPUTED_VALUE"""),382.9)</f>
        <v>382.9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IFERROR(__xludf.DUMMYFUNCTION("""COMPUTED_VALUE"""),362.0)</f>
        <v>362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IFERROR(__xludf.DUMMYFUNCTION("""COMPUTED_VALUE"""),346.85)</f>
        <v>346.85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IFERROR(__xludf.DUMMYFUNCTION("""COMPUTED_VALUE"""),353.95)</f>
        <v>353.95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IFERROR(__xludf.DUMMYFUNCTION("""COMPUTED_VALUE"""),356.23)</f>
        <v>356.23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IFERROR(__xludf.DUMMYFUNCTION("""COMPUTED_VALUE"""),334.67)</f>
        <v>334.67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IFERROR(__xludf.DUMMYFUNCTION("""COMPUTED_VALUE"""),339.92)</f>
        <v>339.92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IFERROR(__xludf.DUMMYFUNCTION("""COMPUTED_VALUE"""),338.13)</f>
        <v>338.13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IFERROR(__xludf.DUMMYFUNCTION("""COMPUTED_VALUE"""),355.9)</f>
        <v>355.9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IFERROR(__xludf.DUMMYFUNCTION("""COMPUTED_VALUE"""),369.23)</f>
        <v>369.23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IFERROR(__xludf.DUMMYFUNCTION("""COMPUTED_VALUE"""),367.4)</f>
        <v>367.4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IFERROR(__xludf.DUMMYFUNCTION("""COMPUTED_VALUE"""),363.0)</f>
        <v>363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IFERROR(__xludf.DUMMYFUNCTION("""COMPUTED_VALUE"""),376.73)</f>
        <v>376.73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IFERROR(__xludf.DUMMYFUNCTION("""COMPUTED_VALUE"""),367.8)</f>
        <v>367.8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IFERROR(__xludf.DUMMYFUNCTION("""COMPUTED_VALUE"""),371.45)</f>
        <v>371.45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IFERROR(__xludf.DUMMYFUNCTION("""COMPUTED_VALUE"""),372.8)</f>
        <v>372.8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IFERROR(__xludf.DUMMYFUNCTION("""COMPUTED_VALUE"""),361.75)</f>
        <v>361.75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IFERROR(__xludf.DUMMYFUNCTION("""COMPUTED_VALUE"""),384.95)</f>
        <v>384.95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IFERROR(__xludf.DUMMYFUNCTION("""COMPUTED_VALUE"""),405.33)</f>
        <v>405.33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IFERROR(__xludf.DUMMYFUNCTION("""COMPUTED_VALUE"""),407.7)</f>
        <v>407.7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IFERROR(__xludf.DUMMYFUNCTION("""COMPUTED_VALUE"""),409.75)</f>
        <v>409.75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IFERROR(__xludf.DUMMYFUNCTION("""COMPUTED_VALUE"""),411.95)</f>
        <v>411.95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IFERROR(__xludf.DUMMYFUNCTION("""COMPUTED_VALUE"""),409.17)</f>
        <v>409.17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IFERROR(__xludf.DUMMYFUNCTION("""COMPUTED_VALUE"""),407.5)</f>
        <v>407.5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IFERROR(__xludf.DUMMYFUNCTION("""COMPUTED_VALUE"""),409.73)</f>
        <v>409.73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IFERROR(__xludf.DUMMYFUNCTION("""COMPUTED_VALUE"""),438.65)</f>
        <v>438.65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IFERROR(__xludf.DUMMYFUNCTION("""COMPUTED_VALUE"""),437.5)</f>
        <v>437.5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IFERROR(__xludf.DUMMYFUNCTION("""COMPUTED_VALUE"""),423.73)</f>
        <v>423.73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IFERROR(__xludf.DUMMYFUNCTION("""COMPUTED_VALUE"""),425.35)</f>
        <v>425.35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IFERROR(__xludf.DUMMYFUNCTION("""COMPUTED_VALUE"""),372.2)</f>
        <v>372.2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IFERROR(__xludf.DUMMYFUNCTION("""COMPUTED_VALUE"""),377.5)</f>
        <v>377.5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IFERROR(__xludf.DUMMYFUNCTION("""COMPUTED_VALUE"""),381.48)</f>
        <v>381.48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IFERROR(__xludf.DUMMYFUNCTION("""COMPUTED_VALUE"""),355.9)</f>
        <v>355.9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IFERROR(__xludf.DUMMYFUNCTION("""COMPUTED_VALUE"""),353.63)</f>
        <v>353.63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IFERROR(__xludf.DUMMYFUNCTION("""COMPUTED_VALUE"""),355.75)</f>
        <v>355.75</v>
      </c>
    </row>
    <row r="549" ht="15.75" customHeight="1"/>
    <row r="550" ht="15.75" customHeight="1"/>
    <row r="551" ht="15.75" customHeight="1">
      <c r="B551" s="2" t="str">
        <f>IFERROR(__xludf.DUMMYFUNCTION("GOOGLEFINANCE(""NSE:M&amp;M"",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IFERROR(__xludf.DUMMYFUNCTION("""COMPUTED_VALUE"""),349.35)</f>
        <v>349.35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IFERROR(__xludf.DUMMYFUNCTION("""COMPUTED_VALUE"""),354.83)</f>
        <v>354.83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IFERROR(__xludf.DUMMYFUNCTION("""COMPUTED_VALUE"""),352.45)</f>
        <v>352.45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IFERROR(__xludf.DUMMYFUNCTION("""COMPUTED_VALUE"""),358.88)</f>
        <v>358.88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IFERROR(__xludf.DUMMYFUNCTION("""COMPUTED_VALUE"""),361.98)</f>
        <v>361.98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IFERROR(__xludf.DUMMYFUNCTION("""COMPUTED_VALUE"""),376.35)</f>
        <v>376.35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IFERROR(__xludf.DUMMYFUNCTION("""COMPUTED_VALUE"""),384.65)</f>
        <v>384.65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IFERROR(__xludf.DUMMYFUNCTION("""COMPUTED_VALUE"""),345.95)</f>
        <v>345.95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IFERROR(__xludf.DUMMYFUNCTION("""COMPUTED_VALUE"""),348.8)</f>
        <v>348.8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IFERROR(__xludf.DUMMYFUNCTION("""COMPUTED_VALUE"""),352.8)</f>
        <v>352.8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IFERROR(__xludf.DUMMYFUNCTION("""COMPUTED_VALUE"""),352.5)</f>
        <v>352.5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IFERROR(__xludf.DUMMYFUNCTION("""COMPUTED_VALUE"""),357.65)</f>
        <v>357.65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IFERROR(__xludf.DUMMYFUNCTION("""COMPUTED_VALUE"""),355.38)</f>
        <v>355.38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IFERROR(__xludf.DUMMYFUNCTION("""COMPUTED_VALUE"""),364.67)</f>
        <v>364.67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IFERROR(__xludf.DUMMYFUNCTION("""COMPUTED_VALUE"""),360.83)</f>
        <v>360.83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IFERROR(__xludf.DUMMYFUNCTION("""COMPUTED_VALUE"""),349.5)</f>
        <v>349.5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IFERROR(__xludf.DUMMYFUNCTION("""COMPUTED_VALUE"""),334.95)</f>
        <v>334.95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IFERROR(__xludf.DUMMYFUNCTION("""COMPUTED_VALUE"""),328.4)</f>
        <v>328.4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IFERROR(__xludf.DUMMYFUNCTION("""COMPUTED_VALUE"""),331.4)</f>
        <v>331.4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IFERROR(__xludf.DUMMYFUNCTION("""COMPUTED_VALUE"""),347.0)</f>
        <v>347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IFERROR(__xludf.DUMMYFUNCTION("""COMPUTED_VALUE"""),350.45)</f>
        <v>350.45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IFERROR(__xludf.DUMMYFUNCTION("""COMPUTED_VALUE"""),354.95)</f>
        <v>354.95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IFERROR(__xludf.DUMMYFUNCTION("""COMPUTED_VALUE"""),356.4)</f>
        <v>356.4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IFERROR(__xludf.DUMMYFUNCTION("""COMPUTED_VALUE"""),366.75)</f>
        <v>366.75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IFERROR(__xludf.DUMMYFUNCTION("""COMPUTED_VALUE"""),369.48)</f>
        <v>369.48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IFERROR(__xludf.DUMMYFUNCTION("""COMPUTED_VALUE"""),364.0)</f>
        <v>364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IFERROR(__xludf.DUMMYFUNCTION("""COMPUTED_VALUE"""),353.0)</f>
        <v>353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IFERROR(__xludf.DUMMYFUNCTION("""COMPUTED_VALUE"""),356.0)</f>
        <v>356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IFERROR(__xludf.DUMMYFUNCTION("""COMPUTED_VALUE"""),376.2)</f>
        <v>376.2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IFERROR(__xludf.DUMMYFUNCTION("""COMPUTED_VALUE"""),389.25)</f>
        <v>389.25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IFERROR(__xludf.DUMMYFUNCTION("""COMPUTED_VALUE"""),395.75)</f>
        <v>395.75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IFERROR(__xludf.DUMMYFUNCTION("""COMPUTED_VALUE"""),391.23)</f>
        <v>391.23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IFERROR(__xludf.DUMMYFUNCTION("""COMPUTED_VALUE"""),393.8)</f>
        <v>393.8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IFERROR(__xludf.DUMMYFUNCTION("""COMPUTED_VALUE"""),411.9)</f>
        <v>411.9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IFERROR(__xludf.DUMMYFUNCTION("""COMPUTED_VALUE"""),436.25)</f>
        <v>436.25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IFERROR(__xludf.DUMMYFUNCTION("""COMPUTED_VALUE"""),440.0)</f>
        <v>440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IFERROR(__xludf.DUMMYFUNCTION("""COMPUTED_VALUE"""),437.78)</f>
        <v>437.78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IFERROR(__xludf.DUMMYFUNCTION("""COMPUTED_VALUE"""),432.85)</f>
        <v>432.85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IFERROR(__xludf.DUMMYFUNCTION("""COMPUTED_VALUE"""),442.4)</f>
        <v>442.4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IFERROR(__xludf.DUMMYFUNCTION("""COMPUTED_VALUE"""),460.5)</f>
        <v>460.5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IFERROR(__xludf.DUMMYFUNCTION("""COMPUTED_VALUE"""),464.0)</f>
        <v>464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IFERROR(__xludf.DUMMYFUNCTION("""COMPUTED_VALUE"""),458.8)</f>
        <v>458.8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IFERROR(__xludf.DUMMYFUNCTION("""COMPUTED_VALUE"""),479.5)</f>
        <v>479.5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IFERROR(__xludf.DUMMYFUNCTION("""COMPUTED_VALUE"""),480.33)</f>
        <v>480.33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IFERROR(__xludf.DUMMYFUNCTION("""COMPUTED_VALUE"""),482.75)</f>
        <v>482.75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IFERROR(__xludf.DUMMYFUNCTION("""COMPUTED_VALUE"""),478.4)</f>
        <v>478.4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IFERROR(__xludf.DUMMYFUNCTION("""COMPUTED_VALUE"""),488.0)</f>
        <v>488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IFERROR(__xludf.DUMMYFUNCTION("""COMPUTED_VALUE"""),475.85)</f>
        <v>475.85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IFERROR(__xludf.DUMMYFUNCTION("GOOGLEFINANCE(""NSE:M&amp;M"",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IFERROR(__xludf.DUMMYFUNCTION("""COMPUTED_VALUE"""),473.92)</f>
        <v>473.92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IFERROR(__xludf.DUMMYFUNCTION("""COMPUTED_VALUE"""),487.4)</f>
        <v>487.4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IFERROR(__xludf.DUMMYFUNCTION("""COMPUTED_VALUE"""),474.25)</f>
        <v>474.25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IFERROR(__xludf.DUMMYFUNCTION("""COMPUTED_VALUE"""),452.2)</f>
        <v>452.2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IFERROR(__xludf.DUMMYFUNCTION("""COMPUTED_VALUE"""),459.4)</f>
        <v>459.4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IFERROR(__xludf.DUMMYFUNCTION("""COMPUTED_VALUE"""),453.25)</f>
        <v>453.25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IFERROR(__xludf.DUMMYFUNCTION("""COMPUTED_VALUE"""),452.5)</f>
        <v>452.5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IFERROR(__xludf.DUMMYFUNCTION("""COMPUTED_VALUE"""),455.42)</f>
        <v>455.42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IFERROR(__xludf.DUMMYFUNCTION("""COMPUTED_VALUE"""),451.5)</f>
        <v>451.5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IFERROR(__xludf.DUMMYFUNCTION("""COMPUTED_VALUE"""),454.55)</f>
        <v>454.55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IFERROR(__xludf.DUMMYFUNCTION("""COMPUTED_VALUE"""),466.15)</f>
        <v>466.15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IFERROR(__xludf.DUMMYFUNCTION("""COMPUTED_VALUE"""),463.3)</f>
        <v>463.3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IFERROR(__xludf.DUMMYFUNCTION("""COMPUTED_VALUE"""),440.0)</f>
        <v>440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IFERROR(__xludf.DUMMYFUNCTION("""COMPUTED_VALUE"""),433.4)</f>
        <v>433.4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IFERROR(__xludf.DUMMYFUNCTION("""COMPUTED_VALUE"""),425.92)</f>
        <v>425.92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IFERROR(__xludf.DUMMYFUNCTION("""COMPUTED_VALUE"""),456.73)</f>
        <v>456.73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IFERROR(__xludf.DUMMYFUNCTION("""COMPUTED_VALUE"""),459.5)</f>
        <v>459.5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IFERROR(__xludf.DUMMYFUNCTION("""COMPUTED_VALUE"""),486.85)</f>
        <v>486.85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IFERROR(__xludf.DUMMYFUNCTION("""COMPUTED_VALUE"""),498.5)</f>
        <v>498.5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IFERROR(__xludf.DUMMYFUNCTION("""COMPUTED_VALUE"""),513.0)</f>
        <v>513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IFERROR(__xludf.DUMMYFUNCTION("""COMPUTED_VALUE"""),504.43)</f>
        <v>504.43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IFERROR(__xludf.DUMMYFUNCTION("""COMPUTED_VALUE"""),499.5)</f>
        <v>499.5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IFERROR(__xludf.DUMMYFUNCTION("""COMPUTED_VALUE"""),492.35)</f>
        <v>492.35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IFERROR(__xludf.DUMMYFUNCTION("""COMPUTED_VALUE"""),500.38)</f>
        <v>500.38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IFERROR(__xludf.DUMMYFUNCTION("""COMPUTED_VALUE"""),487.98)</f>
        <v>487.98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IFERROR(__xludf.DUMMYFUNCTION("""COMPUTED_VALUE"""),497.15)</f>
        <v>497.15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IFERROR(__xludf.DUMMYFUNCTION("""COMPUTED_VALUE"""),481.85)</f>
        <v>481.85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IFERROR(__xludf.DUMMYFUNCTION("""COMPUTED_VALUE"""),467.33)</f>
        <v>467.33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IFERROR(__xludf.DUMMYFUNCTION("""COMPUTED_VALUE"""),462.95)</f>
        <v>462.95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IFERROR(__xludf.DUMMYFUNCTION("""COMPUTED_VALUE"""),461.58)</f>
        <v>461.58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IFERROR(__xludf.DUMMYFUNCTION("""COMPUTED_VALUE"""),439.95)</f>
        <v>439.95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IFERROR(__xludf.DUMMYFUNCTION("""COMPUTED_VALUE"""),449.2)</f>
        <v>449.2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IFERROR(__xludf.DUMMYFUNCTION("""COMPUTED_VALUE"""),422.5)</f>
        <v>422.5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IFERROR(__xludf.DUMMYFUNCTION("""COMPUTED_VALUE"""),410.88)</f>
        <v>410.88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IFERROR(__xludf.DUMMYFUNCTION("""COMPUTED_VALUE"""),399.13)</f>
        <v>399.13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IFERROR(__xludf.DUMMYFUNCTION("""COMPUTED_VALUE"""),417.95)</f>
        <v>417.95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IFERROR(__xludf.DUMMYFUNCTION("""COMPUTED_VALUE"""),446.0)</f>
        <v>446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IFERROR(__xludf.DUMMYFUNCTION("""COMPUTED_VALUE"""),441.0)</f>
        <v>441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IFERROR(__xludf.DUMMYFUNCTION("""COMPUTED_VALUE"""),435.7)</f>
        <v>435.7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IFERROR(__xludf.DUMMYFUNCTION("""COMPUTED_VALUE"""),443.75)</f>
        <v>443.75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IFERROR(__xludf.DUMMYFUNCTION("""COMPUTED_VALUE"""),444.0)</f>
        <v>444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IFERROR(__xludf.DUMMYFUNCTION("""COMPUTED_VALUE"""),447.5)</f>
        <v>447.5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IFERROR(__xludf.DUMMYFUNCTION("""COMPUTED_VALUE"""),464.0)</f>
        <v>464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IFERROR(__xludf.DUMMYFUNCTION("""COMPUTED_VALUE"""),466.15)</f>
        <v>466.15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IFERROR(__xludf.DUMMYFUNCTION("""COMPUTED_VALUE"""),464.48)</f>
        <v>464.48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IFERROR(__xludf.DUMMYFUNCTION("""COMPUTED_VALUE"""),479.33)</f>
        <v>479.33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IFERROR(__xludf.DUMMYFUNCTION("""COMPUTED_VALUE"""),482.55)</f>
        <v>482.55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IFERROR(__xludf.DUMMYFUNCTION("""COMPUTED_VALUE"""),481.73)</f>
        <v>481.73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IFERROR(__xludf.DUMMYFUNCTION("""COMPUTED_VALUE"""),488.85)</f>
        <v>488.85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IFERROR(__xludf.DUMMYFUNCTION("""COMPUTED_VALUE"""),486.0)</f>
        <v>486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IFERROR(__xludf.DUMMYFUNCTION("""COMPUTED_VALUE"""),489.55)</f>
        <v>489.55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IFERROR(__xludf.DUMMYFUNCTION("GOOGLEFINANCE(""NSE:M&amp;M"",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IFERROR(__xludf.DUMMYFUNCTION("""COMPUTED_VALUE"""),486.3)</f>
        <v>486.3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IFERROR(__xludf.DUMMYFUNCTION("""COMPUTED_VALUE"""),458.73)</f>
        <v>458.73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IFERROR(__xludf.DUMMYFUNCTION("""COMPUTED_VALUE"""),453.5)</f>
        <v>453.5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IFERROR(__xludf.DUMMYFUNCTION("""COMPUTED_VALUE"""),460.88)</f>
        <v>460.88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IFERROR(__xludf.DUMMYFUNCTION("""COMPUTED_VALUE"""),449.3)</f>
        <v>449.3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IFERROR(__xludf.DUMMYFUNCTION("""COMPUTED_VALUE"""),451.5)</f>
        <v>451.5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IFERROR(__xludf.DUMMYFUNCTION("""COMPUTED_VALUE"""),456.85)</f>
        <v>456.85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IFERROR(__xludf.DUMMYFUNCTION("""COMPUTED_VALUE"""),470.8)</f>
        <v>470.8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IFERROR(__xludf.DUMMYFUNCTION("""COMPUTED_VALUE"""),489.45)</f>
        <v>489.45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IFERROR(__xludf.DUMMYFUNCTION("""COMPUTED_VALUE"""),495.98)</f>
        <v>495.98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IFERROR(__xludf.DUMMYFUNCTION("""COMPUTED_VALUE"""),517.75)</f>
        <v>517.75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IFERROR(__xludf.DUMMYFUNCTION("""COMPUTED_VALUE"""),497.5)</f>
        <v>497.5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IFERROR(__xludf.DUMMYFUNCTION("""COMPUTED_VALUE"""),505.5)</f>
        <v>505.5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IFERROR(__xludf.DUMMYFUNCTION("""COMPUTED_VALUE"""),513.8)</f>
        <v>513.8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IFERROR(__xludf.DUMMYFUNCTION("""COMPUTED_VALUE"""),502.85)</f>
        <v>502.85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IFERROR(__xludf.DUMMYFUNCTION("""COMPUTED_VALUE"""),540.45)</f>
        <v>540.45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IFERROR(__xludf.DUMMYFUNCTION("""COMPUTED_VALUE"""),545.98)</f>
        <v>545.98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IFERROR(__xludf.DUMMYFUNCTION("""COMPUTED_VALUE"""),555.0)</f>
        <v>555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IFERROR(__xludf.DUMMYFUNCTION("""COMPUTED_VALUE"""),591.95)</f>
        <v>591.95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IFERROR(__xludf.DUMMYFUNCTION("""COMPUTED_VALUE"""),586.0)</f>
        <v>586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IFERROR(__xludf.DUMMYFUNCTION("""COMPUTED_VALUE"""),639.35)</f>
        <v>639.35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IFERROR(__xludf.DUMMYFUNCTION("""COMPUTED_VALUE"""),634.75)</f>
        <v>634.75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IFERROR(__xludf.DUMMYFUNCTION("""COMPUTED_VALUE"""),627.5)</f>
        <v>627.5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IFERROR(__xludf.DUMMYFUNCTION("""COMPUTED_VALUE"""),614.35)</f>
        <v>614.35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IFERROR(__xludf.DUMMYFUNCTION("""COMPUTED_VALUE"""),597.83)</f>
        <v>597.83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IFERROR(__xludf.DUMMYFUNCTION("""COMPUTED_VALUE"""),623.5)</f>
        <v>623.5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IFERROR(__xludf.DUMMYFUNCTION("""COMPUTED_VALUE"""),626.08)</f>
        <v>626.08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IFERROR(__xludf.DUMMYFUNCTION("""COMPUTED_VALUE"""),612.8)</f>
        <v>612.8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IFERROR(__xludf.DUMMYFUNCTION("""COMPUTED_VALUE"""),611.0)</f>
        <v>611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IFERROR(__xludf.DUMMYFUNCTION("""COMPUTED_VALUE"""),612.5)</f>
        <v>612.5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IFERROR(__xludf.DUMMYFUNCTION("""COMPUTED_VALUE"""),629.5)</f>
        <v>629.5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IFERROR(__xludf.DUMMYFUNCTION("""COMPUTED_VALUE"""),667.5)</f>
        <v>667.5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IFERROR(__xludf.DUMMYFUNCTION("""COMPUTED_VALUE"""),699.0)</f>
        <v>699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IFERROR(__xludf.DUMMYFUNCTION("""COMPUTED_VALUE"""),716.85)</f>
        <v>716.85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IFERROR(__xludf.DUMMYFUNCTION("""COMPUTED_VALUE"""),711.2)</f>
        <v>711.2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IFERROR(__xludf.DUMMYFUNCTION("""COMPUTED_VALUE"""),709.95)</f>
        <v>709.95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IFERROR(__xludf.DUMMYFUNCTION("""COMPUTED_VALUE"""),701.0)</f>
        <v>701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IFERROR(__xludf.DUMMYFUNCTION("""COMPUTED_VALUE"""),699.98)</f>
        <v>699.98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IFERROR(__xludf.DUMMYFUNCTION("""COMPUTED_VALUE"""),699.0)</f>
        <v>699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IFERROR(__xludf.DUMMYFUNCTION("""COMPUTED_VALUE"""),699.95)</f>
        <v>699.95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IFERROR(__xludf.DUMMYFUNCTION("""COMPUTED_VALUE"""),659.25)</f>
        <v>659.25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IFERROR(__xludf.DUMMYFUNCTION("""COMPUTED_VALUE"""),640.4)</f>
        <v>640.4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IFERROR(__xludf.DUMMYFUNCTION("""COMPUTED_VALUE"""),661.5)</f>
        <v>661.5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IFERROR(__xludf.DUMMYFUNCTION("""COMPUTED_VALUE"""),653.0)</f>
        <v>653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IFERROR(__xludf.DUMMYFUNCTION("""COMPUTED_VALUE"""),636.2)</f>
        <v>636.2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IFERROR(__xludf.DUMMYFUNCTION("""COMPUTED_VALUE"""),635.73)</f>
        <v>635.73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IFERROR(__xludf.DUMMYFUNCTION("""COMPUTED_VALUE"""),663.95)</f>
        <v>663.95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IFERROR(__xludf.DUMMYFUNCTION("""COMPUTED_VALUE"""),669.0)</f>
        <v>669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IFERROR(__xludf.DUMMYFUNCTION("""COMPUTED_VALUE"""),652.5)</f>
        <v>652.5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IFERROR(__xludf.DUMMYFUNCTION("""COMPUTED_VALUE"""),630.0)</f>
        <v>630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IFERROR(__xludf.DUMMYFUNCTION("""COMPUTED_VALUE"""),641.9)</f>
        <v>641.9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IFERROR(__xludf.DUMMYFUNCTION("GOOGLEFINANCE(""NSE:M&amp;M"",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IFERROR(__xludf.DUMMYFUNCTION("""COMPUTED_VALUE"""),635.67)</f>
        <v>635.67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IFERROR(__xludf.DUMMYFUNCTION("""COMPUTED_VALUE"""),624.0)</f>
        <v>624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IFERROR(__xludf.DUMMYFUNCTION("""COMPUTED_VALUE"""),656.43)</f>
        <v>656.43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IFERROR(__xludf.DUMMYFUNCTION("""COMPUTED_VALUE"""),687.83)</f>
        <v>687.83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IFERROR(__xludf.DUMMYFUNCTION("""COMPUTED_VALUE"""),680.0)</f>
        <v>680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IFERROR(__xludf.DUMMYFUNCTION("""COMPUTED_VALUE"""),642.48)</f>
        <v>642.48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IFERROR(__xludf.DUMMYFUNCTION("""COMPUTED_VALUE"""),599.5)</f>
        <v>599.5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IFERROR(__xludf.DUMMYFUNCTION("""COMPUTED_VALUE"""),632.73)</f>
        <v>632.73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IFERROR(__xludf.DUMMYFUNCTION("""COMPUTED_VALUE"""),654.4)</f>
        <v>654.4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IFERROR(__xludf.DUMMYFUNCTION("""COMPUTED_VALUE"""),632.75)</f>
        <v>632.75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IFERROR(__xludf.DUMMYFUNCTION("""COMPUTED_VALUE"""),619.13)</f>
        <v>619.13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IFERROR(__xludf.DUMMYFUNCTION("""COMPUTED_VALUE"""),611.67)</f>
        <v>611.67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IFERROR(__xludf.DUMMYFUNCTION("""COMPUTED_VALUE"""),606.2)</f>
        <v>606.2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IFERROR(__xludf.DUMMYFUNCTION("""COMPUTED_VALUE"""),645.0)</f>
        <v>645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IFERROR(__xludf.DUMMYFUNCTION("""COMPUTED_VALUE"""),641.45)</f>
        <v>641.45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IFERROR(__xludf.DUMMYFUNCTION("""COMPUTED_VALUE"""),612.25)</f>
        <v>612.25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IFERROR(__xludf.DUMMYFUNCTION("""COMPUTED_VALUE"""),596.0)</f>
        <v>596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IFERROR(__xludf.DUMMYFUNCTION("""COMPUTED_VALUE"""),604.48)</f>
        <v>604.48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IFERROR(__xludf.DUMMYFUNCTION("""COMPUTED_VALUE"""),628.1)</f>
        <v>628.1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IFERROR(__xludf.DUMMYFUNCTION("""COMPUTED_VALUE"""),638.5)</f>
        <v>638.5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IFERROR(__xludf.DUMMYFUNCTION("""COMPUTED_VALUE"""),636.73)</f>
        <v>636.73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IFERROR(__xludf.DUMMYFUNCTION("""COMPUTED_VALUE"""),635.0)</f>
        <v>635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IFERROR(__xludf.DUMMYFUNCTION("""COMPUTED_VALUE"""),615.0)</f>
        <v>615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IFERROR(__xludf.DUMMYFUNCTION("""COMPUTED_VALUE"""),662.35)</f>
        <v>662.35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IFERROR(__xludf.DUMMYFUNCTION("""COMPUTED_VALUE"""),670.95)</f>
        <v>670.95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IFERROR(__xludf.DUMMYFUNCTION("""COMPUTED_VALUE"""),664.95)</f>
        <v>664.95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IFERROR(__xludf.DUMMYFUNCTION("""COMPUTED_VALUE"""),667.0)</f>
        <v>667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IFERROR(__xludf.DUMMYFUNCTION("""COMPUTED_VALUE"""),650.85)</f>
        <v>650.85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IFERROR(__xludf.DUMMYFUNCTION("""COMPUTED_VALUE"""),684.0)</f>
        <v>684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IFERROR(__xludf.DUMMYFUNCTION("""COMPUTED_VALUE"""),691.0)</f>
        <v>691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IFERROR(__xludf.DUMMYFUNCTION("""COMPUTED_VALUE"""),721.03)</f>
        <v>721.03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IFERROR(__xludf.DUMMYFUNCTION("""COMPUTED_VALUE"""),697.48)</f>
        <v>697.48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IFERROR(__xludf.DUMMYFUNCTION("""COMPUTED_VALUE"""),692.35)</f>
        <v>692.35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IFERROR(__xludf.DUMMYFUNCTION("""COMPUTED_VALUE"""),649.0)</f>
        <v>649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IFERROR(__xludf.DUMMYFUNCTION("""COMPUTED_VALUE"""),621.0)</f>
        <v>621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IFERROR(__xludf.DUMMYFUNCTION("""COMPUTED_VALUE"""),597.45)</f>
        <v>597.45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IFERROR(__xludf.DUMMYFUNCTION("""COMPUTED_VALUE"""),607.45)</f>
        <v>607.45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IFERROR(__xludf.DUMMYFUNCTION("""COMPUTED_VALUE"""),616.5)</f>
        <v>616.5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IFERROR(__xludf.DUMMYFUNCTION("""COMPUTED_VALUE"""),639.55)</f>
        <v>639.55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IFERROR(__xludf.DUMMYFUNCTION("""COMPUTED_VALUE"""),649.48)</f>
        <v>649.48</v>
      </c>
    </row>
    <row r="757" ht="15.75" customHeight="1">
      <c r="B757" s="3">
        <f>IFERROR(__xludf.DUMMYFUNCTION("""COMPUTED_VALUE"""),42300.64583333333)</f>
        <v>42300.64583</v>
      </c>
      <c r="C757" s="2">
        <f>IFERROR(__xludf.DUMMYFUNCTION("""COMPUTED_VALUE"""),649.95)</f>
        <v>649.95</v>
      </c>
    </row>
    <row r="758" ht="15.75" customHeight="1">
      <c r="B758" s="3">
        <f>IFERROR(__xludf.DUMMYFUNCTION("""COMPUTED_VALUE"""),42307.64583333333)</f>
        <v>42307.64583</v>
      </c>
      <c r="C758" s="2">
        <f>IFERROR(__xludf.DUMMYFUNCTION("""COMPUTED_VALUE"""),630.17)</f>
        <v>630.17</v>
      </c>
    </row>
    <row r="759" ht="15.75" customHeight="1">
      <c r="B759" s="3">
        <f>IFERROR(__xludf.DUMMYFUNCTION("""COMPUTED_VALUE"""),42314.64583333333)</f>
        <v>42314.64583</v>
      </c>
      <c r="C759" s="2">
        <f>IFERROR(__xludf.DUMMYFUNCTION("""COMPUTED_VALUE"""),634.88)</f>
        <v>634.88</v>
      </c>
    </row>
    <row r="760" ht="15.75" customHeight="1">
      <c r="B760" s="3">
        <f>IFERROR(__xludf.DUMMYFUNCTION("""COMPUTED_VALUE"""),42321.64583333333)</f>
        <v>42321.64583</v>
      </c>
      <c r="C760" s="2">
        <f>IFERROR(__xludf.DUMMYFUNCTION("""COMPUTED_VALUE"""),634.0)</f>
        <v>634</v>
      </c>
    </row>
    <row r="761" ht="15.75" customHeight="1">
      <c r="B761" s="3">
        <f>IFERROR(__xludf.DUMMYFUNCTION("""COMPUTED_VALUE"""),42328.64583333333)</f>
        <v>42328.64583</v>
      </c>
      <c r="C761" s="2">
        <f>IFERROR(__xludf.DUMMYFUNCTION("""COMPUTED_VALUE"""),662.5)</f>
        <v>662.5</v>
      </c>
    </row>
    <row r="762" ht="15.75" customHeight="1">
      <c r="B762" s="3">
        <f>IFERROR(__xludf.DUMMYFUNCTION("""COMPUTED_VALUE"""),42335.64583333333)</f>
        <v>42335.64583</v>
      </c>
      <c r="C762" s="2">
        <f>IFERROR(__xludf.DUMMYFUNCTION("""COMPUTED_VALUE"""),686.0)</f>
        <v>686</v>
      </c>
    </row>
    <row r="763" ht="15.75" customHeight="1">
      <c r="B763" s="3">
        <f>IFERROR(__xludf.DUMMYFUNCTION("""COMPUTED_VALUE"""),42342.64583333333)</f>
        <v>42342.64583</v>
      </c>
      <c r="C763" s="2">
        <f>IFERROR(__xludf.DUMMYFUNCTION("""COMPUTED_VALUE"""),690.75)</f>
        <v>690.75</v>
      </c>
    </row>
    <row r="764" ht="15.75" customHeight="1">
      <c r="B764" s="3">
        <f>IFERROR(__xludf.DUMMYFUNCTION("""COMPUTED_VALUE"""),42349.64583333333)</f>
        <v>42349.64583</v>
      </c>
      <c r="C764" s="2">
        <f>IFERROR(__xludf.DUMMYFUNCTION("""COMPUTED_VALUE"""),666.43)</f>
        <v>666.43</v>
      </c>
    </row>
    <row r="765" ht="15.75" customHeight="1">
      <c r="B765" s="3">
        <f>IFERROR(__xludf.DUMMYFUNCTION("""COMPUTED_VALUE"""),42356.64583333333)</f>
        <v>42356.64583</v>
      </c>
      <c r="C765" s="2">
        <f>IFERROR(__xludf.DUMMYFUNCTION("""COMPUTED_VALUE"""),652.23)</f>
        <v>652.23</v>
      </c>
    </row>
    <row r="766" ht="15.75" customHeight="1">
      <c r="B766" s="3">
        <f>IFERROR(__xludf.DUMMYFUNCTION("""COMPUTED_VALUE"""),42362.64583333333)</f>
        <v>42362.64583</v>
      </c>
      <c r="C766" s="2">
        <f>IFERROR(__xludf.DUMMYFUNCTION("""COMPUTED_VALUE"""),642.0)</f>
        <v>642</v>
      </c>
    </row>
    <row r="767" ht="15.75" customHeight="1">
      <c r="B767" s="3">
        <f>IFERROR(__xludf.DUMMYFUNCTION("""COMPUTED_VALUE"""),42370.64583333333)</f>
        <v>42370.64583</v>
      </c>
      <c r="C767" s="2">
        <f>IFERROR(__xludf.DUMMYFUNCTION("""COMPUTED_VALUE"""),639.73)</f>
        <v>639.73</v>
      </c>
    </row>
    <row r="768" ht="15.75" customHeight="1"/>
    <row r="769" ht="15.75" customHeight="1"/>
    <row r="770" ht="15.75" customHeight="1"/>
    <row r="771" ht="15.75" customHeight="1">
      <c r="B771" s="2" t="str">
        <f>IFERROR(__xludf.DUMMYFUNCTION("GOOGLEFINANCE(""NSE:M&amp;M"",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IFERROR(__xludf.DUMMYFUNCTION("""COMPUTED_VALUE"""),635.95)</f>
        <v>635.95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IFERROR(__xludf.DUMMYFUNCTION("""COMPUTED_VALUE"""),607.23)</f>
        <v>607.23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IFERROR(__xludf.DUMMYFUNCTION("""COMPUTED_VALUE"""),602.5)</f>
        <v>602.5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IFERROR(__xludf.DUMMYFUNCTION("""COMPUTED_VALUE"""),620.0)</f>
        <v>620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IFERROR(__xludf.DUMMYFUNCTION("""COMPUTED_VALUE"""),620.65)</f>
        <v>620.65</v>
      </c>
    </row>
    <row r="777" ht="15.75" customHeight="1">
      <c r="B777" s="3">
        <f>IFERROR(__xludf.DUMMYFUNCTION("""COMPUTED_VALUE"""),42412.64583333333)</f>
        <v>42412.64583</v>
      </c>
      <c r="C777" s="2">
        <f>IFERROR(__xludf.DUMMYFUNCTION("""COMPUTED_VALUE"""),618.85)</f>
        <v>618.85</v>
      </c>
    </row>
    <row r="778" ht="15.75" customHeight="1">
      <c r="B778" s="3">
        <f>IFERROR(__xludf.DUMMYFUNCTION("""COMPUTED_VALUE"""),42419.64583333333)</f>
        <v>42419.64583</v>
      </c>
      <c r="C778" s="2">
        <f>IFERROR(__xludf.DUMMYFUNCTION("""COMPUTED_VALUE"""),624.4)</f>
        <v>624.4</v>
      </c>
    </row>
    <row r="779" ht="15.75" customHeight="1">
      <c r="B779" s="3">
        <f>IFERROR(__xludf.DUMMYFUNCTION("""COMPUTED_VALUE"""),42426.64583333333)</f>
        <v>42426.64583</v>
      </c>
      <c r="C779" s="2">
        <f>IFERROR(__xludf.DUMMYFUNCTION("""COMPUTED_VALUE"""),624.5)</f>
        <v>624.5</v>
      </c>
    </row>
    <row r="780" ht="15.75" customHeight="1">
      <c r="B780" s="3">
        <f>IFERROR(__xludf.DUMMYFUNCTION("""COMPUTED_VALUE"""),42433.64583333333)</f>
        <v>42433.64583</v>
      </c>
      <c r="C780" s="2">
        <f>IFERROR(__xludf.DUMMYFUNCTION("""COMPUTED_VALUE"""),639.85)</f>
        <v>639.85</v>
      </c>
    </row>
    <row r="781" ht="15.75" customHeight="1">
      <c r="B781" s="3">
        <f>IFERROR(__xludf.DUMMYFUNCTION("""COMPUTED_VALUE"""),42440.64583333333)</f>
        <v>42440.64583</v>
      </c>
      <c r="C781" s="2">
        <f>IFERROR(__xludf.DUMMYFUNCTION("""COMPUTED_VALUE"""),623.7)</f>
        <v>623.7</v>
      </c>
    </row>
    <row r="782" ht="15.75" customHeight="1">
      <c r="B782" s="3">
        <f>IFERROR(__xludf.DUMMYFUNCTION("""COMPUTED_VALUE"""),42447.64583333333)</f>
        <v>42447.64583</v>
      </c>
      <c r="C782" s="2">
        <f>IFERROR(__xludf.DUMMYFUNCTION("""COMPUTED_VALUE"""),617.98)</f>
        <v>617.98</v>
      </c>
    </row>
    <row r="783" ht="15.75" customHeight="1">
      <c r="B783" s="3">
        <f>IFERROR(__xludf.DUMMYFUNCTION("""COMPUTED_VALUE"""),42452.64583333333)</f>
        <v>42452.64583</v>
      </c>
      <c r="C783" s="2">
        <f>IFERROR(__xludf.DUMMYFUNCTION("""COMPUTED_VALUE"""),632.92)</f>
        <v>632.92</v>
      </c>
    </row>
    <row r="784" ht="15.75" customHeight="1">
      <c r="B784" s="3">
        <f>IFERROR(__xludf.DUMMYFUNCTION("""COMPUTED_VALUE"""),42461.64583333333)</f>
        <v>42461.64583</v>
      </c>
      <c r="C784" s="2">
        <f>IFERROR(__xludf.DUMMYFUNCTION("""COMPUTED_VALUE"""),633.0)</f>
        <v>633</v>
      </c>
    </row>
    <row r="785" ht="15.75" customHeight="1">
      <c r="B785" s="3">
        <f>IFERROR(__xludf.DUMMYFUNCTION("""COMPUTED_VALUE"""),42468.64583333333)</f>
        <v>42468.64583</v>
      </c>
      <c r="C785" s="2">
        <f>IFERROR(__xludf.DUMMYFUNCTION("""COMPUTED_VALUE"""),624.7)</f>
        <v>624.7</v>
      </c>
    </row>
    <row r="786" ht="15.75" customHeight="1">
      <c r="B786" s="3">
        <f>IFERROR(__xludf.DUMMYFUNCTION("""COMPUTED_VALUE"""),42473.64583333333)</f>
        <v>42473.64583</v>
      </c>
      <c r="C786" s="2">
        <f>IFERROR(__xludf.DUMMYFUNCTION("""COMPUTED_VALUE"""),674.88)</f>
        <v>674.88</v>
      </c>
    </row>
    <row r="787" ht="15.75" customHeight="1">
      <c r="B787" s="3">
        <f>IFERROR(__xludf.DUMMYFUNCTION("""COMPUTED_VALUE"""),42482.64583333333)</f>
        <v>42482.64583</v>
      </c>
      <c r="C787" s="2">
        <f>IFERROR(__xludf.DUMMYFUNCTION("""COMPUTED_VALUE"""),677.35)</f>
        <v>677.35</v>
      </c>
    </row>
    <row r="788" ht="15.75" customHeight="1">
      <c r="B788" s="3">
        <f>IFERROR(__xludf.DUMMYFUNCTION("""COMPUTED_VALUE"""),42489.64583333333)</f>
        <v>42489.64583</v>
      </c>
      <c r="C788" s="2">
        <f>IFERROR(__xludf.DUMMYFUNCTION("""COMPUTED_VALUE"""),698.5)</f>
        <v>698.5</v>
      </c>
    </row>
    <row r="789" ht="15.75" customHeight="1">
      <c r="B789" s="3">
        <f>IFERROR(__xludf.DUMMYFUNCTION("""COMPUTED_VALUE"""),42496.64583333333)</f>
        <v>42496.64583</v>
      </c>
      <c r="C789" s="2">
        <f>IFERROR(__xludf.DUMMYFUNCTION("""COMPUTED_VALUE"""),676.15)</f>
        <v>676.15</v>
      </c>
    </row>
    <row r="790" ht="15.75" customHeight="1">
      <c r="B790" s="3">
        <f>IFERROR(__xludf.DUMMYFUNCTION("""COMPUTED_VALUE"""),42503.64583333333)</f>
        <v>42503.64583</v>
      </c>
      <c r="C790" s="2">
        <f>IFERROR(__xludf.DUMMYFUNCTION("""COMPUTED_VALUE"""),681.6)</f>
        <v>681.6</v>
      </c>
    </row>
    <row r="791" ht="15.75" customHeight="1">
      <c r="B791" s="3">
        <f>IFERROR(__xludf.DUMMYFUNCTION("""COMPUTED_VALUE"""),42510.64583333333)</f>
        <v>42510.64583</v>
      </c>
      <c r="C791" s="2">
        <f>IFERROR(__xludf.DUMMYFUNCTION("""COMPUTED_VALUE"""),675.7)</f>
        <v>675.7</v>
      </c>
    </row>
    <row r="792" ht="15.75" customHeight="1">
      <c r="B792" s="3">
        <f>IFERROR(__xludf.DUMMYFUNCTION("""COMPUTED_VALUE"""),42517.64583333333)</f>
        <v>42517.64583</v>
      </c>
      <c r="C792" s="2">
        <f>IFERROR(__xludf.DUMMYFUNCTION("""COMPUTED_VALUE"""),681.0)</f>
        <v>681</v>
      </c>
    </row>
    <row r="793" ht="15.75" customHeight="1">
      <c r="B793" s="3">
        <f>IFERROR(__xludf.DUMMYFUNCTION("""COMPUTED_VALUE"""),42524.64583333333)</f>
        <v>42524.64583</v>
      </c>
      <c r="C793" s="2">
        <f>IFERROR(__xludf.DUMMYFUNCTION("""COMPUTED_VALUE"""),679.3)</f>
        <v>679.3</v>
      </c>
    </row>
    <row r="794" ht="15.75" customHeight="1">
      <c r="B794" s="3">
        <f>IFERROR(__xludf.DUMMYFUNCTION("""COMPUTED_VALUE"""),42531.64583333333)</f>
        <v>42531.64583</v>
      </c>
      <c r="C794" s="2">
        <f>IFERROR(__xludf.DUMMYFUNCTION("""COMPUTED_VALUE"""),702.45)</f>
        <v>702.45</v>
      </c>
    </row>
    <row r="795" ht="15.75" customHeight="1">
      <c r="B795" s="3">
        <f>IFERROR(__xludf.DUMMYFUNCTION("""COMPUTED_VALUE"""),42538.64583333333)</f>
        <v>42538.64583</v>
      </c>
      <c r="C795" s="2">
        <f>IFERROR(__xludf.DUMMYFUNCTION("""COMPUTED_VALUE"""),688.25)</f>
        <v>688.25</v>
      </c>
    </row>
    <row r="796" ht="15.75" customHeight="1">
      <c r="B796" s="3">
        <f>IFERROR(__xludf.DUMMYFUNCTION("""COMPUTED_VALUE"""),42545.64583333333)</f>
        <v>42545.64583</v>
      </c>
      <c r="C796" s="2">
        <f>IFERROR(__xludf.DUMMYFUNCTION("""COMPUTED_VALUE"""),698.9)</f>
        <v>698.9</v>
      </c>
    </row>
    <row r="797" ht="15.75" customHeight="1">
      <c r="B797" s="3">
        <f>IFERROR(__xludf.DUMMYFUNCTION("""COMPUTED_VALUE"""),42552.64583333333)</f>
        <v>42552.64583</v>
      </c>
      <c r="C797" s="2">
        <f>IFERROR(__xludf.DUMMYFUNCTION("""COMPUTED_VALUE"""),737.45)</f>
        <v>737.45</v>
      </c>
    </row>
    <row r="798" ht="15.75" customHeight="1">
      <c r="B798" s="3">
        <f>IFERROR(__xludf.DUMMYFUNCTION("""COMPUTED_VALUE"""),42559.64583333333)</f>
        <v>42559.64583</v>
      </c>
      <c r="C798" s="2">
        <f>IFERROR(__xludf.DUMMYFUNCTION("""COMPUTED_VALUE"""),742.0)</f>
        <v>742</v>
      </c>
    </row>
    <row r="799" ht="15.75" customHeight="1">
      <c r="B799" s="3">
        <f>IFERROR(__xludf.DUMMYFUNCTION("""COMPUTED_VALUE"""),42566.64583333333)</f>
        <v>42566.64583</v>
      </c>
      <c r="C799" s="2">
        <f>IFERROR(__xludf.DUMMYFUNCTION("""COMPUTED_VALUE"""),742.6)</f>
        <v>742.6</v>
      </c>
    </row>
    <row r="800" ht="15.75" customHeight="1">
      <c r="B800" s="3">
        <f>IFERROR(__xludf.DUMMYFUNCTION("""COMPUTED_VALUE"""),42573.64583333333)</f>
        <v>42573.64583</v>
      </c>
      <c r="C800" s="2">
        <f>IFERROR(__xludf.DUMMYFUNCTION("""COMPUTED_VALUE"""),740.85)</f>
        <v>740.85</v>
      </c>
    </row>
    <row r="801" ht="15.75" customHeight="1">
      <c r="B801" s="3">
        <f>IFERROR(__xludf.DUMMYFUNCTION("""COMPUTED_VALUE"""),42580.64583333333)</f>
        <v>42580.64583</v>
      </c>
      <c r="C801" s="2">
        <f>IFERROR(__xludf.DUMMYFUNCTION("""COMPUTED_VALUE"""),739.95)</f>
        <v>739.95</v>
      </c>
    </row>
    <row r="802" ht="15.75" customHeight="1">
      <c r="B802" s="3">
        <f>IFERROR(__xludf.DUMMYFUNCTION("""COMPUTED_VALUE"""),42587.64583333333)</f>
        <v>42587.64583</v>
      </c>
      <c r="C802" s="2">
        <f>IFERROR(__xludf.DUMMYFUNCTION("""COMPUTED_VALUE"""),746.88)</f>
        <v>746.88</v>
      </c>
    </row>
    <row r="803" ht="15.75" customHeight="1">
      <c r="B803" s="3">
        <f>IFERROR(__xludf.DUMMYFUNCTION("""COMPUTED_VALUE"""),42594.64583333333)</f>
        <v>42594.64583</v>
      </c>
      <c r="C803" s="2">
        <f>IFERROR(__xludf.DUMMYFUNCTION("""COMPUTED_VALUE"""),754.48)</f>
        <v>754.48</v>
      </c>
    </row>
    <row r="804" ht="15.75" customHeight="1">
      <c r="B804" s="3">
        <f>IFERROR(__xludf.DUMMYFUNCTION("""COMPUTED_VALUE"""),42601.64583333333)</f>
        <v>42601.64583</v>
      </c>
      <c r="C804" s="2">
        <f>IFERROR(__xludf.DUMMYFUNCTION("""COMPUTED_VALUE"""),734.2)</f>
        <v>734.2</v>
      </c>
    </row>
    <row r="805" ht="15.75" customHeight="1">
      <c r="B805" s="3">
        <f>IFERROR(__xludf.DUMMYFUNCTION("""COMPUTED_VALUE"""),42608.64583333333)</f>
        <v>42608.64583</v>
      </c>
      <c r="C805" s="2">
        <f>IFERROR(__xludf.DUMMYFUNCTION("""COMPUTED_VALUE"""),730.98)</f>
        <v>730.98</v>
      </c>
    </row>
    <row r="806" ht="15.75" customHeight="1">
      <c r="B806" s="3">
        <f>IFERROR(__xludf.DUMMYFUNCTION("""COMPUTED_VALUE"""),42615.64583333333)</f>
        <v>42615.64583</v>
      </c>
      <c r="C806" s="2">
        <f>IFERROR(__xludf.DUMMYFUNCTION("""COMPUTED_VALUE"""),738.0)</f>
        <v>738</v>
      </c>
    </row>
    <row r="807" ht="15.75" customHeight="1">
      <c r="B807" s="3">
        <f>IFERROR(__xludf.DUMMYFUNCTION("""COMPUTED_VALUE"""),42622.64583333333)</f>
        <v>42622.64583</v>
      </c>
      <c r="C807" s="2">
        <f>IFERROR(__xludf.DUMMYFUNCTION("""COMPUTED_VALUE"""),750.0)</f>
        <v>750</v>
      </c>
    </row>
    <row r="808" ht="15.75" customHeight="1">
      <c r="B808" s="3">
        <f>IFERROR(__xludf.DUMMYFUNCTION("""COMPUTED_VALUE"""),42629.64583333333)</f>
        <v>42629.64583</v>
      </c>
      <c r="C808" s="2">
        <f>IFERROR(__xludf.DUMMYFUNCTION("""COMPUTED_VALUE"""),729.0)</f>
        <v>729</v>
      </c>
    </row>
    <row r="809" ht="15.75" customHeight="1">
      <c r="B809" s="3">
        <f>IFERROR(__xludf.DUMMYFUNCTION("""COMPUTED_VALUE"""),42636.64583333333)</f>
        <v>42636.64583</v>
      </c>
      <c r="C809" s="2">
        <f>IFERROR(__xludf.DUMMYFUNCTION("""COMPUTED_VALUE"""),714.75)</f>
        <v>714.75</v>
      </c>
    </row>
    <row r="810" ht="15.75" customHeight="1">
      <c r="B810" s="3">
        <f>IFERROR(__xludf.DUMMYFUNCTION("""COMPUTED_VALUE"""),42643.64583333333)</f>
        <v>42643.64583</v>
      </c>
      <c r="C810" s="2">
        <f>IFERROR(__xludf.DUMMYFUNCTION("""COMPUTED_VALUE"""),707.98)</f>
        <v>707.98</v>
      </c>
    </row>
    <row r="811" ht="15.75" customHeight="1">
      <c r="B811" s="3">
        <f>IFERROR(__xludf.DUMMYFUNCTION("""COMPUTED_VALUE"""),42650.64583333333)</f>
        <v>42650.64583</v>
      </c>
      <c r="C811" s="2">
        <f>IFERROR(__xludf.DUMMYFUNCTION("""COMPUTED_VALUE"""),727.38)</f>
        <v>727.38</v>
      </c>
    </row>
    <row r="812" ht="15.75" customHeight="1">
      <c r="B812" s="3">
        <f>IFERROR(__xludf.DUMMYFUNCTION("""COMPUTED_VALUE"""),42657.64583333333)</f>
        <v>42657.64583</v>
      </c>
      <c r="C812" s="2">
        <f>IFERROR(__xludf.DUMMYFUNCTION("""COMPUTED_VALUE"""),694.0)</f>
        <v>694</v>
      </c>
    </row>
    <row r="813" ht="15.75" customHeight="1">
      <c r="B813" s="3">
        <f>IFERROR(__xludf.DUMMYFUNCTION("""COMPUTED_VALUE"""),42664.64583333333)</f>
        <v>42664.64583</v>
      </c>
      <c r="C813" s="2">
        <f>IFERROR(__xludf.DUMMYFUNCTION("""COMPUTED_VALUE"""),680.2)</f>
        <v>680.2</v>
      </c>
    </row>
    <row r="814" ht="15.75" customHeight="1">
      <c r="B814" s="3">
        <f>IFERROR(__xludf.DUMMYFUNCTION("""COMPUTED_VALUE"""),42671.64583333333)</f>
        <v>42671.64583</v>
      </c>
      <c r="C814" s="2">
        <f>IFERROR(__xludf.DUMMYFUNCTION("""COMPUTED_VALUE"""),671.6)</f>
        <v>671.6</v>
      </c>
    </row>
    <row r="815" ht="15.75" customHeight="1">
      <c r="B815" s="3">
        <f>IFERROR(__xludf.DUMMYFUNCTION("""COMPUTED_VALUE"""),42678.64583333333)</f>
        <v>42678.64583</v>
      </c>
      <c r="C815" s="2">
        <f>IFERROR(__xludf.DUMMYFUNCTION("""COMPUTED_VALUE"""),696.0)</f>
        <v>696</v>
      </c>
    </row>
    <row r="816" ht="15.75" customHeight="1">
      <c r="B816" s="3">
        <f>IFERROR(__xludf.DUMMYFUNCTION("""COMPUTED_VALUE"""),42685.64583333333)</f>
        <v>42685.64583</v>
      </c>
      <c r="C816" s="2">
        <f>IFERROR(__xludf.DUMMYFUNCTION("""COMPUTED_VALUE"""),696.68)</f>
        <v>696.68</v>
      </c>
    </row>
    <row r="817" ht="15.75" customHeight="1">
      <c r="B817" s="3">
        <f>IFERROR(__xludf.DUMMYFUNCTION("""COMPUTED_VALUE"""),42692.64583333333)</f>
        <v>42692.64583</v>
      </c>
      <c r="C817" s="2">
        <f>IFERROR(__xludf.DUMMYFUNCTION("""COMPUTED_VALUE"""),639.17)</f>
        <v>639.17</v>
      </c>
    </row>
    <row r="818" ht="15.75" customHeight="1">
      <c r="B818" s="3">
        <f>IFERROR(__xludf.DUMMYFUNCTION("""COMPUTED_VALUE"""),42699.64583333333)</f>
        <v>42699.64583</v>
      </c>
      <c r="C818" s="2">
        <f>IFERROR(__xludf.DUMMYFUNCTION("""COMPUTED_VALUE"""),622.85)</f>
        <v>622.85</v>
      </c>
    </row>
    <row r="819" ht="15.75" customHeight="1">
      <c r="B819" s="3">
        <f>IFERROR(__xludf.DUMMYFUNCTION("""COMPUTED_VALUE"""),42706.64583333333)</f>
        <v>42706.64583</v>
      </c>
      <c r="C819" s="2">
        <f>IFERROR(__xludf.DUMMYFUNCTION("""COMPUTED_VALUE"""),600.5)</f>
        <v>600.5</v>
      </c>
    </row>
    <row r="820" ht="15.75" customHeight="1">
      <c r="B820" s="3">
        <f>IFERROR(__xludf.DUMMYFUNCTION("""COMPUTED_VALUE"""),42713.64583333333)</f>
        <v>42713.64583</v>
      </c>
      <c r="C820" s="2">
        <f>IFERROR(__xludf.DUMMYFUNCTION("""COMPUTED_VALUE"""),609.5)</f>
        <v>609.5</v>
      </c>
    </row>
    <row r="821" ht="15.75" customHeight="1">
      <c r="B821" s="3">
        <f>IFERROR(__xludf.DUMMYFUNCTION("""COMPUTED_VALUE"""),42720.64583333333)</f>
        <v>42720.64583</v>
      </c>
      <c r="C821" s="2">
        <f>IFERROR(__xludf.DUMMYFUNCTION("""COMPUTED_VALUE"""),598.4)</f>
        <v>598.4</v>
      </c>
    </row>
    <row r="822" ht="15.75" customHeight="1">
      <c r="B822" s="3">
        <f>IFERROR(__xludf.DUMMYFUNCTION("""COMPUTED_VALUE"""),42727.64583333333)</f>
        <v>42727.64583</v>
      </c>
      <c r="C822" s="2">
        <f>IFERROR(__xludf.DUMMYFUNCTION("""COMPUTED_VALUE"""),602.35)</f>
        <v>602.35</v>
      </c>
    </row>
    <row r="823" ht="15.75" customHeight="1">
      <c r="B823" s="3">
        <f>IFERROR(__xludf.DUMMYFUNCTION("""COMPUTED_VALUE"""),42734.64583333333)</f>
        <v>42734.64583</v>
      </c>
      <c r="C823" s="2">
        <f>IFERROR(__xludf.DUMMYFUNCTION("""COMPUTED_VALUE"""),594.4)</f>
        <v>594.4</v>
      </c>
    </row>
    <row r="824" ht="15.75" customHeight="1"/>
    <row r="825" ht="15.75" customHeight="1"/>
    <row r="826" ht="15.75" customHeight="1">
      <c r="B826" s="2" t="str">
        <f>IFERROR(__xludf.DUMMYFUNCTION("GOOGLEFINANCE(""NSE:M&amp;M"",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IFERROR(__xludf.DUMMYFUNCTION("""COMPUTED_VALUE"""),619.5)</f>
        <v>619.5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IFERROR(__xludf.DUMMYFUNCTION("""COMPUTED_VALUE"""),618.88)</f>
        <v>618.88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IFERROR(__xludf.DUMMYFUNCTION("""COMPUTED_VALUE"""),613.4)</f>
        <v>613.4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IFERROR(__xludf.DUMMYFUNCTION("""COMPUTED_VALUE"""),634.92)</f>
        <v>634.92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IFERROR(__xludf.DUMMYFUNCTION("""COMPUTED_VALUE"""),653.8)</f>
        <v>653.8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IFERROR(__xludf.DUMMYFUNCTION("""COMPUTED_VALUE"""),653.92)</f>
        <v>653.92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IFERROR(__xludf.DUMMYFUNCTION("""COMPUTED_VALUE"""),664.93)</f>
        <v>664.93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IFERROR(__xludf.DUMMYFUNCTION("""COMPUTED_VALUE"""),662.28)</f>
        <v>662.28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IFERROR(__xludf.DUMMYFUNCTION("""COMPUTED_VALUE"""),680.5)</f>
        <v>680.5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IFERROR(__xludf.DUMMYFUNCTION("""COMPUTED_VALUE"""),669.5)</f>
        <v>669.5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IFERROR(__xludf.DUMMYFUNCTION("""COMPUTED_VALUE"""),678.68)</f>
        <v>678.68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IFERROR(__xludf.DUMMYFUNCTION("""COMPUTED_VALUE"""),658.23)</f>
        <v>658.23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IFERROR(__xludf.DUMMYFUNCTION("""COMPUTED_VALUE"""),647.5)</f>
        <v>647.5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IFERROR(__xludf.DUMMYFUNCTION("""COMPUTED_VALUE"""),652.5)</f>
        <v>652.5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IFERROR(__xludf.DUMMYFUNCTION("""COMPUTED_VALUE"""),643.0)</f>
        <v>643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IFERROR(__xludf.DUMMYFUNCTION("""COMPUTED_VALUE"""),639.23)</f>
        <v>639.23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IFERROR(__xludf.DUMMYFUNCTION("""COMPUTED_VALUE"""),681.85)</f>
        <v>681.85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IFERROR(__xludf.DUMMYFUNCTION("""COMPUTED_VALUE"""),677.1)</f>
        <v>677.1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IFERROR(__xludf.DUMMYFUNCTION("""COMPUTED_VALUE"""),701.1)</f>
        <v>701.1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IFERROR(__xludf.DUMMYFUNCTION("""COMPUTED_VALUE"""),693.33)</f>
        <v>693.33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IFERROR(__xludf.DUMMYFUNCTION("""COMPUTED_VALUE"""),674.45)</f>
        <v>674.45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IFERROR(__xludf.DUMMYFUNCTION("""COMPUTED_VALUE"""),724.25)</f>
        <v>724.25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IFERROR(__xludf.DUMMYFUNCTION("""COMPUTED_VALUE"""),725.55)</f>
        <v>725.55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IFERROR(__xludf.DUMMYFUNCTION("""COMPUTED_VALUE"""),729.48)</f>
        <v>729.48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IFERROR(__xludf.DUMMYFUNCTION("""COMPUTED_VALUE"""),709.13)</f>
        <v>709.13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IFERROR(__xludf.DUMMYFUNCTION("""COMPUTED_VALUE"""),697.25)</f>
        <v>697.25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IFERROR(__xludf.DUMMYFUNCTION("""COMPUTED_VALUE"""),697.7)</f>
        <v>697.7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IFERROR(__xludf.DUMMYFUNCTION("""COMPUTED_VALUE"""),698.05)</f>
        <v>698.05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IFERROR(__xludf.DUMMYFUNCTION("""COMPUTED_VALUE"""),702.7)</f>
        <v>702.7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IFERROR(__xludf.DUMMYFUNCTION("""COMPUTED_VALUE"""),711.88)</f>
        <v>711.88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IFERROR(__xludf.DUMMYFUNCTION("""COMPUTED_VALUE"""),716.83)</f>
        <v>716.83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IFERROR(__xludf.DUMMYFUNCTION("""COMPUTED_VALUE"""),715.0)</f>
        <v>715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IFERROR(__xludf.DUMMYFUNCTION("""COMPUTED_VALUE"""),689.75)</f>
        <v>689.75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IFERROR(__xludf.DUMMYFUNCTION("""COMPUTED_VALUE"""),696.48)</f>
        <v>696.48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IFERROR(__xludf.DUMMYFUNCTION("""COMPUTED_VALUE"""),694.28)</f>
        <v>694.28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IFERROR(__xludf.DUMMYFUNCTION("""COMPUTED_VALUE"""),674.0)</f>
        <v>674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IFERROR(__xludf.DUMMYFUNCTION("""COMPUTED_VALUE"""),665.0)</f>
        <v>665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IFERROR(__xludf.DUMMYFUNCTION("""COMPUTED_VALUE"""),653.1)</f>
        <v>653.1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IFERROR(__xludf.DUMMYFUNCTION("""COMPUTED_VALUE"""),646.0)</f>
        <v>646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IFERROR(__xludf.DUMMYFUNCTION("""COMPUTED_VALUE"""),660.6)</f>
        <v>660.6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IFERROR(__xludf.DUMMYFUNCTION("""COMPUTED_VALUE"""),672.83)</f>
        <v>672.83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IFERROR(__xludf.DUMMYFUNCTION("""COMPUTED_VALUE"""),689.5)</f>
        <v>689.5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IFERROR(__xludf.DUMMYFUNCTION("""COMPUTED_VALUE"""),696.98)</f>
        <v>696.98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IFERROR(__xludf.DUMMYFUNCTION("""COMPUTED_VALUE"""),696.33)</f>
        <v>696.33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IFERROR(__xludf.DUMMYFUNCTION("""COMPUTED_VALUE"""),706.08)</f>
        <v>706.08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IFERROR(__xludf.DUMMYFUNCTION("""COMPUTED_VALUE"""),719.1)</f>
        <v>719.1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IFERROR(__xludf.DUMMYFUNCTION("""COMPUTED_VALUE"""),720.9)</f>
        <v>720.9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IFERROR(__xludf.DUMMYFUNCTION("""COMPUTED_VALUE"""),722.0)</f>
        <v>722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IFERROR(__xludf.DUMMYFUNCTION("""COMPUTED_VALUE"""),710.0)</f>
        <v>710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IFERROR(__xludf.DUMMYFUNCTION("""COMPUTED_VALUE"""),745.0)</f>
        <v>745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IFERROR(__xludf.DUMMYFUNCTION("""COMPUTED_VALUE"""),785.7)</f>
        <v>785.7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IFERROR(__xludf.DUMMYFUNCTION("""COMPUTED_VALUE"""),754.9)</f>
        <v>754.9</v>
      </c>
    </row>
    <row r="879" ht="15.75" customHeight="1"/>
    <row r="880" ht="15.75" customHeight="1"/>
    <row r="881" ht="15.75" customHeight="1">
      <c r="B881" s="2" t="str">
        <f>IFERROR(__xludf.DUMMYFUNCTION("GOOGLEFINANCE(""NSE:M&amp;M"",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IFERROR(__xludf.DUMMYFUNCTION("""COMPUTED_VALUE"""),761.0)</f>
        <v>761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IFERROR(__xludf.DUMMYFUNCTION("""COMPUTED_VALUE"""),769.5)</f>
        <v>769.5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IFERROR(__xludf.DUMMYFUNCTION("""COMPUTED_VALUE"""),775.65)</f>
        <v>775.65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IFERROR(__xludf.DUMMYFUNCTION("""COMPUTED_VALUE"""),773.0)</f>
        <v>773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IFERROR(__xludf.DUMMYFUNCTION("""COMPUTED_VALUE"""),802.55)</f>
        <v>802.55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IFERROR(__xludf.DUMMYFUNCTION("""COMPUTED_VALUE"""),771.95)</f>
        <v>771.95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IFERROR(__xludf.DUMMYFUNCTION("""COMPUTED_VALUE"""),770.0)</f>
        <v>770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IFERROR(__xludf.DUMMYFUNCTION("""COMPUTED_VALUE"""),744.8)</f>
        <v>744.8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IFERROR(__xludf.DUMMYFUNCTION("""COMPUTED_VALUE"""),742.0)</f>
        <v>742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IFERROR(__xludf.DUMMYFUNCTION("""COMPUTED_VALUE"""),743.0)</f>
        <v>743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IFERROR(__xludf.DUMMYFUNCTION("""COMPUTED_VALUE"""),752.0)</f>
        <v>752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IFERROR(__xludf.DUMMYFUNCTION("""COMPUTED_VALUE"""),750.75)</f>
        <v>750.75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IFERROR(__xludf.DUMMYFUNCTION("""COMPUTED_VALUE"""),752.0)</f>
        <v>752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IFERROR(__xludf.DUMMYFUNCTION("""COMPUTED_VALUE"""),786.75)</f>
        <v>786.75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IFERROR(__xludf.DUMMYFUNCTION("""COMPUTED_VALUE"""),795.5)</f>
        <v>795.5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IFERROR(__xludf.DUMMYFUNCTION("""COMPUTED_VALUE"""),818.8)</f>
        <v>818.8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IFERROR(__xludf.DUMMYFUNCTION("""COMPUTED_VALUE"""),868.75)</f>
        <v>868.75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IFERROR(__xludf.DUMMYFUNCTION("""COMPUTED_VALUE"""),879.8)</f>
        <v>879.8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IFERROR(__xludf.DUMMYFUNCTION("""COMPUTED_VALUE"""),887.9)</f>
        <v>887.9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IFERROR(__xludf.DUMMYFUNCTION("""COMPUTED_VALUE"""),874.0)</f>
        <v>874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IFERROR(__xludf.DUMMYFUNCTION("""COMPUTED_VALUE"""),860.95)</f>
        <v>860.95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IFERROR(__xludf.DUMMYFUNCTION("""COMPUTED_VALUE"""),933.5)</f>
        <v>933.5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IFERROR(__xludf.DUMMYFUNCTION("""COMPUTED_VALUE"""),927.95)</f>
        <v>927.95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IFERROR(__xludf.DUMMYFUNCTION("""COMPUTED_VALUE"""),926.4)</f>
        <v>926.4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IFERROR(__xludf.DUMMYFUNCTION("""COMPUTED_VALUE"""),921.05)</f>
        <v>921.05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IFERROR(__xludf.DUMMYFUNCTION("""COMPUTED_VALUE"""),917.7)</f>
        <v>917.7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IFERROR(__xludf.DUMMYFUNCTION("""COMPUTED_VALUE"""),927.0)</f>
        <v>927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IFERROR(__xludf.DUMMYFUNCTION("""COMPUTED_VALUE"""),940.0)</f>
        <v>940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IFERROR(__xludf.DUMMYFUNCTION("""COMPUTED_VALUE"""),929.8)</f>
        <v>929.8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IFERROR(__xludf.DUMMYFUNCTION("""COMPUTED_VALUE"""),925.0)</f>
        <v>925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IFERROR(__xludf.DUMMYFUNCTION("""COMPUTED_VALUE"""),943.4)</f>
        <v>943.4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IFERROR(__xludf.DUMMYFUNCTION("""COMPUTED_VALUE"""),952.7)</f>
        <v>952.7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IFERROR(__xludf.DUMMYFUNCTION("""COMPUTED_VALUE"""),968.8)</f>
        <v>968.8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IFERROR(__xludf.DUMMYFUNCTION("""COMPUTED_VALUE"""),982.25)</f>
        <v>982.25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IFERROR(__xludf.DUMMYFUNCTION("""COMPUTED_VALUE"""),993.0)</f>
        <v>993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IFERROR(__xludf.DUMMYFUNCTION("""COMPUTED_VALUE"""),977.65)</f>
        <v>977.65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IFERROR(__xludf.DUMMYFUNCTION("""COMPUTED_VALUE"""),976.15)</f>
        <v>976.15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IFERROR(__xludf.DUMMYFUNCTION("""COMPUTED_VALUE"""),976.7)</f>
        <v>976.7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IFERROR(__xludf.DUMMYFUNCTION("""COMPUTED_VALUE"""),958.2)</f>
        <v>958.2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IFERROR(__xludf.DUMMYFUNCTION("""COMPUTED_VALUE"""),864.45)</f>
        <v>864.45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IFERROR(__xludf.DUMMYFUNCTION("""COMPUTED_VALUE"""),782.45)</f>
        <v>782.45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IFERROR(__xludf.DUMMYFUNCTION("""COMPUTED_VALUE"""),790.75)</f>
        <v>790.75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IFERROR(__xludf.DUMMYFUNCTION("""COMPUTED_VALUE"""),749.2)</f>
        <v>749.2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IFERROR(__xludf.DUMMYFUNCTION("""COMPUTED_VALUE"""),795.9)</f>
        <v>795.9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IFERROR(__xludf.DUMMYFUNCTION("""COMPUTED_VALUE"""),805.9)</f>
        <v>805.9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IFERROR(__xludf.DUMMYFUNCTION("""COMPUTED_VALUE"""),807.7)</f>
        <v>807.7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IFERROR(__xludf.DUMMYFUNCTION("""COMPUTED_VALUE"""),792.4)</f>
        <v>792.4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IFERROR(__xludf.DUMMYFUNCTION("""COMPUTED_VALUE"""),796.0)</f>
        <v>796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IFERROR(__xludf.DUMMYFUNCTION("""COMPUTED_VALUE"""),800.8)</f>
        <v>800.8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IFERROR(__xludf.DUMMYFUNCTION("""COMPUTED_VALUE"""),765.1)</f>
        <v>765.1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IFERROR(__xludf.DUMMYFUNCTION("""COMPUTED_VALUE"""),814.0)</f>
        <v>814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IFERROR(__xludf.DUMMYFUNCTION("""COMPUTED_VALUE"""),807.0)</f>
        <v>807</v>
      </c>
    </row>
    <row r="934" ht="15.75" customHeight="1"/>
    <row r="935" ht="15.75" customHeight="1"/>
    <row r="936" ht="15.75" customHeight="1">
      <c r="B936" s="2" t="str">
        <f>IFERROR(__xludf.DUMMYFUNCTION("GOOGLEFINANCE(""NSE:M&amp;M"",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IFERROR(__xludf.DUMMYFUNCTION("""COMPUTED_VALUE"""),810.0)</f>
        <v>810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IFERROR(__xludf.DUMMYFUNCTION("""COMPUTED_VALUE"""),735.9)</f>
        <v>735.9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IFERROR(__xludf.DUMMYFUNCTION("""COMPUTED_VALUE"""),740.0)</f>
        <v>740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IFERROR(__xludf.DUMMYFUNCTION("""COMPUTED_VALUE"""),738.0)</f>
        <v>738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IFERROR(__xludf.DUMMYFUNCTION("""COMPUTED_VALUE"""),715.4)</f>
        <v>715.4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IFERROR(__xludf.DUMMYFUNCTION("""COMPUTED_VALUE"""),708.9)</f>
        <v>708.9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IFERROR(__xludf.DUMMYFUNCTION("""COMPUTED_VALUE"""),673.4)</f>
        <v>673.4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IFERROR(__xludf.DUMMYFUNCTION("""COMPUTED_VALUE"""),648.6)</f>
        <v>648.6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IFERROR(__xludf.DUMMYFUNCTION("""COMPUTED_VALUE"""),663.75)</f>
        <v>663.75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IFERROR(__xludf.DUMMYFUNCTION("""COMPUTED_VALUE"""),679.7)</f>
        <v>679.7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IFERROR(__xludf.DUMMYFUNCTION("""COMPUTED_VALUE"""),697.0)</f>
        <v>697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IFERROR(__xludf.DUMMYFUNCTION("""COMPUTED_VALUE"""),704.2)</f>
        <v>704.2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IFERROR(__xludf.DUMMYFUNCTION("""COMPUTED_VALUE"""),675.75)</f>
        <v>675.75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IFERROR(__xludf.DUMMYFUNCTION("""COMPUTED_VALUE"""),689.0)</f>
        <v>689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IFERROR(__xludf.DUMMYFUNCTION("""COMPUTED_VALUE"""),679.75)</f>
        <v>679.75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IFERROR(__xludf.DUMMYFUNCTION("""COMPUTED_VALUE"""),695.5)</f>
        <v>695.5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IFERROR(__xludf.DUMMYFUNCTION("""COMPUTED_VALUE"""),685.75)</f>
        <v>685.75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IFERROR(__xludf.DUMMYFUNCTION("""COMPUTED_VALUE"""),662.2)</f>
        <v>662.2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IFERROR(__xludf.DUMMYFUNCTION("""COMPUTED_VALUE"""),645.0)</f>
        <v>645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IFERROR(__xludf.DUMMYFUNCTION("""COMPUTED_VALUE"""),628.7)</f>
        <v>628.7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IFERROR(__xludf.DUMMYFUNCTION("""COMPUTED_VALUE"""),667.5)</f>
        <v>667.5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IFERROR(__xludf.DUMMYFUNCTION("""COMPUTED_VALUE"""),683.0)</f>
        <v>683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IFERROR(__xludf.DUMMYFUNCTION("""COMPUTED_VALUE"""),659.4)</f>
        <v>659.4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IFERROR(__xludf.DUMMYFUNCTION("""COMPUTED_VALUE"""),649.4)</f>
        <v>649.4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IFERROR(__xludf.DUMMYFUNCTION("""COMPUTED_VALUE"""),641.95)</f>
        <v>641.95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IFERROR(__xludf.DUMMYFUNCTION("""COMPUTED_VALUE"""),662.45)</f>
        <v>662.45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IFERROR(__xludf.DUMMYFUNCTION("""COMPUTED_VALUE"""),675.3)</f>
        <v>675.3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IFERROR(__xludf.DUMMYFUNCTION("""COMPUTED_VALUE"""),645.2)</f>
        <v>645.2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IFERROR(__xludf.DUMMYFUNCTION("""COMPUTED_VALUE"""),638.0)</f>
        <v>638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IFERROR(__xludf.DUMMYFUNCTION("""COMPUTED_VALUE"""),576.7)</f>
        <v>576.7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IFERROR(__xludf.DUMMYFUNCTION("""COMPUTED_VALUE"""),565.0)</f>
        <v>565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IFERROR(__xludf.DUMMYFUNCTION("""COMPUTED_VALUE"""),554.25)</f>
        <v>554.25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IFERROR(__xludf.DUMMYFUNCTION("""COMPUTED_VALUE"""),545.0)</f>
        <v>545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IFERROR(__xludf.DUMMYFUNCTION("""COMPUTED_VALUE"""),536.3)</f>
        <v>536.3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IFERROR(__xludf.DUMMYFUNCTION("""COMPUTED_VALUE"""),559.9)</f>
        <v>559.9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IFERROR(__xludf.DUMMYFUNCTION("""COMPUTED_VALUE"""),531.0)</f>
        <v>531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IFERROR(__xludf.DUMMYFUNCTION("""COMPUTED_VALUE"""),552.8)</f>
        <v>552.8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IFERROR(__xludf.DUMMYFUNCTION("""COMPUTED_VALUE"""),574.0)</f>
        <v>574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IFERROR(__xludf.DUMMYFUNCTION("""COMPUTED_VALUE"""),602.2)</f>
        <v>602.2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IFERROR(__xludf.DUMMYFUNCTION("""COMPUTED_VALUE"""),575.0)</f>
        <v>575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IFERROR(__xludf.DUMMYFUNCTION("""COMPUTED_VALUE"""),578.8)</f>
        <v>578.8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IFERROR(__xludf.DUMMYFUNCTION("""COMPUTED_VALUE"""),596.35)</f>
        <v>596.35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IFERROR(__xludf.DUMMYFUNCTION("""COMPUTED_VALUE"""),601.2)</f>
        <v>601.2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IFERROR(__xludf.DUMMYFUNCTION("""COMPUTED_VALUE"""),621.65)</f>
        <v>621.65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IFERROR(__xludf.DUMMYFUNCTION("""COMPUTED_VALUE"""),596.5)</f>
        <v>596.5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IFERROR(__xludf.DUMMYFUNCTION("""COMPUTED_VALUE"""),590.85)</f>
        <v>590.85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IFERROR(__xludf.DUMMYFUNCTION("""COMPUTED_VALUE"""),582.6)</f>
        <v>582.6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IFERROR(__xludf.DUMMYFUNCTION("""COMPUTED_VALUE"""),554.5)</f>
        <v>554.5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IFERROR(__xludf.DUMMYFUNCTION("""COMPUTED_VALUE"""),537.5)</f>
        <v>537.5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IFERROR(__xludf.DUMMYFUNCTION("""COMPUTED_VALUE"""),522.8)</f>
        <v>522.8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IFERROR(__xludf.DUMMYFUNCTION("""COMPUTED_VALUE"""),539.65)</f>
        <v>539.65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IFERROR(__xludf.DUMMYFUNCTION("""COMPUTED_VALUE"""),536.2)</f>
        <v>536.2</v>
      </c>
    </row>
    <row r="989" ht="15.75" customHeight="1"/>
    <row r="990" ht="15.75" customHeight="1"/>
    <row r="991" ht="15.75" customHeight="1">
      <c r="B991" s="2" t="str">
        <f>IFERROR(__xludf.DUMMYFUNCTION("GOOGLEFINANCE(""NSE:M&amp;M"",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IFERROR(__xludf.DUMMYFUNCTION("""COMPUTED_VALUE"""),541.0)</f>
        <v>541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IFERROR(__xludf.DUMMYFUNCTION("""COMPUTED_VALUE"""),547.6)</f>
        <v>547.6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IFERROR(__xludf.DUMMYFUNCTION("""COMPUTED_VALUE"""),574.0)</f>
        <v>574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IFERROR(__xludf.DUMMYFUNCTION("""COMPUTED_VALUE"""),574.0)</f>
        <v>574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IFERROR(__xludf.DUMMYFUNCTION("""COMPUTED_VALUE"""),589.75)</f>
        <v>589.75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IFERROR(__xludf.DUMMYFUNCTION("""COMPUTED_VALUE"""),589.85)</f>
        <v>589.85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IFERROR(__xludf.DUMMYFUNCTION("""COMPUTED_VALUE"""),567.0)</f>
        <v>567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IFERROR(__xludf.DUMMYFUNCTION("""COMPUTED_VALUE"""),533.0)</f>
        <v>533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IFERROR(__xludf.DUMMYFUNCTION("""COMPUTED_VALUE"""),522.0)</f>
        <v>522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IFERROR(__xludf.DUMMYFUNCTION("""COMPUTED_VALUE"""),482.5)</f>
        <v>482.5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IFERROR(__xludf.DUMMYFUNCTION("""COMPUTED_VALUE"""),469.65)</f>
        <v>469.65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IFERROR(__xludf.DUMMYFUNCTION("""COMPUTED_VALUE"""),428.6)</f>
        <v>428.6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IFERROR(__xludf.DUMMYFUNCTION("""COMPUTED_VALUE"""),309.9)</f>
        <v>309.9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IFERROR(__xludf.DUMMYFUNCTION("""COMPUTED_VALUE"""),290.0)</f>
        <v>290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IFERROR(__xludf.DUMMYFUNCTION("""COMPUTED_VALUE"""),391.65)</f>
        <v>391.65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IFERROR(__xludf.DUMMYFUNCTION("""COMPUTED_VALUE"""),380.0)</f>
        <v>380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IFERROR(__xludf.DUMMYFUNCTION("""COMPUTED_VALUE"""),367.45)</f>
        <v>367.45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IFERROR(__xludf.DUMMYFUNCTION("""COMPUTED_VALUE"""),368.0)</f>
        <v>368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IFERROR(__xludf.DUMMYFUNCTION("""COMPUTED_VALUE"""),407.9)</f>
        <v>407.9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IFERROR(__xludf.DUMMYFUNCTION("""COMPUTED_VALUE"""),418.9)</f>
        <v>418.9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IFERROR(__xludf.DUMMYFUNCTION("""COMPUTED_VALUE"""),430.35)</f>
        <v>430.35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IFERROR(__xludf.DUMMYFUNCTION("""COMPUTED_VALUE"""),450.0)</f>
        <v>450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IFERROR(__xludf.DUMMYFUNCTION("""COMPUTED_VALUE"""),492.6)</f>
        <v>492.6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IFERROR(__xludf.DUMMYFUNCTION("""COMPUTED_VALUE"""),512.9)</f>
        <v>512.9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IFERROR(__xludf.DUMMYFUNCTION("""COMPUTED_VALUE"""),520.95)</f>
        <v>520.95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IFERROR(__xludf.DUMMYFUNCTION("""COMPUTED_VALUE"""),527.65)</f>
        <v>527.65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IFERROR(__xludf.DUMMYFUNCTION("""COMPUTED_VALUE"""),535.5)</f>
        <v>535.5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IFERROR(__xludf.DUMMYFUNCTION("""COMPUTED_VALUE"""),573.55)</f>
        <v>573.55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IFERROR(__xludf.DUMMYFUNCTION("""COMPUTED_VALUE"""),591.25)</f>
        <v>591.25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IFERROR(__xludf.DUMMYFUNCTION("""COMPUTED_VALUE"""),612.0)</f>
        <v>612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IFERROR(__xludf.DUMMYFUNCTION("""COMPUTED_VALUE"""),625.8)</f>
        <v>625.8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IFERROR(__xludf.DUMMYFUNCTION("""COMPUTED_VALUE"""),620.5)</f>
        <v>620.5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IFERROR(__xludf.DUMMYFUNCTION("""COMPUTED_VALUE"""),648.6)</f>
        <v>648.6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IFERROR(__xludf.DUMMYFUNCTION("""COMPUTED_VALUE"""),632.75)</f>
        <v>632.75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IFERROR(__xludf.DUMMYFUNCTION("""COMPUTED_VALUE"""),647.0)</f>
        <v>647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IFERROR(__xludf.DUMMYFUNCTION("""COMPUTED_VALUE"""),656.0)</f>
        <v>656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IFERROR(__xludf.DUMMYFUNCTION("""COMPUTED_VALUE"""),633.85)</f>
        <v>633.85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IFERROR(__xludf.DUMMYFUNCTION("""COMPUTED_VALUE"""),659.4)</f>
        <v>659.4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IFERROR(__xludf.DUMMYFUNCTION("""COMPUTED_VALUE"""),666.6)</f>
        <v>666.6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IFERROR(__xludf.DUMMYFUNCTION("""COMPUTED_VALUE"""),626.5)</f>
        <v>626.5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IFERROR(__xludf.DUMMYFUNCTION("""COMPUTED_VALUE"""),647.45)</f>
        <v>647.45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IFERROR(__xludf.DUMMYFUNCTION("""COMPUTED_VALUE"""),642.0)</f>
        <v>642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IFERROR(__xludf.DUMMYFUNCTION("""COMPUTED_VALUE"""),628.0)</f>
        <v>628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IFERROR(__xludf.DUMMYFUNCTION("""COMPUTED_VALUE"""),625.85)</f>
        <v>625.85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IFERROR(__xludf.DUMMYFUNCTION("""COMPUTED_VALUE"""),619.3)</f>
        <v>619.3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IFERROR(__xludf.DUMMYFUNCTION("""COMPUTED_VALUE"""),728.4)</f>
        <v>728.4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IFERROR(__xludf.DUMMYFUNCTION("""COMPUTED_VALUE"""),745.5)</f>
        <v>745.5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IFERROR(__xludf.DUMMYFUNCTION("""COMPUTED_VALUE"""),764.45)</f>
        <v>764.45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IFERROR(__xludf.DUMMYFUNCTION("""COMPUTED_VALUE"""),764.0)</f>
        <v>764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IFERROR(__xludf.DUMMYFUNCTION("""COMPUTED_VALUE"""),746.25)</f>
        <v>746.25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IFERROR(__xludf.DUMMYFUNCTION("""COMPUTED_VALUE"""),730.0)</f>
        <v>730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IFERROR(__xludf.DUMMYFUNCTION("""COMPUTED_VALUE"""),744.75)</f>
        <v>744.75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IFERROR(__xludf.DUMMYFUNCTION("GOOGLEFINANCE(""NSE:ITC"",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IFERROR(__xludf.DUMMYFUNCTION("""COMPUTED_VALUE"""),15.97)</f>
        <v>15.97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IFERROR(__xludf.DUMMYFUNCTION("""COMPUTED_VALUE"""),17.02)</f>
        <v>17.02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IFERROR(__xludf.DUMMYFUNCTION("""COMPUTED_VALUE"""),17.33)</f>
        <v>17.33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IFERROR(__xludf.DUMMYFUNCTION("""COMPUTED_VALUE"""),16.77)</f>
        <v>16.77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IFERROR(__xludf.DUMMYFUNCTION("""COMPUTED_VALUE"""),16.22)</f>
        <v>16.22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IFERROR(__xludf.DUMMYFUNCTION("""COMPUTED_VALUE"""),16.04)</f>
        <v>16.04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IFERROR(__xludf.DUMMYFUNCTION("""COMPUTED_VALUE"""),16.31)</f>
        <v>16.31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IFERROR(__xludf.DUMMYFUNCTION("""COMPUTED_VALUE"""),16.8)</f>
        <v>16.8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IFERROR(__xludf.DUMMYFUNCTION("""COMPUTED_VALUE"""),17.39)</f>
        <v>17.39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IFERROR(__xludf.DUMMYFUNCTION("""COMPUTED_VALUE"""),17.0)</f>
        <v>17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IFERROR(__xludf.DUMMYFUNCTION("""COMPUTED_VALUE"""),16.33)</f>
        <v>16.33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IFERROR(__xludf.DUMMYFUNCTION("""COMPUTED_VALUE"""),16.11)</f>
        <v>16.11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IFERROR(__xludf.DUMMYFUNCTION("""COMPUTED_VALUE"""),15.89)</f>
        <v>15.89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IFERROR(__xludf.DUMMYFUNCTION("""COMPUTED_VALUE"""),15.84)</f>
        <v>15.84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IFERROR(__xludf.DUMMYFUNCTION("""COMPUTED_VALUE"""),15.04)</f>
        <v>15.04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IFERROR(__xludf.DUMMYFUNCTION("""COMPUTED_VALUE"""),14.53)</f>
        <v>14.53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IFERROR(__xludf.DUMMYFUNCTION("""COMPUTED_VALUE"""),14.32)</f>
        <v>14.32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IFERROR(__xludf.DUMMYFUNCTION("""COMPUTED_VALUE"""),14.22)</f>
        <v>14.22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IFERROR(__xludf.DUMMYFUNCTION("""COMPUTED_VALUE"""),14.42)</f>
        <v>14.42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IFERROR(__xludf.DUMMYFUNCTION("""COMPUTED_VALUE"""),14.32)</f>
        <v>14.32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IFERROR(__xludf.DUMMYFUNCTION("""COMPUTED_VALUE"""),14.08)</f>
        <v>14.08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IFERROR(__xludf.DUMMYFUNCTION("""COMPUTED_VALUE"""),13.78)</f>
        <v>13.78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IFERROR(__xludf.DUMMYFUNCTION("""COMPUTED_VALUE"""),14.44)</f>
        <v>14.44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IFERROR(__xludf.DUMMYFUNCTION("""COMPUTED_VALUE"""),14.04)</f>
        <v>14.04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IFERROR(__xludf.DUMMYFUNCTION("""COMPUTED_VALUE"""),14.11)</f>
        <v>14.11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IFERROR(__xludf.DUMMYFUNCTION("""COMPUTED_VALUE"""),14.4)</f>
        <v>14.4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IFERROR(__xludf.DUMMYFUNCTION("""COMPUTED_VALUE"""),16.11)</f>
        <v>16.11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IFERROR(__xludf.DUMMYFUNCTION("""COMPUTED_VALUE"""),16.09)</f>
        <v>16.09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IFERROR(__xludf.DUMMYFUNCTION("""COMPUTED_VALUE"""),15.78)</f>
        <v>15.78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IFERROR(__xludf.DUMMYFUNCTION("""COMPUTED_VALUE"""),14.96)</f>
        <v>14.96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IFERROR(__xludf.DUMMYFUNCTION("""COMPUTED_VALUE"""),15.0)</f>
        <v>15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IFERROR(__xludf.DUMMYFUNCTION("""COMPUTED_VALUE"""),15.48)</f>
        <v>15.48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IFERROR(__xludf.DUMMYFUNCTION("""COMPUTED_VALUE"""),15.62)</f>
        <v>15.62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IFERROR(__xludf.DUMMYFUNCTION("""COMPUTED_VALUE"""),15.6)</f>
        <v>15.6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IFERROR(__xludf.DUMMYFUNCTION("""COMPUTED_VALUE"""),15.67)</f>
        <v>15.67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IFERROR(__xludf.DUMMYFUNCTION("""COMPUTED_VALUE"""),15.78)</f>
        <v>15.78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IFERROR(__xludf.DUMMYFUNCTION("""COMPUTED_VALUE"""),15.37)</f>
        <v>15.37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IFERROR(__xludf.DUMMYFUNCTION("""COMPUTED_VALUE"""),15.43)</f>
        <v>15.43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IFERROR(__xludf.DUMMYFUNCTION("""COMPUTED_VALUE"""),14.82)</f>
        <v>14.82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IFERROR(__xludf.DUMMYFUNCTION("""COMPUTED_VALUE"""),14.67)</f>
        <v>14.67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IFERROR(__xludf.DUMMYFUNCTION("""COMPUTED_VALUE"""),15.02)</f>
        <v>15.02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IFERROR(__xludf.DUMMYFUNCTION("""COMPUTED_VALUE"""),14.64)</f>
        <v>14.64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IFERROR(__xludf.DUMMYFUNCTION("""COMPUTED_VALUE"""),14.47)</f>
        <v>14.47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IFERROR(__xludf.DUMMYFUNCTION("""COMPUTED_VALUE"""),14.28)</f>
        <v>14.28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IFERROR(__xludf.DUMMYFUNCTION("""COMPUTED_VALUE"""),14.11)</f>
        <v>14.11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IFERROR(__xludf.DUMMYFUNCTION("""COMPUTED_VALUE"""),13.89)</f>
        <v>13.89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IFERROR(__xludf.DUMMYFUNCTION("""COMPUTED_VALUE"""),14.19)</f>
        <v>14.19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IFERROR(__xludf.DUMMYFUNCTION("""COMPUTED_VALUE"""),14.44)</f>
        <v>14.44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IFERROR(__xludf.DUMMYFUNCTION("""COMPUTED_VALUE"""),14.67)</f>
        <v>14.67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IFERROR(__xludf.DUMMYFUNCTION("""COMPUTED_VALUE"""),15.0)</f>
        <v>15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IFERROR(__xludf.DUMMYFUNCTION("""COMPUTED_VALUE"""),15.55)</f>
        <v>15.55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IFERROR(__xludf.DUMMYFUNCTION("""COMPUTED_VALUE"""),15.02)</f>
        <v>15.02</v>
      </c>
    </row>
    <row r="54" ht="15.75" customHeight="1"/>
    <row r="55" ht="15.75" customHeight="1"/>
    <row r="56" ht="15.75" customHeight="1">
      <c r="B56" s="2" t="str">
        <f>IFERROR(__xludf.DUMMYFUNCTION("GOOGLEFINANCE(""NSE:ITC"",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IFERROR(__xludf.DUMMYFUNCTION("""COMPUTED_VALUE"""),15.13)</f>
        <v>15.13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IFERROR(__xludf.DUMMYFUNCTION("""COMPUTED_VALUE"""),15.27)</f>
        <v>15.27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IFERROR(__xludf.DUMMYFUNCTION("""COMPUTED_VALUE"""),15.39)</f>
        <v>15.39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IFERROR(__xludf.DUMMYFUNCTION("""COMPUTED_VALUE"""),15.15)</f>
        <v>15.15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IFERROR(__xludf.DUMMYFUNCTION("""COMPUTED_VALUE"""),14.55)</f>
        <v>14.55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IFERROR(__xludf.DUMMYFUNCTION("""COMPUTED_VALUE"""),14.65)</f>
        <v>14.65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IFERROR(__xludf.DUMMYFUNCTION("""COMPUTED_VALUE"""),14.16)</f>
        <v>14.16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IFERROR(__xludf.DUMMYFUNCTION("""COMPUTED_VALUE"""),14.36)</f>
        <v>14.36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IFERROR(__xludf.DUMMYFUNCTION("""COMPUTED_VALUE"""),14.62)</f>
        <v>14.62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IFERROR(__xludf.DUMMYFUNCTION("""COMPUTED_VALUE"""),14.66)</f>
        <v>14.66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IFERROR(__xludf.DUMMYFUNCTION("""COMPUTED_VALUE"""),14.45)</f>
        <v>14.45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IFERROR(__xludf.DUMMYFUNCTION("""COMPUTED_VALUE"""),14.1)</f>
        <v>14.1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IFERROR(__xludf.DUMMYFUNCTION("""COMPUTED_VALUE"""),14.22)</f>
        <v>14.22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IFERROR(__xludf.DUMMYFUNCTION("""COMPUTED_VALUE"""),15.35)</f>
        <v>15.35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IFERROR(__xludf.DUMMYFUNCTION("""COMPUTED_VALUE"""),15.33)</f>
        <v>15.33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IFERROR(__xludf.DUMMYFUNCTION("""COMPUTED_VALUE"""),15.22)</f>
        <v>15.22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IFERROR(__xludf.DUMMYFUNCTION("""COMPUTED_VALUE"""),15.32)</f>
        <v>15.32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IFERROR(__xludf.DUMMYFUNCTION("""COMPUTED_VALUE"""),15.3)</f>
        <v>15.3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IFERROR(__xludf.DUMMYFUNCTION("""COMPUTED_VALUE"""),15.67)</f>
        <v>15.67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IFERROR(__xludf.DUMMYFUNCTION("""COMPUTED_VALUE"""),16.11)</f>
        <v>16.11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IFERROR(__xludf.DUMMYFUNCTION("""COMPUTED_VALUE"""),15.62)</f>
        <v>15.62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IFERROR(__xludf.DUMMYFUNCTION("""COMPUTED_VALUE"""),16.06)</f>
        <v>16.06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IFERROR(__xludf.DUMMYFUNCTION("""COMPUTED_VALUE"""),16.11)</f>
        <v>16.11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IFERROR(__xludf.DUMMYFUNCTION("""COMPUTED_VALUE"""),16.62)</f>
        <v>16.62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IFERROR(__xludf.DUMMYFUNCTION("""COMPUTED_VALUE"""),17.2)</f>
        <v>17.2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IFERROR(__xludf.DUMMYFUNCTION("""COMPUTED_VALUE"""),17.38)</f>
        <v>17.38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IFERROR(__xludf.DUMMYFUNCTION("""COMPUTED_VALUE"""),17.42)</f>
        <v>17.42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IFERROR(__xludf.DUMMYFUNCTION("""COMPUTED_VALUE"""),16.93)</f>
        <v>16.93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IFERROR(__xludf.DUMMYFUNCTION("""COMPUTED_VALUE"""),17.56)</f>
        <v>17.56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IFERROR(__xludf.DUMMYFUNCTION("""COMPUTED_VALUE"""),16.64)</f>
        <v>16.64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IFERROR(__xludf.DUMMYFUNCTION("""COMPUTED_VALUE"""),17.02)</f>
        <v>17.02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IFERROR(__xludf.DUMMYFUNCTION("""COMPUTED_VALUE"""),17.37)</f>
        <v>17.37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IFERROR(__xludf.DUMMYFUNCTION("""COMPUTED_VALUE"""),18.18)</f>
        <v>18.18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IFERROR(__xludf.DUMMYFUNCTION("""COMPUTED_VALUE"""),18.6)</f>
        <v>18.6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IFERROR(__xludf.DUMMYFUNCTION("""COMPUTED_VALUE"""),19.13)</f>
        <v>19.13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IFERROR(__xludf.DUMMYFUNCTION("""COMPUTED_VALUE"""),19.02)</f>
        <v>19.02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IFERROR(__xludf.DUMMYFUNCTION("""COMPUTED_VALUE"""),18.03)</f>
        <v>18.03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IFERROR(__xludf.DUMMYFUNCTION("""COMPUTED_VALUE"""),18.4)</f>
        <v>18.4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IFERROR(__xludf.DUMMYFUNCTION("""COMPUTED_VALUE"""),18.35)</f>
        <v>18.35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IFERROR(__xludf.DUMMYFUNCTION("""COMPUTED_VALUE"""),19.96)</f>
        <v>19.96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IFERROR(__xludf.DUMMYFUNCTION("""COMPUTED_VALUE"""),20.27)</f>
        <v>20.27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IFERROR(__xludf.DUMMYFUNCTION("""COMPUTED_VALUE"""),19.55)</f>
        <v>19.55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IFERROR(__xludf.DUMMYFUNCTION("""COMPUTED_VALUE"""),20.21)</f>
        <v>20.21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IFERROR(__xludf.DUMMYFUNCTION("""COMPUTED_VALUE"""),19.71)</f>
        <v>19.71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IFERROR(__xludf.DUMMYFUNCTION("""COMPUTED_VALUE"""),19.56)</f>
        <v>19.56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IFERROR(__xludf.DUMMYFUNCTION("""COMPUTED_VALUE"""),20.71)</f>
        <v>20.71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IFERROR(__xludf.DUMMYFUNCTION("""COMPUTED_VALUE"""),22.0)</f>
        <v>22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IFERROR(__xludf.DUMMYFUNCTION("""COMPUTED_VALUE"""),23.1)</f>
        <v>23.1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IFERROR(__xludf.DUMMYFUNCTION("""COMPUTED_VALUE"""),22.09)</f>
        <v>22.09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IFERROR(__xludf.DUMMYFUNCTION("GOOGLEFINANCE(""NSE:ITC"",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IFERROR(__xludf.DUMMYFUNCTION("""COMPUTED_VALUE"""),22.89)</f>
        <v>22.89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IFERROR(__xludf.DUMMYFUNCTION("""COMPUTED_VALUE"""),24.67)</f>
        <v>24.67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IFERROR(__xludf.DUMMYFUNCTION("""COMPUTED_VALUE"""),25.93)</f>
        <v>25.93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IFERROR(__xludf.DUMMYFUNCTION("""COMPUTED_VALUE"""),26.65)</f>
        <v>26.65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IFERROR(__xludf.DUMMYFUNCTION("""COMPUTED_VALUE"""),23.75)</f>
        <v>23.75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IFERROR(__xludf.DUMMYFUNCTION("""COMPUTED_VALUE"""),23.27)</f>
        <v>23.27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IFERROR(__xludf.DUMMYFUNCTION("""COMPUTED_VALUE"""),23.6)</f>
        <v>23.6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IFERROR(__xludf.DUMMYFUNCTION("""COMPUTED_VALUE"""),24.4)</f>
        <v>24.4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IFERROR(__xludf.DUMMYFUNCTION("""COMPUTED_VALUE"""),24.91)</f>
        <v>24.91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IFERROR(__xludf.DUMMYFUNCTION("""COMPUTED_VALUE"""),26.45)</f>
        <v>26.45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IFERROR(__xludf.DUMMYFUNCTION("""COMPUTED_VALUE"""),26.37)</f>
        <v>26.37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IFERROR(__xludf.DUMMYFUNCTION("""COMPUTED_VALUE"""),25.44)</f>
        <v>25.44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IFERROR(__xludf.DUMMYFUNCTION("""COMPUTED_VALUE"""),24.33)</f>
        <v>24.33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IFERROR(__xludf.DUMMYFUNCTION("""COMPUTED_VALUE"""),24.39)</f>
        <v>24.39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IFERROR(__xludf.DUMMYFUNCTION("""COMPUTED_VALUE"""),24.49)</f>
        <v>24.49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IFERROR(__xludf.DUMMYFUNCTION("""COMPUTED_VALUE"""),24.33)</f>
        <v>24.33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IFERROR(__xludf.DUMMYFUNCTION("""COMPUTED_VALUE"""),24.33)</f>
        <v>24.33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IFERROR(__xludf.DUMMYFUNCTION("""COMPUTED_VALUE"""),24.16)</f>
        <v>24.16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IFERROR(__xludf.DUMMYFUNCTION("""COMPUTED_VALUE"""),22.89)</f>
        <v>22.89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IFERROR(__xludf.DUMMYFUNCTION("""COMPUTED_VALUE"""),21.73)</f>
        <v>21.73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IFERROR(__xludf.DUMMYFUNCTION("""COMPUTED_VALUE"""),20.67)</f>
        <v>20.67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IFERROR(__xludf.DUMMYFUNCTION("""COMPUTED_VALUE"""),20.36)</f>
        <v>20.36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IFERROR(__xludf.DUMMYFUNCTION("""COMPUTED_VALUE"""),22.2)</f>
        <v>22.2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IFERROR(__xludf.DUMMYFUNCTION("""COMPUTED_VALUE"""),20.0)</f>
        <v>20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IFERROR(__xludf.DUMMYFUNCTION("""COMPUTED_VALUE"""),19.56)</f>
        <v>19.56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IFERROR(__xludf.DUMMYFUNCTION("""COMPUTED_VALUE"""),20.4)</f>
        <v>20.4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IFERROR(__xludf.DUMMYFUNCTION("""COMPUTED_VALUE"""),23.47)</f>
        <v>23.47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IFERROR(__xludf.DUMMYFUNCTION("""COMPUTED_VALUE"""),23.65)</f>
        <v>23.65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IFERROR(__xludf.DUMMYFUNCTION("""COMPUTED_VALUE"""),22.86)</f>
        <v>22.86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IFERROR(__xludf.DUMMYFUNCTION("""COMPUTED_VALUE"""),23.45)</f>
        <v>23.45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IFERROR(__xludf.DUMMYFUNCTION("""COMPUTED_VALUE"""),23.33)</f>
        <v>23.33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IFERROR(__xludf.DUMMYFUNCTION("""COMPUTED_VALUE"""),23.49)</f>
        <v>23.49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IFERROR(__xludf.DUMMYFUNCTION("""COMPUTED_VALUE"""),23.11)</f>
        <v>23.11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IFERROR(__xludf.DUMMYFUNCTION("""COMPUTED_VALUE"""),23.33)</f>
        <v>23.33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IFERROR(__xludf.DUMMYFUNCTION("""COMPUTED_VALUE"""),23.56)</f>
        <v>23.56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IFERROR(__xludf.DUMMYFUNCTION("""COMPUTED_VALUE"""),24.77)</f>
        <v>24.77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IFERROR(__xludf.DUMMYFUNCTION("""COMPUTED_VALUE"""),26.31)</f>
        <v>26.31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IFERROR(__xludf.DUMMYFUNCTION("""COMPUTED_VALUE"""),26.62)</f>
        <v>26.62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IFERROR(__xludf.DUMMYFUNCTION("""COMPUTED_VALUE"""),25.75)</f>
        <v>25.75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IFERROR(__xludf.DUMMYFUNCTION("""COMPUTED_VALUE"""),25.15)</f>
        <v>25.15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IFERROR(__xludf.DUMMYFUNCTION("""COMPUTED_VALUE"""),25.0)</f>
        <v>25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IFERROR(__xludf.DUMMYFUNCTION("""COMPUTED_VALUE"""),24.45)</f>
        <v>24.45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IFERROR(__xludf.DUMMYFUNCTION("""COMPUTED_VALUE"""),25.4)</f>
        <v>25.4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IFERROR(__xludf.DUMMYFUNCTION("""COMPUTED_VALUE"""),25.69)</f>
        <v>25.69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IFERROR(__xludf.DUMMYFUNCTION("""COMPUTED_VALUE"""),25.82)</f>
        <v>25.82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IFERROR(__xludf.DUMMYFUNCTION("""COMPUTED_VALUE"""),28.53)</f>
        <v>28.53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IFERROR(__xludf.DUMMYFUNCTION("""COMPUTED_VALUE"""),29.26)</f>
        <v>29.26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IFERROR(__xludf.DUMMYFUNCTION("""COMPUTED_VALUE"""),28.58)</f>
        <v>28.58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IFERROR(__xludf.DUMMYFUNCTION("""COMPUTED_VALUE"""),28.87)</f>
        <v>28.87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IFERROR(__xludf.DUMMYFUNCTION("""COMPUTED_VALUE"""),29.56)</f>
        <v>29.56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IFERROR(__xludf.DUMMYFUNCTION("""COMPUTED_VALUE"""),29.76)</f>
        <v>29.76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IFERROR(__xludf.DUMMYFUNCTION("GOOGLEFINANCE(""NSE:ITC"",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IFERROR(__xludf.DUMMYFUNCTION("""COMPUTED_VALUE"""),29.53)</f>
        <v>29.53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IFERROR(__xludf.DUMMYFUNCTION("""COMPUTED_VALUE"""),28.89)</f>
        <v>28.89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IFERROR(__xludf.DUMMYFUNCTION("""COMPUTED_VALUE"""),30.96)</f>
        <v>30.96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IFERROR(__xludf.DUMMYFUNCTION("""COMPUTED_VALUE"""),31.49)</f>
        <v>31.49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IFERROR(__xludf.DUMMYFUNCTION("""COMPUTED_VALUE"""),31.22)</f>
        <v>31.22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IFERROR(__xludf.DUMMYFUNCTION("""COMPUTED_VALUE"""),30.64)</f>
        <v>30.64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IFERROR(__xludf.DUMMYFUNCTION("""COMPUTED_VALUE"""),30.0)</f>
        <v>30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IFERROR(__xludf.DUMMYFUNCTION("""COMPUTED_VALUE"""),28.96)</f>
        <v>28.96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IFERROR(__xludf.DUMMYFUNCTION("""COMPUTED_VALUE"""),30.77)</f>
        <v>30.77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IFERROR(__xludf.DUMMYFUNCTION("""COMPUTED_VALUE"""),31.03)</f>
        <v>31.03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IFERROR(__xludf.DUMMYFUNCTION("""COMPUTED_VALUE"""),30.38)</f>
        <v>30.38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IFERROR(__xludf.DUMMYFUNCTION("""COMPUTED_VALUE"""),29.78)</f>
        <v>29.78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IFERROR(__xludf.DUMMYFUNCTION("""COMPUTED_VALUE"""),30.37)</f>
        <v>30.37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IFERROR(__xludf.DUMMYFUNCTION("""COMPUTED_VALUE"""),31.33)</f>
        <v>31.33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IFERROR(__xludf.DUMMYFUNCTION("""COMPUTED_VALUE"""),31.76)</f>
        <v>31.76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IFERROR(__xludf.DUMMYFUNCTION("""COMPUTED_VALUE"""),31.38)</f>
        <v>31.38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IFERROR(__xludf.DUMMYFUNCTION("""COMPUTED_VALUE"""),32.76)</f>
        <v>32.76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IFERROR(__xludf.DUMMYFUNCTION("""COMPUTED_VALUE"""),32.83)</f>
        <v>32.83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IFERROR(__xludf.DUMMYFUNCTION("""COMPUTED_VALUE"""),33.09)</f>
        <v>33.09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IFERROR(__xludf.DUMMYFUNCTION("""COMPUTED_VALUE"""),33.88)</f>
        <v>33.88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IFERROR(__xludf.DUMMYFUNCTION("""COMPUTED_VALUE"""),35.88)</f>
        <v>35.88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IFERROR(__xludf.DUMMYFUNCTION("""COMPUTED_VALUE"""),35.38)</f>
        <v>35.38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IFERROR(__xludf.DUMMYFUNCTION("""COMPUTED_VALUE"""),35.22)</f>
        <v>35.22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IFERROR(__xludf.DUMMYFUNCTION("""COMPUTED_VALUE"""),35.78)</f>
        <v>35.78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IFERROR(__xludf.DUMMYFUNCTION("""COMPUTED_VALUE"""),37.51)</f>
        <v>37.51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IFERROR(__xludf.DUMMYFUNCTION("""COMPUTED_VALUE"""),38.0)</f>
        <v>38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IFERROR(__xludf.DUMMYFUNCTION("""COMPUTED_VALUE"""),39.86)</f>
        <v>39.86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IFERROR(__xludf.DUMMYFUNCTION("""COMPUTED_VALUE"""),39.0)</f>
        <v>39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IFERROR(__xludf.DUMMYFUNCTION("""COMPUTED_VALUE"""),37.91)</f>
        <v>37.91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IFERROR(__xludf.DUMMYFUNCTION("""COMPUTED_VALUE"""),39.34)</f>
        <v>39.34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IFERROR(__xludf.DUMMYFUNCTION("""COMPUTED_VALUE"""),39.0)</f>
        <v>39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IFERROR(__xludf.DUMMYFUNCTION("""COMPUTED_VALUE"""),38.33)</f>
        <v>38.33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IFERROR(__xludf.DUMMYFUNCTION("""COMPUTED_VALUE"""),38.41)</f>
        <v>38.41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IFERROR(__xludf.DUMMYFUNCTION("""COMPUTED_VALUE"""),38.89)</f>
        <v>38.89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IFERROR(__xludf.DUMMYFUNCTION("""COMPUTED_VALUE"""),40.89)</f>
        <v>40.89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IFERROR(__xludf.DUMMYFUNCTION("""COMPUTED_VALUE"""),42.22)</f>
        <v>42.22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IFERROR(__xludf.DUMMYFUNCTION("""COMPUTED_VALUE"""),49.5)</f>
        <v>49.5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IFERROR(__xludf.DUMMYFUNCTION("""COMPUTED_VALUE"""),48.2)</f>
        <v>48.2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IFERROR(__xludf.DUMMYFUNCTION("""COMPUTED_VALUE"""),46.07)</f>
        <v>46.07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IFERROR(__xludf.DUMMYFUNCTION("""COMPUTED_VALUE"""),43.77)</f>
        <v>43.77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IFERROR(__xludf.DUMMYFUNCTION("""COMPUTED_VALUE"""),44.5)</f>
        <v>44.5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IFERROR(__xludf.DUMMYFUNCTION("""COMPUTED_VALUE"""),40.98)</f>
        <v>40.98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IFERROR(__xludf.DUMMYFUNCTION("""COMPUTED_VALUE"""),41.85)</f>
        <v>41.85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IFERROR(__xludf.DUMMYFUNCTION("""COMPUTED_VALUE"""),43.63)</f>
        <v>43.63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IFERROR(__xludf.DUMMYFUNCTION("""COMPUTED_VALUE"""),43.95)</f>
        <v>43.95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IFERROR(__xludf.DUMMYFUNCTION("""COMPUTED_VALUE"""),46.72)</f>
        <v>46.72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IFERROR(__xludf.DUMMYFUNCTION("""COMPUTED_VALUE"""),46.13)</f>
        <v>46.13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IFERROR(__xludf.DUMMYFUNCTION("""COMPUTED_VALUE"""),48.33)</f>
        <v>48.33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IFERROR(__xludf.DUMMYFUNCTION("""COMPUTED_VALUE"""),48.67)</f>
        <v>48.67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IFERROR(__xludf.DUMMYFUNCTION("""COMPUTED_VALUE"""),47.6)</f>
        <v>47.6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IFERROR(__xludf.DUMMYFUNCTION("GOOGLEFINANCE(""NSE:ITC"",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IFERROR(__xludf.DUMMYFUNCTION("""COMPUTED_VALUE"""),49.57)</f>
        <v>49.57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IFERROR(__xludf.DUMMYFUNCTION("""COMPUTED_VALUE"""),49.0)</f>
        <v>49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IFERROR(__xludf.DUMMYFUNCTION("""COMPUTED_VALUE"""),49.17)</f>
        <v>49.17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IFERROR(__xludf.DUMMYFUNCTION("""COMPUTED_VALUE"""),52.93)</f>
        <v>52.93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IFERROR(__xludf.DUMMYFUNCTION("""COMPUTED_VALUE"""),52.47)</f>
        <v>52.47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IFERROR(__xludf.DUMMYFUNCTION("""COMPUTED_VALUE"""),54.68)</f>
        <v>54.68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IFERROR(__xludf.DUMMYFUNCTION("""COMPUTED_VALUE"""),57.5)</f>
        <v>57.5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IFERROR(__xludf.DUMMYFUNCTION("""COMPUTED_VALUE"""),56.0)</f>
        <v>56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IFERROR(__xludf.DUMMYFUNCTION("""COMPUTED_VALUE"""),59.95)</f>
        <v>59.95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IFERROR(__xludf.DUMMYFUNCTION("""COMPUTED_VALUE"""),60.3)</f>
        <v>60.3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IFERROR(__xludf.DUMMYFUNCTION("""COMPUTED_VALUE"""),60.02)</f>
        <v>60.02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IFERROR(__xludf.DUMMYFUNCTION("""COMPUTED_VALUE"""),62.17)</f>
        <v>62.17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IFERROR(__xludf.DUMMYFUNCTION("""COMPUTED_VALUE"""),68.17)</f>
        <v>68.17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IFERROR(__xludf.DUMMYFUNCTION("""COMPUTED_VALUE"""),69.5)</f>
        <v>69.5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IFERROR(__xludf.DUMMYFUNCTION("""COMPUTED_VALUE"""),67.63)</f>
        <v>67.63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IFERROR(__xludf.DUMMYFUNCTION("""COMPUTED_VALUE"""),68.0)</f>
        <v>68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IFERROR(__xludf.DUMMYFUNCTION("""COMPUTED_VALUE"""),70.83)</f>
        <v>70.83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IFERROR(__xludf.DUMMYFUNCTION("""COMPUTED_VALUE"""),70.2)</f>
        <v>70.2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IFERROR(__xludf.DUMMYFUNCTION("""COMPUTED_VALUE"""),68.67)</f>
        <v>68.67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IFERROR(__xludf.DUMMYFUNCTION("""COMPUTED_VALUE"""),63.33)</f>
        <v>63.33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IFERROR(__xludf.DUMMYFUNCTION("""COMPUTED_VALUE"""),61.98)</f>
        <v>61.98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IFERROR(__xludf.DUMMYFUNCTION("""COMPUTED_VALUE"""),56.63)</f>
        <v>56.63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IFERROR(__xludf.DUMMYFUNCTION("""COMPUTED_VALUE"""),55.9)</f>
        <v>55.9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IFERROR(__xludf.DUMMYFUNCTION("""COMPUTED_VALUE"""),58.2)</f>
        <v>58.2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IFERROR(__xludf.DUMMYFUNCTION("""COMPUTED_VALUE"""),61.33)</f>
        <v>61.33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IFERROR(__xludf.DUMMYFUNCTION("""COMPUTED_VALUE"""),62.3)</f>
        <v>62.3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IFERROR(__xludf.DUMMYFUNCTION("""COMPUTED_VALUE"""),61.1)</f>
        <v>61.1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IFERROR(__xludf.DUMMYFUNCTION("""COMPUTED_VALUE"""),59.0)</f>
        <v>59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IFERROR(__xludf.DUMMYFUNCTION("""COMPUTED_VALUE"""),58.33)</f>
        <v>58.33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IFERROR(__xludf.DUMMYFUNCTION("""COMPUTED_VALUE"""),58.63)</f>
        <v>58.63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IFERROR(__xludf.DUMMYFUNCTION("""COMPUTED_VALUE"""),59.97)</f>
        <v>59.97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IFERROR(__xludf.DUMMYFUNCTION("""COMPUTED_VALUE"""),60.97)</f>
        <v>60.97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IFERROR(__xludf.DUMMYFUNCTION("""COMPUTED_VALUE"""),61.1)</f>
        <v>61.1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IFERROR(__xludf.DUMMYFUNCTION("""COMPUTED_VALUE"""),64.33)</f>
        <v>64.33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IFERROR(__xludf.DUMMYFUNCTION("""COMPUTED_VALUE"""),64.13)</f>
        <v>64.13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IFERROR(__xludf.DUMMYFUNCTION("""COMPUTED_VALUE"""),63.33)</f>
        <v>63.33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IFERROR(__xludf.DUMMYFUNCTION("""COMPUTED_VALUE"""),63.98)</f>
        <v>63.98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IFERROR(__xludf.DUMMYFUNCTION("""COMPUTED_VALUE"""),63.0)</f>
        <v>63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IFERROR(__xludf.DUMMYFUNCTION("""COMPUTED_VALUE"""),63.32)</f>
        <v>63.32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IFERROR(__xludf.DUMMYFUNCTION("""COMPUTED_VALUE"""),63.5)</f>
        <v>63.5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IFERROR(__xludf.DUMMYFUNCTION("""COMPUTED_VALUE"""),63.03)</f>
        <v>63.03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IFERROR(__xludf.DUMMYFUNCTION("""COMPUTED_VALUE"""),64.0)</f>
        <v>64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IFERROR(__xludf.DUMMYFUNCTION("""COMPUTED_VALUE"""),64.27)</f>
        <v>64.27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IFERROR(__xludf.DUMMYFUNCTION("""COMPUTED_VALUE"""),63.12)</f>
        <v>63.12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IFERROR(__xludf.DUMMYFUNCTION("""COMPUTED_VALUE"""),62.13)</f>
        <v>62.13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IFERROR(__xludf.DUMMYFUNCTION("""COMPUTED_VALUE"""),62.67)</f>
        <v>62.67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IFERROR(__xludf.DUMMYFUNCTION("""COMPUTED_VALUE"""),63.98)</f>
        <v>63.98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IFERROR(__xludf.DUMMYFUNCTION("""COMPUTED_VALUE"""),61.75)</f>
        <v>61.75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IFERROR(__xludf.DUMMYFUNCTION("""COMPUTED_VALUE"""),59.0)</f>
        <v>59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IFERROR(__xludf.DUMMYFUNCTION("""COMPUTED_VALUE"""),59.73)</f>
        <v>59.73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IFERROR(__xludf.DUMMYFUNCTION("GOOGLEFINANCE(""NSE:ITC"",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IFERROR(__xludf.DUMMYFUNCTION("""COMPUTED_VALUE"""),59.42)</f>
        <v>59.42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IFERROR(__xludf.DUMMYFUNCTION("""COMPUTED_VALUE"""),57.37)</f>
        <v>57.37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IFERROR(__xludf.DUMMYFUNCTION("""COMPUTED_VALUE"""),58.9)</f>
        <v>58.9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IFERROR(__xludf.DUMMYFUNCTION("""COMPUTED_VALUE"""),60.33)</f>
        <v>60.33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IFERROR(__xludf.DUMMYFUNCTION("""COMPUTED_VALUE"""),59.93)</f>
        <v>59.93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IFERROR(__xludf.DUMMYFUNCTION("""COMPUTED_VALUE"""),59.78)</f>
        <v>59.78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IFERROR(__xludf.DUMMYFUNCTION("""COMPUTED_VALUE"""),59.0)</f>
        <v>59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IFERROR(__xludf.DUMMYFUNCTION("""COMPUTED_VALUE"""),59.0)</f>
        <v>59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IFERROR(__xludf.DUMMYFUNCTION("""COMPUTED_VALUE"""),60.0)</f>
        <v>60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IFERROR(__xludf.DUMMYFUNCTION("""COMPUTED_VALUE"""),55.5)</f>
        <v>55.5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IFERROR(__xludf.DUMMYFUNCTION("""COMPUTED_VALUE"""),52.23)</f>
        <v>52.23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IFERROR(__xludf.DUMMYFUNCTION("""COMPUTED_VALUE"""),50.0)</f>
        <v>50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IFERROR(__xludf.DUMMYFUNCTION("""COMPUTED_VALUE"""),51.08)</f>
        <v>51.08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IFERROR(__xludf.DUMMYFUNCTION("""COMPUTED_VALUE"""),51.57)</f>
        <v>51.57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IFERROR(__xludf.DUMMYFUNCTION("""COMPUTED_VALUE"""),54.25)</f>
        <v>54.25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IFERROR(__xludf.DUMMYFUNCTION("""COMPUTED_VALUE"""),54.05)</f>
        <v>54.05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IFERROR(__xludf.DUMMYFUNCTION("""COMPUTED_VALUE"""),54.67)</f>
        <v>54.67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IFERROR(__xludf.DUMMYFUNCTION("""COMPUTED_VALUE"""),54.33)</f>
        <v>54.33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IFERROR(__xludf.DUMMYFUNCTION("""COMPUTED_VALUE"""),55.72)</f>
        <v>55.72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IFERROR(__xludf.DUMMYFUNCTION("""COMPUTED_VALUE"""),56.0)</f>
        <v>56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IFERROR(__xludf.DUMMYFUNCTION("""COMPUTED_VALUE"""),57.33)</f>
        <v>57.33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IFERROR(__xludf.DUMMYFUNCTION("""COMPUTED_VALUE"""),56.5)</f>
        <v>56.5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IFERROR(__xludf.DUMMYFUNCTION("""COMPUTED_VALUE"""),55.27)</f>
        <v>55.27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IFERROR(__xludf.DUMMYFUNCTION("""COMPUTED_VALUE"""),51.97)</f>
        <v>51.97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IFERROR(__xludf.DUMMYFUNCTION("""COMPUTED_VALUE"""),51.88)</f>
        <v>51.88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IFERROR(__xludf.DUMMYFUNCTION("""COMPUTED_VALUE"""),52.48)</f>
        <v>52.48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IFERROR(__xludf.DUMMYFUNCTION("""COMPUTED_VALUE"""),52.82)</f>
        <v>52.82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IFERROR(__xludf.DUMMYFUNCTION("""COMPUTED_VALUE"""),52.48)</f>
        <v>52.48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IFERROR(__xludf.DUMMYFUNCTION("""COMPUTED_VALUE"""),52.48)</f>
        <v>52.48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IFERROR(__xludf.DUMMYFUNCTION("""COMPUTED_VALUE"""),59.97)</f>
        <v>59.97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IFERROR(__xludf.DUMMYFUNCTION("""COMPUTED_VALUE"""),58.67)</f>
        <v>58.67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IFERROR(__xludf.DUMMYFUNCTION("""COMPUTED_VALUE"""),58.32)</f>
        <v>58.32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IFERROR(__xludf.DUMMYFUNCTION("""COMPUTED_VALUE"""),55.52)</f>
        <v>55.52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IFERROR(__xludf.DUMMYFUNCTION("""COMPUTED_VALUE"""),54.67)</f>
        <v>54.67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IFERROR(__xludf.DUMMYFUNCTION("""COMPUTED_VALUE"""),57.65)</f>
        <v>57.65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IFERROR(__xludf.DUMMYFUNCTION("""COMPUTED_VALUE"""),60.27)</f>
        <v>60.27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IFERROR(__xludf.DUMMYFUNCTION("""COMPUTED_VALUE"""),63.0)</f>
        <v>63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IFERROR(__xludf.DUMMYFUNCTION("""COMPUTED_VALUE"""),65.0)</f>
        <v>65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IFERROR(__xludf.DUMMYFUNCTION("""COMPUTED_VALUE"""),64.37)</f>
        <v>64.37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IFERROR(__xludf.DUMMYFUNCTION("""COMPUTED_VALUE"""),64.3)</f>
        <v>64.3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IFERROR(__xludf.DUMMYFUNCTION("""COMPUTED_VALUE"""),63.33)</f>
        <v>63.33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IFERROR(__xludf.DUMMYFUNCTION("""COMPUTED_VALUE"""),63.25)</f>
        <v>63.25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IFERROR(__xludf.DUMMYFUNCTION("""COMPUTED_VALUE"""),63.57)</f>
        <v>63.57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IFERROR(__xludf.DUMMYFUNCTION("""COMPUTED_VALUE"""),61.67)</f>
        <v>61.67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IFERROR(__xludf.DUMMYFUNCTION("""COMPUTED_VALUE"""),69.33)</f>
        <v>69.33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IFERROR(__xludf.DUMMYFUNCTION("""COMPUTED_VALUE"""),70.47)</f>
        <v>70.47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IFERROR(__xludf.DUMMYFUNCTION("""COMPUTED_VALUE"""),64.5)</f>
        <v>64.5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IFERROR(__xludf.DUMMYFUNCTION("""COMPUTED_VALUE"""),65.65)</f>
        <v>65.65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IFERROR(__xludf.DUMMYFUNCTION("""COMPUTED_VALUE"""),67.97)</f>
        <v>67.97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IFERROR(__xludf.DUMMYFUNCTION("""COMPUTED_VALUE"""),69.0)</f>
        <v>69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IFERROR(__xludf.DUMMYFUNCTION("""COMPUTED_VALUE"""),69.08)</f>
        <v>69.08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IFERROR(__xludf.DUMMYFUNCTION("GOOGLEFINANCE(""NSE:ITC"",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IFERROR(__xludf.DUMMYFUNCTION("""COMPUTED_VALUE"""),75.8)</f>
        <v>75.8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IFERROR(__xludf.DUMMYFUNCTION("""COMPUTED_VALUE"""),79.8)</f>
        <v>79.8</v>
      </c>
    </row>
    <row r="334" ht="15.75" customHeight="1">
      <c r="B334" s="3">
        <f>IFERROR(__xludf.DUMMYFUNCTION("""COMPUTED_VALUE"""),39465.645833333336)</f>
        <v>39465.64583</v>
      </c>
      <c r="C334" s="2">
        <f>IFERROR(__xludf.DUMMYFUNCTION("""COMPUTED_VALUE"""),75.63)</f>
        <v>75.63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IFERROR(__xludf.DUMMYFUNCTION("""COMPUTED_VALUE"""),71.33)</f>
        <v>71.33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IFERROR(__xludf.DUMMYFUNCTION("""COMPUTED_VALUE"""),69.83)</f>
        <v>69.83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IFERROR(__xludf.DUMMYFUNCTION("""COMPUTED_VALUE"""),70.63)</f>
        <v>70.63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IFERROR(__xludf.DUMMYFUNCTION("""COMPUTED_VALUE"""),68.0)</f>
        <v>68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IFERROR(__xludf.DUMMYFUNCTION("""COMPUTED_VALUE"""),71.0)</f>
        <v>71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IFERROR(__xludf.DUMMYFUNCTION("""COMPUTED_VALUE"""),69.0)</f>
        <v>69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IFERROR(__xludf.DUMMYFUNCTION("""COMPUTED_VALUE"""),66.1)</f>
        <v>66.1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IFERROR(__xludf.DUMMYFUNCTION("""COMPUTED_VALUE"""),66.0)</f>
        <v>66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IFERROR(__xludf.DUMMYFUNCTION("""COMPUTED_VALUE"""),63.8)</f>
        <v>63.8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IFERROR(__xludf.DUMMYFUNCTION("""COMPUTED_VALUE"""),69.33)</f>
        <v>69.33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IFERROR(__xludf.DUMMYFUNCTION("""COMPUTED_VALUE"""),72.27)</f>
        <v>72.27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IFERROR(__xludf.DUMMYFUNCTION("""COMPUTED_VALUE"""),71.48)</f>
        <v>71.48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IFERROR(__xludf.DUMMYFUNCTION("""COMPUTED_VALUE"""),70.97)</f>
        <v>70.97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IFERROR(__xludf.DUMMYFUNCTION("""COMPUTED_VALUE"""),72.0)</f>
        <v>72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IFERROR(__xludf.DUMMYFUNCTION("""COMPUTED_VALUE"""),74.9)</f>
        <v>74.9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IFERROR(__xludf.DUMMYFUNCTION("""COMPUTED_VALUE"""),76.57)</f>
        <v>76.57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IFERROR(__xludf.DUMMYFUNCTION("""COMPUTED_VALUE"""),76.33)</f>
        <v>76.33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IFERROR(__xludf.DUMMYFUNCTION("""COMPUTED_VALUE"""),77.47)</f>
        <v>77.47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IFERROR(__xludf.DUMMYFUNCTION("""COMPUTED_VALUE"""),74.65)</f>
        <v>74.65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IFERROR(__xludf.DUMMYFUNCTION("""COMPUTED_VALUE"""),75.0)</f>
        <v>75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IFERROR(__xludf.DUMMYFUNCTION("""COMPUTED_VALUE"""),71.13)</f>
        <v>71.13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IFERROR(__xludf.DUMMYFUNCTION("""COMPUTED_VALUE"""),69.08)</f>
        <v>69.08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IFERROR(__xludf.DUMMYFUNCTION("""COMPUTED_VALUE"""),68.08)</f>
        <v>68.08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IFERROR(__xludf.DUMMYFUNCTION("""COMPUTED_VALUE"""),63.58)</f>
        <v>63.58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IFERROR(__xludf.DUMMYFUNCTION("""COMPUTED_VALUE"""),62.12)</f>
        <v>62.12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IFERROR(__xludf.DUMMYFUNCTION("""COMPUTED_VALUE"""),59.63)</f>
        <v>59.63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IFERROR(__xludf.DUMMYFUNCTION("""COMPUTED_VALUE"""),66.57)</f>
        <v>66.57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IFERROR(__xludf.DUMMYFUNCTION("""COMPUTED_VALUE"""),64.5)</f>
        <v>64.5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IFERROR(__xludf.DUMMYFUNCTION("""COMPUTED_VALUE"""),65.28)</f>
        <v>65.28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IFERROR(__xludf.DUMMYFUNCTION("""COMPUTED_VALUE"""),66.08)</f>
        <v>66.08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IFERROR(__xludf.DUMMYFUNCTION("""COMPUTED_VALUE"""),64.7)</f>
        <v>64.7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IFERROR(__xludf.DUMMYFUNCTION("""COMPUTED_VALUE"""),63.32)</f>
        <v>63.32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IFERROR(__xludf.DUMMYFUNCTION("""COMPUTED_VALUE"""),65.67)</f>
        <v>65.67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IFERROR(__xludf.DUMMYFUNCTION("""COMPUTED_VALUE"""),70.0)</f>
        <v>70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IFERROR(__xludf.DUMMYFUNCTION("""COMPUTED_VALUE"""),64.95)</f>
        <v>64.95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IFERROR(__xludf.DUMMYFUNCTION("""COMPUTED_VALUE"""),66.63)</f>
        <v>66.63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IFERROR(__xludf.DUMMYFUNCTION("""COMPUTED_VALUE"""),66.33)</f>
        <v>66.33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IFERROR(__xludf.DUMMYFUNCTION("""COMPUTED_VALUE"""),64.97)</f>
        <v>64.97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IFERROR(__xludf.DUMMYFUNCTION("""COMPUTED_VALUE"""),57.97)</f>
        <v>57.97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IFERROR(__xludf.DUMMYFUNCTION("""COMPUTED_VALUE"""),59.33)</f>
        <v>59.33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IFERROR(__xludf.DUMMYFUNCTION("""COMPUTED_VALUE"""),56.97)</f>
        <v>56.97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IFERROR(__xludf.DUMMYFUNCTION("""COMPUTED_VALUE"""),58.67)</f>
        <v>58.67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IFERROR(__xludf.DUMMYFUNCTION("""COMPUTED_VALUE"""),59.2)</f>
        <v>59.2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IFERROR(__xludf.DUMMYFUNCTION("""COMPUTED_VALUE"""),58.02)</f>
        <v>58.02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IFERROR(__xludf.DUMMYFUNCTION("""COMPUTED_VALUE"""),58.9)</f>
        <v>58.9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IFERROR(__xludf.DUMMYFUNCTION("""COMPUTED_VALUE"""),59.0)</f>
        <v>59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IFERROR(__xludf.DUMMYFUNCTION("""COMPUTED_VALUE"""),58.8)</f>
        <v>58.8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IFERROR(__xludf.DUMMYFUNCTION("""COMPUTED_VALUE"""),61.48)</f>
        <v>61.48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IFERROR(__xludf.DUMMYFUNCTION("""COMPUTED_VALUE"""),60.62)</f>
        <v>60.62</v>
      </c>
    </row>
    <row r="384" ht="15.75" customHeight="1"/>
    <row r="385" ht="15.75" customHeight="1"/>
    <row r="386" ht="15.75" customHeight="1">
      <c r="B386" s="2" t="str">
        <f>IFERROR(__xludf.DUMMYFUNCTION("GOOGLEFINANCE(""NSE:ITC"",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IFERROR(__xludf.DUMMYFUNCTION("""COMPUTED_VALUE"""),58.63)</f>
        <v>58.63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IFERROR(__xludf.DUMMYFUNCTION("""COMPUTED_VALUE"""),58.9)</f>
        <v>58.9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IFERROR(__xludf.DUMMYFUNCTION("""COMPUTED_VALUE"""),57.83)</f>
        <v>57.83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IFERROR(__xludf.DUMMYFUNCTION("""COMPUTED_VALUE"""),58.28)</f>
        <v>58.28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IFERROR(__xludf.DUMMYFUNCTION("""COMPUTED_VALUE"""),60.33)</f>
        <v>60.33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IFERROR(__xludf.DUMMYFUNCTION("""COMPUTED_VALUE"""),61.5)</f>
        <v>61.5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IFERROR(__xludf.DUMMYFUNCTION("""COMPUTED_VALUE"""),61.3)</f>
        <v>61.3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IFERROR(__xludf.DUMMYFUNCTION("""COMPUTED_VALUE"""),60.9)</f>
        <v>60.9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IFERROR(__xludf.DUMMYFUNCTION("""COMPUTED_VALUE"""),63.32)</f>
        <v>63.32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IFERROR(__xludf.DUMMYFUNCTION("""COMPUTED_VALUE"""),60.7)</f>
        <v>60.7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IFERROR(__xludf.DUMMYFUNCTION("""COMPUTED_VALUE"""),55.75)</f>
        <v>55.75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IFERROR(__xludf.DUMMYFUNCTION("""COMPUTED_VALUE"""),59.0)</f>
        <v>59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IFERROR(__xludf.DUMMYFUNCTION("""COMPUTED_VALUE"""),62.93)</f>
        <v>62.93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IFERROR(__xludf.DUMMYFUNCTION("""COMPUTED_VALUE"""),63.3)</f>
        <v>63.3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IFERROR(__xludf.DUMMYFUNCTION("""COMPUTED_VALUE"""),64.33)</f>
        <v>64.33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IFERROR(__xludf.DUMMYFUNCTION("""COMPUTED_VALUE"""),64.63)</f>
        <v>64.63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IFERROR(__xludf.DUMMYFUNCTION("""COMPUTED_VALUE"""),63.97)</f>
        <v>63.97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IFERROR(__xludf.DUMMYFUNCTION("""COMPUTED_VALUE"""),64.75)</f>
        <v>64.75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IFERROR(__xludf.DUMMYFUNCTION("""COMPUTED_VALUE"""),69.22)</f>
        <v>69.22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IFERROR(__xludf.DUMMYFUNCTION("""COMPUTED_VALUE"""),64.4)</f>
        <v>64.4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IFERROR(__xludf.DUMMYFUNCTION("""COMPUTED_VALUE"""),74.42)</f>
        <v>74.42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IFERROR(__xludf.DUMMYFUNCTION("""COMPUTED_VALUE"""),64.0)</f>
        <v>64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IFERROR(__xludf.DUMMYFUNCTION("""COMPUTED_VALUE"""),70.0)</f>
        <v>70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IFERROR(__xludf.DUMMYFUNCTION("""COMPUTED_VALUE"""),67.67)</f>
        <v>67.67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IFERROR(__xludf.DUMMYFUNCTION("""COMPUTED_VALUE"""),67.57)</f>
        <v>67.57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IFERROR(__xludf.DUMMYFUNCTION("""COMPUTED_VALUE"""),68.5)</f>
        <v>68.5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IFERROR(__xludf.DUMMYFUNCTION("""COMPUTED_VALUE"""),65.95)</f>
        <v>65.95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IFERROR(__xludf.DUMMYFUNCTION("""COMPUTED_VALUE"""),71.67)</f>
        <v>71.67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IFERROR(__xludf.DUMMYFUNCTION("""COMPUTED_VALUE"""),77.33)</f>
        <v>77.33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IFERROR(__xludf.DUMMYFUNCTION("""COMPUTED_VALUE"""),78.25)</f>
        <v>78.25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IFERROR(__xludf.DUMMYFUNCTION("""COMPUTED_VALUE"""),84.33)</f>
        <v>84.33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IFERROR(__xludf.DUMMYFUNCTION("""COMPUTED_VALUE"""),84.33)</f>
        <v>84.33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IFERROR(__xludf.DUMMYFUNCTION("""COMPUTED_VALUE"""),80.62)</f>
        <v>80.62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IFERROR(__xludf.DUMMYFUNCTION("""COMPUTED_VALUE"""),77.97)</f>
        <v>77.97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IFERROR(__xludf.DUMMYFUNCTION("""COMPUTED_VALUE"""),81.32)</f>
        <v>81.32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IFERROR(__xludf.DUMMYFUNCTION("""COMPUTED_VALUE"""),78.83)</f>
        <v>78.83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IFERROR(__xludf.DUMMYFUNCTION("""COMPUTED_VALUE"""),79.33)</f>
        <v>79.33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IFERROR(__xludf.DUMMYFUNCTION("""COMPUTED_VALUE"""),78.3)</f>
        <v>78.3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IFERROR(__xludf.DUMMYFUNCTION("""COMPUTED_VALUE"""),78.93)</f>
        <v>78.93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IFERROR(__xludf.DUMMYFUNCTION("""COMPUTED_VALUE"""),79.33)</f>
        <v>79.33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IFERROR(__xludf.DUMMYFUNCTION("""COMPUTED_VALUE"""),84.52)</f>
        <v>84.52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IFERROR(__xludf.DUMMYFUNCTION("""COMPUTED_VALUE"""),87.0)</f>
        <v>87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IFERROR(__xludf.DUMMYFUNCTION("""COMPUTED_VALUE"""),88.83)</f>
        <v>88.83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IFERROR(__xludf.DUMMYFUNCTION("""COMPUTED_VALUE"""),86.62)</f>
        <v>86.62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IFERROR(__xludf.DUMMYFUNCTION("""COMPUTED_VALUE"""),87.33)</f>
        <v>87.33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IFERROR(__xludf.DUMMYFUNCTION("""COMPUTED_VALUE"""),87.0)</f>
        <v>87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IFERROR(__xludf.DUMMYFUNCTION("""COMPUTED_VALUE"""),90.33)</f>
        <v>90.33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IFERROR(__xludf.DUMMYFUNCTION("""COMPUTED_VALUE"""),87.22)</f>
        <v>87.22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IFERROR(__xludf.DUMMYFUNCTION("""COMPUTED_VALUE"""),86.58)</f>
        <v>86.58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IFERROR(__xludf.DUMMYFUNCTION("""COMPUTED_VALUE"""),84.98)</f>
        <v>84.98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IFERROR(__xludf.DUMMYFUNCTION("""COMPUTED_VALUE"""),85.97)</f>
        <v>85.97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IFERROR(__xludf.DUMMYFUNCTION("""COMPUTED_VALUE"""),85.82)</f>
        <v>85.82</v>
      </c>
    </row>
    <row r="439" ht="15.75" customHeight="1"/>
    <row r="440" ht="15.75" customHeight="1"/>
    <row r="441" ht="15.75" customHeight="1">
      <c r="B441" s="2" t="str">
        <f>IFERROR(__xludf.DUMMYFUNCTION("GOOGLEFINANCE(""NSE:ITC"",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IFERROR(__xludf.DUMMYFUNCTION("""COMPUTED_VALUE"""),86.23)</f>
        <v>86.23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IFERROR(__xludf.DUMMYFUNCTION("""COMPUTED_VALUE"""),86.5)</f>
        <v>86.5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IFERROR(__xludf.DUMMYFUNCTION("""COMPUTED_VALUE"""),84.77)</f>
        <v>84.77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IFERROR(__xludf.DUMMYFUNCTION("""COMPUTED_VALUE"""),86.35)</f>
        <v>86.35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IFERROR(__xludf.DUMMYFUNCTION("""COMPUTED_VALUE"""),82.73)</f>
        <v>82.73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IFERROR(__xludf.DUMMYFUNCTION("""COMPUTED_VALUE"""),84.25)</f>
        <v>84.25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IFERROR(__xludf.DUMMYFUNCTION("""COMPUTED_VALUE"""),84.13)</f>
        <v>84.13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IFERROR(__xludf.DUMMYFUNCTION("""COMPUTED_VALUE"""),82.33)</f>
        <v>82.33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IFERROR(__xludf.DUMMYFUNCTION("""COMPUTED_VALUE"""),86.8)</f>
        <v>86.8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IFERROR(__xludf.DUMMYFUNCTION("""COMPUTED_VALUE"""),88.23)</f>
        <v>88.23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IFERROR(__xludf.DUMMYFUNCTION("""COMPUTED_VALUE"""),88.82)</f>
        <v>88.82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IFERROR(__xludf.DUMMYFUNCTION("""COMPUTED_VALUE"""),90.97)</f>
        <v>90.97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IFERROR(__xludf.DUMMYFUNCTION("""COMPUTED_VALUE"""),90.17)</f>
        <v>90.17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IFERROR(__xludf.DUMMYFUNCTION("""COMPUTED_VALUE"""),91.23)</f>
        <v>91.23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IFERROR(__xludf.DUMMYFUNCTION("""COMPUTED_VALUE"""),91.27)</f>
        <v>91.27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IFERROR(__xludf.DUMMYFUNCTION("""COMPUTED_VALUE"""),90.8)</f>
        <v>90.8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IFERROR(__xludf.DUMMYFUNCTION("""COMPUTED_VALUE"""),88.87)</f>
        <v>88.87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IFERROR(__xludf.DUMMYFUNCTION("""COMPUTED_VALUE"""),91.0)</f>
        <v>91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IFERROR(__xludf.DUMMYFUNCTION("""COMPUTED_VALUE"""),91.43)</f>
        <v>91.43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IFERROR(__xludf.DUMMYFUNCTION("""COMPUTED_VALUE"""),94.67)</f>
        <v>94.67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IFERROR(__xludf.DUMMYFUNCTION("""COMPUTED_VALUE"""),97.27)</f>
        <v>97.27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IFERROR(__xludf.DUMMYFUNCTION("""COMPUTED_VALUE"""),97.53)</f>
        <v>97.53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IFERROR(__xludf.DUMMYFUNCTION("""COMPUTED_VALUE"""),99.77)</f>
        <v>99.77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IFERROR(__xludf.DUMMYFUNCTION("""COMPUTED_VALUE"""),102.63)</f>
        <v>102.63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IFERROR(__xludf.DUMMYFUNCTION("""COMPUTED_VALUE"""),102.07)</f>
        <v>102.07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IFERROR(__xludf.DUMMYFUNCTION("""COMPUTED_VALUE"""),101.78)</f>
        <v>101.78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IFERROR(__xludf.DUMMYFUNCTION("""COMPUTED_VALUE"""),100.72)</f>
        <v>100.72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IFERROR(__xludf.DUMMYFUNCTION("""COMPUTED_VALUE"""),100.9)</f>
        <v>100.9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IFERROR(__xludf.DUMMYFUNCTION("""COMPUTED_VALUE"""),103.97)</f>
        <v>103.97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IFERROR(__xludf.DUMMYFUNCTION("""COMPUTED_VALUE"""),106.67)</f>
        <v>106.67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IFERROR(__xludf.DUMMYFUNCTION("""COMPUTED_VALUE"""),106.8)</f>
        <v>106.8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IFERROR(__xludf.DUMMYFUNCTION("""COMPUTED_VALUE"""),110.87)</f>
        <v>110.87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IFERROR(__xludf.DUMMYFUNCTION("""COMPUTED_VALUE"""),110.23)</f>
        <v>110.23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IFERROR(__xludf.DUMMYFUNCTION("""COMPUTED_VALUE"""),110.57)</f>
        <v>110.57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IFERROR(__xludf.DUMMYFUNCTION("""COMPUTED_VALUE"""),111.53)</f>
        <v>111.53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IFERROR(__xludf.DUMMYFUNCTION("""COMPUTED_VALUE"""),112.93)</f>
        <v>112.93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IFERROR(__xludf.DUMMYFUNCTION("""COMPUTED_VALUE"""),120.57)</f>
        <v>120.57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IFERROR(__xludf.DUMMYFUNCTION("""COMPUTED_VALUE"""),120.4)</f>
        <v>120.4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IFERROR(__xludf.DUMMYFUNCTION("""COMPUTED_VALUE"""),121.2)</f>
        <v>121.2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IFERROR(__xludf.DUMMYFUNCTION("""COMPUTED_VALUE"""),117.9)</f>
        <v>117.9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IFERROR(__xludf.DUMMYFUNCTION("""COMPUTED_VALUE"""),116.67)</f>
        <v>116.67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IFERROR(__xludf.DUMMYFUNCTION("""COMPUTED_VALUE"""),115.6)</f>
        <v>115.6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IFERROR(__xludf.DUMMYFUNCTION("""COMPUTED_VALUE"""),119.0)</f>
        <v>119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IFERROR(__xludf.DUMMYFUNCTION("""COMPUTED_VALUE"""),119.6)</f>
        <v>119.6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IFERROR(__xludf.DUMMYFUNCTION("""COMPUTED_VALUE"""),117.63)</f>
        <v>117.63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IFERROR(__xludf.DUMMYFUNCTION("""COMPUTED_VALUE"""),117.6)</f>
        <v>117.6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IFERROR(__xludf.DUMMYFUNCTION("""COMPUTED_VALUE"""),115.33)</f>
        <v>115.33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IFERROR(__xludf.DUMMYFUNCTION("""COMPUTED_VALUE"""),114.0)</f>
        <v>114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IFERROR(__xludf.DUMMYFUNCTION("""COMPUTED_VALUE"""),114.0)</f>
        <v>114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IFERROR(__xludf.DUMMYFUNCTION("""COMPUTED_VALUE"""),113.6)</f>
        <v>113.6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IFERROR(__xludf.DUMMYFUNCTION("""COMPUTED_VALUE"""),117.57)</f>
        <v>117.57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IFERROR(__xludf.DUMMYFUNCTION("GOOGLEFINANCE(""NSE:ITC"",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IFERROR(__xludf.DUMMYFUNCTION("""COMPUTED_VALUE"""),120.67)</f>
        <v>120.67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IFERROR(__xludf.DUMMYFUNCTION("""COMPUTED_VALUE"""),118.1)</f>
        <v>118.1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IFERROR(__xludf.DUMMYFUNCTION("""COMPUTED_VALUE"""),118.87)</f>
        <v>118.87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IFERROR(__xludf.DUMMYFUNCTION("""COMPUTED_VALUE"""),113.63)</f>
        <v>113.63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IFERROR(__xludf.DUMMYFUNCTION("""COMPUTED_VALUE"""),111.93)</f>
        <v>111.93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IFERROR(__xludf.DUMMYFUNCTION("""COMPUTED_VALUE"""),105.97)</f>
        <v>105.97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IFERROR(__xludf.DUMMYFUNCTION("""COMPUTED_VALUE"""),106.77)</f>
        <v>106.77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IFERROR(__xludf.DUMMYFUNCTION("""COMPUTED_VALUE"""),105.9)</f>
        <v>105.9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IFERROR(__xludf.DUMMYFUNCTION("""COMPUTED_VALUE"""),117.33)</f>
        <v>117.33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IFERROR(__xludf.DUMMYFUNCTION("""COMPUTED_VALUE"""),115.93)</f>
        <v>115.93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IFERROR(__xludf.DUMMYFUNCTION("""COMPUTED_VALUE"""),115.93)</f>
        <v>115.93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IFERROR(__xludf.DUMMYFUNCTION("""COMPUTED_VALUE"""),118.67)</f>
        <v>118.67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IFERROR(__xludf.DUMMYFUNCTION("""COMPUTED_VALUE"""),123.3)</f>
        <v>123.3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IFERROR(__xludf.DUMMYFUNCTION("""COMPUTED_VALUE"""),123.8)</f>
        <v>123.8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IFERROR(__xludf.DUMMYFUNCTION("""COMPUTED_VALUE"""),128.43)</f>
        <v>128.43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IFERROR(__xludf.DUMMYFUNCTION("""COMPUTED_VALUE"""),129.83)</f>
        <v>129.83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IFERROR(__xludf.DUMMYFUNCTION("""COMPUTED_VALUE"""),129.87)</f>
        <v>129.87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IFERROR(__xludf.DUMMYFUNCTION("""COMPUTED_VALUE"""),129.33)</f>
        <v>129.33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IFERROR(__xludf.DUMMYFUNCTION("""COMPUTED_VALUE"""),127.93)</f>
        <v>127.93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IFERROR(__xludf.DUMMYFUNCTION("""COMPUTED_VALUE"""),127.87)</f>
        <v>127.87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IFERROR(__xludf.DUMMYFUNCTION("""COMPUTED_VALUE"""),127.27)</f>
        <v>127.27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IFERROR(__xludf.DUMMYFUNCTION("""COMPUTED_VALUE"""),131.93)</f>
        <v>131.93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IFERROR(__xludf.DUMMYFUNCTION("""COMPUTED_VALUE"""),130.9)</f>
        <v>130.9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IFERROR(__xludf.DUMMYFUNCTION("""COMPUTED_VALUE"""),130.53)</f>
        <v>130.53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IFERROR(__xludf.DUMMYFUNCTION("""COMPUTED_VALUE"""),131.0)</f>
        <v>131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IFERROR(__xludf.DUMMYFUNCTION("""COMPUTED_VALUE"""),137.67)</f>
        <v>137.67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IFERROR(__xludf.DUMMYFUNCTION("""COMPUTED_VALUE"""),136.73)</f>
        <v>136.73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IFERROR(__xludf.DUMMYFUNCTION("""COMPUTED_VALUE"""),136.67)</f>
        <v>136.67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IFERROR(__xludf.DUMMYFUNCTION("""COMPUTED_VALUE"""),139.47)</f>
        <v>139.47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IFERROR(__xludf.DUMMYFUNCTION("""COMPUTED_VALUE"""),140.83)</f>
        <v>140.83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IFERROR(__xludf.DUMMYFUNCTION("""COMPUTED_VALUE"""),140.83)</f>
        <v>140.83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IFERROR(__xludf.DUMMYFUNCTION("""COMPUTED_VALUE"""),135.23)</f>
        <v>135.23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IFERROR(__xludf.DUMMYFUNCTION("""COMPUTED_VALUE"""),136.67)</f>
        <v>136.67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IFERROR(__xludf.DUMMYFUNCTION("""COMPUTED_VALUE"""),136.2)</f>
        <v>136.2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IFERROR(__xludf.DUMMYFUNCTION("""COMPUTED_VALUE"""),137.67)</f>
        <v>137.67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IFERROR(__xludf.DUMMYFUNCTION("""COMPUTED_VALUE"""),135.9)</f>
        <v>135.9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IFERROR(__xludf.DUMMYFUNCTION("""COMPUTED_VALUE"""),134.57)</f>
        <v>134.57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IFERROR(__xludf.DUMMYFUNCTION("""COMPUTED_VALUE"""),133.1)</f>
        <v>133.1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IFERROR(__xludf.DUMMYFUNCTION("""COMPUTED_VALUE"""),135.3)</f>
        <v>135.3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IFERROR(__xludf.DUMMYFUNCTION("""COMPUTED_VALUE"""),133.5)</f>
        <v>133.5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IFERROR(__xludf.DUMMYFUNCTION("""COMPUTED_VALUE"""),137.27)</f>
        <v>137.27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IFERROR(__xludf.DUMMYFUNCTION("""COMPUTED_VALUE"""),138.5)</f>
        <v>138.5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IFERROR(__xludf.DUMMYFUNCTION("""COMPUTED_VALUE"""),144.13)</f>
        <v>144.13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IFERROR(__xludf.DUMMYFUNCTION("""COMPUTED_VALUE"""),143.67)</f>
        <v>143.67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IFERROR(__xludf.DUMMYFUNCTION("""COMPUTED_VALUE"""),143.33)</f>
        <v>143.33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IFERROR(__xludf.DUMMYFUNCTION("""COMPUTED_VALUE"""),143.53)</f>
        <v>143.53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IFERROR(__xludf.DUMMYFUNCTION("""COMPUTED_VALUE"""),135.1)</f>
        <v>135.1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IFERROR(__xludf.DUMMYFUNCTION("""COMPUTED_VALUE"""),138.0)</f>
        <v>138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IFERROR(__xludf.DUMMYFUNCTION("""COMPUTED_VALUE"""),138.67)</f>
        <v>138.67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IFERROR(__xludf.DUMMYFUNCTION("""COMPUTED_VALUE"""),135.57)</f>
        <v>135.57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IFERROR(__xludf.DUMMYFUNCTION("""COMPUTED_VALUE"""),136.67)</f>
        <v>136.67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IFERROR(__xludf.DUMMYFUNCTION("""COMPUTED_VALUE"""),137.33)</f>
        <v>137.33</v>
      </c>
    </row>
    <row r="549" ht="15.75" customHeight="1"/>
    <row r="550" ht="15.75" customHeight="1"/>
    <row r="551" ht="15.75" customHeight="1">
      <c r="B551" s="2" t="str">
        <f>IFERROR(__xludf.DUMMYFUNCTION("GOOGLEFINANCE(""NSE:ITC"",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IFERROR(__xludf.DUMMYFUNCTION("""COMPUTED_VALUE"""),138.47)</f>
        <v>138.47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IFERROR(__xludf.DUMMYFUNCTION("""COMPUTED_VALUE"""),140.87)</f>
        <v>140.87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IFERROR(__xludf.DUMMYFUNCTION("""COMPUTED_VALUE"""),138.33)</f>
        <v>138.33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IFERROR(__xludf.DUMMYFUNCTION("""COMPUTED_VALUE"""),136.53)</f>
        <v>136.53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IFERROR(__xludf.DUMMYFUNCTION("""COMPUTED_VALUE"""),138.3)</f>
        <v>138.3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IFERROR(__xludf.DUMMYFUNCTION("""COMPUTED_VALUE"""),137.27)</f>
        <v>137.27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IFERROR(__xludf.DUMMYFUNCTION("""COMPUTED_VALUE"""),140.63)</f>
        <v>140.63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IFERROR(__xludf.DUMMYFUNCTION("""COMPUTED_VALUE"""),141.83)</f>
        <v>141.83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IFERROR(__xludf.DUMMYFUNCTION("""COMPUTED_VALUE"""),150.0)</f>
        <v>150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IFERROR(__xludf.DUMMYFUNCTION("""COMPUTED_VALUE"""),151.13)</f>
        <v>151.13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IFERROR(__xludf.DUMMYFUNCTION("""COMPUTED_VALUE"""),151.93)</f>
        <v>151.93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IFERROR(__xludf.DUMMYFUNCTION("""COMPUTED_VALUE"""),152.6)</f>
        <v>152.6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IFERROR(__xludf.DUMMYFUNCTION("""COMPUTED_VALUE"""),160.57)</f>
        <v>160.57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IFERROR(__xludf.DUMMYFUNCTION("""COMPUTED_VALUE"""),165.37)</f>
        <v>165.37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IFERROR(__xludf.DUMMYFUNCTION("""COMPUTED_VALUE"""),166.2)</f>
        <v>166.2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IFERROR(__xludf.DUMMYFUNCTION("""COMPUTED_VALUE"""),162.27)</f>
        <v>162.27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IFERROR(__xludf.DUMMYFUNCTION("""COMPUTED_VALUE"""),160.67)</f>
        <v>160.67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IFERROR(__xludf.DUMMYFUNCTION("""COMPUTED_VALUE"""),160.63)</f>
        <v>160.63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IFERROR(__xludf.DUMMYFUNCTION("""COMPUTED_VALUE"""),157.33)</f>
        <v>157.33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IFERROR(__xludf.DUMMYFUNCTION("""COMPUTED_VALUE"""),160.87)</f>
        <v>160.87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IFERROR(__xludf.DUMMYFUNCTION("""COMPUTED_VALUE"""),165.87)</f>
        <v>165.87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IFERROR(__xludf.DUMMYFUNCTION("""COMPUTED_VALUE"""),168.67)</f>
        <v>168.67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IFERROR(__xludf.DUMMYFUNCTION("""COMPUTED_VALUE"""),173.33)</f>
        <v>173.33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IFERROR(__xludf.DUMMYFUNCTION("""COMPUTED_VALUE"""),173.6)</f>
        <v>173.6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IFERROR(__xludf.DUMMYFUNCTION("""COMPUTED_VALUE"""),172.8)</f>
        <v>172.8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IFERROR(__xludf.DUMMYFUNCTION("""COMPUTED_VALUE"""),171.13)</f>
        <v>171.13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IFERROR(__xludf.DUMMYFUNCTION("""COMPUTED_VALUE"""),171.33)</f>
        <v>171.33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IFERROR(__xludf.DUMMYFUNCTION("""COMPUTED_VALUE"""),174.67)</f>
        <v>174.67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IFERROR(__xludf.DUMMYFUNCTION("""COMPUTED_VALUE"""),179.33)</f>
        <v>179.33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IFERROR(__xludf.DUMMYFUNCTION("""COMPUTED_VALUE"""),179.6)</f>
        <v>179.6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IFERROR(__xludf.DUMMYFUNCTION("""COMPUTED_VALUE"""),177.53)</f>
        <v>177.53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IFERROR(__xludf.DUMMYFUNCTION("""COMPUTED_VALUE"""),182.17)</f>
        <v>182.17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IFERROR(__xludf.DUMMYFUNCTION("""COMPUTED_VALUE"""),181.87)</f>
        <v>181.87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IFERROR(__xludf.DUMMYFUNCTION("""COMPUTED_VALUE"""),179.23)</f>
        <v>179.23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IFERROR(__xludf.DUMMYFUNCTION("""COMPUTED_VALUE"""),181.9)</f>
        <v>181.9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IFERROR(__xludf.DUMMYFUNCTION("""COMPUTED_VALUE"""),186.67)</f>
        <v>186.67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IFERROR(__xludf.DUMMYFUNCTION("""COMPUTED_VALUE"""),190.13)</f>
        <v>190.13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IFERROR(__xludf.DUMMYFUNCTION("""COMPUTED_VALUE"""),199.33)</f>
        <v>199.33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IFERROR(__xludf.DUMMYFUNCTION("""COMPUTED_VALUE"""),198.87)</f>
        <v>198.87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IFERROR(__xludf.DUMMYFUNCTION("""COMPUTED_VALUE"""),193.33)</f>
        <v>193.33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IFERROR(__xludf.DUMMYFUNCTION("""COMPUTED_VALUE"""),194.3)</f>
        <v>194.3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IFERROR(__xludf.DUMMYFUNCTION("""COMPUTED_VALUE"""),193.33)</f>
        <v>193.33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IFERROR(__xludf.DUMMYFUNCTION("""COMPUTED_VALUE"""),192.83)</f>
        <v>192.83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IFERROR(__xludf.DUMMYFUNCTION("""COMPUTED_VALUE"""),199.97)</f>
        <v>199.97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IFERROR(__xludf.DUMMYFUNCTION("""COMPUTED_VALUE"""),202.0)</f>
        <v>202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IFERROR(__xludf.DUMMYFUNCTION("""COMPUTED_VALUE"""),204.33)</f>
        <v>204.33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IFERROR(__xludf.DUMMYFUNCTION("""COMPUTED_VALUE"""),197.33)</f>
        <v>197.33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IFERROR(__xludf.DUMMYFUNCTION("""COMPUTED_VALUE"""),195.17)</f>
        <v>195.17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IFERROR(__xludf.DUMMYFUNCTION("GOOGLEFINANCE(""NSE:ITC"",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IFERROR(__xludf.DUMMYFUNCTION("""COMPUTED_VALUE"""),193.03)</f>
        <v>193.03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IFERROR(__xludf.DUMMYFUNCTION("""COMPUTED_VALUE"""),190.8)</f>
        <v>190.8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IFERROR(__xludf.DUMMYFUNCTION("""COMPUTED_VALUE"""),193.23)</f>
        <v>193.23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IFERROR(__xludf.DUMMYFUNCTION("""COMPUTED_VALUE"""),200.33)</f>
        <v>200.33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IFERROR(__xludf.DUMMYFUNCTION("""COMPUTED_VALUE"""),206.63)</f>
        <v>206.63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IFERROR(__xludf.DUMMYFUNCTION("""COMPUTED_VALUE"""),207.27)</f>
        <v>207.27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IFERROR(__xludf.DUMMYFUNCTION("""COMPUTED_VALUE"""),203.0)</f>
        <v>203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IFERROR(__xludf.DUMMYFUNCTION("""COMPUTED_VALUE"""),203.8)</f>
        <v>203.8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IFERROR(__xludf.DUMMYFUNCTION("""COMPUTED_VALUE"""),202.6)</f>
        <v>202.6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IFERROR(__xludf.DUMMYFUNCTION("""COMPUTED_VALUE"""),199.33)</f>
        <v>199.33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IFERROR(__xludf.DUMMYFUNCTION("""COMPUTED_VALUE"""),202.6)</f>
        <v>202.6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IFERROR(__xludf.DUMMYFUNCTION("""COMPUTED_VALUE"""),205.33)</f>
        <v>205.33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IFERROR(__xludf.DUMMYFUNCTION("""COMPUTED_VALUE"""),206.67)</f>
        <v>206.67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IFERROR(__xludf.DUMMYFUNCTION("""COMPUTED_VALUE"""),206.6)</f>
        <v>206.6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IFERROR(__xludf.DUMMYFUNCTION("""COMPUTED_VALUE"""),197.1)</f>
        <v>197.1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IFERROR(__xludf.DUMMYFUNCTION("""COMPUTED_VALUE"""),211.0)</f>
        <v>211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IFERROR(__xludf.DUMMYFUNCTION("""COMPUTED_VALUE"""),215.5)</f>
        <v>215.5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IFERROR(__xludf.DUMMYFUNCTION("""COMPUTED_VALUE"""),223.73)</f>
        <v>223.73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IFERROR(__xludf.DUMMYFUNCTION("""COMPUTED_VALUE"""),236.0)</f>
        <v>236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IFERROR(__xludf.DUMMYFUNCTION("""COMPUTED_VALUE"""),228.07)</f>
        <v>228.07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IFERROR(__xludf.DUMMYFUNCTION("""COMPUTED_VALUE"""),237.27)</f>
        <v>237.27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IFERROR(__xludf.DUMMYFUNCTION("""COMPUTED_VALUE"""),227.93)</f>
        <v>227.93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IFERROR(__xludf.DUMMYFUNCTION("""COMPUTED_VALUE"""),225.33)</f>
        <v>225.33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IFERROR(__xludf.DUMMYFUNCTION("""COMPUTED_VALUE"""),221.87)</f>
        <v>221.87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IFERROR(__xludf.DUMMYFUNCTION("""COMPUTED_VALUE"""),220.0)</f>
        <v>220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IFERROR(__xludf.DUMMYFUNCTION("""COMPUTED_VALUE"""),230.0)</f>
        <v>230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IFERROR(__xludf.DUMMYFUNCTION("""COMPUTED_VALUE"""),236.27)</f>
        <v>236.27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IFERROR(__xludf.DUMMYFUNCTION("""COMPUTED_VALUE"""),247.93)</f>
        <v>247.93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IFERROR(__xludf.DUMMYFUNCTION("""COMPUTED_VALUE"""),253.33)</f>
        <v>253.33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IFERROR(__xludf.DUMMYFUNCTION("""COMPUTED_VALUE"""),245.13)</f>
        <v>245.13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IFERROR(__xludf.DUMMYFUNCTION("""COMPUTED_VALUE"""),227.3)</f>
        <v>227.3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IFERROR(__xludf.DUMMYFUNCTION("""COMPUTED_VALUE"""),226.13)</f>
        <v>226.13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IFERROR(__xludf.DUMMYFUNCTION("""COMPUTED_VALUE"""),215.13)</f>
        <v>215.13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IFERROR(__xludf.DUMMYFUNCTION("""COMPUTED_VALUE"""),208.43)</f>
        <v>208.43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IFERROR(__xludf.DUMMYFUNCTION("""COMPUTED_VALUE"""),215.87)</f>
        <v>215.87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IFERROR(__xludf.DUMMYFUNCTION("""COMPUTED_VALUE"""),225.93)</f>
        <v>225.93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IFERROR(__xludf.DUMMYFUNCTION("""COMPUTED_VALUE"""),238.67)</f>
        <v>238.67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IFERROR(__xludf.DUMMYFUNCTION("""COMPUTED_VALUE"""),238.0)</f>
        <v>238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IFERROR(__xludf.DUMMYFUNCTION("""COMPUTED_VALUE"""),231.0)</f>
        <v>231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IFERROR(__xludf.DUMMYFUNCTION("""COMPUTED_VALUE"""),233.87)</f>
        <v>233.87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IFERROR(__xludf.DUMMYFUNCTION("""COMPUTED_VALUE"""),237.4)</f>
        <v>237.4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IFERROR(__xludf.DUMMYFUNCTION("""COMPUTED_VALUE"""),237.33)</f>
        <v>237.33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IFERROR(__xludf.DUMMYFUNCTION("""COMPUTED_VALUE"""),225.33)</f>
        <v>225.33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IFERROR(__xludf.DUMMYFUNCTION("""COMPUTED_VALUE"""),221.3)</f>
        <v>221.3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IFERROR(__xludf.DUMMYFUNCTION("""COMPUTED_VALUE"""),214.6)</f>
        <v>214.6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IFERROR(__xludf.DUMMYFUNCTION("""COMPUTED_VALUE"""),218.43)</f>
        <v>218.43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IFERROR(__xludf.DUMMYFUNCTION("""COMPUTED_VALUE"""),214.0)</f>
        <v>214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IFERROR(__xludf.DUMMYFUNCTION("""COMPUTED_VALUE"""),215.8)</f>
        <v>215.8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IFERROR(__xludf.DUMMYFUNCTION("""COMPUTED_VALUE"""),214.67)</f>
        <v>214.67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IFERROR(__xludf.DUMMYFUNCTION("""COMPUTED_VALUE"""),211.77)</f>
        <v>211.77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IFERROR(__xludf.DUMMYFUNCTION("""COMPUTED_VALUE"""),215.77)</f>
        <v>215.77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IFERROR(__xludf.DUMMYFUNCTION("GOOGLEFINANCE(""NSE:ITC"",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IFERROR(__xludf.DUMMYFUNCTION("""COMPUTED_VALUE"""),216.67)</f>
        <v>216.67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IFERROR(__xludf.DUMMYFUNCTION("""COMPUTED_VALUE"""),216.33)</f>
        <v>216.33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IFERROR(__xludf.DUMMYFUNCTION("""COMPUTED_VALUE"""),220.6)</f>
        <v>220.6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IFERROR(__xludf.DUMMYFUNCTION("""COMPUTED_VALUE"""),221.57)</f>
        <v>221.57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IFERROR(__xludf.DUMMYFUNCTION("""COMPUTED_VALUE"""),219.0)</f>
        <v>219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IFERROR(__xludf.DUMMYFUNCTION("""COMPUTED_VALUE"""),218.0)</f>
        <v>218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IFERROR(__xludf.DUMMYFUNCTION("""COMPUTED_VALUE"""),218.0)</f>
        <v>218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IFERROR(__xludf.DUMMYFUNCTION("""COMPUTED_VALUE"""),214.83)</f>
        <v>214.83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IFERROR(__xludf.DUMMYFUNCTION("""COMPUTED_VALUE"""),221.33)</f>
        <v>221.33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IFERROR(__xludf.DUMMYFUNCTION("""COMPUTED_VALUE"""),226.27)</f>
        <v>226.27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IFERROR(__xludf.DUMMYFUNCTION("""COMPUTED_VALUE"""),232.1)</f>
        <v>232.1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IFERROR(__xludf.DUMMYFUNCTION("""COMPUTED_VALUE"""),243.33)</f>
        <v>243.33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IFERROR(__xludf.DUMMYFUNCTION("""COMPUTED_VALUE"""),240.67)</f>
        <v>240.67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IFERROR(__xludf.DUMMYFUNCTION("""COMPUTED_VALUE"""),233.13)</f>
        <v>233.13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IFERROR(__xludf.DUMMYFUNCTION("""COMPUTED_VALUE"""),235.83)</f>
        <v>235.83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IFERROR(__xludf.DUMMYFUNCTION("""COMPUTED_VALUE"""),237.33)</f>
        <v>237.33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IFERROR(__xludf.DUMMYFUNCTION("""COMPUTED_VALUE"""),230.3)</f>
        <v>230.3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IFERROR(__xludf.DUMMYFUNCTION("""COMPUTED_VALUE"""),234.0)</f>
        <v>234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IFERROR(__xludf.DUMMYFUNCTION("""COMPUTED_VALUE"""),258.33)</f>
        <v>258.33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IFERROR(__xludf.DUMMYFUNCTION("""COMPUTED_VALUE"""),240.67)</f>
        <v>240.67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IFERROR(__xludf.DUMMYFUNCTION("""COMPUTED_VALUE"""),232.0)</f>
        <v>232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IFERROR(__xludf.DUMMYFUNCTION("""COMPUTED_VALUE"""),228.73)</f>
        <v>228.73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IFERROR(__xludf.DUMMYFUNCTION("""COMPUTED_VALUE"""),227.23)</f>
        <v>227.23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IFERROR(__xludf.DUMMYFUNCTION("""COMPUTED_VALUE"""),225.5)</f>
        <v>225.5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IFERROR(__xludf.DUMMYFUNCTION("""COMPUTED_VALUE"""),223.33)</f>
        <v>223.33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IFERROR(__xludf.DUMMYFUNCTION("""COMPUTED_VALUE"""),223.4)</f>
        <v>223.4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IFERROR(__xludf.DUMMYFUNCTION("""COMPUTED_VALUE"""),233.67)</f>
        <v>233.67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IFERROR(__xludf.DUMMYFUNCTION("""COMPUTED_VALUE"""),232.87)</f>
        <v>232.87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IFERROR(__xludf.DUMMYFUNCTION("""COMPUTED_VALUE"""),239.47)</f>
        <v>239.47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IFERROR(__xludf.DUMMYFUNCTION("""COMPUTED_VALUE"""),243.0)</f>
        <v>243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IFERROR(__xludf.DUMMYFUNCTION("""COMPUTED_VALUE"""),238.13)</f>
        <v>238.13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IFERROR(__xludf.DUMMYFUNCTION("""COMPUTED_VALUE"""),241.23)</f>
        <v>241.23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IFERROR(__xludf.DUMMYFUNCTION("""COMPUTED_VALUE"""),236.67)</f>
        <v>236.67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IFERROR(__xludf.DUMMYFUNCTION("""COMPUTED_VALUE"""),238.0)</f>
        <v>238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IFERROR(__xludf.DUMMYFUNCTION("""COMPUTED_VALUE"""),238.67)</f>
        <v>238.67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IFERROR(__xludf.DUMMYFUNCTION("""COMPUTED_VALUE"""),239.73)</f>
        <v>239.73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IFERROR(__xludf.DUMMYFUNCTION("""COMPUTED_VALUE"""),240.53)</f>
        <v>240.53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IFERROR(__xludf.DUMMYFUNCTION("""COMPUTED_VALUE"""),253.27)</f>
        <v>253.27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IFERROR(__xludf.DUMMYFUNCTION("""COMPUTED_VALUE"""),248.6)</f>
        <v>248.6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IFERROR(__xludf.DUMMYFUNCTION("""COMPUTED_VALUE"""),245.53)</f>
        <v>245.53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IFERROR(__xludf.DUMMYFUNCTION("""COMPUTED_VALUE"""),239.93)</f>
        <v>239.93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IFERROR(__xludf.DUMMYFUNCTION("""COMPUTED_VALUE"""),238.57)</f>
        <v>238.57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IFERROR(__xludf.DUMMYFUNCTION("""COMPUTED_VALUE"""),240.0)</f>
        <v>240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IFERROR(__xludf.DUMMYFUNCTION("""COMPUTED_VALUE"""),240.33)</f>
        <v>240.33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IFERROR(__xludf.DUMMYFUNCTION("""COMPUTED_VALUE"""),248.33)</f>
        <v>248.33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IFERROR(__xludf.DUMMYFUNCTION("""COMPUTED_VALUE"""),251.5)</f>
        <v>251.5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IFERROR(__xludf.DUMMYFUNCTION("""COMPUTED_VALUE"""),252.53)</f>
        <v>252.53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IFERROR(__xludf.DUMMYFUNCTION("""COMPUTED_VALUE"""),261.33)</f>
        <v>261.33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IFERROR(__xludf.DUMMYFUNCTION("""COMPUTED_VALUE"""),266.87)</f>
        <v>266.87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IFERROR(__xludf.DUMMYFUNCTION("""COMPUTED_VALUE"""),266.47)</f>
        <v>266.47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IFERROR(__xludf.DUMMYFUNCTION("""COMPUTED_VALUE"""),252.3)</f>
        <v>252.3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IFERROR(__xludf.DUMMYFUNCTION("GOOGLEFINANCE(""NSE:ITC"",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IFERROR(__xludf.DUMMYFUNCTION("""COMPUTED_VALUE"""),247.63)</f>
        <v>247.63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IFERROR(__xludf.DUMMYFUNCTION("""COMPUTED_VALUE"""),247.87)</f>
        <v>247.87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IFERROR(__xludf.DUMMYFUNCTION("""COMPUTED_VALUE"""),241.3)</f>
        <v>241.3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IFERROR(__xludf.DUMMYFUNCTION("""COMPUTED_VALUE"""),248.63)</f>
        <v>248.63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IFERROR(__xludf.DUMMYFUNCTION("""COMPUTED_VALUE"""),248.0)</f>
        <v>248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IFERROR(__xludf.DUMMYFUNCTION("""COMPUTED_VALUE"""),249.6)</f>
        <v>249.6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IFERROR(__xludf.DUMMYFUNCTION("""COMPUTED_VALUE"""),252.83)</f>
        <v>252.83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IFERROR(__xludf.DUMMYFUNCTION("""COMPUTED_VALUE"""),268.0)</f>
        <v>268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IFERROR(__xludf.DUMMYFUNCTION("""COMPUTED_VALUE"""),238.67)</f>
        <v>238.67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IFERROR(__xludf.DUMMYFUNCTION("""COMPUTED_VALUE"""),233.33)</f>
        <v>233.33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IFERROR(__xludf.DUMMYFUNCTION("""COMPUTED_VALUE"""),227.73)</f>
        <v>227.73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IFERROR(__xludf.DUMMYFUNCTION("""COMPUTED_VALUE"""),219.87)</f>
        <v>219.87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IFERROR(__xludf.DUMMYFUNCTION("""COMPUTED_VALUE"""),222.0)</f>
        <v>222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IFERROR(__xludf.DUMMYFUNCTION("""COMPUTED_VALUE"""),232.63)</f>
        <v>232.63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IFERROR(__xludf.DUMMYFUNCTION("""COMPUTED_VALUE"""),239.07)</f>
        <v>239.07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IFERROR(__xludf.DUMMYFUNCTION("""COMPUTED_VALUE"""),234.73)</f>
        <v>234.73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IFERROR(__xludf.DUMMYFUNCTION("""COMPUTED_VALUE"""),234.53)</f>
        <v>234.53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IFERROR(__xludf.DUMMYFUNCTION("""COMPUTED_VALUE"""),220.6)</f>
        <v>220.6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IFERROR(__xludf.DUMMYFUNCTION("""COMPUTED_VALUE"""),220.5)</f>
        <v>220.5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IFERROR(__xludf.DUMMYFUNCTION("""COMPUTED_VALUE"""),223.93)</f>
        <v>223.93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IFERROR(__xludf.DUMMYFUNCTION("""COMPUTED_VALUE"""),219.97)</f>
        <v>219.97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IFERROR(__xludf.DUMMYFUNCTION("""COMPUTED_VALUE"""),222.5)</f>
        <v>222.5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IFERROR(__xludf.DUMMYFUNCTION("""COMPUTED_VALUE"""),205.5)</f>
        <v>205.5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IFERROR(__xludf.DUMMYFUNCTION("""COMPUTED_VALUE"""),203.63)</f>
        <v>203.63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IFERROR(__xludf.DUMMYFUNCTION("""COMPUTED_VALUE"""),212.07)</f>
        <v>212.07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IFERROR(__xludf.DUMMYFUNCTION("""COMPUTED_VALUE"""),211.53)</f>
        <v>211.53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IFERROR(__xludf.DUMMYFUNCTION("""COMPUTED_VALUE"""),212.87)</f>
        <v>212.87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IFERROR(__xludf.DUMMYFUNCTION("""COMPUTED_VALUE"""),215.93)</f>
        <v>215.93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IFERROR(__xludf.DUMMYFUNCTION("""COMPUTED_VALUE"""),215.63)</f>
        <v>215.63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IFERROR(__xludf.DUMMYFUNCTION("""COMPUTED_VALUE"""),218.27)</f>
        <v>218.27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IFERROR(__xludf.DUMMYFUNCTION("""COMPUTED_VALUE"""),222.33)</f>
        <v>222.33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IFERROR(__xludf.DUMMYFUNCTION("""COMPUTED_VALUE"""),218.17)</f>
        <v>218.17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IFERROR(__xludf.DUMMYFUNCTION("""COMPUTED_VALUE"""),220.87)</f>
        <v>220.87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IFERROR(__xludf.DUMMYFUNCTION("""COMPUTED_VALUE"""),219.67)</f>
        <v>219.67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IFERROR(__xludf.DUMMYFUNCTION("""COMPUTED_VALUE"""),219.0)</f>
        <v>219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IFERROR(__xludf.DUMMYFUNCTION("""COMPUTED_VALUE"""),213.0)</f>
        <v>213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IFERROR(__xludf.DUMMYFUNCTION("""COMPUTED_VALUE"""),218.67)</f>
        <v>218.67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IFERROR(__xludf.DUMMYFUNCTION("""COMPUTED_VALUE"""),215.57)</f>
        <v>215.57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IFERROR(__xludf.DUMMYFUNCTION("""COMPUTED_VALUE"""),222.57)</f>
        <v>222.57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IFERROR(__xludf.DUMMYFUNCTION("""COMPUTED_VALUE"""),233.33)</f>
        <v>233.33</v>
      </c>
    </row>
    <row r="757" ht="15.75" customHeight="1">
      <c r="B757" s="3">
        <f>IFERROR(__xludf.DUMMYFUNCTION("""COMPUTED_VALUE"""),42293.64583333333)</f>
        <v>42293.64583</v>
      </c>
      <c r="C757" s="2">
        <f>IFERROR(__xludf.DUMMYFUNCTION("""COMPUTED_VALUE"""),234.93)</f>
        <v>234.93</v>
      </c>
    </row>
    <row r="758" ht="15.75" customHeight="1">
      <c r="B758" s="3">
        <f>IFERROR(__xludf.DUMMYFUNCTION("""COMPUTED_VALUE"""),42300.64583333333)</f>
        <v>42300.64583</v>
      </c>
      <c r="C758" s="2">
        <f>IFERROR(__xludf.DUMMYFUNCTION("""COMPUTED_VALUE"""),239.3)</f>
        <v>239.3</v>
      </c>
    </row>
    <row r="759" ht="15.75" customHeight="1">
      <c r="B759" s="3">
        <f>IFERROR(__xludf.DUMMYFUNCTION("""COMPUTED_VALUE"""),42307.64583333333)</f>
        <v>42307.64583</v>
      </c>
      <c r="C759" s="2">
        <f>IFERROR(__xludf.DUMMYFUNCTION("""COMPUTED_VALUE"""),239.87)</f>
        <v>239.87</v>
      </c>
    </row>
    <row r="760" ht="15.75" customHeight="1">
      <c r="B760" s="3">
        <f>IFERROR(__xludf.DUMMYFUNCTION("""COMPUTED_VALUE"""),42314.64583333333)</f>
        <v>42314.64583</v>
      </c>
      <c r="C760" s="2">
        <f>IFERROR(__xludf.DUMMYFUNCTION("""COMPUTED_VALUE"""),226.47)</f>
        <v>226.47</v>
      </c>
    </row>
    <row r="761" ht="15.75" customHeight="1">
      <c r="B761" s="3">
        <f>IFERROR(__xludf.DUMMYFUNCTION("""COMPUTED_VALUE"""),42321.64583333333)</f>
        <v>42321.64583</v>
      </c>
      <c r="C761" s="2">
        <f>IFERROR(__xludf.DUMMYFUNCTION("""COMPUTED_VALUE"""),230.03)</f>
        <v>230.03</v>
      </c>
    </row>
    <row r="762" ht="15.75" customHeight="1">
      <c r="B762" s="3">
        <f>IFERROR(__xludf.DUMMYFUNCTION("""COMPUTED_VALUE"""),42328.64583333333)</f>
        <v>42328.64583</v>
      </c>
      <c r="C762" s="2">
        <f>IFERROR(__xludf.DUMMYFUNCTION("""COMPUTED_VALUE"""),235.33)</f>
        <v>235.33</v>
      </c>
    </row>
    <row r="763" ht="15.75" customHeight="1">
      <c r="B763" s="3">
        <f>IFERROR(__xludf.DUMMYFUNCTION("""COMPUTED_VALUE"""),42335.64583333333)</f>
        <v>42335.64583</v>
      </c>
      <c r="C763" s="2">
        <f>IFERROR(__xludf.DUMMYFUNCTION("""COMPUTED_VALUE"""),230.0)</f>
        <v>230</v>
      </c>
    </row>
    <row r="764" ht="15.75" customHeight="1">
      <c r="B764" s="3">
        <f>IFERROR(__xludf.DUMMYFUNCTION("""COMPUTED_VALUE"""),42342.64583333333)</f>
        <v>42342.64583</v>
      </c>
      <c r="C764" s="2">
        <f>IFERROR(__xludf.DUMMYFUNCTION("""COMPUTED_VALUE"""),233.17)</f>
        <v>233.17</v>
      </c>
    </row>
    <row r="765" ht="15.75" customHeight="1">
      <c r="B765" s="3">
        <f>IFERROR(__xludf.DUMMYFUNCTION("""COMPUTED_VALUE"""),42349.64583333333)</f>
        <v>42349.64583</v>
      </c>
      <c r="C765" s="2">
        <f>IFERROR(__xludf.DUMMYFUNCTION("""COMPUTED_VALUE"""),223.93)</f>
        <v>223.93</v>
      </c>
    </row>
    <row r="766" ht="15.75" customHeight="1">
      <c r="B766" s="3">
        <f>IFERROR(__xludf.DUMMYFUNCTION("""COMPUTED_VALUE"""),42356.64583333333)</f>
        <v>42356.64583</v>
      </c>
      <c r="C766" s="2">
        <f>IFERROR(__xludf.DUMMYFUNCTION("""COMPUTED_VALUE"""),216.43)</f>
        <v>216.43</v>
      </c>
    </row>
    <row r="767" ht="15.75" customHeight="1">
      <c r="B767" s="3">
        <f>IFERROR(__xludf.DUMMYFUNCTION("""COMPUTED_VALUE"""),42362.64583333333)</f>
        <v>42362.64583</v>
      </c>
      <c r="C767" s="2">
        <f>IFERROR(__xludf.DUMMYFUNCTION("""COMPUTED_VALUE"""),218.3)</f>
        <v>218.3</v>
      </c>
    </row>
    <row r="768" ht="15.75" customHeight="1">
      <c r="B768" s="3">
        <f>IFERROR(__xludf.DUMMYFUNCTION("""COMPUTED_VALUE"""),42370.64583333333)</f>
        <v>42370.64583</v>
      </c>
      <c r="C768" s="2">
        <f>IFERROR(__xludf.DUMMYFUNCTION("""COMPUTED_VALUE"""),220.0)</f>
        <v>220</v>
      </c>
    </row>
    <row r="769" ht="15.75" customHeight="1"/>
    <row r="770" ht="15.75" customHeight="1"/>
    <row r="771" ht="15.75" customHeight="1">
      <c r="B771" s="2" t="str">
        <f>IFERROR(__xludf.DUMMYFUNCTION("GOOGLEFINANCE(""NSE:ITC"",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IFERROR(__xludf.DUMMYFUNCTION("""COMPUTED_VALUE"""),218.0)</f>
        <v>218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IFERROR(__xludf.DUMMYFUNCTION("""COMPUTED_VALUE"""),213.6)</f>
        <v>213.6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IFERROR(__xludf.DUMMYFUNCTION("""COMPUTED_VALUE"""),213.33)</f>
        <v>213.33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IFERROR(__xludf.DUMMYFUNCTION("""COMPUTED_VALUE"""),217.33)</f>
        <v>217.33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IFERROR(__xludf.DUMMYFUNCTION("""COMPUTED_VALUE"""),217.3)</f>
        <v>217.3</v>
      </c>
    </row>
    <row r="777" ht="15.75" customHeight="1">
      <c r="B777" s="3">
        <f>IFERROR(__xludf.DUMMYFUNCTION("""COMPUTED_VALUE"""),42412.64583333333)</f>
        <v>42412.64583</v>
      </c>
      <c r="C777" s="2">
        <f>IFERROR(__xludf.DUMMYFUNCTION("""COMPUTED_VALUE"""),216.6)</f>
        <v>216.6</v>
      </c>
    </row>
    <row r="778" ht="15.75" customHeight="1">
      <c r="B778" s="3">
        <f>IFERROR(__xludf.DUMMYFUNCTION("""COMPUTED_VALUE"""),42419.64583333333)</f>
        <v>42419.64583</v>
      </c>
      <c r="C778" s="2">
        <f>IFERROR(__xludf.DUMMYFUNCTION("""COMPUTED_VALUE"""),204.47)</f>
        <v>204.47</v>
      </c>
    </row>
    <row r="779" ht="15.75" customHeight="1">
      <c r="B779" s="3">
        <f>IFERROR(__xludf.DUMMYFUNCTION("""COMPUTED_VALUE"""),42426.64583333333)</f>
        <v>42426.64583</v>
      </c>
      <c r="C779" s="2">
        <f>IFERROR(__xludf.DUMMYFUNCTION("""COMPUTED_VALUE"""),201.77)</f>
        <v>201.77</v>
      </c>
    </row>
    <row r="780" ht="15.75" customHeight="1">
      <c r="B780" s="3">
        <f>IFERROR(__xludf.DUMMYFUNCTION("""COMPUTED_VALUE"""),42433.64583333333)</f>
        <v>42433.64583</v>
      </c>
      <c r="C780" s="2">
        <f>IFERROR(__xludf.DUMMYFUNCTION("""COMPUTED_VALUE"""),222.6)</f>
        <v>222.6</v>
      </c>
    </row>
    <row r="781" ht="15.75" customHeight="1">
      <c r="B781" s="3">
        <f>IFERROR(__xludf.DUMMYFUNCTION("""COMPUTED_VALUE"""),42440.64583333333)</f>
        <v>42440.64583</v>
      </c>
      <c r="C781" s="2">
        <f>IFERROR(__xludf.DUMMYFUNCTION("""COMPUTED_VALUE"""),216.0)</f>
        <v>216</v>
      </c>
    </row>
    <row r="782" ht="15.75" customHeight="1">
      <c r="B782" s="3">
        <f>IFERROR(__xludf.DUMMYFUNCTION("""COMPUTED_VALUE"""),42447.64583333333)</f>
        <v>42447.64583</v>
      </c>
      <c r="C782" s="2">
        <f>IFERROR(__xludf.DUMMYFUNCTION("""COMPUTED_VALUE"""),217.87)</f>
        <v>217.87</v>
      </c>
    </row>
    <row r="783" ht="15.75" customHeight="1">
      <c r="B783" s="3">
        <f>IFERROR(__xludf.DUMMYFUNCTION("""COMPUTED_VALUE"""),42452.64583333333)</f>
        <v>42452.64583</v>
      </c>
      <c r="C783" s="2">
        <f>IFERROR(__xludf.DUMMYFUNCTION("""COMPUTED_VALUE"""),224.13)</f>
        <v>224.13</v>
      </c>
    </row>
    <row r="784" ht="15.75" customHeight="1">
      <c r="B784" s="3">
        <f>IFERROR(__xludf.DUMMYFUNCTION("""COMPUTED_VALUE"""),42461.64583333333)</f>
        <v>42461.64583</v>
      </c>
      <c r="C784" s="2">
        <f>IFERROR(__xludf.DUMMYFUNCTION("""COMPUTED_VALUE"""),224.53)</f>
        <v>224.53</v>
      </c>
    </row>
    <row r="785" ht="15.75" customHeight="1">
      <c r="B785" s="3">
        <f>IFERROR(__xludf.DUMMYFUNCTION("""COMPUTED_VALUE"""),42468.64583333333)</f>
        <v>42468.64583</v>
      </c>
      <c r="C785" s="2">
        <f>IFERROR(__xludf.DUMMYFUNCTION("""COMPUTED_VALUE"""),222.0)</f>
        <v>222</v>
      </c>
    </row>
    <row r="786" ht="15.75" customHeight="1">
      <c r="B786" s="3">
        <f>IFERROR(__xludf.DUMMYFUNCTION("""COMPUTED_VALUE"""),42473.64583333333)</f>
        <v>42473.64583</v>
      </c>
      <c r="C786" s="2">
        <f>IFERROR(__xludf.DUMMYFUNCTION("""COMPUTED_VALUE"""),221.8)</f>
        <v>221.8</v>
      </c>
    </row>
    <row r="787" ht="15.75" customHeight="1">
      <c r="B787" s="3">
        <f>IFERROR(__xludf.DUMMYFUNCTION("""COMPUTED_VALUE"""),42482.64583333333)</f>
        <v>42482.64583</v>
      </c>
      <c r="C787" s="2">
        <f>IFERROR(__xludf.DUMMYFUNCTION("""COMPUTED_VALUE"""),225.57)</f>
        <v>225.57</v>
      </c>
    </row>
    <row r="788" ht="15.75" customHeight="1">
      <c r="B788" s="3">
        <f>IFERROR(__xludf.DUMMYFUNCTION("""COMPUTED_VALUE"""),42489.64583333333)</f>
        <v>42489.64583</v>
      </c>
      <c r="C788" s="2">
        <f>IFERROR(__xludf.DUMMYFUNCTION("""COMPUTED_VALUE"""),223.0)</f>
        <v>223</v>
      </c>
    </row>
    <row r="789" ht="15.75" customHeight="1">
      <c r="B789" s="3">
        <f>IFERROR(__xludf.DUMMYFUNCTION("""COMPUTED_VALUE"""),42496.64583333333)</f>
        <v>42496.64583</v>
      </c>
      <c r="C789" s="2">
        <f>IFERROR(__xludf.DUMMYFUNCTION("""COMPUTED_VALUE"""),216.0)</f>
        <v>216</v>
      </c>
    </row>
    <row r="790" ht="15.75" customHeight="1">
      <c r="B790" s="3">
        <f>IFERROR(__xludf.DUMMYFUNCTION("""COMPUTED_VALUE"""),42503.64583333333)</f>
        <v>42503.64583</v>
      </c>
      <c r="C790" s="2">
        <f>IFERROR(__xludf.DUMMYFUNCTION("""COMPUTED_VALUE"""),217.33)</f>
        <v>217.33</v>
      </c>
    </row>
    <row r="791" ht="15.75" customHeight="1">
      <c r="B791" s="3">
        <f>IFERROR(__xludf.DUMMYFUNCTION("""COMPUTED_VALUE"""),42510.64583333333)</f>
        <v>42510.64583</v>
      </c>
      <c r="C791" s="2">
        <f>IFERROR(__xludf.DUMMYFUNCTION("""COMPUTED_VALUE"""),225.8)</f>
        <v>225.8</v>
      </c>
    </row>
    <row r="792" ht="15.75" customHeight="1">
      <c r="B792" s="3">
        <f>IFERROR(__xludf.DUMMYFUNCTION("""COMPUTED_VALUE"""),42517.64583333333)</f>
        <v>42517.64583</v>
      </c>
      <c r="C792" s="2">
        <f>IFERROR(__xludf.DUMMYFUNCTION("""COMPUTED_VALUE"""),242.67)</f>
        <v>242.67</v>
      </c>
    </row>
    <row r="793" ht="15.75" customHeight="1">
      <c r="B793" s="3">
        <f>IFERROR(__xludf.DUMMYFUNCTION("""COMPUTED_VALUE"""),42524.64583333333)</f>
        <v>42524.64583</v>
      </c>
      <c r="C793" s="2">
        <f>IFERROR(__xludf.DUMMYFUNCTION("""COMPUTED_VALUE"""),241.47)</f>
        <v>241.47</v>
      </c>
    </row>
    <row r="794" ht="15.75" customHeight="1">
      <c r="B794" s="3">
        <f>IFERROR(__xludf.DUMMYFUNCTION("""COMPUTED_VALUE"""),42531.64583333333)</f>
        <v>42531.64583</v>
      </c>
      <c r="C794" s="2">
        <f>IFERROR(__xludf.DUMMYFUNCTION("""COMPUTED_VALUE"""),243.33)</f>
        <v>243.33</v>
      </c>
    </row>
    <row r="795" ht="15.75" customHeight="1">
      <c r="B795" s="3">
        <f>IFERROR(__xludf.DUMMYFUNCTION("""COMPUTED_VALUE"""),42538.64583333333)</f>
        <v>42538.64583</v>
      </c>
      <c r="C795" s="2">
        <f>IFERROR(__xludf.DUMMYFUNCTION("""COMPUTED_VALUE"""),240.47)</f>
        <v>240.47</v>
      </c>
    </row>
    <row r="796" ht="15.75" customHeight="1">
      <c r="B796" s="3">
        <f>IFERROR(__xludf.DUMMYFUNCTION("""COMPUTED_VALUE"""),42545.64583333333)</f>
        <v>42545.64583</v>
      </c>
      <c r="C796" s="2">
        <f>IFERROR(__xludf.DUMMYFUNCTION("""COMPUTED_VALUE"""),241.0)</f>
        <v>241</v>
      </c>
    </row>
    <row r="797" ht="15.75" customHeight="1">
      <c r="B797" s="3">
        <f>IFERROR(__xludf.DUMMYFUNCTION("""COMPUTED_VALUE"""),42552.64583333333)</f>
        <v>42552.64583</v>
      </c>
      <c r="C797" s="2">
        <f>IFERROR(__xludf.DUMMYFUNCTION("""COMPUTED_VALUE"""),259.75)</f>
        <v>259.75</v>
      </c>
    </row>
    <row r="798" ht="15.75" customHeight="1">
      <c r="B798" s="3">
        <f>IFERROR(__xludf.DUMMYFUNCTION("""COMPUTED_VALUE"""),42559.64583333333)</f>
        <v>42559.64583</v>
      </c>
      <c r="C798" s="2">
        <f>IFERROR(__xludf.DUMMYFUNCTION("""COMPUTED_VALUE"""),254.0)</f>
        <v>254</v>
      </c>
    </row>
    <row r="799" ht="15.75" customHeight="1">
      <c r="B799" s="3">
        <f>IFERROR(__xludf.DUMMYFUNCTION("""COMPUTED_VALUE"""),42566.64583333333)</f>
        <v>42566.64583</v>
      </c>
      <c r="C799" s="2">
        <f>IFERROR(__xludf.DUMMYFUNCTION("""COMPUTED_VALUE"""),252.55)</f>
        <v>252.55</v>
      </c>
    </row>
    <row r="800" ht="15.75" customHeight="1">
      <c r="B800" s="3">
        <f>IFERROR(__xludf.DUMMYFUNCTION("""COMPUTED_VALUE"""),42573.64583333333)</f>
        <v>42573.64583</v>
      </c>
      <c r="C800" s="2">
        <f>IFERROR(__xludf.DUMMYFUNCTION("""COMPUTED_VALUE"""),256.2)</f>
        <v>256.2</v>
      </c>
    </row>
    <row r="801" ht="15.75" customHeight="1">
      <c r="B801" s="3">
        <f>IFERROR(__xludf.DUMMYFUNCTION("""COMPUTED_VALUE"""),42580.64583333333)</f>
        <v>42580.64583</v>
      </c>
      <c r="C801" s="2">
        <f>IFERROR(__xludf.DUMMYFUNCTION("""COMPUTED_VALUE"""),256.5)</f>
        <v>256.5</v>
      </c>
    </row>
    <row r="802" ht="15.75" customHeight="1">
      <c r="B802" s="3">
        <f>IFERROR(__xludf.DUMMYFUNCTION("""COMPUTED_VALUE"""),42587.64583333333)</f>
        <v>42587.64583</v>
      </c>
      <c r="C802" s="2">
        <f>IFERROR(__xludf.DUMMYFUNCTION("""COMPUTED_VALUE"""),262.0)</f>
        <v>262</v>
      </c>
    </row>
    <row r="803" ht="15.75" customHeight="1">
      <c r="B803" s="3">
        <f>IFERROR(__xludf.DUMMYFUNCTION("""COMPUTED_VALUE"""),42594.64583333333)</f>
        <v>42594.64583</v>
      </c>
      <c r="C803" s="2">
        <f>IFERROR(__xludf.DUMMYFUNCTION("""COMPUTED_VALUE"""),255.5)</f>
        <v>255.5</v>
      </c>
    </row>
    <row r="804" ht="15.75" customHeight="1">
      <c r="B804" s="3">
        <f>IFERROR(__xludf.DUMMYFUNCTION("""COMPUTED_VALUE"""),42601.64583333333)</f>
        <v>42601.64583</v>
      </c>
      <c r="C804" s="2">
        <f>IFERROR(__xludf.DUMMYFUNCTION("""COMPUTED_VALUE"""),258.0)</f>
        <v>258</v>
      </c>
    </row>
    <row r="805" ht="15.75" customHeight="1">
      <c r="B805" s="3">
        <f>IFERROR(__xludf.DUMMYFUNCTION("""COMPUTED_VALUE"""),42608.64583333333)</f>
        <v>42608.64583</v>
      </c>
      <c r="C805" s="2">
        <f>IFERROR(__xludf.DUMMYFUNCTION("""COMPUTED_VALUE"""),255.0)</f>
        <v>255</v>
      </c>
    </row>
    <row r="806" ht="15.75" customHeight="1">
      <c r="B806" s="3">
        <f>IFERROR(__xludf.DUMMYFUNCTION("""COMPUTED_VALUE"""),42615.64583333333)</f>
        <v>42615.64583</v>
      </c>
      <c r="C806" s="2">
        <f>IFERROR(__xludf.DUMMYFUNCTION("""COMPUTED_VALUE"""),263.7)</f>
        <v>263.7</v>
      </c>
    </row>
    <row r="807" ht="15.75" customHeight="1">
      <c r="B807" s="3">
        <f>IFERROR(__xludf.DUMMYFUNCTION("""COMPUTED_VALUE"""),42622.64583333333)</f>
        <v>42622.64583</v>
      </c>
      <c r="C807" s="2">
        <f>IFERROR(__xludf.DUMMYFUNCTION("""COMPUTED_VALUE"""),265.9)</f>
        <v>265.9</v>
      </c>
    </row>
    <row r="808" ht="15.75" customHeight="1">
      <c r="B808" s="3">
        <f>IFERROR(__xludf.DUMMYFUNCTION("""COMPUTED_VALUE"""),42629.64583333333)</f>
        <v>42629.64583</v>
      </c>
      <c r="C808" s="2">
        <f>IFERROR(__xludf.DUMMYFUNCTION("""COMPUTED_VALUE"""),262.2)</f>
        <v>262.2</v>
      </c>
    </row>
    <row r="809" ht="15.75" customHeight="1">
      <c r="B809" s="3">
        <f>IFERROR(__xludf.DUMMYFUNCTION("""COMPUTED_VALUE"""),42636.64583333333)</f>
        <v>42636.64583</v>
      </c>
      <c r="C809" s="2">
        <f>IFERROR(__xludf.DUMMYFUNCTION("""COMPUTED_VALUE"""),262.6)</f>
        <v>262.6</v>
      </c>
    </row>
    <row r="810" ht="15.75" customHeight="1">
      <c r="B810" s="3">
        <f>IFERROR(__xludf.DUMMYFUNCTION("""COMPUTED_VALUE"""),42643.64583333333)</f>
        <v>42643.64583</v>
      </c>
      <c r="C810" s="2">
        <f>IFERROR(__xludf.DUMMYFUNCTION("""COMPUTED_VALUE"""),253.25)</f>
        <v>253.25</v>
      </c>
    </row>
    <row r="811" ht="15.75" customHeight="1">
      <c r="B811" s="3">
        <f>IFERROR(__xludf.DUMMYFUNCTION("""COMPUTED_VALUE"""),42650.64583333333)</f>
        <v>42650.64583</v>
      </c>
      <c r="C811" s="2">
        <f>IFERROR(__xludf.DUMMYFUNCTION("""COMPUTED_VALUE"""),244.2)</f>
        <v>244.2</v>
      </c>
    </row>
    <row r="812" ht="15.75" customHeight="1">
      <c r="B812" s="3">
        <f>IFERROR(__xludf.DUMMYFUNCTION("""COMPUTED_VALUE"""),42657.64583333333)</f>
        <v>42657.64583</v>
      </c>
      <c r="C812" s="2">
        <f>IFERROR(__xludf.DUMMYFUNCTION("""COMPUTED_VALUE"""),242.6)</f>
        <v>242.6</v>
      </c>
    </row>
    <row r="813" ht="15.75" customHeight="1">
      <c r="B813" s="3">
        <f>IFERROR(__xludf.DUMMYFUNCTION("""COMPUTED_VALUE"""),42664.64583333333)</f>
        <v>42664.64583</v>
      </c>
      <c r="C813" s="2">
        <f>IFERROR(__xludf.DUMMYFUNCTION("""COMPUTED_VALUE"""),246.55)</f>
        <v>246.55</v>
      </c>
    </row>
    <row r="814" ht="15.75" customHeight="1">
      <c r="B814" s="3">
        <f>IFERROR(__xludf.DUMMYFUNCTION("""COMPUTED_VALUE"""),42671.64583333333)</f>
        <v>42671.64583</v>
      </c>
      <c r="C814" s="2">
        <f>IFERROR(__xludf.DUMMYFUNCTION("""COMPUTED_VALUE"""),244.8)</f>
        <v>244.8</v>
      </c>
    </row>
    <row r="815" ht="15.75" customHeight="1">
      <c r="B815" s="3">
        <f>IFERROR(__xludf.DUMMYFUNCTION("""COMPUTED_VALUE"""),42678.64583333333)</f>
        <v>42678.64583</v>
      </c>
      <c r="C815" s="2">
        <f>IFERROR(__xludf.DUMMYFUNCTION("""COMPUTED_VALUE"""),256.4)</f>
        <v>256.4</v>
      </c>
    </row>
    <row r="816" ht="15.75" customHeight="1">
      <c r="B816" s="3">
        <f>IFERROR(__xludf.DUMMYFUNCTION("""COMPUTED_VALUE"""),42685.64583333333)</f>
        <v>42685.64583</v>
      </c>
      <c r="C816" s="2">
        <f>IFERROR(__xludf.DUMMYFUNCTION("""COMPUTED_VALUE"""),259.65)</f>
        <v>259.65</v>
      </c>
    </row>
    <row r="817" ht="15.75" customHeight="1">
      <c r="B817" s="3">
        <f>IFERROR(__xludf.DUMMYFUNCTION("""COMPUTED_VALUE"""),42692.64583333333)</f>
        <v>42692.64583</v>
      </c>
      <c r="C817" s="2">
        <f>IFERROR(__xludf.DUMMYFUNCTION("""COMPUTED_VALUE"""),246.9)</f>
        <v>246.9</v>
      </c>
    </row>
    <row r="818" ht="15.75" customHeight="1">
      <c r="B818" s="3">
        <f>IFERROR(__xludf.DUMMYFUNCTION("""COMPUTED_VALUE"""),42699.64583333333)</f>
        <v>42699.64583</v>
      </c>
      <c r="C818" s="2">
        <f>IFERROR(__xludf.DUMMYFUNCTION("""COMPUTED_VALUE"""),230.45)</f>
        <v>230.45</v>
      </c>
    </row>
    <row r="819" ht="15.75" customHeight="1">
      <c r="B819" s="3">
        <f>IFERROR(__xludf.DUMMYFUNCTION("""COMPUTED_VALUE"""),42706.64583333333)</f>
        <v>42706.64583</v>
      </c>
      <c r="C819" s="2">
        <f>IFERROR(__xludf.DUMMYFUNCTION("""COMPUTED_VALUE"""),235.65)</f>
        <v>235.65</v>
      </c>
    </row>
    <row r="820" ht="15.75" customHeight="1">
      <c r="B820" s="3">
        <f>IFERROR(__xludf.DUMMYFUNCTION("""COMPUTED_VALUE"""),42713.64583333333)</f>
        <v>42713.64583</v>
      </c>
      <c r="C820" s="2">
        <f>IFERROR(__xludf.DUMMYFUNCTION("""COMPUTED_VALUE"""),239.6)</f>
        <v>239.6</v>
      </c>
    </row>
    <row r="821" ht="15.75" customHeight="1">
      <c r="B821" s="3">
        <f>IFERROR(__xludf.DUMMYFUNCTION("""COMPUTED_VALUE"""),42720.64583333333)</f>
        <v>42720.64583</v>
      </c>
      <c r="C821" s="2">
        <f>IFERROR(__xludf.DUMMYFUNCTION("""COMPUTED_VALUE"""),236.9)</f>
        <v>236.9</v>
      </c>
    </row>
    <row r="822" ht="15.75" customHeight="1">
      <c r="B822" s="3">
        <f>IFERROR(__xludf.DUMMYFUNCTION("""COMPUTED_VALUE"""),42727.64583333333)</f>
        <v>42727.64583</v>
      </c>
      <c r="C822" s="2">
        <f>IFERROR(__xludf.DUMMYFUNCTION("""COMPUTED_VALUE"""),230.8)</f>
        <v>230.8</v>
      </c>
    </row>
    <row r="823" ht="15.75" customHeight="1">
      <c r="B823" s="3">
        <f>IFERROR(__xludf.DUMMYFUNCTION("""COMPUTED_VALUE"""),42734.64583333333)</f>
        <v>42734.64583</v>
      </c>
      <c r="C823" s="2">
        <f>IFERROR(__xludf.DUMMYFUNCTION("""COMPUTED_VALUE"""),242.4)</f>
        <v>242.4</v>
      </c>
    </row>
    <row r="824" ht="15.75" customHeight="1"/>
    <row r="825" ht="15.75" customHeight="1"/>
    <row r="826" ht="15.75" customHeight="1">
      <c r="B826" s="2" t="str">
        <f>IFERROR(__xludf.DUMMYFUNCTION("GOOGLEFINANCE(""NSE:ITC"",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IFERROR(__xludf.DUMMYFUNCTION("""COMPUTED_VALUE"""),249.0)</f>
        <v>249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IFERROR(__xludf.DUMMYFUNCTION("""COMPUTED_VALUE"""),251.0)</f>
        <v>251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IFERROR(__xludf.DUMMYFUNCTION("""COMPUTED_VALUE"""),256.3)</f>
        <v>256.3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IFERROR(__xludf.DUMMYFUNCTION("""COMPUTED_VALUE"""),266.95)</f>
        <v>266.95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IFERROR(__xludf.DUMMYFUNCTION("""COMPUTED_VALUE"""),279.9)</f>
        <v>279.9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IFERROR(__xludf.DUMMYFUNCTION("""COMPUTED_VALUE"""),292.15)</f>
        <v>292.15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IFERROR(__xludf.DUMMYFUNCTION("""COMPUTED_VALUE"""),276.35)</f>
        <v>276.35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IFERROR(__xludf.DUMMYFUNCTION("""COMPUTED_VALUE"""),268.2)</f>
        <v>268.2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IFERROR(__xludf.DUMMYFUNCTION("""COMPUTED_VALUE"""),270.25)</f>
        <v>270.25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IFERROR(__xludf.DUMMYFUNCTION("""COMPUTED_VALUE"""),266.3)</f>
        <v>266.3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IFERROR(__xludf.DUMMYFUNCTION("""COMPUTED_VALUE"""),288.9)</f>
        <v>288.9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IFERROR(__xludf.DUMMYFUNCTION("""COMPUTED_VALUE"""),288.6)</f>
        <v>288.6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IFERROR(__xludf.DUMMYFUNCTION("""COMPUTED_VALUE"""),284.65)</f>
        <v>284.65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IFERROR(__xludf.DUMMYFUNCTION("""COMPUTED_VALUE"""),283.6)</f>
        <v>283.6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IFERROR(__xludf.DUMMYFUNCTION("""COMPUTED_VALUE"""),284.8)</f>
        <v>284.8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IFERROR(__xludf.DUMMYFUNCTION("""COMPUTED_VALUE"""),284.0)</f>
        <v>284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IFERROR(__xludf.DUMMYFUNCTION("""COMPUTED_VALUE"""),292.9)</f>
        <v>292.9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IFERROR(__xludf.DUMMYFUNCTION("""COMPUTED_VALUE"""),282.2)</f>
        <v>282.2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IFERROR(__xludf.DUMMYFUNCTION("""COMPUTED_VALUE"""),279.15)</f>
        <v>279.15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IFERROR(__xludf.DUMMYFUNCTION("""COMPUTED_VALUE"""),295.65)</f>
        <v>295.65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IFERROR(__xludf.DUMMYFUNCTION("""COMPUTED_VALUE"""),313.8)</f>
        <v>313.8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IFERROR(__xludf.DUMMYFUNCTION("""COMPUTED_VALUE"""),319.9)</f>
        <v>319.9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IFERROR(__xludf.DUMMYFUNCTION("""COMPUTED_VALUE"""),319.0)</f>
        <v>319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IFERROR(__xludf.DUMMYFUNCTION("""COMPUTED_VALUE"""),309.6)</f>
        <v>309.6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IFERROR(__xludf.DUMMYFUNCTION("""COMPUTED_VALUE"""),314.2)</f>
        <v>314.2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IFERROR(__xludf.DUMMYFUNCTION("""COMPUTED_VALUE"""),324.7)</f>
        <v>324.7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IFERROR(__xludf.DUMMYFUNCTION("""COMPUTED_VALUE"""),354.8)</f>
        <v>354.8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IFERROR(__xludf.DUMMYFUNCTION("""COMPUTED_VALUE"""),339.95)</f>
        <v>339.95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IFERROR(__xludf.DUMMYFUNCTION("""COMPUTED_VALUE"""),335.0)</f>
        <v>335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IFERROR(__xludf.DUMMYFUNCTION("""COMPUTED_VALUE"""),295.4)</f>
        <v>295.4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IFERROR(__xludf.DUMMYFUNCTION("""COMPUTED_VALUE"""),290.3)</f>
        <v>290.3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IFERROR(__xludf.DUMMYFUNCTION("""COMPUTED_VALUE"""),283.0)</f>
        <v>283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IFERROR(__xludf.DUMMYFUNCTION("""COMPUTED_VALUE"""),284.0)</f>
        <v>284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IFERROR(__xludf.DUMMYFUNCTION("""COMPUTED_VALUE"""),285.6)</f>
        <v>285.6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IFERROR(__xludf.DUMMYFUNCTION("""COMPUTED_VALUE"""),284.35)</f>
        <v>284.35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IFERROR(__xludf.DUMMYFUNCTION("""COMPUTED_VALUE"""),283.9)</f>
        <v>283.9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IFERROR(__xludf.DUMMYFUNCTION("""COMPUTED_VALUE"""),278.25)</f>
        <v>278.25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IFERROR(__xludf.DUMMYFUNCTION("""COMPUTED_VALUE"""),272.4)</f>
        <v>272.4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IFERROR(__xludf.DUMMYFUNCTION("""COMPUTED_VALUE"""),269.65)</f>
        <v>269.65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IFERROR(__xludf.DUMMYFUNCTION("""COMPUTED_VALUE"""),269.4)</f>
        <v>269.4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IFERROR(__xludf.DUMMYFUNCTION("""COMPUTED_VALUE"""),269.2)</f>
        <v>269.2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IFERROR(__xludf.DUMMYFUNCTION("""COMPUTED_VALUE"""),271.3)</f>
        <v>271.3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IFERROR(__xludf.DUMMYFUNCTION("""COMPUTED_VALUE"""),276.0)</f>
        <v>276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IFERROR(__xludf.DUMMYFUNCTION("""COMPUTED_VALUE"""),271.2)</f>
        <v>271.2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IFERROR(__xludf.DUMMYFUNCTION("""COMPUTED_VALUE"""),267.9)</f>
        <v>267.9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IFERROR(__xludf.DUMMYFUNCTION("""COMPUTED_VALUE"""),263.3)</f>
        <v>263.3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IFERROR(__xludf.DUMMYFUNCTION("""COMPUTED_VALUE"""),261.45)</f>
        <v>261.45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IFERROR(__xludf.DUMMYFUNCTION("""COMPUTED_VALUE"""),260.5)</f>
        <v>260.5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IFERROR(__xludf.DUMMYFUNCTION("""COMPUTED_VALUE"""),263.2)</f>
        <v>263.2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IFERROR(__xludf.DUMMYFUNCTION("""COMPUTED_VALUE"""),267.5)</f>
        <v>267.5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IFERROR(__xludf.DUMMYFUNCTION("""COMPUTED_VALUE"""),265.9)</f>
        <v>265.9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IFERROR(__xludf.DUMMYFUNCTION("""COMPUTED_VALUE"""),265.0)</f>
        <v>265</v>
      </c>
    </row>
    <row r="879" ht="15.75" customHeight="1"/>
    <row r="880" ht="15.75" customHeight="1"/>
    <row r="881" ht="15.75" customHeight="1">
      <c r="B881" s="2" t="str">
        <f>IFERROR(__xludf.DUMMYFUNCTION("GOOGLEFINANCE(""NSE:ITC"",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IFERROR(__xludf.DUMMYFUNCTION("""COMPUTED_VALUE"""),266.3)</f>
        <v>266.3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IFERROR(__xludf.DUMMYFUNCTION("""COMPUTED_VALUE"""),274.0)</f>
        <v>274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IFERROR(__xludf.DUMMYFUNCTION("""COMPUTED_VALUE"""),277.5)</f>
        <v>277.5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IFERROR(__xludf.DUMMYFUNCTION("""COMPUTED_VALUE"""),283.2)</f>
        <v>283.2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IFERROR(__xludf.DUMMYFUNCTION("""COMPUTED_VALUE"""),290.3)</f>
        <v>290.3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IFERROR(__xludf.DUMMYFUNCTION("""COMPUTED_VALUE"""),281.7)</f>
        <v>281.7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IFERROR(__xludf.DUMMYFUNCTION("""COMPUTED_VALUE"""),273.85)</f>
        <v>273.85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IFERROR(__xludf.DUMMYFUNCTION("""COMPUTED_VALUE"""),270.0)</f>
        <v>270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IFERROR(__xludf.DUMMYFUNCTION("""COMPUTED_VALUE"""),269.5)</f>
        <v>269.5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IFERROR(__xludf.DUMMYFUNCTION("""COMPUTED_VALUE"""),263.3)</f>
        <v>263.3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IFERROR(__xludf.DUMMYFUNCTION("""COMPUTED_VALUE"""),272.0)</f>
        <v>272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IFERROR(__xludf.DUMMYFUNCTION("""COMPUTED_VALUE"""),262.2)</f>
        <v>262.2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IFERROR(__xludf.DUMMYFUNCTION("""COMPUTED_VALUE"""),260.5)</f>
        <v>260.5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IFERROR(__xludf.DUMMYFUNCTION("""COMPUTED_VALUE"""),262.0)</f>
        <v>262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IFERROR(__xludf.DUMMYFUNCTION("""COMPUTED_VALUE"""),268.7)</f>
        <v>268.7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IFERROR(__xludf.DUMMYFUNCTION("""COMPUTED_VALUE"""),280.0)</f>
        <v>280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IFERROR(__xludf.DUMMYFUNCTION("""COMPUTED_VALUE"""),280.95)</f>
        <v>280.95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IFERROR(__xludf.DUMMYFUNCTION("""COMPUTED_VALUE"""),289.7)</f>
        <v>289.7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IFERROR(__xludf.DUMMYFUNCTION("""COMPUTED_VALUE"""),285.95)</f>
        <v>285.95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IFERROR(__xludf.DUMMYFUNCTION("""COMPUTED_VALUE"""),288.8)</f>
        <v>288.8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IFERROR(__xludf.DUMMYFUNCTION("""COMPUTED_VALUE"""),284.0)</f>
        <v>284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IFERROR(__xludf.DUMMYFUNCTION("""COMPUTED_VALUE"""),277.75)</f>
        <v>277.75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IFERROR(__xludf.DUMMYFUNCTION("""COMPUTED_VALUE"""),272.3)</f>
        <v>272.3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IFERROR(__xludf.DUMMYFUNCTION("""COMPUTED_VALUE"""),274.6)</f>
        <v>274.6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IFERROR(__xludf.DUMMYFUNCTION("""COMPUTED_VALUE"""),267.15)</f>
        <v>267.15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IFERROR(__xludf.DUMMYFUNCTION("""COMPUTED_VALUE"""),267.55)</f>
        <v>267.55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IFERROR(__xludf.DUMMYFUNCTION("""COMPUTED_VALUE"""),274.75)</f>
        <v>274.75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IFERROR(__xludf.DUMMYFUNCTION("""COMPUTED_VALUE"""),280.3)</f>
        <v>280.3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IFERROR(__xludf.DUMMYFUNCTION("""COMPUTED_VALUE"""),274.8)</f>
        <v>274.8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IFERROR(__xludf.DUMMYFUNCTION("""COMPUTED_VALUE"""),307.15)</f>
        <v>307.15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IFERROR(__xludf.DUMMYFUNCTION("""COMPUTED_VALUE"""),305.4)</f>
        <v>305.4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IFERROR(__xludf.DUMMYFUNCTION("""COMPUTED_VALUE"""),306.9)</f>
        <v>306.9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IFERROR(__xludf.DUMMYFUNCTION("""COMPUTED_VALUE"""),315.3)</f>
        <v>315.3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IFERROR(__xludf.DUMMYFUNCTION("""COMPUTED_VALUE"""),317.0)</f>
        <v>317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IFERROR(__xludf.DUMMYFUNCTION("""COMPUTED_VALUE"""),322.6)</f>
        <v>322.6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IFERROR(__xludf.DUMMYFUNCTION("""COMPUTED_VALUE"""),322.95)</f>
        <v>322.95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IFERROR(__xludf.DUMMYFUNCTION("""COMPUTED_VALUE"""),310.75)</f>
        <v>310.75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IFERROR(__xludf.DUMMYFUNCTION("""COMPUTED_VALUE"""),306.6)</f>
        <v>306.6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IFERROR(__xludf.DUMMYFUNCTION("""COMPUTED_VALUE"""),306.35)</f>
        <v>306.35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IFERROR(__xludf.DUMMYFUNCTION("""COMPUTED_VALUE"""),302.95)</f>
        <v>302.95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IFERROR(__xludf.DUMMYFUNCTION("""COMPUTED_VALUE"""),279.4)</f>
        <v>279.4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IFERROR(__xludf.DUMMYFUNCTION("""COMPUTED_VALUE"""),291.65)</f>
        <v>291.65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IFERROR(__xludf.DUMMYFUNCTION("""COMPUTED_VALUE"""),293.1)</f>
        <v>293.1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IFERROR(__xludf.DUMMYFUNCTION("""COMPUTED_VALUE"""),285.95)</f>
        <v>285.95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IFERROR(__xludf.DUMMYFUNCTION("""COMPUTED_VALUE"""),285.25)</f>
        <v>285.25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IFERROR(__xludf.DUMMYFUNCTION("""COMPUTED_VALUE"""),279.25)</f>
        <v>279.25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IFERROR(__xludf.DUMMYFUNCTION("""COMPUTED_VALUE"""),286.65)</f>
        <v>286.65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IFERROR(__xludf.DUMMYFUNCTION("""COMPUTED_VALUE"""),290.0)</f>
        <v>290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IFERROR(__xludf.DUMMYFUNCTION("""COMPUTED_VALUE"""),289.5)</f>
        <v>289.5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IFERROR(__xludf.DUMMYFUNCTION("""COMPUTED_VALUE"""),279.4)</f>
        <v>279.4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IFERROR(__xludf.DUMMYFUNCTION("""COMPUTED_VALUE"""),284.4)</f>
        <v>284.4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IFERROR(__xludf.DUMMYFUNCTION("""COMPUTED_VALUE"""),284.0)</f>
        <v>284</v>
      </c>
    </row>
    <row r="934" ht="15.75" customHeight="1"/>
    <row r="935" ht="15.75" customHeight="1"/>
    <row r="936" ht="15.75" customHeight="1">
      <c r="B936" s="2" t="str">
        <f>IFERROR(__xludf.DUMMYFUNCTION("GOOGLEFINANCE(""NSE:ITC"",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IFERROR(__xludf.DUMMYFUNCTION("""COMPUTED_VALUE"""),283.85)</f>
        <v>283.85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IFERROR(__xludf.DUMMYFUNCTION("""COMPUTED_VALUE"""),296.0)</f>
        <v>296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IFERROR(__xludf.DUMMYFUNCTION("""COMPUTED_VALUE"""),297.4)</f>
        <v>297.4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IFERROR(__xludf.DUMMYFUNCTION("""COMPUTED_VALUE"""),294.4)</f>
        <v>294.4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IFERROR(__xludf.DUMMYFUNCTION("""COMPUTED_VALUE"""),285.2)</f>
        <v>285.2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IFERROR(__xludf.DUMMYFUNCTION("""COMPUTED_VALUE"""),281.9)</f>
        <v>281.9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IFERROR(__xludf.DUMMYFUNCTION("""COMPUTED_VALUE"""),283.9)</f>
        <v>283.9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IFERROR(__xludf.DUMMYFUNCTION("""COMPUTED_VALUE"""),279.2)</f>
        <v>279.2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IFERROR(__xludf.DUMMYFUNCTION("""COMPUTED_VALUE"""),279.0)</f>
        <v>279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IFERROR(__xludf.DUMMYFUNCTION("""COMPUTED_VALUE"""),293.0)</f>
        <v>293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IFERROR(__xludf.DUMMYFUNCTION("""COMPUTED_VALUE"""),297.0)</f>
        <v>297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IFERROR(__xludf.DUMMYFUNCTION("""COMPUTED_VALUE"""),301.95)</f>
        <v>301.95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IFERROR(__xludf.DUMMYFUNCTION("""COMPUTED_VALUE"""),303.0)</f>
        <v>303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IFERROR(__xludf.DUMMYFUNCTION("""COMPUTED_VALUE"""),300.0)</f>
        <v>300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IFERROR(__xludf.DUMMYFUNCTION("""COMPUTED_VALUE"""),307.4)</f>
        <v>307.4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IFERROR(__xludf.DUMMYFUNCTION("""COMPUTED_VALUE"""),310.0)</f>
        <v>310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IFERROR(__xludf.DUMMYFUNCTION("""COMPUTED_VALUE"""),309.8)</f>
        <v>309.8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IFERROR(__xludf.DUMMYFUNCTION("""COMPUTED_VALUE"""),307.55)</f>
        <v>307.55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IFERROR(__xludf.DUMMYFUNCTION("""COMPUTED_VALUE"""),309.5)</f>
        <v>309.5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IFERROR(__xludf.DUMMYFUNCTION("""COMPUTED_VALUE"""),303.5)</f>
        <v>303.5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IFERROR(__xludf.DUMMYFUNCTION("""COMPUTED_VALUE"""),310.0)</f>
        <v>310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IFERROR(__xludf.DUMMYFUNCTION("""COMPUTED_VALUE"""),293.55)</f>
        <v>293.55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IFERROR(__xludf.DUMMYFUNCTION("""COMPUTED_VALUE"""),282.15)</f>
        <v>282.15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IFERROR(__xludf.DUMMYFUNCTION("""COMPUTED_VALUE"""),281.4)</f>
        <v>281.4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IFERROR(__xludf.DUMMYFUNCTION("""COMPUTED_VALUE"""),278.9)</f>
        <v>278.9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IFERROR(__xludf.DUMMYFUNCTION("""COMPUTED_VALUE"""),280.0)</f>
        <v>280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IFERROR(__xludf.DUMMYFUNCTION("""COMPUTED_VALUE"""),281.85)</f>
        <v>281.85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IFERROR(__xludf.DUMMYFUNCTION("""COMPUTED_VALUE"""),282.9)</f>
        <v>282.9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IFERROR(__xludf.DUMMYFUNCTION("""COMPUTED_VALUE"""),275.6)</f>
        <v>275.6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IFERROR(__xludf.DUMMYFUNCTION("""COMPUTED_VALUE"""),273.35)</f>
        <v>273.35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IFERROR(__xludf.DUMMYFUNCTION("""COMPUTED_VALUE"""),271.15)</f>
        <v>271.15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IFERROR(__xludf.DUMMYFUNCTION("""COMPUTED_VALUE"""),264.5)</f>
        <v>264.5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IFERROR(__xludf.DUMMYFUNCTION("""COMPUTED_VALUE"""),254.0)</f>
        <v>254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IFERROR(__xludf.DUMMYFUNCTION("""COMPUTED_VALUE"""),257.3)</f>
        <v>257.3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IFERROR(__xludf.DUMMYFUNCTION("""COMPUTED_VALUE"""),247.65)</f>
        <v>247.65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IFERROR(__xludf.DUMMYFUNCTION("""COMPUTED_VALUE"""),246.9)</f>
        <v>246.9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IFERROR(__xludf.DUMMYFUNCTION("""COMPUTED_VALUE"""),246.5)</f>
        <v>246.5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IFERROR(__xludf.DUMMYFUNCTION("""COMPUTED_VALUE"""),248.5)</f>
        <v>248.5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IFERROR(__xludf.DUMMYFUNCTION("""COMPUTED_VALUE"""),260.5)</f>
        <v>260.5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IFERROR(__xludf.DUMMYFUNCTION("""COMPUTED_VALUE"""),263.9)</f>
        <v>263.9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IFERROR(__xludf.DUMMYFUNCTION("""COMPUTED_VALUE"""),258.0)</f>
        <v>258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IFERROR(__xludf.DUMMYFUNCTION("""COMPUTED_VALUE"""),249.2)</f>
        <v>249.2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IFERROR(__xludf.DUMMYFUNCTION("""COMPUTED_VALUE"""),257.2)</f>
        <v>257.2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IFERROR(__xludf.DUMMYFUNCTION("""COMPUTED_VALUE"""),264.0)</f>
        <v>264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IFERROR(__xludf.DUMMYFUNCTION("""COMPUTED_VALUE"""),266.3)</f>
        <v>266.3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IFERROR(__xludf.DUMMYFUNCTION("""COMPUTED_VALUE"""),262.35)</f>
        <v>262.35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IFERROR(__xludf.DUMMYFUNCTION("""COMPUTED_VALUE"""),252.65)</f>
        <v>252.65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IFERROR(__xludf.DUMMYFUNCTION("""COMPUTED_VALUE"""),250.4)</f>
        <v>250.4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IFERROR(__xludf.DUMMYFUNCTION("""COMPUTED_VALUE"""),247.5)</f>
        <v>247.5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IFERROR(__xludf.DUMMYFUNCTION("""COMPUTED_VALUE"""),243.3)</f>
        <v>243.3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IFERROR(__xludf.DUMMYFUNCTION("""COMPUTED_VALUE"""),247.9)</f>
        <v>247.9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IFERROR(__xludf.DUMMYFUNCTION("""COMPUTED_VALUE"""),242.8)</f>
        <v>242.8</v>
      </c>
    </row>
    <row r="989" ht="15.75" customHeight="1"/>
    <row r="990" ht="15.75" customHeight="1"/>
    <row r="991" ht="15.75" customHeight="1">
      <c r="B991" s="2" t="str">
        <f>IFERROR(__xludf.DUMMYFUNCTION("GOOGLEFINANCE(""NSE:ITC"",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IFERROR(__xludf.DUMMYFUNCTION("""COMPUTED_VALUE"""),241.0)</f>
        <v>241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IFERROR(__xludf.DUMMYFUNCTION("""COMPUTED_VALUE"""),238.75)</f>
        <v>238.75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IFERROR(__xludf.DUMMYFUNCTION("""COMPUTED_VALUE"""),243.9)</f>
        <v>243.9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IFERROR(__xludf.DUMMYFUNCTION("""COMPUTED_VALUE"""),243.25)</f>
        <v>243.25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IFERROR(__xludf.DUMMYFUNCTION("""COMPUTED_VALUE"""),239.25)</f>
        <v>239.25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IFERROR(__xludf.DUMMYFUNCTION("""COMPUTED_VALUE"""),219.9)</f>
        <v>219.9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IFERROR(__xludf.DUMMYFUNCTION("""COMPUTED_VALUE"""),216.95)</f>
        <v>216.95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IFERROR(__xludf.DUMMYFUNCTION("""COMPUTED_VALUE"""),208.65)</f>
        <v>208.65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IFERROR(__xludf.DUMMYFUNCTION("""COMPUTED_VALUE"""),207.45)</f>
        <v>207.45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IFERROR(__xludf.DUMMYFUNCTION("""COMPUTED_VALUE"""),203.45)</f>
        <v>203.45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IFERROR(__xludf.DUMMYFUNCTION("""COMPUTED_VALUE"""),179.0)</f>
        <v>179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IFERROR(__xludf.DUMMYFUNCTION("""COMPUTED_VALUE"""),176.5)</f>
        <v>176.5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IFERROR(__xludf.DUMMYFUNCTION("""COMPUTED_VALUE"""),166.0)</f>
        <v>166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IFERROR(__xludf.DUMMYFUNCTION("""COMPUTED_VALUE"""),182.75)</f>
        <v>182.75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IFERROR(__xludf.DUMMYFUNCTION("""COMPUTED_VALUE"""),186.25)</f>
        <v>186.25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IFERROR(__xludf.DUMMYFUNCTION("""COMPUTED_VALUE"""),193.75)</f>
        <v>193.75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IFERROR(__xludf.DUMMYFUNCTION("""COMPUTED_VALUE"""),189.95)</f>
        <v>189.95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IFERROR(__xludf.DUMMYFUNCTION("""COMPUTED_VALUE"""),184.9)</f>
        <v>184.9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IFERROR(__xludf.DUMMYFUNCTION("""COMPUTED_VALUE"""),181.75)</f>
        <v>181.75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IFERROR(__xludf.DUMMYFUNCTION("""COMPUTED_VALUE"""),173.6)</f>
        <v>173.6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IFERROR(__xludf.DUMMYFUNCTION("""COMPUTED_VALUE"""),191.9)</f>
        <v>191.9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IFERROR(__xludf.DUMMYFUNCTION("""COMPUTED_VALUE"""),198.0)</f>
        <v>198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IFERROR(__xludf.DUMMYFUNCTION("""COMPUTED_VALUE"""),205.25)</f>
        <v>205.25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IFERROR(__xludf.DUMMYFUNCTION("""COMPUTED_VALUE"""),206.2)</f>
        <v>206.2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IFERROR(__xludf.DUMMYFUNCTION("""COMPUTED_VALUE"""),193.95)</f>
        <v>193.95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IFERROR(__xludf.DUMMYFUNCTION("""COMPUTED_VALUE"""),209.4)</f>
        <v>209.4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IFERROR(__xludf.DUMMYFUNCTION("""COMPUTED_VALUE"""),208.5)</f>
        <v>208.5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IFERROR(__xludf.DUMMYFUNCTION("""COMPUTED_VALUE"""),201.95)</f>
        <v>201.95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IFERROR(__xludf.DUMMYFUNCTION("""COMPUTED_VALUE"""),200.0)</f>
        <v>200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IFERROR(__xludf.DUMMYFUNCTION("""COMPUTED_VALUE"""),201.7)</f>
        <v>201.7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IFERROR(__xludf.DUMMYFUNCTION("""COMPUTED_VALUE"""),200.5)</f>
        <v>200.5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IFERROR(__xludf.DUMMYFUNCTION("""COMPUTED_VALUE"""),197.0)</f>
        <v>197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IFERROR(__xludf.DUMMYFUNCTION("""COMPUTED_VALUE"""),207.7)</f>
        <v>207.7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IFERROR(__xludf.DUMMYFUNCTION("""COMPUTED_VALUE"""),201.7)</f>
        <v>201.7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IFERROR(__xludf.DUMMYFUNCTION("""COMPUTED_VALUE"""),199.0)</f>
        <v>199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IFERROR(__xludf.DUMMYFUNCTION("""COMPUTED_VALUE"""),199.0)</f>
        <v>199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IFERROR(__xludf.DUMMYFUNCTION("""COMPUTED_VALUE"""),190.55)</f>
        <v>190.55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IFERROR(__xludf.DUMMYFUNCTION("""COMPUTED_VALUE"""),185.85)</f>
        <v>185.85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IFERROR(__xludf.DUMMYFUNCTION("""COMPUTED_VALUE"""),180.6)</f>
        <v>180.6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IFERROR(__xludf.DUMMYFUNCTION("""COMPUTED_VALUE"""),174.8)</f>
        <v>174.8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IFERROR(__xludf.DUMMYFUNCTION("""COMPUTED_VALUE"""),172.8)</f>
        <v>172.8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IFERROR(__xludf.DUMMYFUNCTION("""COMPUTED_VALUE"""),175.2)</f>
        <v>175.2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IFERROR(__xludf.DUMMYFUNCTION("""COMPUTED_VALUE"""),171.0)</f>
        <v>171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IFERROR(__xludf.DUMMYFUNCTION("""COMPUTED_VALUE"""),171.6)</f>
        <v>171.6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IFERROR(__xludf.DUMMYFUNCTION("""COMPUTED_VALUE"""),177.2)</f>
        <v>177.2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IFERROR(__xludf.DUMMYFUNCTION("""COMPUTED_VALUE"""),192.0)</f>
        <v>192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IFERROR(__xludf.DUMMYFUNCTION("""COMPUTED_VALUE"""),197.95)</f>
        <v>197.95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IFERROR(__xludf.DUMMYFUNCTION("""COMPUTED_VALUE"""),199.35)</f>
        <v>199.35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IFERROR(__xludf.DUMMYFUNCTION("""COMPUTED_VALUE"""),217.95)</f>
        <v>217.95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IFERROR(__xludf.DUMMYFUNCTION("""COMPUTED_VALUE"""),218.6)</f>
        <v>218.6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IFERROR(__xludf.DUMMYFUNCTION("""COMPUTED_VALUE"""),214.7)</f>
        <v>214.7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IFERROR(__xludf.DUMMYFUNCTION("""COMPUTED_VALUE"""),214.2)</f>
        <v>214.2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IFERROR(__xludf.DUMMYFUNCTION("GOOGLEFINANCE(""NSE:BHEL"",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IFERROR(__xludf.DUMMYFUNCTION("""COMPUTED_VALUE"""),9.73)</f>
        <v>9.73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IFERROR(__xludf.DUMMYFUNCTION("""COMPUTED_VALUE"""),9.63)</f>
        <v>9.63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IFERROR(__xludf.DUMMYFUNCTION("""COMPUTED_VALUE"""),10.24)</f>
        <v>10.24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IFERROR(__xludf.DUMMYFUNCTION("""COMPUTED_VALUE"""),10.64)</f>
        <v>10.64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IFERROR(__xludf.DUMMYFUNCTION("""COMPUTED_VALUE"""),10.73)</f>
        <v>10.73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IFERROR(__xludf.DUMMYFUNCTION("""COMPUTED_VALUE"""),12.25)</f>
        <v>12.25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IFERROR(__xludf.DUMMYFUNCTION("""COMPUTED_VALUE"""),13.09)</f>
        <v>13.09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IFERROR(__xludf.DUMMYFUNCTION("""COMPUTED_VALUE"""),13.01)</f>
        <v>13.01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IFERROR(__xludf.DUMMYFUNCTION("""COMPUTED_VALUE"""),12.67)</f>
        <v>12.67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IFERROR(__xludf.DUMMYFUNCTION("""COMPUTED_VALUE"""),12.73)</f>
        <v>12.73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IFERROR(__xludf.DUMMYFUNCTION("""COMPUTED_VALUE"""),11.76)</f>
        <v>11.76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IFERROR(__xludf.DUMMYFUNCTION("""COMPUTED_VALUE"""),11.7)</f>
        <v>11.7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IFERROR(__xludf.DUMMYFUNCTION("""COMPUTED_VALUE"""),11.39)</f>
        <v>11.39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IFERROR(__xludf.DUMMYFUNCTION("""COMPUTED_VALUE"""),12.96)</f>
        <v>12.96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IFERROR(__xludf.DUMMYFUNCTION("""COMPUTED_VALUE"""),12.83)</f>
        <v>12.83</v>
      </c>
    </row>
    <row r="17">
      <c r="B17" s="3">
        <f>IFERROR(__xludf.DUMMYFUNCTION("""COMPUTED_VALUE"""),37365.645833333336)</f>
        <v>37365.64583</v>
      </c>
      <c r="C17" s="2">
        <f>IFERROR(__xludf.DUMMYFUNCTION("""COMPUTED_VALUE"""),11.93)</f>
        <v>11.93</v>
      </c>
    </row>
    <row r="18">
      <c r="B18" s="3">
        <f>IFERROR(__xludf.DUMMYFUNCTION("""COMPUTED_VALUE"""),37372.645833333336)</f>
        <v>37372.64583</v>
      </c>
      <c r="C18" s="2">
        <f>IFERROR(__xludf.DUMMYFUNCTION("""COMPUTED_VALUE"""),11.4)</f>
        <v>11.4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IFERROR(__xludf.DUMMYFUNCTION("""COMPUTED_VALUE"""),11.72)</f>
        <v>11.72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IFERROR(__xludf.DUMMYFUNCTION("""COMPUTED_VALUE"""),12.19)</f>
        <v>12.19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IFERROR(__xludf.DUMMYFUNCTION("""COMPUTED_VALUE"""),12.0)</f>
        <v>12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IFERROR(__xludf.DUMMYFUNCTION("""COMPUTED_VALUE"""),11.6)</f>
        <v>11.6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IFERROR(__xludf.DUMMYFUNCTION("""COMPUTED_VALUE"""),10.81)</f>
        <v>10.81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IFERROR(__xludf.DUMMYFUNCTION("""COMPUTED_VALUE"""),11.54)</f>
        <v>11.54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IFERROR(__xludf.DUMMYFUNCTION("""COMPUTED_VALUE"""),11.93)</f>
        <v>11.93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IFERROR(__xludf.DUMMYFUNCTION("""COMPUTED_VALUE"""),12.0)</f>
        <v>12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IFERROR(__xludf.DUMMYFUNCTION("""COMPUTED_VALUE"""),12.33)</f>
        <v>12.33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IFERROR(__xludf.DUMMYFUNCTION("""COMPUTED_VALUE"""),12.43)</f>
        <v>12.43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IFERROR(__xludf.DUMMYFUNCTION("""COMPUTED_VALUE"""),12.72)</f>
        <v>12.72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IFERROR(__xludf.DUMMYFUNCTION("""COMPUTED_VALUE"""),11.77)</f>
        <v>11.77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IFERROR(__xludf.DUMMYFUNCTION("""COMPUTED_VALUE"""),11.77)</f>
        <v>11.77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IFERROR(__xludf.DUMMYFUNCTION("""COMPUTED_VALUE"""),12.09)</f>
        <v>12.09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IFERROR(__xludf.DUMMYFUNCTION("""COMPUTED_VALUE"""),11.8)</f>
        <v>11.8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IFERROR(__xludf.DUMMYFUNCTION("""COMPUTED_VALUE"""),12.2)</f>
        <v>12.2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IFERROR(__xludf.DUMMYFUNCTION("""COMPUTED_VALUE"""),12.19)</f>
        <v>12.19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IFERROR(__xludf.DUMMYFUNCTION("""COMPUTED_VALUE"""),12.0)</f>
        <v>12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IFERROR(__xludf.DUMMYFUNCTION("""COMPUTED_VALUE"""),12.13)</f>
        <v>12.13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IFERROR(__xludf.DUMMYFUNCTION("""COMPUTED_VALUE"""),11.37)</f>
        <v>11.37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IFERROR(__xludf.DUMMYFUNCTION("""COMPUTED_VALUE"""),12.27)</f>
        <v>12.27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IFERROR(__xludf.DUMMYFUNCTION("""COMPUTED_VALUE"""),11.07)</f>
        <v>11.07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IFERROR(__xludf.DUMMYFUNCTION("""COMPUTED_VALUE"""),12.33)</f>
        <v>12.33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IFERROR(__xludf.DUMMYFUNCTION("""COMPUTED_VALUE"""),11.27)</f>
        <v>11.27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IFERROR(__xludf.DUMMYFUNCTION("""COMPUTED_VALUE"""),10.75)</f>
        <v>10.75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IFERROR(__xludf.DUMMYFUNCTION("""COMPUTED_VALUE"""),10.93)</f>
        <v>10.93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IFERROR(__xludf.DUMMYFUNCTION("""COMPUTED_VALUE"""),10.83)</f>
        <v>10.83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IFERROR(__xludf.DUMMYFUNCTION("""COMPUTED_VALUE"""),10.27)</f>
        <v>10.27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IFERROR(__xludf.DUMMYFUNCTION("""COMPUTED_VALUE"""),10.28)</f>
        <v>10.28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IFERROR(__xludf.DUMMYFUNCTION("""COMPUTED_VALUE"""),10.8)</f>
        <v>10.8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IFERROR(__xludf.DUMMYFUNCTION("""COMPUTED_VALUE"""),11.04)</f>
        <v>11.04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IFERROR(__xludf.DUMMYFUNCTION("""COMPUTED_VALUE"""),11.67)</f>
        <v>11.67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IFERROR(__xludf.DUMMYFUNCTION("""COMPUTED_VALUE"""),11.58)</f>
        <v>11.58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IFERROR(__xludf.DUMMYFUNCTION("""COMPUTED_VALUE"""),11.57)</f>
        <v>11.57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IFERROR(__xludf.DUMMYFUNCTION("""COMPUTED_VALUE"""),11.56)</f>
        <v>11.56</v>
      </c>
    </row>
    <row r="54" ht="15.75" customHeight="1"/>
    <row r="55" ht="15.75" customHeight="1"/>
    <row r="56" ht="15.75" customHeight="1">
      <c r="B56" s="2" t="str">
        <f>IFERROR(__xludf.DUMMYFUNCTION("GOOGLEFINANCE(""NSE:BHEL"",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IFERROR(__xludf.DUMMYFUNCTION("""COMPUTED_VALUE"""),11.63)</f>
        <v>11.63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IFERROR(__xludf.DUMMYFUNCTION("""COMPUTED_VALUE"""),11.56)</f>
        <v>11.56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IFERROR(__xludf.DUMMYFUNCTION("""COMPUTED_VALUE"""),12.29)</f>
        <v>12.29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IFERROR(__xludf.DUMMYFUNCTION("""COMPUTED_VALUE"""),13.0)</f>
        <v>13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IFERROR(__xludf.DUMMYFUNCTION("""COMPUTED_VALUE"""),12.99)</f>
        <v>12.99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IFERROR(__xludf.DUMMYFUNCTION("""COMPUTED_VALUE"""),13.78)</f>
        <v>13.78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IFERROR(__xludf.DUMMYFUNCTION("""COMPUTED_VALUE"""),13.78)</f>
        <v>13.78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IFERROR(__xludf.DUMMYFUNCTION("""COMPUTED_VALUE"""),14.42)</f>
        <v>14.42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IFERROR(__xludf.DUMMYFUNCTION("""COMPUTED_VALUE"""),14.75)</f>
        <v>14.75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IFERROR(__xludf.DUMMYFUNCTION("""COMPUTED_VALUE"""),14.18)</f>
        <v>14.18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IFERROR(__xludf.DUMMYFUNCTION("""COMPUTED_VALUE"""),13.8)</f>
        <v>13.8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IFERROR(__xludf.DUMMYFUNCTION("""COMPUTED_VALUE"""),15.08)</f>
        <v>15.08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IFERROR(__xludf.DUMMYFUNCTION("""COMPUTED_VALUE"""),15.77)</f>
        <v>15.77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IFERROR(__xludf.DUMMYFUNCTION("""COMPUTED_VALUE"""),15.6)</f>
        <v>15.6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IFERROR(__xludf.DUMMYFUNCTION("""COMPUTED_VALUE"""),15.45)</f>
        <v>15.45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IFERROR(__xludf.DUMMYFUNCTION("""COMPUTED_VALUE"""),15.72)</f>
        <v>15.72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IFERROR(__xludf.DUMMYFUNCTION("""COMPUTED_VALUE"""),15.65)</f>
        <v>15.65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IFERROR(__xludf.DUMMYFUNCTION("""COMPUTED_VALUE"""),16.8)</f>
        <v>16.8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IFERROR(__xludf.DUMMYFUNCTION("""COMPUTED_VALUE"""),17.17)</f>
        <v>17.17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IFERROR(__xludf.DUMMYFUNCTION("""COMPUTED_VALUE"""),17.46)</f>
        <v>17.46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IFERROR(__xludf.DUMMYFUNCTION("""COMPUTED_VALUE"""),17.79)</f>
        <v>17.79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IFERROR(__xludf.DUMMYFUNCTION("""COMPUTED_VALUE"""),17.33)</f>
        <v>17.33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IFERROR(__xludf.DUMMYFUNCTION("""COMPUTED_VALUE"""),18.16)</f>
        <v>18.16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IFERROR(__xludf.DUMMYFUNCTION("""COMPUTED_VALUE"""),18.06)</f>
        <v>18.06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IFERROR(__xludf.DUMMYFUNCTION("""COMPUTED_VALUE"""),18.23)</f>
        <v>18.23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IFERROR(__xludf.DUMMYFUNCTION("""COMPUTED_VALUE"""),18.98)</f>
        <v>18.98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IFERROR(__xludf.DUMMYFUNCTION("""COMPUTED_VALUE"""),19.23)</f>
        <v>19.23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IFERROR(__xludf.DUMMYFUNCTION("""COMPUTED_VALUE"""),19.6)</f>
        <v>19.6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IFERROR(__xludf.DUMMYFUNCTION("""COMPUTED_VALUE"""),18.34)</f>
        <v>18.34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IFERROR(__xludf.DUMMYFUNCTION("""COMPUTED_VALUE"""),18.6)</f>
        <v>18.6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IFERROR(__xludf.DUMMYFUNCTION("""COMPUTED_VALUE"""),19.86)</f>
        <v>19.86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IFERROR(__xludf.DUMMYFUNCTION("""COMPUTED_VALUE"""),20.62)</f>
        <v>20.62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IFERROR(__xludf.DUMMYFUNCTION("""COMPUTED_VALUE"""),22.6)</f>
        <v>22.6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IFERROR(__xludf.DUMMYFUNCTION("""COMPUTED_VALUE"""),26.53)</f>
        <v>26.53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IFERROR(__xludf.DUMMYFUNCTION("""COMPUTED_VALUE"""),24.27)</f>
        <v>24.27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IFERROR(__xludf.DUMMYFUNCTION("""COMPUTED_VALUE"""),23.8)</f>
        <v>23.8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IFERROR(__xludf.DUMMYFUNCTION("""COMPUTED_VALUE"""),24.8)</f>
        <v>24.8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IFERROR(__xludf.DUMMYFUNCTION("""COMPUTED_VALUE"""),26.79)</f>
        <v>26.79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IFERROR(__xludf.DUMMYFUNCTION("""COMPUTED_VALUE"""),27.43)</f>
        <v>27.43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IFERROR(__xludf.DUMMYFUNCTION("""COMPUTED_VALUE"""),28.85)</f>
        <v>28.85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IFERROR(__xludf.DUMMYFUNCTION("""COMPUTED_VALUE"""),31.0)</f>
        <v>31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IFERROR(__xludf.DUMMYFUNCTION("""COMPUTED_VALUE"""),32.6)</f>
        <v>32.6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IFERROR(__xludf.DUMMYFUNCTION("""COMPUTED_VALUE"""),33.0)</f>
        <v>33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IFERROR(__xludf.DUMMYFUNCTION("""COMPUTED_VALUE"""),30.79)</f>
        <v>30.79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IFERROR(__xludf.DUMMYFUNCTION("""COMPUTED_VALUE"""),29.99)</f>
        <v>29.99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IFERROR(__xludf.DUMMYFUNCTION("""COMPUTED_VALUE"""),31.9)</f>
        <v>31.9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IFERROR(__xludf.DUMMYFUNCTION("""COMPUTED_VALUE"""),31.09)</f>
        <v>31.09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IFERROR(__xludf.DUMMYFUNCTION("""COMPUTED_VALUE"""),31.53)</f>
        <v>31.53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IFERROR(__xludf.DUMMYFUNCTION("""COMPUTED_VALUE"""),33.08)</f>
        <v>33.08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IFERROR(__xludf.DUMMYFUNCTION("GOOGLEFINANCE(""NSE:BHEL"",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IFERROR(__xludf.DUMMYFUNCTION("""COMPUTED_VALUE"""),36.0)</f>
        <v>36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IFERROR(__xludf.DUMMYFUNCTION("""COMPUTED_VALUE"""),39.27)</f>
        <v>39.27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IFERROR(__xludf.DUMMYFUNCTION("""COMPUTED_VALUE"""),40.29)</f>
        <v>40.29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IFERROR(__xludf.DUMMYFUNCTION("""COMPUTED_VALUE"""),38.5)</f>
        <v>38.5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IFERROR(__xludf.DUMMYFUNCTION("""COMPUTED_VALUE"""),39.56)</f>
        <v>39.56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IFERROR(__xludf.DUMMYFUNCTION("""COMPUTED_VALUE"""),38.03)</f>
        <v>38.03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IFERROR(__xludf.DUMMYFUNCTION("""COMPUTED_VALUE"""),41.07)</f>
        <v>41.07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IFERROR(__xludf.DUMMYFUNCTION("""COMPUTED_VALUE"""),42.26)</f>
        <v>42.26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IFERROR(__xludf.DUMMYFUNCTION("""COMPUTED_VALUE"""),41.33)</f>
        <v>41.33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IFERROR(__xludf.DUMMYFUNCTION("""COMPUTED_VALUE"""),40.94)</f>
        <v>40.94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IFERROR(__xludf.DUMMYFUNCTION("""COMPUTED_VALUE"""),42.76)</f>
        <v>42.76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IFERROR(__xludf.DUMMYFUNCTION("""COMPUTED_VALUE"""),40.43)</f>
        <v>40.43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IFERROR(__xludf.DUMMYFUNCTION("""COMPUTED_VALUE"""),37.93)</f>
        <v>37.93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IFERROR(__xludf.DUMMYFUNCTION("""COMPUTED_VALUE"""),42.92)</f>
        <v>42.92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IFERROR(__xludf.DUMMYFUNCTION("""COMPUTED_VALUE"""),45.65)</f>
        <v>45.65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IFERROR(__xludf.DUMMYFUNCTION("""COMPUTED_VALUE"""),43.93)</f>
        <v>43.93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IFERROR(__xludf.DUMMYFUNCTION("""COMPUTED_VALUE"""),41.0)</f>
        <v>41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IFERROR(__xludf.DUMMYFUNCTION("""COMPUTED_VALUE"""),40.33)</f>
        <v>40.33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IFERROR(__xludf.DUMMYFUNCTION("""COMPUTED_VALUE"""),40.0)</f>
        <v>40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IFERROR(__xludf.DUMMYFUNCTION("""COMPUTED_VALUE"""),34.0)</f>
        <v>34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IFERROR(__xludf.DUMMYFUNCTION("""COMPUTED_VALUE"""),32.87)</f>
        <v>32.87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IFERROR(__xludf.DUMMYFUNCTION("""COMPUTED_VALUE"""),31.62)</f>
        <v>31.62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IFERROR(__xludf.DUMMYFUNCTION("""COMPUTED_VALUE"""),32.07)</f>
        <v>32.07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IFERROR(__xludf.DUMMYFUNCTION("""COMPUTED_VALUE"""),32.77)</f>
        <v>32.77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IFERROR(__xludf.DUMMYFUNCTION("""COMPUTED_VALUE"""),33.47)</f>
        <v>33.47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IFERROR(__xludf.DUMMYFUNCTION("""COMPUTED_VALUE"""),35.27)</f>
        <v>35.27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IFERROR(__xludf.DUMMYFUNCTION("""COMPUTED_VALUE"""),36.72)</f>
        <v>36.72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IFERROR(__xludf.DUMMYFUNCTION("""COMPUTED_VALUE"""),37.29)</f>
        <v>37.29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IFERROR(__xludf.DUMMYFUNCTION("""COMPUTED_VALUE"""),38.32)</f>
        <v>38.32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IFERROR(__xludf.DUMMYFUNCTION("""COMPUTED_VALUE"""),37.13)</f>
        <v>37.13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IFERROR(__xludf.DUMMYFUNCTION("""COMPUTED_VALUE"""),37.67)</f>
        <v>37.67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IFERROR(__xludf.DUMMYFUNCTION("""COMPUTED_VALUE"""),38.77)</f>
        <v>38.77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IFERROR(__xludf.DUMMYFUNCTION("""COMPUTED_VALUE"""),38.6)</f>
        <v>38.6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IFERROR(__xludf.DUMMYFUNCTION("""COMPUTED_VALUE"""),38.19)</f>
        <v>38.19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IFERROR(__xludf.DUMMYFUNCTION("""COMPUTED_VALUE"""),39.79)</f>
        <v>39.79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IFERROR(__xludf.DUMMYFUNCTION("""COMPUTED_VALUE"""),39.33)</f>
        <v>39.33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IFERROR(__xludf.DUMMYFUNCTION("""COMPUTED_VALUE"""),39.7)</f>
        <v>39.7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IFERROR(__xludf.DUMMYFUNCTION("""COMPUTED_VALUE"""),40.07)</f>
        <v>40.07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IFERROR(__xludf.DUMMYFUNCTION("""COMPUTED_VALUE"""),39.13)</f>
        <v>39.13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IFERROR(__xludf.DUMMYFUNCTION("""COMPUTED_VALUE"""),41.8)</f>
        <v>41.8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IFERROR(__xludf.DUMMYFUNCTION("""COMPUTED_VALUE"""),42.77)</f>
        <v>42.77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IFERROR(__xludf.DUMMYFUNCTION("""COMPUTED_VALUE"""),43.0)</f>
        <v>43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IFERROR(__xludf.DUMMYFUNCTION("""COMPUTED_VALUE"""),43.07)</f>
        <v>43.07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IFERROR(__xludf.DUMMYFUNCTION("""COMPUTED_VALUE"""),42.51)</f>
        <v>42.51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IFERROR(__xludf.DUMMYFUNCTION("""COMPUTED_VALUE"""),41.6)</f>
        <v>41.6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IFERROR(__xludf.DUMMYFUNCTION("""COMPUTED_VALUE"""),41.6)</f>
        <v>41.6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IFERROR(__xludf.DUMMYFUNCTION("""COMPUTED_VALUE"""),43.5)</f>
        <v>43.5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IFERROR(__xludf.DUMMYFUNCTION("""COMPUTED_VALUE"""),45.99)</f>
        <v>45.99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IFERROR(__xludf.DUMMYFUNCTION("""COMPUTED_VALUE"""),49.0)</f>
        <v>49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IFERROR(__xludf.DUMMYFUNCTION("""COMPUTED_VALUE"""),49.32)</f>
        <v>49.32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IFERROR(__xludf.DUMMYFUNCTION("""COMPUTED_VALUE"""),52.1)</f>
        <v>52.1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IFERROR(__xludf.DUMMYFUNCTION("GOOGLEFINANCE(""NSE:BHEL"",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IFERROR(__xludf.DUMMYFUNCTION("""COMPUTED_VALUE"""),53.27)</f>
        <v>53.27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IFERROR(__xludf.DUMMYFUNCTION("""COMPUTED_VALUE"""),50.66)</f>
        <v>50.66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IFERROR(__xludf.DUMMYFUNCTION("""COMPUTED_VALUE"""),48.53)</f>
        <v>48.53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IFERROR(__xludf.DUMMYFUNCTION("""COMPUTED_VALUE"""),48.67)</f>
        <v>48.67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IFERROR(__xludf.DUMMYFUNCTION("""COMPUTED_VALUE"""),53.8)</f>
        <v>53.8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IFERROR(__xludf.DUMMYFUNCTION("""COMPUTED_VALUE"""),55.18)</f>
        <v>55.18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IFERROR(__xludf.DUMMYFUNCTION("""COMPUTED_VALUE"""),58.47)</f>
        <v>58.47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IFERROR(__xludf.DUMMYFUNCTION("""COMPUTED_VALUE"""),57.82)</f>
        <v>57.82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IFERROR(__xludf.DUMMYFUNCTION("""COMPUTED_VALUE"""),58.93)</f>
        <v>58.93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IFERROR(__xludf.DUMMYFUNCTION("""COMPUTED_VALUE"""),58.8)</f>
        <v>58.8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IFERROR(__xludf.DUMMYFUNCTION("""COMPUTED_VALUE"""),55.33)</f>
        <v>55.33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IFERROR(__xludf.DUMMYFUNCTION("""COMPUTED_VALUE"""),53.67)</f>
        <v>53.67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IFERROR(__xludf.DUMMYFUNCTION("""COMPUTED_VALUE"""),53.63)</f>
        <v>53.63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IFERROR(__xludf.DUMMYFUNCTION("""COMPUTED_VALUE"""),54.67)</f>
        <v>54.67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IFERROR(__xludf.DUMMYFUNCTION("""COMPUTED_VALUE"""),53.73)</f>
        <v>53.73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IFERROR(__xludf.DUMMYFUNCTION("""COMPUTED_VALUE"""),54.17)</f>
        <v>54.17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IFERROR(__xludf.DUMMYFUNCTION("""COMPUTED_VALUE"""),55.2)</f>
        <v>55.2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IFERROR(__xludf.DUMMYFUNCTION("""COMPUTED_VALUE"""),55.32)</f>
        <v>55.32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IFERROR(__xludf.DUMMYFUNCTION("""COMPUTED_VALUE"""),56.33)</f>
        <v>56.33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IFERROR(__xludf.DUMMYFUNCTION("""COMPUTED_VALUE"""),57.99)</f>
        <v>57.99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IFERROR(__xludf.DUMMYFUNCTION("""COMPUTED_VALUE"""),63.27)</f>
        <v>63.27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IFERROR(__xludf.DUMMYFUNCTION("""COMPUTED_VALUE"""),59.67)</f>
        <v>59.67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IFERROR(__xludf.DUMMYFUNCTION("""COMPUTED_VALUE"""),59.93)</f>
        <v>59.93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IFERROR(__xludf.DUMMYFUNCTION("""COMPUTED_VALUE"""),58.67)</f>
        <v>58.67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IFERROR(__xludf.DUMMYFUNCTION("""COMPUTED_VALUE"""),58.67)</f>
        <v>58.67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IFERROR(__xludf.DUMMYFUNCTION("""COMPUTED_VALUE"""),59.91)</f>
        <v>59.91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IFERROR(__xludf.DUMMYFUNCTION("""COMPUTED_VALUE"""),59.65)</f>
        <v>59.65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IFERROR(__xludf.DUMMYFUNCTION("""COMPUTED_VALUE"""),66.6)</f>
        <v>66.6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IFERROR(__xludf.DUMMYFUNCTION("""COMPUTED_VALUE"""),77.0)</f>
        <v>77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IFERROR(__xludf.DUMMYFUNCTION("""COMPUTED_VALUE"""),73.16)</f>
        <v>73.16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IFERROR(__xludf.DUMMYFUNCTION("""COMPUTED_VALUE"""),72.33)</f>
        <v>72.33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IFERROR(__xludf.DUMMYFUNCTION("""COMPUTED_VALUE"""),76.38)</f>
        <v>76.38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IFERROR(__xludf.DUMMYFUNCTION("""COMPUTED_VALUE"""),77.0)</f>
        <v>77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IFERROR(__xludf.DUMMYFUNCTION("""COMPUTED_VALUE"""),73.27)</f>
        <v>73.27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IFERROR(__xludf.DUMMYFUNCTION("""COMPUTED_VALUE"""),74.6)</f>
        <v>74.6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IFERROR(__xludf.DUMMYFUNCTION("""COMPUTED_VALUE"""),74.4)</f>
        <v>74.4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IFERROR(__xludf.DUMMYFUNCTION("""COMPUTED_VALUE"""),77.0)</f>
        <v>77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IFERROR(__xludf.DUMMYFUNCTION("""COMPUTED_VALUE"""),82.67)</f>
        <v>82.67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IFERROR(__xludf.DUMMYFUNCTION("""COMPUTED_VALUE"""),87.67)</f>
        <v>87.67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IFERROR(__xludf.DUMMYFUNCTION("""COMPUTED_VALUE"""),82.33)</f>
        <v>82.33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IFERROR(__xludf.DUMMYFUNCTION("""COMPUTED_VALUE"""),80.27)</f>
        <v>80.27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IFERROR(__xludf.DUMMYFUNCTION("""COMPUTED_VALUE"""),78.56)</f>
        <v>78.56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IFERROR(__xludf.DUMMYFUNCTION("""COMPUTED_VALUE"""),76.66)</f>
        <v>76.66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IFERROR(__xludf.DUMMYFUNCTION("""COMPUTED_VALUE"""),86.59)</f>
        <v>86.59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IFERROR(__xludf.DUMMYFUNCTION("""COMPUTED_VALUE"""),88.67)</f>
        <v>88.67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IFERROR(__xludf.DUMMYFUNCTION("""COMPUTED_VALUE"""),99.99)</f>
        <v>99.99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IFERROR(__xludf.DUMMYFUNCTION("""COMPUTED_VALUE"""),96.67)</f>
        <v>96.67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IFERROR(__xludf.DUMMYFUNCTION("""COMPUTED_VALUE"""),97.33)</f>
        <v>97.33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IFERROR(__xludf.DUMMYFUNCTION("""COMPUTED_VALUE"""),99.85)</f>
        <v>99.85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IFERROR(__xludf.DUMMYFUNCTION("""COMPUTED_VALUE"""),93.2)</f>
        <v>93.2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IFERROR(__xludf.DUMMYFUNCTION("GOOGLEFINANCE(""NSE:BHEL"",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IFERROR(__xludf.DUMMYFUNCTION("""COMPUTED_VALUE"""),98.09)</f>
        <v>98.09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IFERROR(__xludf.DUMMYFUNCTION("""COMPUTED_VALUE"""),100.33)</f>
        <v>100.33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IFERROR(__xludf.DUMMYFUNCTION("""COMPUTED_VALUE"""),106.6)</f>
        <v>106.6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IFERROR(__xludf.DUMMYFUNCTION("""COMPUTED_VALUE"""),115.07)</f>
        <v>115.07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IFERROR(__xludf.DUMMYFUNCTION("""COMPUTED_VALUE"""),124.67)</f>
        <v>124.67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IFERROR(__xludf.DUMMYFUNCTION("""COMPUTED_VALUE"""),125.53)</f>
        <v>125.53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IFERROR(__xludf.DUMMYFUNCTION("""COMPUTED_VALUE"""),129.86)</f>
        <v>129.86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IFERROR(__xludf.DUMMYFUNCTION("""COMPUTED_VALUE"""),130.0)</f>
        <v>130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IFERROR(__xludf.DUMMYFUNCTION("""COMPUTED_VALUE"""),145.33)</f>
        <v>145.33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IFERROR(__xludf.DUMMYFUNCTION("""COMPUTED_VALUE"""),147.0)</f>
        <v>147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IFERROR(__xludf.DUMMYFUNCTION("""COMPUTED_VALUE"""),143.93)</f>
        <v>143.93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IFERROR(__xludf.DUMMYFUNCTION("""COMPUTED_VALUE"""),149.25)</f>
        <v>149.25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IFERROR(__xludf.DUMMYFUNCTION("""COMPUTED_VALUE"""),152.0)</f>
        <v>152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IFERROR(__xludf.DUMMYFUNCTION("""COMPUTED_VALUE"""),160.87)</f>
        <v>160.87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IFERROR(__xludf.DUMMYFUNCTION("""COMPUTED_VALUE"""),161.57)</f>
        <v>161.57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IFERROR(__xludf.DUMMYFUNCTION("""COMPUTED_VALUE"""),159.33)</f>
        <v>159.33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IFERROR(__xludf.DUMMYFUNCTION("""COMPUTED_VALUE"""),161.0)</f>
        <v>161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IFERROR(__xludf.DUMMYFUNCTION("""COMPUTED_VALUE"""),164.36)</f>
        <v>164.36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IFERROR(__xludf.DUMMYFUNCTION("""COMPUTED_VALUE"""),156.33)</f>
        <v>156.33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IFERROR(__xludf.DUMMYFUNCTION("""COMPUTED_VALUE"""),136.0)</f>
        <v>136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IFERROR(__xludf.DUMMYFUNCTION("""COMPUTED_VALUE"""),134.66)</f>
        <v>134.66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IFERROR(__xludf.DUMMYFUNCTION("""COMPUTED_VALUE"""),136.51)</f>
        <v>136.51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IFERROR(__xludf.DUMMYFUNCTION("""COMPUTED_VALUE"""),131.03)</f>
        <v>131.03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IFERROR(__xludf.DUMMYFUNCTION("""COMPUTED_VALUE"""),133.27)</f>
        <v>133.27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IFERROR(__xludf.DUMMYFUNCTION("""COMPUTED_VALUE"""),132.0)</f>
        <v>132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IFERROR(__xludf.DUMMYFUNCTION("""COMPUTED_VALUE"""),132.19)</f>
        <v>132.19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IFERROR(__xludf.DUMMYFUNCTION("""COMPUTED_VALUE"""),133.33)</f>
        <v>133.33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IFERROR(__xludf.DUMMYFUNCTION("""COMPUTED_VALUE"""),128.33)</f>
        <v>128.33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IFERROR(__xludf.DUMMYFUNCTION("""COMPUTED_VALUE"""),134.4)</f>
        <v>134.4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IFERROR(__xludf.DUMMYFUNCTION("""COMPUTED_VALUE"""),146.13)</f>
        <v>146.13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IFERROR(__xludf.DUMMYFUNCTION("""COMPUTED_VALUE"""),148.13)</f>
        <v>148.13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IFERROR(__xludf.DUMMYFUNCTION("""COMPUTED_VALUE"""),153.33)</f>
        <v>153.33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IFERROR(__xludf.DUMMYFUNCTION("""COMPUTED_VALUE"""),153.24)</f>
        <v>153.24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IFERROR(__xludf.DUMMYFUNCTION("""COMPUTED_VALUE"""),153.76)</f>
        <v>153.76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IFERROR(__xludf.DUMMYFUNCTION("""COMPUTED_VALUE"""),155.5)</f>
        <v>155.5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IFERROR(__xludf.DUMMYFUNCTION("""COMPUTED_VALUE"""),155.67)</f>
        <v>155.67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IFERROR(__xludf.DUMMYFUNCTION("""COMPUTED_VALUE"""),155.6)</f>
        <v>155.6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IFERROR(__xludf.DUMMYFUNCTION("""COMPUTED_VALUE"""),161.13)</f>
        <v>161.13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IFERROR(__xludf.DUMMYFUNCTION("""COMPUTED_VALUE"""),160.47)</f>
        <v>160.47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IFERROR(__xludf.DUMMYFUNCTION("""COMPUTED_VALUE"""),160.0)</f>
        <v>160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IFERROR(__xludf.DUMMYFUNCTION("""COMPUTED_VALUE"""),166.39)</f>
        <v>166.39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IFERROR(__xludf.DUMMYFUNCTION("""COMPUTED_VALUE"""),166.98)</f>
        <v>166.98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IFERROR(__xludf.DUMMYFUNCTION("""COMPUTED_VALUE"""),167.92)</f>
        <v>167.92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IFERROR(__xludf.DUMMYFUNCTION("""COMPUTED_VALUE"""),167.2)</f>
        <v>167.2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IFERROR(__xludf.DUMMYFUNCTION("""COMPUTED_VALUE"""),170.52)</f>
        <v>170.52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IFERROR(__xludf.DUMMYFUNCTION("""COMPUTED_VALUE"""),170.0)</f>
        <v>170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IFERROR(__xludf.DUMMYFUNCTION("""COMPUTED_VALUE"""),177.7)</f>
        <v>177.7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IFERROR(__xludf.DUMMYFUNCTION("""COMPUTED_VALUE"""),176.33)</f>
        <v>176.33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IFERROR(__xludf.DUMMYFUNCTION("""COMPUTED_VALUE"""),169.18)</f>
        <v>169.18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IFERROR(__xludf.DUMMYFUNCTION("""COMPUTED_VALUE"""),156.85)</f>
        <v>156.85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IFERROR(__xludf.DUMMYFUNCTION("GOOGLEFINANCE(""NSE:BHEL"",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IFERROR(__xludf.DUMMYFUNCTION("""COMPUTED_VALUE"""),155.13)</f>
        <v>155.13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IFERROR(__xludf.DUMMYFUNCTION("""COMPUTED_VALUE"""),152.59)</f>
        <v>152.59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IFERROR(__xludf.DUMMYFUNCTION("""COMPUTED_VALUE"""),154.8)</f>
        <v>154.8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IFERROR(__xludf.DUMMYFUNCTION("""COMPUTED_VALUE"""),164.0)</f>
        <v>164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IFERROR(__xludf.DUMMYFUNCTION("""COMPUTED_VALUE"""),176.6)</f>
        <v>176.6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IFERROR(__xludf.DUMMYFUNCTION("""COMPUTED_VALUE"""),171.33)</f>
        <v>171.33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IFERROR(__xludf.DUMMYFUNCTION("""COMPUTED_VALUE"""),167.4)</f>
        <v>167.4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IFERROR(__xludf.DUMMYFUNCTION("""COMPUTED_VALUE"""),163.17)</f>
        <v>163.17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IFERROR(__xludf.DUMMYFUNCTION("""COMPUTED_VALUE"""),153.27)</f>
        <v>153.27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IFERROR(__xludf.DUMMYFUNCTION("""COMPUTED_VALUE"""),146.53)</f>
        <v>146.53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IFERROR(__xludf.DUMMYFUNCTION("""COMPUTED_VALUE"""),146.47)</f>
        <v>146.47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IFERROR(__xludf.DUMMYFUNCTION("""COMPUTED_VALUE"""),154.33)</f>
        <v>154.33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IFERROR(__xludf.DUMMYFUNCTION("""COMPUTED_VALUE"""),154.8)</f>
        <v>154.8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IFERROR(__xludf.DUMMYFUNCTION("""COMPUTED_VALUE"""),160.8)</f>
        <v>160.8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IFERROR(__xludf.DUMMYFUNCTION("""COMPUTED_VALUE"""),170.0)</f>
        <v>170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IFERROR(__xludf.DUMMYFUNCTION("""COMPUTED_VALUE"""),172.93)</f>
        <v>172.93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IFERROR(__xludf.DUMMYFUNCTION("""COMPUTED_VALUE"""),171.66)</f>
        <v>171.66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IFERROR(__xludf.DUMMYFUNCTION("""COMPUTED_VALUE"""),171.47)</f>
        <v>171.47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IFERROR(__xludf.DUMMYFUNCTION("""COMPUTED_VALUE"""),169.47)</f>
        <v>169.47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IFERROR(__xludf.DUMMYFUNCTION("""COMPUTED_VALUE"""),177.4)</f>
        <v>177.4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IFERROR(__xludf.DUMMYFUNCTION("""COMPUTED_VALUE"""),183.47)</f>
        <v>183.47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IFERROR(__xludf.DUMMYFUNCTION("""COMPUTED_VALUE"""),194.58)</f>
        <v>194.58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IFERROR(__xludf.DUMMYFUNCTION("""COMPUTED_VALUE"""),194.41)</f>
        <v>194.41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IFERROR(__xludf.DUMMYFUNCTION("""COMPUTED_VALUE"""),187.19)</f>
        <v>187.19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IFERROR(__xludf.DUMMYFUNCTION("""COMPUTED_VALUE"""),199.96)</f>
        <v>199.96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IFERROR(__xludf.DUMMYFUNCTION("""COMPUTED_VALUE"""),205.87)</f>
        <v>205.87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IFERROR(__xludf.DUMMYFUNCTION("""COMPUTED_VALUE"""),211.07)</f>
        <v>211.07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IFERROR(__xludf.DUMMYFUNCTION("""COMPUTED_VALUE"""),228.67)</f>
        <v>228.67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IFERROR(__xludf.DUMMYFUNCTION("""COMPUTED_VALUE"""),226.93)</f>
        <v>226.93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IFERROR(__xludf.DUMMYFUNCTION("""COMPUTED_VALUE"""),252.67)</f>
        <v>252.67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IFERROR(__xludf.DUMMYFUNCTION("""COMPUTED_VALUE"""),233.47)</f>
        <v>233.47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IFERROR(__xludf.DUMMYFUNCTION("""COMPUTED_VALUE"""),238.27)</f>
        <v>238.27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IFERROR(__xludf.DUMMYFUNCTION("""COMPUTED_VALUE"""),230.37)</f>
        <v>230.37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IFERROR(__xludf.DUMMYFUNCTION("""COMPUTED_VALUE"""),235.73)</f>
        <v>235.73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IFERROR(__xludf.DUMMYFUNCTION("""COMPUTED_VALUE"""),252.8)</f>
        <v>252.8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IFERROR(__xludf.DUMMYFUNCTION("""COMPUTED_VALUE"""),259.87)</f>
        <v>259.87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IFERROR(__xludf.DUMMYFUNCTION("""COMPUTED_VALUE"""),257.87)</f>
        <v>257.87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IFERROR(__xludf.DUMMYFUNCTION("""COMPUTED_VALUE"""),263.96)</f>
        <v>263.96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IFERROR(__xludf.DUMMYFUNCTION("""COMPUTED_VALUE"""),278.27)</f>
        <v>278.27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IFERROR(__xludf.DUMMYFUNCTION("""COMPUTED_VALUE"""),297.33)</f>
        <v>297.33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IFERROR(__xludf.DUMMYFUNCTION("""COMPUTED_VALUE"""),328.93)</f>
        <v>328.93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IFERROR(__xludf.DUMMYFUNCTION("""COMPUTED_VALUE"""),326.0)</f>
        <v>326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IFERROR(__xludf.DUMMYFUNCTION("""COMPUTED_VALUE"""),326.4)</f>
        <v>326.4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IFERROR(__xludf.DUMMYFUNCTION("""COMPUTED_VALUE"""),366.67)</f>
        <v>366.67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IFERROR(__xludf.DUMMYFUNCTION("""COMPUTED_VALUE"""),387.43)</f>
        <v>387.43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IFERROR(__xludf.DUMMYFUNCTION("""COMPUTED_VALUE"""),377.39)</f>
        <v>377.39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IFERROR(__xludf.DUMMYFUNCTION("""COMPUTED_VALUE"""),373.2)</f>
        <v>373.2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IFERROR(__xludf.DUMMYFUNCTION("""COMPUTED_VALUE"""),383.33)</f>
        <v>383.33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IFERROR(__xludf.DUMMYFUNCTION("""COMPUTED_VALUE"""),377.04)</f>
        <v>377.04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IFERROR(__xludf.DUMMYFUNCTION("""COMPUTED_VALUE"""),342.59)</f>
        <v>342.59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IFERROR(__xludf.DUMMYFUNCTION("""COMPUTED_VALUE"""),346.53)</f>
        <v>346.53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IFERROR(__xludf.DUMMYFUNCTION("GOOGLEFINANCE(""NSE:BHEL"",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IFERROR(__xludf.DUMMYFUNCTION("""COMPUTED_VALUE"""),350.53)</f>
        <v>350.53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IFERROR(__xludf.DUMMYFUNCTION("""COMPUTED_VALUE"""),344.8)</f>
        <v>344.8</v>
      </c>
    </row>
    <row r="334" ht="15.75" customHeight="1">
      <c r="B334" s="3">
        <f>IFERROR(__xludf.DUMMYFUNCTION("""COMPUTED_VALUE"""),39464.645833333336)</f>
        <v>39464.64583</v>
      </c>
      <c r="C334" s="2">
        <f>IFERROR(__xludf.DUMMYFUNCTION("""COMPUTED_VALUE"""),334.67)</f>
        <v>334.67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IFERROR(__xludf.DUMMYFUNCTION("""COMPUTED_VALUE"""),304.67)</f>
        <v>304.67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IFERROR(__xludf.DUMMYFUNCTION("""COMPUTED_VALUE"""),285.03)</f>
        <v>285.03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IFERROR(__xludf.DUMMYFUNCTION("""COMPUTED_VALUE"""),287.29)</f>
        <v>287.29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IFERROR(__xludf.DUMMYFUNCTION("""COMPUTED_VALUE"""),308.0)</f>
        <v>308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IFERROR(__xludf.DUMMYFUNCTION("""COMPUTED_VALUE"""),304.23)</f>
        <v>304.23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IFERROR(__xludf.DUMMYFUNCTION("""COMPUTED_VALUE"""),315.25)</f>
        <v>315.25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IFERROR(__xludf.DUMMYFUNCTION("""COMPUTED_VALUE"""),296.0)</f>
        <v>296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IFERROR(__xludf.DUMMYFUNCTION("""COMPUTED_VALUE"""),269.83)</f>
        <v>269.83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IFERROR(__xludf.DUMMYFUNCTION("""COMPUTED_VALUE"""),256.0)</f>
        <v>256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IFERROR(__xludf.DUMMYFUNCTION("""COMPUTED_VALUE"""),281.47)</f>
        <v>281.47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IFERROR(__xludf.DUMMYFUNCTION("""COMPUTED_VALUE"""),279.73)</f>
        <v>279.73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IFERROR(__xludf.DUMMYFUNCTION("""COMPUTED_VALUE"""),245.93)</f>
        <v>245.93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IFERROR(__xludf.DUMMYFUNCTION("""COMPUTED_VALUE"""),248.0)</f>
        <v>248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IFERROR(__xludf.DUMMYFUNCTION("""COMPUTED_VALUE"""),253.29)</f>
        <v>253.29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IFERROR(__xludf.DUMMYFUNCTION("""COMPUTED_VALUE"""),257.87)</f>
        <v>257.87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IFERROR(__xludf.DUMMYFUNCTION("""COMPUTED_VALUE"""),257.98)</f>
        <v>257.98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IFERROR(__xludf.DUMMYFUNCTION("""COMPUTED_VALUE"""),242.53)</f>
        <v>242.53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IFERROR(__xludf.DUMMYFUNCTION("""COMPUTED_VALUE"""),239.33)</f>
        <v>239.33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IFERROR(__xludf.DUMMYFUNCTION("""COMPUTED_VALUE"""),232.27)</f>
        <v>232.27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IFERROR(__xludf.DUMMYFUNCTION("""COMPUTED_VALUE"""),225.07)</f>
        <v>225.07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IFERROR(__xludf.DUMMYFUNCTION("""COMPUTED_VALUE"""),213.92)</f>
        <v>213.92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IFERROR(__xludf.DUMMYFUNCTION("""COMPUTED_VALUE"""),215.28)</f>
        <v>215.28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IFERROR(__xludf.DUMMYFUNCTION("""COMPUTED_VALUE"""),196.0)</f>
        <v>196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IFERROR(__xludf.DUMMYFUNCTION("""COMPUTED_VALUE"""),201.99)</f>
        <v>201.99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IFERROR(__xludf.DUMMYFUNCTION("""COMPUTED_VALUE"""),214.67)</f>
        <v>214.67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IFERROR(__xludf.DUMMYFUNCTION("""COMPUTED_VALUE"""),206.0)</f>
        <v>206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IFERROR(__xludf.DUMMYFUNCTION("""COMPUTED_VALUE"""),243.73)</f>
        <v>243.73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IFERROR(__xludf.DUMMYFUNCTION("""COMPUTED_VALUE"""),238.93)</f>
        <v>238.93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IFERROR(__xludf.DUMMYFUNCTION("""COMPUTED_VALUE"""),250.0)</f>
        <v>250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IFERROR(__xludf.DUMMYFUNCTION("""COMPUTED_VALUE"""),246.67)</f>
        <v>246.67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IFERROR(__xludf.DUMMYFUNCTION("""COMPUTED_VALUE"""),234.67)</f>
        <v>234.67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IFERROR(__xludf.DUMMYFUNCTION("""COMPUTED_VALUE"""),239.26)</f>
        <v>239.26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IFERROR(__xludf.DUMMYFUNCTION("""COMPUTED_VALUE"""),243.33)</f>
        <v>243.33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IFERROR(__xludf.DUMMYFUNCTION("""COMPUTED_VALUE"""),253.2)</f>
        <v>253.2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IFERROR(__xludf.DUMMYFUNCTION("""COMPUTED_VALUE"""),229.33)</f>
        <v>229.33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IFERROR(__xludf.DUMMYFUNCTION("""COMPUTED_VALUE"""),232.05)</f>
        <v>232.05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IFERROR(__xludf.DUMMYFUNCTION("""COMPUTED_VALUE"""),217.39)</f>
        <v>217.39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IFERROR(__xludf.DUMMYFUNCTION("""COMPUTED_VALUE"""),206.67)</f>
        <v>206.67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IFERROR(__xludf.DUMMYFUNCTION("""COMPUTED_VALUE"""),209.07)</f>
        <v>209.07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IFERROR(__xludf.DUMMYFUNCTION("""COMPUTED_VALUE"""),165.87)</f>
        <v>165.87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IFERROR(__xludf.DUMMYFUNCTION("""COMPUTED_VALUE"""),176.67)</f>
        <v>176.67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IFERROR(__xludf.DUMMYFUNCTION("""COMPUTED_VALUE"""),195.6)</f>
        <v>195.6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IFERROR(__xludf.DUMMYFUNCTION("""COMPUTED_VALUE"""),205.01)</f>
        <v>205.01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IFERROR(__xludf.DUMMYFUNCTION("""COMPUTED_VALUE"""),176.53)</f>
        <v>176.53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IFERROR(__xludf.DUMMYFUNCTION("""COMPUTED_VALUE"""),183.33)</f>
        <v>183.33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IFERROR(__xludf.DUMMYFUNCTION("""COMPUTED_VALUE"""),186.57)</f>
        <v>186.57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IFERROR(__xludf.DUMMYFUNCTION("""COMPUTED_VALUE"""),190.4)</f>
        <v>190.4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IFERROR(__xludf.DUMMYFUNCTION("""COMPUTED_VALUE"""),194.51)</f>
        <v>194.51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IFERROR(__xludf.DUMMYFUNCTION("""COMPUTED_VALUE"""),193.33)</f>
        <v>193.33</v>
      </c>
    </row>
    <row r="384" ht="15.75" customHeight="1"/>
    <row r="385" ht="15.75" customHeight="1"/>
    <row r="386" ht="15.75" customHeight="1">
      <c r="B386" s="2" t="str">
        <f>IFERROR(__xludf.DUMMYFUNCTION("GOOGLEFINANCE(""NSE:BHEL"",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IFERROR(__xludf.DUMMYFUNCTION("""COMPUTED_VALUE"""),191.0)</f>
        <v>191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IFERROR(__xludf.DUMMYFUNCTION("""COMPUTED_VALUE"""),198.67)</f>
        <v>198.67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IFERROR(__xludf.DUMMYFUNCTION("""COMPUTED_VALUE"""),187.99)</f>
        <v>187.99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IFERROR(__xludf.DUMMYFUNCTION("""COMPUTED_VALUE"""),190.67)</f>
        <v>190.67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IFERROR(__xludf.DUMMYFUNCTION("""COMPUTED_VALUE"""),188.27)</f>
        <v>188.27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IFERROR(__xludf.DUMMYFUNCTION("""COMPUTED_VALUE"""),183.72)</f>
        <v>183.72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IFERROR(__xludf.DUMMYFUNCTION("""COMPUTED_VALUE"""),198.59)</f>
        <v>198.59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IFERROR(__xludf.DUMMYFUNCTION("""COMPUTED_VALUE"""),196.0)</f>
        <v>196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IFERROR(__xludf.DUMMYFUNCTION("""COMPUTED_VALUE"""),190.25)</f>
        <v>190.25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IFERROR(__xludf.DUMMYFUNCTION("""COMPUTED_VALUE"""),186.63)</f>
        <v>186.63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IFERROR(__xludf.DUMMYFUNCTION("""COMPUTED_VALUE"""),184.64)</f>
        <v>184.64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IFERROR(__xludf.DUMMYFUNCTION("""COMPUTED_VALUE"""),196.67)</f>
        <v>196.67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IFERROR(__xludf.DUMMYFUNCTION("""COMPUTED_VALUE"""),212.53)</f>
        <v>212.53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IFERROR(__xludf.DUMMYFUNCTION("""COMPUTED_VALUE"""),208.65)</f>
        <v>208.65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IFERROR(__xludf.DUMMYFUNCTION("""COMPUTED_VALUE"""),211.26)</f>
        <v>211.26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IFERROR(__xludf.DUMMYFUNCTION("""COMPUTED_VALUE"""),226.53)</f>
        <v>226.53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IFERROR(__xludf.DUMMYFUNCTION("""COMPUTED_VALUE"""),224.65)</f>
        <v>224.65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IFERROR(__xludf.DUMMYFUNCTION("""COMPUTED_VALUE"""),224.13)</f>
        <v>224.13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IFERROR(__xludf.DUMMYFUNCTION("""COMPUTED_VALUE"""),236.27)</f>
        <v>236.27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IFERROR(__xludf.DUMMYFUNCTION("""COMPUTED_VALUE"""),230.49)</f>
        <v>230.49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IFERROR(__xludf.DUMMYFUNCTION("""COMPUTED_VALUE"""),320.0)</f>
        <v>320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IFERROR(__xludf.DUMMYFUNCTION("""COMPUTED_VALUE"""),295.85)</f>
        <v>295.85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IFERROR(__xludf.DUMMYFUNCTION("""COMPUTED_VALUE"""),307.11)</f>
        <v>307.11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IFERROR(__xludf.DUMMYFUNCTION("""COMPUTED_VALUE"""),318.4)</f>
        <v>318.4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IFERROR(__xludf.DUMMYFUNCTION("""COMPUTED_VALUE"""),298.89)</f>
        <v>298.89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IFERROR(__xludf.DUMMYFUNCTION("""COMPUTED_VALUE"""),297.07)</f>
        <v>297.07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IFERROR(__xludf.DUMMYFUNCTION("""COMPUTED_VALUE"""),303.25)</f>
        <v>303.25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IFERROR(__xludf.DUMMYFUNCTION("""COMPUTED_VALUE"""),295.96)</f>
        <v>295.96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IFERROR(__xludf.DUMMYFUNCTION("""COMPUTED_VALUE"""),298.45)</f>
        <v>298.45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IFERROR(__xludf.DUMMYFUNCTION("""COMPUTED_VALUE"""),305.07)</f>
        <v>305.07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IFERROR(__xludf.DUMMYFUNCTION("""COMPUTED_VALUE"""),306.13)</f>
        <v>306.13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IFERROR(__xludf.DUMMYFUNCTION("""COMPUTED_VALUE"""),315.73)</f>
        <v>315.73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IFERROR(__xludf.DUMMYFUNCTION("""COMPUTED_VALUE"""),299.93)</f>
        <v>299.93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IFERROR(__xludf.DUMMYFUNCTION("""COMPUTED_VALUE"""),309.73)</f>
        <v>309.73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IFERROR(__xludf.DUMMYFUNCTION("""COMPUTED_VALUE"""),314.95)</f>
        <v>314.95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IFERROR(__xludf.DUMMYFUNCTION("""COMPUTED_VALUE"""),311.47)</f>
        <v>311.47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IFERROR(__xludf.DUMMYFUNCTION("""COMPUTED_VALUE"""),305.69)</f>
        <v>305.69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IFERROR(__xludf.DUMMYFUNCTION("""COMPUTED_VALUE"""),310.27)</f>
        <v>310.27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IFERROR(__xludf.DUMMYFUNCTION("""COMPUTED_VALUE"""),307.6)</f>
        <v>307.6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IFERROR(__xludf.DUMMYFUNCTION("""COMPUTED_VALUE"""),315.98)</f>
        <v>315.98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IFERROR(__xludf.DUMMYFUNCTION("""COMPUTED_VALUE"""),336.37)</f>
        <v>336.37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IFERROR(__xludf.DUMMYFUNCTION("""COMPUTED_VALUE"""),336.96)</f>
        <v>336.96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IFERROR(__xludf.DUMMYFUNCTION("""COMPUTED_VALUE"""),318.4)</f>
        <v>318.4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IFERROR(__xludf.DUMMYFUNCTION("""COMPUTED_VALUE"""),303.6)</f>
        <v>303.6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IFERROR(__xludf.DUMMYFUNCTION("""COMPUTED_VALUE"""),307.33)</f>
        <v>307.33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IFERROR(__xludf.DUMMYFUNCTION("""COMPUTED_VALUE"""),307.29)</f>
        <v>307.29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IFERROR(__xludf.DUMMYFUNCTION("""COMPUTED_VALUE"""),306.27)</f>
        <v>306.27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IFERROR(__xludf.DUMMYFUNCTION("""COMPUTED_VALUE"""),302.24)</f>
        <v>302.24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IFERROR(__xludf.DUMMYFUNCTION("""COMPUTED_VALUE"""),317.39)</f>
        <v>317.39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IFERROR(__xludf.DUMMYFUNCTION("""COMPUTED_VALUE"""),323.98)</f>
        <v>323.98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IFERROR(__xludf.DUMMYFUNCTION("""COMPUTED_VALUE"""),318.96)</f>
        <v>318.96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IFERROR(__xludf.DUMMYFUNCTION("""COMPUTED_VALUE"""),322.53)</f>
        <v>322.53</v>
      </c>
    </row>
    <row r="439" ht="15.75" customHeight="1"/>
    <row r="440" ht="15.75" customHeight="1"/>
    <row r="441" ht="15.75" customHeight="1">
      <c r="B441" s="2" t="str">
        <f>IFERROR(__xludf.DUMMYFUNCTION("GOOGLEFINANCE(""NSE:BHEL"",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IFERROR(__xludf.DUMMYFUNCTION("""COMPUTED_VALUE"""),327.33)</f>
        <v>327.33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IFERROR(__xludf.DUMMYFUNCTION("""COMPUTED_VALUE"""),326.27)</f>
        <v>326.27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IFERROR(__xludf.DUMMYFUNCTION("""COMPUTED_VALUE"""),323.25)</f>
        <v>323.25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IFERROR(__xludf.DUMMYFUNCTION("""COMPUTED_VALUE"""),322.4)</f>
        <v>322.4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IFERROR(__xludf.DUMMYFUNCTION("""COMPUTED_VALUE"""),313.32)</f>
        <v>313.32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IFERROR(__xludf.DUMMYFUNCTION("""COMPUTED_VALUE"""),321.33)</f>
        <v>321.33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IFERROR(__xludf.DUMMYFUNCTION("""COMPUTED_VALUE"""),321.6)</f>
        <v>321.6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IFERROR(__xludf.DUMMYFUNCTION("""COMPUTED_VALUE"""),329.93)</f>
        <v>329.93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IFERROR(__xludf.DUMMYFUNCTION("""COMPUTED_VALUE"""),329.6)</f>
        <v>329.6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IFERROR(__xludf.DUMMYFUNCTION("""COMPUTED_VALUE"""),323.73)</f>
        <v>323.73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IFERROR(__xludf.DUMMYFUNCTION("""COMPUTED_VALUE"""),320.45)</f>
        <v>320.45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IFERROR(__xludf.DUMMYFUNCTION("""COMPUTED_VALUE"""),324.63)</f>
        <v>324.63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IFERROR(__xludf.DUMMYFUNCTION("""COMPUTED_VALUE"""),343.47)</f>
        <v>343.47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IFERROR(__xludf.DUMMYFUNCTION("""COMPUTED_VALUE"""),344.67)</f>
        <v>344.67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IFERROR(__xludf.DUMMYFUNCTION("""COMPUTED_VALUE"""),335.97)</f>
        <v>335.97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IFERROR(__xludf.DUMMYFUNCTION("""COMPUTED_VALUE"""),338.23)</f>
        <v>338.23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IFERROR(__xludf.DUMMYFUNCTION("""COMPUTED_VALUE"""),332.54)</f>
        <v>332.54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IFERROR(__xludf.DUMMYFUNCTION("""COMPUTED_VALUE"""),330.27)</f>
        <v>330.27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IFERROR(__xludf.DUMMYFUNCTION("""COMPUTED_VALUE"""),313.73)</f>
        <v>313.73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IFERROR(__xludf.DUMMYFUNCTION("""COMPUTED_VALUE"""),312.0)</f>
        <v>312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IFERROR(__xludf.DUMMYFUNCTION("""COMPUTED_VALUE"""),315.33)</f>
        <v>315.33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IFERROR(__xludf.DUMMYFUNCTION("""COMPUTED_VALUE"""),319.81)</f>
        <v>319.81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IFERROR(__xludf.DUMMYFUNCTION("""COMPUTED_VALUE"""),323.6)</f>
        <v>323.6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IFERROR(__xludf.DUMMYFUNCTION("""COMPUTED_VALUE"""),329.96)</f>
        <v>329.96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IFERROR(__xludf.DUMMYFUNCTION("""COMPUTED_VALUE"""),331.6)</f>
        <v>331.6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IFERROR(__xludf.DUMMYFUNCTION("""COMPUTED_VALUE"""),321.46)</f>
        <v>321.46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IFERROR(__xludf.DUMMYFUNCTION("""COMPUTED_VALUE"""),336.0)</f>
        <v>336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IFERROR(__xludf.DUMMYFUNCTION("""COMPUTED_VALUE"""),328.73)</f>
        <v>328.73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IFERROR(__xludf.DUMMYFUNCTION("""COMPUTED_VALUE"""),330.52)</f>
        <v>330.52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IFERROR(__xludf.DUMMYFUNCTION("""COMPUTED_VALUE"""),339.33)</f>
        <v>339.33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IFERROR(__xludf.DUMMYFUNCTION("""COMPUTED_VALUE"""),339.06)</f>
        <v>339.06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IFERROR(__xludf.DUMMYFUNCTION("""COMPUTED_VALUE"""),334.68)</f>
        <v>334.68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IFERROR(__xludf.DUMMYFUNCTION("""COMPUTED_VALUE"""),336.65)</f>
        <v>336.65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IFERROR(__xludf.DUMMYFUNCTION("""COMPUTED_VALUE"""),334.67)</f>
        <v>334.67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IFERROR(__xludf.DUMMYFUNCTION("""COMPUTED_VALUE"""),330.97)</f>
        <v>330.97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IFERROR(__xludf.DUMMYFUNCTION("""COMPUTED_VALUE"""),336.72)</f>
        <v>336.72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IFERROR(__xludf.DUMMYFUNCTION("""COMPUTED_VALUE"""),332.84)</f>
        <v>332.84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IFERROR(__xludf.DUMMYFUNCTION("""COMPUTED_VALUE"""),347.15)</f>
        <v>347.15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IFERROR(__xludf.DUMMYFUNCTION("""COMPUTED_VALUE"""),359.2)</f>
        <v>359.2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IFERROR(__xludf.DUMMYFUNCTION("""COMPUTED_VALUE"""),348.33)</f>
        <v>348.33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IFERROR(__xludf.DUMMYFUNCTION("""COMPUTED_VALUE"""),341.2)</f>
        <v>341.2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IFERROR(__xludf.DUMMYFUNCTION("""COMPUTED_VALUE"""),340.65)</f>
        <v>340.65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IFERROR(__xludf.DUMMYFUNCTION("""COMPUTED_VALUE"""),340.53)</f>
        <v>340.53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IFERROR(__xludf.DUMMYFUNCTION("""COMPUTED_VALUE"""),339.46)</f>
        <v>339.46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IFERROR(__xludf.DUMMYFUNCTION("""COMPUTED_VALUE"""),321.33)</f>
        <v>321.33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IFERROR(__xludf.DUMMYFUNCTION("""COMPUTED_VALUE"""),305.12)</f>
        <v>305.12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IFERROR(__xludf.DUMMYFUNCTION("""COMPUTED_VALUE"""),299.73)</f>
        <v>299.73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IFERROR(__xludf.DUMMYFUNCTION("""COMPUTED_VALUE"""),306.33)</f>
        <v>306.33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IFERROR(__xludf.DUMMYFUNCTION("""COMPUTED_VALUE"""),315.31)</f>
        <v>315.31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IFERROR(__xludf.DUMMYFUNCTION("""COMPUTED_VALUE"""),311.73)</f>
        <v>311.73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IFERROR(__xludf.DUMMYFUNCTION("""COMPUTED_VALUE"""),315.07)</f>
        <v>315.07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IFERROR(__xludf.DUMMYFUNCTION("GOOGLEFINANCE(""NSE:BHEL"",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IFERROR(__xludf.DUMMYFUNCTION("""COMPUTED_VALUE"""),313.79)</f>
        <v>313.79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IFERROR(__xludf.DUMMYFUNCTION("""COMPUTED_VALUE"""),305.33)</f>
        <v>305.33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IFERROR(__xludf.DUMMYFUNCTION("""COMPUTED_VALUE"""),301.81)</f>
        <v>301.81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IFERROR(__xludf.DUMMYFUNCTION("""COMPUTED_VALUE"""),308.4)</f>
        <v>308.4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IFERROR(__xludf.DUMMYFUNCTION("""COMPUTED_VALUE"""),298.4)</f>
        <v>298.4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IFERROR(__xludf.DUMMYFUNCTION("""COMPUTED_VALUE"""),296.13)</f>
        <v>296.13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IFERROR(__xludf.DUMMYFUNCTION("""COMPUTED_VALUE"""),286.97)</f>
        <v>286.97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IFERROR(__xludf.DUMMYFUNCTION("""COMPUTED_VALUE"""),284.0)</f>
        <v>284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IFERROR(__xludf.DUMMYFUNCTION("""COMPUTED_VALUE"""),286.66)</f>
        <v>286.66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IFERROR(__xludf.DUMMYFUNCTION("""COMPUTED_VALUE"""),276.93)</f>
        <v>276.93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IFERROR(__xludf.DUMMYFUNCTION("""COMPUTED_VALUE"""),265.95)</f>
        <v>265.95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IFERROR(__xludf.DUMMYFUNCTION("""COMPUTED_VALUE"""),280.27)</f>
        <v>280.27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IFERROR(__xludf.DUMMYFUNCTION("""COMPUTED_VALUE"""),284.63)</f>
        <v>284.63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IFERROR(__xludf.DUMMYFUNCTION("""COMPUTED_VALUE"""),299.53)</f>
        <v>299.53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IFERROR(__xludf.DUMMYFUNCTION("""COMPUTED_VALUE"""),299.16)</f>
        <v>299.16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IFERROR(__xludf.DUMMYFUNCTION("""COMPUTED_VALUE"""),300.0)</f>
        <v>300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IFERROR(__xludf.DUMMYFUNCTION("""COMPUTED_VALUE"""),279.2)</f>
        <v>279.2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IFERROR(__xludf.DUMMYFUNCTION("""COMPUTED_VALUE"""),275.33)</f>
        <v>275.33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IFERROR(__xludf.DUMMYFUNCTION("""COMPUTED_VALUE"""),276.92)</f>
        <v>276.92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IFERROR(__xludf.DUMMYFUNCTION("""COMPUTED_VALUE"""),281.25)</f>
        <v>281.25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IFERROR(__xludf.DUMMYFUNCTION("""COMPUTED_VALUE"""),280.27)</f>
        <v>280.27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IFERROR(__xludf.DUMMYFUNCTION("""COMPUTED_VALUE"""),262.27)</f>
        <v>262.27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IFERROR(__xludf.DUMMYFUNCTION("""COMPUTED_VALUE"""),258.8)</f>
        <v>258.8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IFERROR(__xludf.DUMMYFUNCTION("""COMPUTED_VALUE"""),260.27)</f>
        <v>260.27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IFERROR(__xludf.DUMMYFUNCTION("""COMPUTED_VALUE"""),263.05)</f>
        <v>263.05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IFERROR(__xludf.DUMMYFUNCTION("""COMPUTED_VALUE"""),276.0)</f>
        <v>276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IFERROR(__xludf.DUMMYFUNCTION("""COMPUTED_VALUE"""),276.67)</f>
        <v>276.67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IFERROR(__xludf.DUMMYFUNCTION("""COMPUTED_VALUE"""),264.0)</f>
        <v>264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IFERROR(__xludf.DUMMYFUNCTION("""COMPUTED_VALUE"""),265.82)</f>
        <v>265.82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IFERROR(__xludf.DUMMYFUNCTION("""COMPUTED_VALUE"""),270.0)</f>
        <v>270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IFERROR(__xludf.DUMMYFUNCTION("""COMPUTED_VALUE"""),247.07)</f>
        <v>247.07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IFERROR(__xludf.DUMMYFUNCTION("""COMPUTED_VALUE"""),239.33)</f>
        <v>239.33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IFERROR(__xludf.DUMMYFUNCTION("""COMPUTED_VALUE"""),239.87)</f>
        <v>239.87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IFERROR(__xludf.DUMMYFUNCTION("""COMPUTED_VALUE"""),237.61)</f>
        <v>237.61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IFERROR(__xludf.DUMMYFUNCTION("""COMPUTED_VALUE"""),242.93)</f>
        <v>242.93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IFERROR(__xludf.DUMMYFUNCTION("""COMPUTED_VALUE"""),242.67)</f>
        <v>242.67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IFERROR(__xludf.DUMMYFUNCTION("""COMPUTED_VALUE"""),235.57)</f>
        <v>235.57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IFERROR(__xludf.DUMMYFUNCTION("""COMPUTED_VALUE"""),223.8)</f>
        <v>223.8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IFERROR(__xludf.DUMMYFUNCTION("""COMPUTED_VALUE"""),224.0)</f>
        <v>224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IFERROR(__xludf.DUMMYFUNCTION("""COMPUTED_VALUE"""),218.4)</f>
        <v>218.4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IFERROR(__xludf.DUMMYFUNCTION("""COMPUTED_VALUE"""),229.63)</f>
        <v>229.63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IFERROR(__xludf.DUMMYFUNCTION("""COMPUTED_VALUE"""),224.8)</f>
        <v>224.8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IFERROR(__xludf.DUMMYFUNCTION("""COMPUTED_VALUE"""),219.5)</f>
        <v>219.5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IFERROR(__xludf.DUMMYFUNCTION("""COMPUTED_VALUE"""),225.93)</f>
        <v>225.93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IFERROR(__xludf.DUMMYFUNCTION("""COMPUTED_VALUE"""),225.37)</f>
        <v>225.37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IFERROR(__xludf.DUMMYFUNCTION("""COMPUTED_VALUE"""),219.2)</f>
        <v>219.2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IFERROR(__xludf.DUMMYFUNCTION("""COMPUTED_VALUE"""),185.17)</f>
        <v>185.17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IFERROR(__xludf.DUMMYFUNCTION("""COMPUTED_VALUE"""),197.1)</f>
        <v>197.1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IFERROR(__xludf.DUMMYFUNCTION("""COMPUTED_VALUE"""),194.6)</f>
        <v>194.6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IFERROR(__xludf.DUMMYFUNCTION("""COMPUTED_VALUE"""),179.33)</f>
        <v>179.33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IFERROR(__xludf.DUMMYFUNCTION("""COMPUTED_VALUE"""),164.67)</f>
        <v>164.67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IFERROR(__xludf.DUMMYFUNCTION("""COMPUTED_VALUE"""),165.53)</f>
        <v>165.53</v>
      </c>
    </row>
    <row r="549" ht="15.75" customHeight="1"/>
    <row r="550" ht="15.75" customHeight="1"/>
    <row r="551" ht="15.75" customHeight="1">
      <c r="B551" s="2" t="str">
        <f>IFERROR(__xludf.DUMMYFUNCTION("GOOGLEFINANCE(""NSE:BHEL"",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IFERROR(__xludf.DUMMYFUNCTION("""COMPUTED_VALUE"""),181.33)</f>
        <v>181.33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IFERROR(__xludf.DUMMYFUNCTION("""COMPUTED_VALUE"""),190.33)</f>
        <v>190.33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IFERROR(__xludf.DUMMYFUNCTION("""COMPUTED_VALUE"""),191.43)</f>
        <v>191.43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IFERROR(__xludf.DUMMYFUNCTION("""COMPUTED_VALUE"""),181.5)</f>
        <v>181.5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IFERROR(__xludf.DUMMYFUNCTION("""COMPUTED_VALUE"""),182.87)</f>
        <v>182.87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IFERROR(__xludf.DUMMYFUNCTION("""COMPUTED_VALUE"""),216.9)</f>
        <v>216.9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IFERROR(__xludf.DUMMYFUNCTION("""COMPUTED_VALUE"""),218.67)</f>
        <v>218.67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IFERROR(__xludf.DUMMYFUNCTION("""COMPUTED_VALUE"""),199.8)</f>
        <v>199.8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IFERROR(__xludf.DUMMYFUNCTION("""COMPUTED_VALUE"""),198.63)</f>
        <v>198.63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IFERROR(__xludf.DUMMYFUNCTION("""COMPUTED_VALUE"""),183.07)</f>
        <v>183.07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IFERROR(__xludf.DUMMYFUNCTION("""COMPUTED_VALUE"""),177.57)</f>
        <v>177.57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IFERROR(__xludf.DUMMYFUNCTION("""COMPUTED_VALUE"""),183.0)</f>
        <v>183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IFERROR(__xludf.DUMMYFUNCTION("""COMPUTED_VALUE"""),180.67)</f>
        <v>180.67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IFERROR(__xludf.DUMMYFUNCTION("""COMPUTED_VALUE"""),177.93)</f>
        <v>177.93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IFERROR(__xludf.DUMMYFUNCTION("""COMPUTED_VALUE"""),152.3)</f>
        <v>152.3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IFERROR(__xludf.DUMMYFUNCTION("""COMPUTED_VALUE"""),152.47)</f>
        <v>152.47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IFERROR(__xludf.DUMMYFUNCTION("""COMPUTED_VALUE"""),149.27)</f>
        <v>149.27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IFERROR(__xludf.DUMMYFUNCTION("""COMPUTED_VALUE"""),142.37)</f>
        <v>142.37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IFERROR(__xludf.DUMMYFUNCTION("""COMPUTED_VALUE"""),147.4)</f>
        <v>147.4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IFERROR(__xludf.DUMMYFUNCTION("""COMPUTED_VALUE"""),147.97)</f>
        <v>147.97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IFERROR(__xludf.DUMMYFUNCTION("""COMPUTED_VALUE"""),150.23)</f>
        <v>150.23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IFERROR(__xludf.DUMMYFUNCTION("""COMPUTED_VALUE"""),150.27)</f>
        <v>150.27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IFERROR(__xludf.DUMMYFUNCTION("""COMPUTED_VALUE"""),155.33)</f>
        <v>155.33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IFERROR(__xludf.DUMMYFUNCTION("""COMPUTED_VALUE"""),158.13)</f>
        <v>158.13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IFERROR(__xludf.DUMMYFUNCTION("""COMPUTED_VALUE"""),157.67)</f>
        <v>157.67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IFERROR(__xludf.DUMMYFUNCTION("""COMPUTED_VALUE"""),159.93)</f>
        <v>159.93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IFERROR(__xludf.DUMMYFUNCTION("""COMPUTED_VALUE"""),150.67)</f>
        <v>150.67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IFERROR(__xludf.DUMMYFUNCTION("""COMPUTED_VALUE"""),150.6)</f>
        <v>150.6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IFERROR(__xludf.DUMMYFUNCTION("""COMPUTED_VALUE"""),157.03)</f>
        <v>157.03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IFERROR(__xludf.DUMMYFUNCTION("""COMPUTED_VALUE"""),156.67)</f>
        <v>156.67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IFERROR(__xludf.DUMMYFUNCTION("""COMPUTED_VALUE"""),156.87)</f>
        <v>156.87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IFERROR(__xludf.DUMMYFUNCTION("""COMPUTED_VALUE"""),155.47)</f>
        <v>155.47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IFERROR(__xludf.DUMMYFUNCTION("""COMPUTED_VALUE"""),137.6)</f>
        <v>137.6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IFERROR(__xludf.DUMMYFUNCTION("""COMPUTED_VALUE"""),155.7)</f>
        <v>155.7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IFERROR(__xludf.DUMMYFUNCTION("""COMPUTED_VALUE"""),170.67)</f>
        <v>170.67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IFERROR(__xludf.DUMMYFUNCTION("""COMPUTED_VALUE"""),181.57)</f>
        <v>181.57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IFERROR(__xludf.DUMMYFUNCTION("""COMPUTED_VALUE"""),175.67)</f>
        <v>175.67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IFERROR(__xludf.DUMMYFUNCTION("""COMPUTED_VALUE"""),168.47)</f>
        <v>168.47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IFERROR(__xludf.DUMMYFUNCTION("""COMPUTED_VALUE"""),163.33)</f>
        <v>163.33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IFERROR(__xludf.DUMMYFUNCTION("""COMPUTED_VALUE"""),163.4)</f>
        <v>163.4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IFERROR(__xludf.DUMMYFUNCTION("""COMPUTED_VALUE"""),159.73)</f>
        <v>159.73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IFERROR(__xludf.DUMMYFUNCTION("""COMPUTED_VALUE"""),157.83)</f>
        <v>157.83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IFERROR(__xludf.DUMMYFUNCTION("""COMPUTED_VALUE"""),155.2)</f>
        <v>155.2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IFERROR(__xludf.DUMMYFUNCTION("""COMPUTED_VALUE"""),157.33)</f>
        <v>157.33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IFERROR(__xludf.DUMMYFUNCTION("""COMPUTED_VALUE"""),165.17)</f>
        <v>165.17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IFERROR(__xludf.DUMMYFUNCTION("""COMPUTED_VALUE"""),164.0)</f>
        <v>164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IFERROR(__xludf.DUMMYFUNCTION("""COMPUTED_VALUE"""),156.63)</f>
        <v>156.63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IFERROR(__xludf.DUMMYFUNCTION("""COMPUTED_VALUE"""),154.67)</f>
        <v>154.67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IFERROR(__xludf.DUMMYFUNCTION("GOOGLEFINANCE(""NSE:BHEL"",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IFERROR(__xludf.DUMMYFUNCTION("""COMPUTED_VALUE"""),162.43)</f>
        <v>162.43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IFERROR(__xludf.DUMMYFUNCTION("""COMPUTED_VALUE"""),163.8)</f>
        <v>163.8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IFERROR(__xludf.DUMMYFUNCTION("""COMPUTED_VALUE"""),154.67)</f>
        <v>154.67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IFERROR(__xludf.DUMMYFUNCTION("""COMPUTED_VALUE"""),155.67)</f>
        <v>155.67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IFERROR(__xludf.DUMMYFUNCTION("""COMPUTED_VALUE"""),154.33)</f>
        <v>154.33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IFERROR(__xludf.DUMMYFUNCTION("""COMPUTED_VALUE"""),151.53)</f>
        <v>151.53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IFERROR(__xludf.DUMMYFUNCTION("""COMPUTED_VALUE"""),140.43)</f>
        <v>140.43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IFERROR(__xludf.DUMMYFUNCTION("""COMPUTED_VALUE"""),142.47)</f>
        <v>142.47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IFERROR(__xludf.DUMMYFUNCTION("""COMPUTED_VALUE"""),140.0)</f>
        <v>140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IFERROR(__xludf.DUMMYFUNCTION("""COMPUTED_VALUE"""),138.9)</f>
        <v>138.9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IFERROR(__xludf.DUMMYFUNCTION("""COMPUTED_VALUE"""),138.97)</f>
        <v>138.97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IFERROR(__xludf.DUMMYFUNCTION("""COMPUTED_VALUE"""),132.0)</f>
        <v>132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IFERROR(__xludf.DUMMYFUNCTION("""COMPUTED_VALUE"""),122.47)</f>
        <v>122.47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IFERROR(__xludf.DUMMYFUNCTION("""COMPUTED_VALUE"""),126.27)</f>
        <v>126.27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IFERROR(__xludf.DUMMYFUNCTION("""COMPUTED_VALUE"""),123.53)</f>
        <v>123.53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IFERROR(__xludf.DUMMYFUNCTION("""COMPUTED_VALUE"""),124.3)</f>
        <v>124.3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IFERROR(__xludf.DUMMYFUNCTION("""COMPUTED_VALUE"""),129.87)</f>
        <v>129.87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IFERROR(__xludf.DUMMYFUNCTION("""COMPUTED_VALUE"""),129.53)</f>
        <v>129.53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IFERROR(__xludf.DUMMYFUNCTION("""COMPUTED_VALUE"""),136.13)</f>
        <v>136.13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IFERROR(__xludf.DUMMYFUNCTION("""COMPUTED_VALUE"""),138.6)</f>
        <v>138.6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IFERROR(__xludf.DUMMYFUNCTION("""COMPUTED_VALUE"""),137.4)</f>
        <v>137.4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IFERROR(__xludf.DUMMYFUNCTION("""COMPUTED_VALUE"""),134.57)</f>
        <v>134.57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IFERROR(__xludf.DUMMYFUNCTION("""COMPUTED_VALUE"""),128.0)</f>
        <v>128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IFERROR(__xludf.DUMMYFUNCTION("""COMPUTED_VALUE"""),122.9)</f>
        <v>122.9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IFERROR(__xludf.DUMMYFUNCTION("""COMPUTED_VALUE"""),116.73)</f>
        <v>116.73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IFERROR(__xludf.DUMMYFUNCTION("""COMPUTED_VALUE"""),123.8)</f>
        <v>123.8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IFERROR(__xludf.DUMMYFUNCTION("""COMPUTED_VALUE"""),126.27)</f>
        <v>126.27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IFERROR(__xludf.DUMMYFUNCTION("""COMPUTED_VALUE"""),127.03)</f>
        <v>127.03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IFERROR(__xludf.DUMMYFUNCTION("""COMPUTED_VALUE"""),115.87)</f>
        <v>115.87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IFERROR(__xludf.DUMMYFUNCTION("""COMPUTED_VALUE"""),107.2)</f>
        <v>107.2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IFERROR(__xludf.DUMMYFUNCTION("""COMPUTED_VALUE"""),92.67)</f>
        <v>92.67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IFERROR(__xludf.DUMMYFUNCTION("""COMPUTED_VALUE"""),82.57)</f>
        <v>82.57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IFERROR(__xludf.DUMMYFUNCTION("""COMPUTED_VALUE"""),78.2)</f>
        <v>78.2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IFERROR(__xludf.DUMMYFUNCTION("""COMPUTED_VALUE"""),84.6)</f>
        <v>84.6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IFERROR(__xludf.DUMMYFUNCTION("""COMPUTED_VALUE"""),95.67)</f>
        <v>95.67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IFERROR(__xludf.DUMMYFUNCTION("""COMPUTED_VALUE"""),97.8)</f>
        <v>97.8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IFERROR(__xludf.DUMMYFUNCTION("""COMPUTED_VALUE"""),97.23)</f>
        <v>97.23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IFERROR(__xludf.DUMMYFUNCTION("""COMPUTED_VALUE"""),101.93)</f>
        <v>101.93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IFERROR(__xludf.DUMMYFUNCTION("""COMPUTED_VALUE"""),97.87)</f>
        <v>97.87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IFERROR(__xludf.DUMMYFUNCTION("""COMPUTED_VALUE"""),99.67)</f>
        <v>99.67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IFERROR(__xludf.DUMMYFUNCTION("""COMPUTED_VALUE"""),101.3)</f>
        <v>101.3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IFERROR(__xludf.DUMMYFUNCTION("""COMPUTED_VALUE"""),99.47)</f>
        <v>99.47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IFERROR(__xludf.DUMMYFUNCTION("""COMPUTED_VALUE"""),96.87)</f>
        <v>96.87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IFERROR(__xludf.DUMMYFUNCTION("""COMPUTED_VALUE"""),97.13)</f>
        <v>97.13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IFERROR(__xludf.DUMMYFUNCTION("""COMPUTED_VALUE"""),91.2)</f>
        <v>91.2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IFERROR(__xludf.DUMMYFUNCTION("""COMPUTED_VALUE"""),96.43)</f>
        <v>96.43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IFERROR(__xludf.DUMMYFUNCTION("""COMPUTED_VALUE"""),105.77)</f>
        <v>105.77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IFERROR(__xludf.DUMMYFUNCTION("""COMPUTED_VALUE"""),117.27)</f>
        <v>117.27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IFERROR(__xludf.DUMMYFUNCTION("""COMPUTED_VALUE"""),117.97)</f>
        <v>117.97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IFERROR(__xludf.DUMMYFUNCTION("""COMPUTED_VALUE"""),111.47)</f>
        <v>111.47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IFERROR(__xludf.DUMMYFUNCTION("""COMPUTED_VALUE"""),117.23)</f>
        <v>117.23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IFERROR(__xludf.DUMMYFUNCTION("GOOGLEFINANCE(""NSE:BHEL"",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IFERROR(__xludf.DUMMYFUNCTION("""COMPUTED_VALUE"""),120.8)</f>
        <v>120.8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IFERROR(__xludf.DUMMYFUNCTION("""COMPUTED_VALUE"""),113.5)</f>
        <v>113.5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IFERROR(__xludf.DUMMYFUNCTION("""COMPUTED_VALUE"""),115.33)</f>
        <v>115.33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IFERROR(__xludf.DUMMYFUNCTION("""COMPUTED_VALUE"""),116.27)</f>
        <v>116.27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IFERROR(__xludf.DUMMYFUNCTION("""COMPUTED_VALUE"""),117.07)</f>
        <v>117.07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IFERROR(__xludf.DUMMYFUNCTION("""COMPUTED_VALUE"""),115.87)</f>
        <v>115.87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IFERROR(__xludf.DUMMYFUNCTION("""COMPUTED_VALUE"""),105.83)</f>
        <v>105.83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IFERROR(__xludf.DUMMYFUNCTION("""COMPUTED_VALUE"""),101.6)</f>
        <v>101.6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IFERROR(__xludf.DUMMYFUNCTION("""COMPUTED_VALUE"""),112.6)</f>
        <v>112.6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IFERROR(__xludf.DUMMYFUNCTION("""COMPUTED_VALUE"""),124.93)</f>
        <v>124.93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IFERROR(__xludf.DUMMYFUNCTION("""COMPUTED_VALUE"""),128.9)</f>
        <v>128.9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IFERROR(__xludf.DUMMYFUNCTION("""COMPUTED_VALUE"""),134.77)</f>
        <v>134.77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IFERROR(__xludf.DUMMYFUNCTION("""COMPUTED_VALUE"""),134.53)</f>
        <v>134.53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IFERROR(__xludf.DUMMYFUNCTION("""COMPUTED_VALUE"""),125.27)</f>
        <v>125.27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IFERROR(__xludf.DUMMYFUNCTION("""COMPUTED_VALUE"""),123.83)</f>
        <v>123.83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IFERROR(__xludf.DUMMYFUNCTION("""COMPUTED_VALUE"""),130.17)</f>
        <v>130.17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IFERROR(__xludf.DUMMYFUNCTION("""COMPUTED_VALUE"""),127.97)</f>
        <v>127.97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IFERROR(__xludf.DUMMYFUNCTION("""COMPUTED_VALUE"""),130.0)</f>
        <v>130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IFERROR(__xludf.DUMMYFUNCTION("""COMPUTED_VALUE"""),156.67)</f>
        <v>156.67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IFERROR(__xludf.DUMMYFUNCTION("""COMPUTED_VALUE"""),191.87)</f>
        <v>191.87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IFERROR(__xludf.DUMMYFUNCTION("""COMPUTED_VALUE"""),194.33)</f>
        <v>194.33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IFERROR(__xludf.DUMMYFUNCTION("""COMPUTED_VALUE"""),176.0)</f>
        <v>176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IFERROR(__xludf.DUMMYFUNCTION("""COMPUTED_VALUE"""),177.5)</f>
        <v>177.5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IFERROR(__xludf.DUMMYFUNCTION("""COMPUTED_VALUE"""),166.93)</f>
        <v>166.93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IFERROR(__xludf.DUMMYFUNCTION("""COMPUTED_VALUE"""),170.33)</f>
        <v>170.33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IFERROR(__xludf.DUMMYFUNCTION("""COMPUTED_VALUE"""),175.83)</f>
        <v>175.83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IFERROR(__xludf.DUMMYFUNCTION("""COMPUTED_VALUE"""),177.73)</f>
        <v>177.73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IFERROR(__xludf.DUMMYFUNCTION("""COMPUTED_VALUE"""),163.5)</f>
        <v>163.5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IFERROR(__xludf.DUMMYFUNCTION("""COMPUTED_VALUE"""),161.0)</f>
        <v>161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IFERROR(__xludf.DUMMYFUNCTION("""COMPUTED_VALUE"""),156.53)</f>
        <v>156.53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IFERROR(__xludf.DUMMYFUNCTION("""COMPUTED_VALUE"""),156.27)</f>
        <v>156.27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IFERROR(__xludf.DUMMYFUNCTION("""COMPUTED_VALUE"""),150.0)</f>
        <v>150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IFERROR(__xludf.DUMMYFUNCTION("""COMPUTED_VALUE"""),154.93)</f>
        <v>154.93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IFERROR(__xludf.DUMMYFUNCTION("""COMPUTED_VALUE"""),162.63)</f>
        <v>162.63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IFERROR(__xludf.DUMMYFUNCTION("""COMPUTED_VALUE"""),162.33)</f>
        <v>162.33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IFERROR(__xludf.DUMMYFUNCTION("""COMPUTED_VALUE"""),150.53)</f>
        <v>150.53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IFERROR(__xludf.DUMMYFUNCTION("""COMPUTED_VALUE"""),155.07)</f>
        <v>155.07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IFERROR(__xludf.DUMMYFUNCTION("""COMPUTED_VALUE"""),150.3)</f>
        <v>150.3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IFERROR(__xludf.DUMMYFUNCTION("""COMPUTED_VALUE"""),140.93)</f>
        <v>140.93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IFERROR(__xludf.DUMMYFUNCTION("""COMPUTED_VALUE"""),150.27)</f>
        <v>150.27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IFERROR(__xludf.DUMMYFUNCTION("""COMPUTED_VALUE"""),153.2)</f>
        <v>153.2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IFERROR(__xludf.DUMMYFUNCTION("""COMPUTED_VALUE"""),162.57)</f>
        <v>162.57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IFERROR(__xludf.DUMMYFUNCTION("""COMPUTED_VALUE"""),172.43)</f>
        <v>172.43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IFERROR(__xludf.DUMMYFUNCTION("""COMPUTED_VALUE"""),174.57)</f>
        <v>174.57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IFERROR(__xludf.DUMMYFUNCTION("""COMPUTED_VALUE"""),170.87)</f>
        <v>170.87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IFERROR(__xludf.DUMMYFUNCTION("""COMPUTED_VALUE"""),171.13)</f>
        <v>171.13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IFERROR(__xludf.DUMMYFUNCTION("""COMPUTED_VALUE"""),191.83)</f>
        <v>191.83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IFERROR(__xludf.DUMMYFUNCTION("""COMPUTED_VALUE"""),188.97)</f>
        <v>188.97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IFERROR(__xludf.DUMMYFUNCTION("""COMPUTED_VALUE"""),183.5)</f>
        <v>183.5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IFERROR(__xludf.DUMMYFUNCTION("""COMPUTED_VALUE"""),177.13)</f>
        <v>177.13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IFERROR(__xludf.DUMMYFUNCTION("""COMPUTED_VALUE"""),179.8)</f>
        <v>179.8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IFERROR(__xludf.DUMMYFUNCTION("GOOGLEFINANCE(""NSE:BHEL"",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IFERROR(__xludf.DUMMYFUNCTION("""COMPUTED_VALUE"""),184.63)</f>
        <v>184.63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IFERROR(__xludf.DUMMYFUNCTION("""COMPUTED_VALUE"""),185.6)</f>
        <v>185.6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IFERROR(__xludf.DUMMYFUNCTION("""COMPUTED_VALUE"""),183.93)</f>
        <v>183.93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IFERROR(__xludf.DUMMYFUNCTION("""COMPUTED_VALUE"""),192.27)</f>
        <v>192.27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IFERROR(__xludf.DUMMYFUNCTION("""COMPUTED_VALUE"""),198.53)</f>
        <v>198.53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IFERROR(__xludf.DUMMYFUNCTION("""COMPUTED_VALUE"""),200.0)</f>
        <v>200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IFERROR(__xludf.DUMMYFUNCTION("""COMPUTED_VALUE"""),179.6)</f>
        <v>179.6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IFERROR(__xludf.DUMMYFUNCTION("""COMPUTED_VALUE"""),184.2)</f>
        <v>184.2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IFERROR(__xludf.DUMMYFUNCTION("""COMPUTED_VALUE"""),185.8)</f>
        <v>185.8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IFERROR(__xludf.DUMMYFUNCTION("""COMPUTED_VALUE"""),178.63)</f>
        <v>178.63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IFERROR(__xludf.DUMMYFUNCTION("""COMPUTED_VALUE"""),177.43)</f>
        <v>177.43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IFERROR(__xludf.DUMMYFUNCTION("""COMPUTED_VALUE"""),164.4)</f>
        <v>164.4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IFERROR(__xludf.DUMMYFUNCTION("""COMPUTED_VALUE"""),161.33)</f>
        <v>161.33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IFERROR(__xludf.DUMMYFUNCTION("""COMPUTED_VALUE"""),159.6)</f>
        <v>159.6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IFERROR(__xludf.DUMMYFUNCTION("""COMPUTED_VALUE"""),162.97)</f>
        <v>162.97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IFERROR(__xludf.DUMMYFUNCTION("""COMPUTED_VALUE"""),157.73)</f>
        <v>157.73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IFERROR(__xludf.DUMMYFUNCTION("""COMPUTED_VALUE"""),162.13)</f>
        <v>162.13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IFERROR(__xludf.DUMMYFUNCTION("""COMPUTED_VALUE"""),166.0)</f>
        <v>166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IFERROR(__xludf.DUMMYFUNCTION("""COMPUTED_VALUE"""),158.93)</f>
        <v>158.93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IFERROR(__xludf.DUMMYFUNCTION("""COMPUTED_VALUE"""),159.97)</f>
        <v>159.97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IFERROR(__xludf.DUMMYFUNCTION("""COMPUTED_VALUE"""),172.0)</f>
        <v>172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IFERROR(__xludf.DUMMYFUNCTION("""COMPUTED_VALUE"""),171.67)</f>
        <v>171.67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IFERROR(__xludf.DUMMYFUNCTION("""COMPUTED_VALUE"""),168.93)</f>
        <v>168.93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IFERROR(__xludf.DUMMYFUNCTION("""COMPUTED_VALUE"""),167.53)</f>
        <v>167.53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IFERROR(__xludf.DUMMYFUNCTION("""COMPUTED_VALUE"""),173.3)</f>
        <v>173.3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IFERROR(__xludf.DUMMYFUNCTION("""COMPUTED_VALUE"""),174.93)</f>
        <v>174.93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IFERROR(__xludf.DUMMYFUNCTION("""COMPUTED_VALUE"""),180.2)</f>
        <v>180.2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IFERROR(__xludf.DUMMYFUNCTION("""COMPUTED_VALUE"""),191.87)</f>
        <v>191.87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IFERROR(__xludf.DUMMYFUNCTION("""COMPUTED_VALUE"""),193.33)</f>
        <v>193.33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IFERROR(__xludf.DUMMYFUNCTION("""COMPUTED_VALUE"""),193.1)</f>
        <v>193.1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IFERROR(__xludf.DUMMYFUNCTION("""COMPUTED_VALUE"""),191.97)</f>
        <v>191.97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IFERROR(__xludf.DUMMYFUNCTION("""COMPUTED_VALUE"""),183.2)</f>
        <v>183.2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IFERROR(__xludf.DUMMYFUNCTION("""COMPUTED_VALUE"""),176.27)</f>
        <v>176.27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IFERROR(__xludf.DUMMYFUNCTION("""COMPUTED_VALUE"""),161.87)</f>
        <v>161.87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IFERROR(__xludf.DUMMYFUNCTION("""COMPUTED_VALUE"""),155.2)</f>
        <v>155.2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IFERROR(__xludf.DUMMYFUNCTION("""COMPUTED_VALUE"""),145.67)</f>
        <v>145.67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IFERROR(__xludf.DUMMYFUNCTION("""COMPUTED_VALUE"""),142.87)</f>
        <v>142.87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IFERROR(__xludf.DUMMYFUNCTION("""COMPUTED_VALUE"""),140.0)</f>
        <v>140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IFERROR(__xludf.DUMMYFUNCTION("""COMPUTED_VALUE"""),138.33)</f>
        <v>138.33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IFERROR(__xludf.DUMMYFUNCTION("""COMPUTED_VALUE"""),137.67)</f>
        <v>137.67</v>
      </c>
    </row>
    <row r="757" ht="15.75" customHeight="1">
      <c r="B757" s="3">
        <f>IFERROR(__xludf.DUMMYFUNCTION("""COMPUTED_VALUE"""),42293.64583333333)</f>
        <v>42293.64583</v>
      </c>
      <c r="C757" s="2">
        <f>IFERROR(__xludf.DUMMYFUNCTION("""COMPUTED_VALUE"""),142.67)</f>
        <v>142.67</v>
      </c>
    </row>
    <row r="758" ht="15.75" customHeight="1">
      <c r="B758" s="3">
        <f>IFERROR(__xludf.DUMMYFUNCTION("""COMPUTED_VALUE"""),42300.64583333333)</f>
        <v>42300.64583</v>
      </c>
      <c r="C758" s="2">
        <f>IFERROR(__xludf.DUMMYFUNCTION("""COMPUTED_VALUE"""),144.3)</f>
        <v>144.3</v>
      </c>
    </row>
    <row r="759" ht="15.75" customHeight="1">
      <c r="B759" s="3">
        <f>IFERROR(__xludf.DUMMYFUNCTION("""COMPUTED_VALUE"""),42307.64583333333)</f>
        <v>42307.64583</v>
      </c>
      <c r="C759" s="2">
        <f>IFERROR(__xludf.DUMMYFUNCTION("""COMPUTED_VALUE"""),146.47)</f>
        <v>146.47</v>
      </c>
    </row>
    <row r="760" ht="15.75" customHeight="1">
      <c r="B760" s="3">
        <f>IFERROR(__xludf.DUMMYFUNCTION("""COMPUTED_VALUE"""),42314.64583333333)</f>
        <v>42314.64583</v>
      </c>
      <c r="C760" s="2">
        <f>IFERROR(__xludf.DUMMYFUNCTION("""COMPUTED_VALUE"""),135.47)</f>
        <v>135.47</v>
      </c>
    </row>
    <row r="761" ht="15.75" customHeight="1">
      <c r="B761" s="3">
        <f>IFERROR(__xludf.DUMMYFUNCTION("""COMPUTED_VALUE"""),42321.64583333333)</f>
        <v>42321.64583</v>
      </c>
      <c r="C761" s="2">
        <f>IFERROR(__xludf.DUMMYFUNCTION("""COMPUTED_VALUE"""),126.67)</f>
        <v>126.67</v>
      </c>
    </row>
    <row r="762" ht="15.75" customHeight="1">
      <c r="B762" s="3">
        <f>IFERROR(__xludf.DUMMYFUNCTION("""COMPUTED_VALUE"""),42328.64583333333)</f>
        <v>42328.64583</v>
      </c>
      <c r="C762" s="2">
        <f>IFERROR(__xludf.DUMMYFUNCTION("""COMPUTED_VALUE"""),121.0)</f>
        <v>121</v>
      </c>
    </row>
    <row r="763" ht="15.75" customHeight="1">
      <c r="B763" s="3">
        <f>IFERROR(__xludf.DUMMYFUNCTION("""COMPUTED_VALUE"""),42335.64583333333)</f>
        <v>42335.64583</v>
      </c>
      <c r="C763" s="2">
        <f>IFERROR(__xludf.DUMMYFUNCTION("""COMPUTED_VALUE"""),119.33)</f>
        <v>119.33</v>
      </c>
    </row>
    <row r="764" ht="15.75" customHeight="1">
      <c r="B764" s="3">
        <f>IFERROR(__xludf.DUMMYFUNCTION("""COMPUTED_VALUE"""),42342.64583333333)</f>
        <v>42342.64583</v>
      </c>
      <c r="C764" s="2">
        <f>IFERROR(__xludf.DUMMYFUNCTION("""COMPUTED_VALUE"""),118.87)</f>
        <v>118.87</v>
      </c>
    </row>
    <row r="765" ht="15.75" customHeight="1">
      <c r="B765" s="3">
        <f>IFERROR(__xludf.DUMMYFUNCTION("""COMPUTED_VALUE"""),42349.64583333333)</f>
        <v>42349.64583</v>
      </c>
      <c r="C765" s="2">
        <f>IFERROR(__xludf.DUMMYFUNCTION("""COMPUTED_VALUE"""),114.13)</f>
        <v>114.13</v>
      </c>
    </row>
    <row r="766" ht="15.75" customHeight="1">
      <c r="B766" s="3">
        <f>IFERROR(__xludf.DUMMYFUNCTION("""COMPUTED_VALUE"""),42356.64583333333)</f>
        <v>42356.64583</v>
      </c>
      <c r="C766" s="2">
        <f>IFERROR(__xludf.DUMMYFUNCTION("""COMPUTED_VALUE"""),113.47)</f>
        <v>113.47</v>
      </c>
    </row>
    <row r="767" ht="15.75" customHeight="1">
      <c r="B767" s="3">
        <f>IFERROR(__xludf.DUMMYFUNCTION("""COMPUTED_VALUE"""),42362.64583333333)</f>
        <v>42362.64583</v>
      </c>
      <c r="C767" s="2">
        <f>IFERROR(__xludf.DUMMYFUNCTION("""COMPUTED_VALUE"""),116.33)</f>
        <v>116.33</v>
      </c>
    </row>
    <row r="768" ht="15.75" customHeight="1">
      <c r="B768" s="3">
        <f>IFERROR(__xludf.DUMMYFUNCTION("""COMPUTED_VALUE"""),42370.64583333333)</f>
        <v>42370.64583</v>
      </c>
      <c r="C768" s="2">
        <f>IFERROR(__xludf.DUMMYFUNCTION("""COMPUTED_VALUE"""),116.0)</f>
        <v>116</v>
      </c>
    </row>
    <row r="769" ht="15.75" customHeight="1"/>
    <row r="770" ht="15.75" customHeight="1"/>
    <row r="771" ht="15.75" customHeight="1">
      <c r="B771" s="2" t="str">
        <f>IFERROR(__xludf.DUMMYFUNCTION("GOOGLEFINANCE(""NSE:BHEL"",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IFERROR(__xludf.DUMMYFUNCTION("""COMPUTED_VALUE"""),113.97)</f>
        <v>113.97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IFERROR(__xludf.DUMMYFUNCTION("""COMPUTED_VALUE"""),102.13)</f>
        <v>102.13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IFERROR(__xludf.DUMMYFUNCTION("""COMPUTED_VALUE"""),98.67)</f>
        <v>98.67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IFERROR(__xludf.DUMMYFUNCTION("""COMPUTED_VALUE"""),100.97)</f>
        <v>100.97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IFERROR(__xludf.DUMMYFUNCTION("""COMPUTED_VALUE"""),96.53)</f>
        <v>96.53</v>
      </c>
    </row>
    <row r="777" ht="15.75" customHeight="1">
      <c r="B777" s="3">
        <f>IFERROR(__xludf.DUMMYFUNCTION("""COMPUTED_VALUE"""),42419.64583333333)</f>
        <v>42419.64583</v>
      </c>
      <c r="C777" s="2">
        <f>IFERROR(__xludf.DUMMYFUNCTION("""COMPUTED_VALUE"""),73.3)</f>
        <v>73.3</v>
      </c>
    </row>
    <row r="778" ht="15.75" customHeight="1">
      <c r="B778" s="3">
        <f>IFERROR(__xludf.DUMMYFUNCTION("""COMPUTED_VALUE"""),42426.64583333333)</f>
        <v>42426.64583</v>
      </c>
      <c r="C778" s="2">
        <f>IFERROR(__xludf.DUMMYFUNCTION("""COMPUTED_VALUE"""),68.8)</f>
        <v>68.8</v>
      </c>
    </row>
    <row r="779" ht="15.75" customHeight="1">
      <c r="B779" s="3">
        <f>IFERROR(__xludf.DUMMYFUNCTION("""COMPUTED_VALUE"""),42433.64583333333)</f>
        <v>42433.64583</v>
      </c>
      <c r="C779" s="2">
        <f>IFERROR(__xludf.DUMMYFUNCTION("""COMPUTED_VALUE"""),72.13)</f>
        <v>72.13</v>
      </c>
    </row>
    <row r="780" ht="15.75" customHeight="1">
      <c r="B780" s="3">
        <f>IFERROR(__xludf.DUMMYFUNCTION("""COMPUTED_VALUE"""),42440.64583333333)</f>
        <v>42440.64583</v>
      </c>
      <c r="C780" s="2">
        <f>IFERROR(__xludf.DUMMYFUNCTION("""COMPUTED_VALUE"""),74.1)</f>
        <v>74.1</v>
      </c>
    </row>
    <row r="781" ht="15.75" customHeight="1">
      <c r="B781" s="3">
        <f>IFERROR(__xludf.DUMMYFUNCTION("""COMPUTED_VALUE"""),42447.64583333333)</f>
        <v>42447.64583</v>
      </c>
      <c r="C781" s="2">
        <f>IFERROR(__xludf.DUMMYFUNCTION("""COMPUTED_VALUE"""),76.13)</f>
        <v>76.13</v>
      </c>
    </row>
    <row r="782" ht="15.75" customHeight="1">
      <c r="B782" s="3">
        <f>IFERROR(__xludf.DUMMYFUNCTION("""COMPUTED_VALUE"""),42452.64583333333)</f>
        <v>42452.64583</v>
      </c>
      <c r="C782" s="2">
        <f>IFERROR(__xludf.DUMMYFUNCTION("""COMPUTED_VALUE"""),78.53)</f>
        <v>78.53</v>
      </c>
    </row>
    <row r="783" ht="15.75" customHeight="1">
      <c r="B783" s="3">
        <f>IFERROR(__xludf.DUMMYFUNCTION("""COMPUTED_VALUE"""),42461.64583333333)</f>
        <v>42461.64583</v>
      </c>
      <c r="C783" s="2">
        <f>IFERROR(__xludf.DUMMYFUNCTION("""COMPUTED_VALUE"""),80.47)</f>
        <v>80.47</v>
      </c>
    </row>
    <row r="784" ht="15.75" customHeight="1">
      <c r="B784" s="3">
        <f>IFERROR(__xludf.DUMMYFUNCTION("""COMPUTED_VALUE"""),42468.64583333333)</f>
        <v>42468.64583</v>
      </c>
      <c r="C784" s="2">
        <f>IFERROR(__xludf.DUMMYFUNCTION("""COMPUTED_VALUE"""),82.23)</f>
        <v>82.23</v>
      </c>
    </row>
    <row r="785" ht="15.75" customHeight="1">
      <c r="B785" s="3">
        <f>IFERROR(__xludf.DUMMYFUNCTION("""COMPUTED_VALUE"""),42473.64583333333)</f>
        <v>42473.64583</v>
      </c>
      <c r="C785" s="2">
        <f>IFERROR(__xludf.DUMMYFUNCTION("""COMPUTED_VALUE"""),90.3)</f>
        <v>90.3</v>
      </c>
    </row>
    <row r="786" ht="15.75" customHeight="1">
      <c r="B786" s="3">
        <f>IFERROR(__xludf.DUMMYFUNCTION("""COMPUTED_VALUE"""),42482.64583333333)</f>
        <v>42482.64583</v>
      </c>
      <c r="C786" s="2">
        <f>IFERROR(__xludf.DUMMYFUNCTION("""COMPUTED_VALUE"""),90.0)</f>
        <v>90</v>
      </c>
    </row>
    <row r="787" ht="15.75" customHeight="1">
      <c r="B787" s="3">
        <f>IFERROR(__xludf.DUMMYFUNCTION("""COMPUTED_VALUE"""),42489.64583333333)</f>
        <v>42489.64583</v>
      </c>
      <c r="C787" s="2">
        <f>IFERROR(__xludf.DUMMYFUNCTION("""COMPUTED_VALUE"""),87.53)</f>
        <v>87.53</v>
      </c>
    </row>
    <row r="788" ht="15.75" customHeight="1">
      <c r="B788" s="3">
        <f>IFERROR(__xludf.DUMMYFUNCTION("""COMPUTED_VALUE"""),42496.64583333333)</f>
        <v>42496.64583</v>
      </c>
      <c r="C788" s="2">
        <f>IFERROR(__xludf.DUMMYFUNCTION("""COMPUTED_VALUE"""),86.47)</f>
        <v>86.47</v>
      </c>
    </row>
    <row r="789" ht="15.75" customHeight="1">
      <c r="B789" s="3">
        <f>IFERROR(__xludf.DUMMYFUNCTION("""COMPUTED_VALUE"""),42503.64583333333)</f>
        <v>42503.64583</v>
      </c>
      <c r="C789" s="2">
        <f>IFERROR(__xludf.DUMMYFUNCTION("""COMPUTED_VALUE"""),86.93)</f>
        <v>86.93</v>
      </c>
    </row>
    <row r="790" ht="15.75" customHeight="1">
      <c r="B790" s="3">
        <f>IFERROR(__xludf.DUMMYFUNCTION("""COMPUTED_VALUE"""),42510.64583333333)</f>
        <v>42510.64583</v>
      </c>
      <c r="C790" s="2">
        <f>IFERROR(__xludf.DUMMYFUNCTION("""COMPUTED_VALUE"""),82.87)</f>
        <v>82.87</v>
      </c>
    </row>
    <row r="791" ht="15.75" customHeight="1">
      <c r="B791" s="3">
        <f>IFERROR(__xludf.DUMMYFUNCTION("""COMPUTED_VALUE"""),42517.64583333333)</f>
        <v>42517.64583</v>
      </c>
      <c r="C791" s="2">
        <f>IFERROR(__xludf.DUMMYFUNCTION("""COMPUTED_VALUE"""),88.13)</f>
        <v>88.13</v>
      </c>
    </row>
    <row r="792" ht="15.75" customHeight="1">
      <c r="B792" s="3">
        <f>IFERROR(__xludf.DUMMYFUNCTION("""COMPUTED_VALUE"""),42524.64583333333)</f>
        <v>42524.64583</v>
      </c>
      <c r="C792" s="2">
        <f>IFERROR(__xludf.DUMMYFUNCTION("""COMPUTED_VALUE"""),83.87)</f>
        <v>83.87</v>
      </c>
    </row>
    <row r="793" ht="15.75" customHeight="1">
      <c r="B793" s="3">
        <f>IFERROR(__xludf.DUMMYFUNCTION("""COMPUTED_VALUE"""),42531.64583333333)</f>
        <v>42531.64583</v>
      </c>
      <c r="C793" s="2">
        <f>IFERROR(__xludf.DUMMYFUNCTION("""COMPUTED_VALUE"""),84.33)</f>
        <v>84.33</v>
      </c>
    </row>
    <row r="794" ht="15.75" customHeight="1">
      <c r="B794" s="3">
        <f>IFERROR(__xludf.DUMMYFUNCTION("""COMPUTED_VALUE"""),42538.64583333333)</f>
        <v>42538.64583</v>
      </c>
      <c r="C794" s="2">
        <f>IFERROR(__xludf.DUMMYFUNCTION("""COMPUTED_VALUE"""),82.6)</f>
        <v>82.6</v>
      </c>
    </row>
    <row r="795" ht="15.75" customHeight="1">
      <c r="B795" s="3">
        <f>IFERROR(__xludf.DUMMYFUNCTION("""COMPUTED_VALUE"""),42545.64583333333)</f>
        <v>42545.64583</v>
      </c>
      <c r="C795" s="2">
        <f>IFERROR(__xludf.DUMMYFUNCTION("""COMPUTED_VALUE"""),83.3)</f>
        <v>83.3</v>
      </c>
    </row>
    <row r="796" ht="15.75" customHeight="1">
      <c r="B796" s="3">
        <f>IFERROR(__xludf.DUMMYFUNCTION("""COMPUTED_VALUE"""),42552.64583333333)</f>
        <v>42552.64583</v>
      </c>
      <c r="C796" s="2">
        <f>IFERROR(__xludf.DUMMYFUNCTION("""COMPUTED_VALUE"""),88.63)</f>
        <v>88.63</v>
      </c>
    </row>
    <row r="797" ht="15.75" customHeight="1">
      <c r="B797" s="3">
        <f>IFERROR(__xludf.DUMMYFUNCTION("""COMPUTED_VALUE"""),42559.64583333333)</f>
        <v>42559.64583</v>
      </c>
      <c r="C797" s="2">
        <f>IFERROR(__xludf.DUMMYFUNCTION("""COMPUTED_VALUE"""),94.63)</f>
        <v>94.63</v>
      </c>
    </row>
    <row r="798" ht="15.75" customHeight="1">
      <c r="B798" s="3">
        <f>IFERROR(__xludf.DUMMYFUNCTION("""COMPUTED_VALUE"""),42566.64583333333)</f>
        <v>42566.64583</v>
      </c>
      <c r="C798" s="2">
        <f>IFERROR(__xludf.DUMMYFUNCTION("""COMPUTED_VALUE"""),98.0)</f>
        <v>98</v>
      </c>
    </row>
    <row r="799" ht="15.75" customHeight="1">
      <c r="B799" s="3">
        <f>IFERROR(__xludf.DUMMYFUNCTION("""COMPUTED_VALUE"""),42573.64583333333)</f>
        <v>42573.64583</v>
      </c>
      <c r="C799" s="2">
        <f>IFERROR(__xludf.DUMMYFUNCTION("""COMPUTED_VALUE"""),96.6)</f>
        <v>96.6</v>
      </c>
    </row>
    <row r="800" ht="15.75" customHeight="1">
      <c r="B800" s="3">
        <f>IFERROR(__xludf.DUMMYFUNCTION("""COMPUTED_VALUE"""),42580.64583333333)</f>
        <v>42580.64583</v>
      </c>
      <c r="C800" s="2">
        <f>IFERROR(__xludf.DUMMYFUNCTION("""COMPUTED_VALUE"""),100.83)</f>
        <v>100.83</v>
      </c>
    </row>
    <row r="801" ht="15.75" customHeight="1">
      <c r="B801" s="3">
        <f>IFERROR(__xludf.DUMMYFUNCTION("""COMPUTED_VALUE"""),42587.64583333333)</f>
        <v>42587.64583</v>
      </c>
      <c r="C801" s="2">
        <f>IFERROR(__xludf.DUMMYFUNCTION("""COMPUTED_VALUE"""),99.33)</f>
        <v>99.33</v>
      </c>
    </row>
    <row r="802" ht="15.75" customHeight="1">
      <c r="B802" s="3">
        <f>IFERROR(__xludf.DUMMYFUNCTION("""COMPUTED_VALUE"""),42594.64583333333)</f>
        <v>42594.64583</v>
      </c>
      <c r="C802" s="2">
        <f>IFERROR(__xludf.DUMMYFUNCTION("""COMPUTED_VALUE"""),94.77)</f>
        <v>94.77</v>
      </c>
    </row>
    <row r="803" ht="15.75" customHeight="1">
      <c r="B803" s="3">
        <f>IFERROR(__xludf.DUMMYFUNCTION("""COMPUTED_VALUE"""),42601.64583333333)</f>
        <v>42601.64583</v>
      </c>
      <c r="C803" s="2">
        <f>IFERROR(__xludf.DUMMYFUNCTION("""COMPUTED_VALUE"""),95.2)</f>
        <v>95.2</v>
      </c>
    </row>
    <row r="804" ht="15.75" customHeight="1">
      <c r="B804" s="3">
        <f>IFERROR(__xludf.DUMMYFUNCTION("""COMPUTED_VALUE"""),42608.64583333333)</f>
        <v>42608.64583</v>
      </c>
      <c r="C804" s="2">
        <f>IFERROR(__xludf.DUMMYFUNCTION("""COMPUTED_VALUE"""),97.6)</f>
        <v>97.6</v>
      </c>
    </row>
    <row r="805" ht="15.75" customHeight="1">
      <c r="B805" s="3">
        <f>IFERROR(__xludf.DUMMYFUNCTION("""COMPUTED_VALUE"""),42615.64583333333)</f>
        <v>42615.64583</v>
      </c>
      <c r="C805" s="2">
        <f>IFERROR(__xludf.DUMMYFUNCTION("""COMPUTED_VALUE"""),94.83)</f>
        <v>94.83</v>
      </c>
    </row>
    <row r="806" ht="15.75" customHeight="1">
      <c r="B806" s="3">
        <f>IFERROR(__xludf.DUMMYFUNCTION("""COMPUTED_VALUE"""),42622.64583333333)</f>
        <v>42622.64583</v>
      </c>
      <c r="C806" s="2">
        <f>IFERROR(__xludf.DUMMYFUNCTION("""COMPUTED_VALUE"""),108.6)</f>
        <v>108.6</v>
      </c>
    </row>
    <row r="807" ht="15.75" customHeight="1">
      <c r="B807" s="3">
        <f>IFERROR(__xludf.DUMMYFUNCTION("""COMPUTED_VALUE"""),42629.64583333333)</f>
        <v>42629.64583</v>
      </c>
      <c r="C807" s="2">
        <f>IFERROR(__xludf.DUMMYFUNCTION("""COMPUTED_VALUE"""),102.57)</f>
        <v>102.57</v>
      </c>
    </row>
    <row r="808" ht="15.75" customHeight="1">
      <c r="B808" s="3">
        <f>IFERROR(__xludf.DUMMYFUNCTION("""COMPUTED_VALUE"""),42636.64583333333)</f>
        <v>42636.64583</v>
      </c>
      <c r="C808" s="2">
        <f>IFERROR(__xludf.DUMMYFUNCTION("""COMPUTED_VALUE"""),100.47)</f>
        <v>100.47</v>
      </c>
    </row>
    <row r="809" ht="15.75" customHeight="1">
      <c r="B809" s="3">
        <f>IFERROR(__xludf.DUMMYFUNCTION("""COMPUTED_VALUE"""),42643.64583333333)</f>
        <v>42643.64583</v>
      </c>
      <c r="C809" s="2">
        <f>IFERROR(__xludf.DUMMYFUNCTION("""COMPUTED_VALUE"""),97.83)</f>
        <v>97.83</v>
      </c>
    </row>
    <row r="810" ht="15.75" customHeight="1">
      <c r="B810" s="3">
        <f>IFERROR(__xludf.DUMMYFUNCTION("""COMPUTED_VALUE"""),42650.64583333333)</f>
        <v>42650.64583</v>
      </c>
      <c r="C810" s="2">
        <f>IFERROR(__xludf.DUMMYFUNCTION("""COMPUTED_VALUE"""),93.33)</f>
        <v>93.33</v>
      </c>
    </row>
    <row r="811" ht="15.75" customHeight="1">
      <c r="B811" s="3">
        <f>IFERROR(__xludf.DUMMYFUNCTION("""COMPUTED_VALUE"""),42657.64583333333)</f>
        <v>42657.64583</v>
      </c>
      <c r="C811" s="2">
        <f>IFERROR(__xludf.DUMMYFUNCTION("""COMPUTED_VALUE"""),91.07)</f>
        <v>91.07</v>
      </c>
    </row>
    <row r="812" ht="15.75" customHeight="1">
      <c r="B812" s="3">
        <f>IFERROR(__xludf.DUMMYFUNCTION("""COMPUTED_VALUE"""),42664.64583333333)</f>
        <v>42664.64583</v>
      </c>
      <c r="C812" s="2">
        <f>IFERROR(__xludf.DUMMYFUNCTION("""COMPUTED_VALUE"""),95.77)</f>
        <v>95.77</v>
      </c>
    </row>
    <row r="813" ht="15.75" customHeight="1">
      <c r="B813" s="3">
        <f>IFERROR(__xludf.DUMMYFUNCTION("""COMPUTED_VALUE"""),42671.64583333333)</f>
        <v>42671.64583</v>
      </c>
      <c r="C813" s="2">
        <f>IFERROR(__xludf.DUMMYFUNCTION("""COMPUTED_VALUE"""),95.13)</f>
        <v>95.13</v>
      </c>
    </row>
    <row r="814" ht="15.75" customHeight="1">
      <c r="B814" s="3">
        <f>IFERROR(__xludf.DUMMYFUNCTION("""COMPUTED_VALUE"""),42678.64583333333)</f>
        <v>42678.64583</v>
      </c>
      <c r="C814" s="2">
        <f>IFERROR(__xludf.DUMMYFUNCTION("""COMPUTED_VALUE"""),95.67)</f>
        <v>95.67</v>
      </c>
    </row>
    <row r="815" ht="15.75" customHeight="1">
      <c r="B815" s="3">
        <f>IFERROR(__xludf.DUMMYFUNCTION("""COMPUTED_VALUE"""),42685.64583333333)</f>
        <v>42685.64583</v>
      </c>
      <c r="C815" s="2">
        <f>IFERROR(__xludf.DUMMYFUNCTION("""COMPUTED_VALUE"""),97.87)</f>
        <v>97.87</v>
      </c>
    </row>
    <row r="816" ht="15.75" customHeight="1">
      <c r="B816" s="3">
        <f>IFERROR(__xludf.DUMMYFUNCTION("""COMPUTED_VALUE"""),42692.64583333333)</f>
        <v>42692.64583</v>
      </c>
      <c r="C816" s="2">
        <f>IFERROR(__xludf.DUMMYFUNCTION("""COMPUTED_VALUE"""),92.1)</f>
        <v>92.1</v>
      </c>
    </row>
    <row r="817" ht="15.75" customHeight="1">
      <c r="B817" s="3">
        <f>IFERROR(__xludf.DUMMYFUNCTION("""COMPUTED_VALUE"""),42699.64583333333)</f>
        <v>42699.64583</v>
      </c>
      <c r="C817" s="2">
        <f>IFERROR(__xludf.DUMMYFUNCTION("""COMPUTED_VALUE"""),90.17)</f>
        <v>90.17</v>
      </c>
    </row>
    <row r="818" ht="15.75" customHeight="1">
      <c r="B818" s="3">
        <f>IFERROR(__xludf.DUMMYFUNCTION("""COMPUTED_VALUE"""),42706.64583333333)</f>
        <v>42706.64583</v>
      </c>
      <c r="C818" s="2">
        <f>IFERROR(__xludf.DUMMYFUNCTION("""COMPUTED_VALUE"""),87.63)</f>
        <v>87.63</v>
      </c>
    </row>
    <row r="819" ht="15.75" customHeight="1">
      <c r="B819" s="3">
        <f>IFERROR(__xludf.DUMMYFUNCTION("""COMPUTED_VALUE"""),42713.64583333333)</f>
        <v>42713.64583</v>
      </c>
      <c r="C819" s="2">
        <f>IFERROR(__xludf.DUMMYFUNCTION("""COMPUTED_VALUE"""),86.97)</f>
        <v>86.97</v>
      </c>
    </row>
    <row r="820" ht="15.75" customHeight="1">
      <c r="B820" s="3">
        <f>IFERROR(__xludf.DUMMYFUNCTION("""COMPUTED_VALUE"""),42720.64583333333)</f>
        <v>42720.64583</v>
      </c>
      <c r="C820" s="2">
        <f>IFERROR(__xludf.DUMMYFUNCTION("""COMPUTED_VALUE"""),85.8)</f>
        <v>85.8</v>
      </c>
    </row>
    <row r="821" ht="15.75" customHeight="1">
      <c r="B821" s="3">
        <f>IFERROR(__xludf.DUMMYFUNCTION("""COMPUTED_VALUE"""),42727.64583333333)</f>
        <v>42727.64583</v>
      </c>
      <c r="C821" s="2">
        <f>IFERROR(__xludf.DUMMYFUNCTION("""COMPUTED_VALUE"""),82.27)</f>
        <v>82.27</v>
      </c>
    </row>
    <row r="822" ht="15.75" customHeight="1">
      <c r="B822" s="3">
        <f>IFERROR(__xludf.DUMMYFUNCTION("""COMPUTED_VALUE"""),42734.64583333333)</f>
        <v>42734.64583</v>
      </c>
      <c r="C822" s="2">
        <f>IFERROR(__xludf.DUMMYFUNCTION("""COMPUTED_VALUE"""),81.07)</f>
        <v>81.07</v>
      </c>
    </row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IFERROR(__xludf.DUMMYFUNCTION("GOOGLEFINANCE(""NSE:HINDPETRO"",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IFERROR(__xludf.DUMMYFUNCTION("""COMPUTED_VALUE"""),31.67)</f>
        <v>31.67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IFERROR(__xludf.DUMMYFUNCTION("""COMPUTED_VALUE"""),33.9)</f>
        <v>33.9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IFERROR(__xludf.DUMMYFUNCTION("""COMPUTED_VALUE"""),37.29)</f>
        <v>37.29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IFERROR(__xludf.DUMMYFUNCTION("""COMPUTED_VALUE"""),39.33)</f>
        <v>39.33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IFERROR(__xludf.DUMMYFUNCTION("""COMPUTED_VALUE"""),41.24)</f>
        <v>41.24</v>
      </c>
    </row>
    <row r="7">
      <c r="A7" s="2" t="s">
        <v>16</v>
      </c>
      <c r="B7" s="3">
        <f>IFERROR(__xludf.DUMMYFUNCTION("""COMPUTED_VALUE"""),37295.645833333336)</f>
        <v>37295.64583</v>
      </c>
      <c r="C7" s="2">
        <f>IFERROR(__xludf.DUMMYFUNCTION("""COMPUTED_VALUE"""),59.09)</f>
        <v>59.09</v>
      </c>
    </row>
    <row r="8">
      <c r="A8" s="2" t="s">
        <v>17</v>
      </c>
      <c r="B8" s="3">
        <f>IFERROR(__xludf.DUMMYFUNCTION("""COMPUTED_VALUE"""),37302.645833333336)</f>
        <v>37302.64583</v>
      </c>
      <c r="C8" s="2">
        <f>IFERROR(__xludf.DUMMYFUNCTION("""COMPUTED_VALUE"""),57.08)</f>
        <v>57.08</v>
      </c>
    </row>
    <row r="9">
      <c r="B9" s="3">
        <f>IFERROR(__xludf.DUMMYFUNCTION("""COMPUTED_VALUE"""),37309.645833333336)</f>
        <v>37309.64583</v>
      </c>
      <c r="C9" s="2">
        <f>IFERROR(__xludf.DUMMYFUNCTION("""COMPUTED_VALUE"""),58.21)</f>
        <v>58.21</v>
      </c>
    </row>
    <row r="10">
      <c r="B10" s="3">
        <f>IFERROR(__xludf.DUMMYFUNCTION("""COMPUTED_VALUE"""),37316.645833333336)</f>
        <v>37316.64583</v>
      </c>
      <c r="C10" s="2">
        <f>IFERROR(__xludf.DUMMYFUNCTION("""COMPUTED_VALUE"""),67.11)</f>
        <v>67.11</v>
      </c>
    </row>
    <row r="11">
      <c r="B11" s="3">
        <f>IFERROR(__xludf.DUMMYFUNCTION("""COMPUTED_VALUE"""),37323.645833333336)</f>
        <v>37323.64583</v>
      </c>
      <c r="C11" s="2">
        <f>IFERROR(__xludf.DUMMYFUNCTION("""COMPUTED_VALUE"""),75.27)</f>
        <v>75.27</v>
      </c>
    </row>
    <row r="12">
      <c r="B12" s="3">
        <f>IFERROR(__xludf.DUMMYFUNCTION("""COMPUTED_VALUE"""),37330.645833333336)</f>
        <v>37330.64583</v>
      </c>
      <c r="C12" s="2">
        <f>IFERROR(__xludf.DUMMYFUNCTION("""COMPUTED_VALUE"""),70.6)</f>
        <v>70.6</v>
      </c>
    </row>
    <row r="13">
      <c r="B13" s="3">
        <f>IFERROR(__xludf.DUMMYFUNCTION("""COMPUTED_VALUE"""),37337.645833333336)</f>
        <v>37337.64583</v>
      </c>
      <c r="C13" s="2">
        <f>IFERROR(__xludf.DUMMYFUNCTION("""COMPUTED_VALUE"""),69.04)</f>
        <v>69.04</v>
      </c>
    </row>
    <row r="14">
      <c r="B14" s="3">
        <f>IFERROR(__xludf.DUMMYFUNCTION("""COMPUTED_VALUE"""),37343.645833333336)</f>
        <v>37343.64583</v>
      </c>
      <c r="C14" s="2">
        <f>IFERROR(__xludf.DUMMYFUNCTION("""COMPUTED_VALUE"""),65.84)</f>
        <v>65.84</v>
      </c>
    </row>
    <row r="15">
      <c r="B15" s="3">
        <f>IFERROR(__xludf.DUMMYFUNCTION("""COMPUTED_VALUE"""),37351.645833333336)</f>
        <v>37351.64583</v>
      </c>
      <c r="C15" s="2">
        <f>IFERROR(__xludf.DUMMYFUNCTION("""COMPUTED_VALUE"""),71.03)</f>
        <v>71.03</v>
      </c>
    </row>
    <row r="16">
      <c r="B16" s="3">
        <f>IFERROR(__xludf.DUMMYFUNCTION("""COMPUTED_VALUE"""),37358.645833333336)</f>
        <v>37358.64583</v>
      </c>
      <c r="C16" s="2">
        <f>IFERROR(__xludf.DUMMYFUNCTION("""COMPUTED_VALUE"""),66.16)</f>
        <v>66.16</v>
      </c>
    </row>
    <row r="17">
      <c r="B17" s="3">
        <f>IFERROR(__xludf.DUMMYFUNCTION("""COMPUTED_VALUE"""),37365.645833333336)</f>
        <v>37365.64583</v>
      </c>
      <c r="C17" s="2">
        <f>IFERROR(__xludf.DUMMYFUNCTION("""COMPUTED_VALUE"""),66.11)</f>
        <v>66.11</v>
      </c>
    </row>
    <row r="18">
      <c r="B18" s="3">
        <f>IFERROR(__xludf.DUMMYFUNCTION("""COMPUTED_VALUE"""),37372.645833333336)</f>
        <v>37372.64583</v>
      </c>
      <c r="C18" s="2">
        <f>IFERROR(__xludf.DUMMYFUNCTION("""COMPUTED_VALUE"""),61.22)</f>
        <v>61.22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IFERROR(__xludf.DUMMYFUNCTION("""COMPUTED_VALUE"""),65.28)</f>
        <v>65.28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IFERROR(__xludf.DUMMYFUNCTION("""COMPUTED_VALUE"""),67.78)</f>
        <v>67.78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IFERROR(__xludf.DUMMYFUNCTION("""COMPUTED_VALUE"""),67.52)</f>
        <v>67.52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IFERROR(__xludf.DUMMYFUNCTION("""COMPUTED_VALUE"""),66.44)</f>
        <v>66.44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IFERROR(__xludf.DUMMYFUNCTION("""COMPUTED_VALUE"""),61.07)</f>
        <v>61.07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IFERROR(__xludf.DUMMYFUNCTION("""COMPUTED_VALUE"""),60.03)</f>
        <v>60.03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IFERROR(__xludf.DUMMYFUNCTION("""COMPUTED_VALUE"""),65.49)</f>
        <v>65.49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IFERROR(__xludf.DUMMYFUNCTION("""COMPUTED_VALUE"""),65.78)</f>
        <v>65.78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IFERROR(__xludf.DUMMYFUNCTION("""COMPUTED_VALUE"""),60.82)</f>
        <v>60.82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IFERROR(__xludf.DUMMYFUNCTION("""COMPUTED_VALUE"""),63.56)</f>
        <v>63.56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IFERROR(__xludf.DUMMYFUNCTION("""COMPUTED_VALUE"""),65.7)</f>
        <v>65.7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IFERROR(__xludf.DUMMYFUNCTION("""COMPUTED_VALUE"""),67.43)</f>
        <v>67.43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IFERROR(__xludf.DUMMYFUNCTION("""COMPUTED_VALUE"""),65.78)</f>
        <v>65.78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IFERROR(__xludf.DUMMYFUNCTION("""COMPUTED_VALUE"""),63.78)</f>
        <v>63.78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IFERROR(__xludf.DUMMYFUNCTION("""COMPUTED_VALUE"""),63.89)</f>
        <v>63.89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IFERROR(__xludf.DUMMYFUNCTION("""COMPUTED_VALUE"""),61.67)</f>
        <v>61.67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IFERROR(__xludf.DUMMYFUNCTION("""COMPUTED_VALUE"""),64.0)</f>
        <v>64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IFERROR(__xludf.DUMMYFUNCTION("""COMPUTED_VALUE"""),64.22)</f>
        <v>64.22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IFERROR(__xludf.DUMMYFUNCTION("""COMPUTED_VALUE"""),61.53)</f>
        <v>61.53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IFERROR(__xludf.DUMMYFUNCTION("""COMPUTED_VALUE"""),53.59)</f>
        <v>53.59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IFERROR(__xludf.DUMMYFUNCTION("""COMPUTED_VALUE"""),46.44)</f>
        <v>46.44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IFERROR(__xludf.DUMMYFUNCTION("""COMPUTED_VALUE"""),43.53)</f>
        <v>43.53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IFERROR(__xludf.DUMMYFUNCTION("""COMPUTED_VALUE"""),44.89)</f>
        <v>44.89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IFERROR(__xludf.DUMMYFUNCTION("""COMPUTED_VALUE"""),48.89)</f>
        <v>48.89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IFERROR(__xludf.DUMMYFUNCTION("""COMPUTED_VALUE"""),48.44)</f>
        <v>48.44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IFERROR(__xludf.DUMMYFUNCTION("""COMPUTED_VALUE"""),48.44)</f>
        <v>48.44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IFERROR(__xludf.DUMMYFUNCTION("""COMPUTED_VALUE"""),50.77)</f>
        <v>50.77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IFERROR(__xludf.DUMMYFUNCTION("""COMPUTED_VALUE"""),51.07)</f>
        <v>51.07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IFERROR(__xludf.DUMMYFUNCTION("""COMPUTED_VALUE"""),47.3)</f>
        <v>47.3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IFERROR(__xludf.DUMMYFUNCTION("""COMPUTED_VALUE"""),46.6)</f>
        <v>46.6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IFERROR(__xludf.DUMMYFUNCTION("""COMPUTED_VALUE"""),49.29)</f>
        <v>49.29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IFERROR(__xludf.DUMMYFUNCTION("""COMPUTED_VALUE"""),64.78)</f>
        <v>64.78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IFERROR(__xludf.DUMMYFUNCTION("""COMPUTED_VALUE"""),63.56)</f>
        <v>63.56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IFERROR(__xludf.DUMMYFUNCTION("""COMPUTED_VALUE"""),72.89)</f>
        <v>72.89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IFERROR(__xludf.DUMMYFUNCTION("""COMPUTED_VALUE"""),68.87)</f>
        <v>68.87</v>
      </c>
    </row>
    <row r="54" ht="15.75" customHeight="1"/>
    <row r="55" ht="15.75" customHeight="1"/>
    <row r="56" ht="15.75" customHeight="1">
      <c r="B56" s="2" t="str">
        <f>IFERROR(__xludf.DUMMYFUNCTION("GOOGLEFINANCE(""NSE:HINDPETRO"",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IFERROR(__xludf.DUMMYFUNCTION("""COMPUTED_VALUE"""),70.0)</f>
        <v>70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IFERROR(__xludf.DUMMYFUNCTION("""COMPUTED_VALUE"""),67.76)</f>
        <v>67.76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IFERROR(__xludf.DUMMYFUNCTION("""COMPUTED_VALUE"""),68.67)</f>
        <v>68.67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IFERROR(__xludf.DUMMYFUNCTION("""COMPUTED_VALUE"""),69.77)</f>
        <v>69.77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IFERROR(__xludf.DUMMYFUNCTION("""COMPUTED_VALUE"""),72.22)</f>
        <v>72.22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IFERROR(__xludf.DUMMYFUNCTION("""COMPUTED_VALUE"""),68.29)</f>
        <v>68.29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IFERROR(__xludf.DUMMYFUNCTION("""COMPUTED_VALUE"""),70.44)</f>
        <v>70.44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IFERROR(__xludf.DUMMYFUNCTION("""COMPUTED_VALUE"""),73.27)</f>
        <v>73.27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IFERROR(__xludf.DUMMYFUNCTION("""COMPUTED_VALUE"""),71.64)</f>
        <v>71.64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IFERROR(__xludf.DUMMYFUNCTION("""COMPUTED_VALUE"""),70.44)</f>
        <v>70.44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IFERROR(__xludf.DUMMYFUNCTION("""COMPUTED_VALUE"""),65.97)</f>
        <v>65.97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IFERROR(__xludf.DUMMYFUNCTION("""COMPUTED_VALUE"""),67.07)</f>
        <v>67.07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IFERROR(__xludf.DUMMYFUNCTION("""COMPUTED_VALUE"""),67.53)</f>
        <v>67.53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IFERROR(__xludf.DUMMYFUNCTION("""COMPUTED_VALUE"""),70.0)</f>
        <v>70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IFERROR(__xludf.DUMMYFUNCTION("""COMPUTED_VALUE"""),67.42)</f>
        <v>67.42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IFERROR(__xludf.DUMMYFUNCTION("""COMPUTED_VALUE"""),76.22)</f>
        <v>76.22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IFERROR(__xludf.DUMMYFUNCTION("""COMPUTED_VALUE"""),62.6)</f>
        <v>62.6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IFERROR(__xludf.DUMMYFUNCTION("""COMPUTED_VALUE"""),68.08)</f>
        <v>68.08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IFERROR(__xludf.DUMMYFUNCTION("""COMPUTED_VALUE"""),68.84)</f>
        <v>68.84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IFERROR(__xludf.DUMMYFUNCTION("""COMPUTED_VALUE"""),66.98)</f>
        <v>66.98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IFERROR(__xludf.DUMMYFUNCTION("""COMPUTED_VALUE"""),68.0)</f>
        <v>68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IFERROR(__xludf.DUMMYFUNCTION("""COMPUTED_VALUE"""),71.96)</f>
        <v>71.96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IFERROR(__xludf.DUMMYFUNCTION("""COMPUTED_VALUE"""),71.93)</f>
        <v>71.93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IFERROR(__xludf.DUMMYFUNCTION("""COMPUTED_VALUE"""),74.73)</f>
        <v>74.73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IFERROR(__xludf.DUMMYFUNCTION("""COMPUTED_VALUE"""),78.91)</f>
        <v>78.91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IFERROR(__xludf.DUMMYFUNCTION("""COMPUTED_VALUE"""),79.82)</f>
        <v>79.82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IFERROR(__xludf.DUMMYFUNCTION("""COMPUTED_VALUE"""),81.11)</f>
        <v>81.11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IFERROR(__xludf.DUMMYFUNCTION("""COMPUTED_VALUE"""),80.62)</f>
        <v>80.62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IFERROR(__xludf.DUMMYFUNCTION("""COMPUTED_VALUE"""),76.22)</f>
        <v>76.22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IFERROR(__xludf.DUMMYFUNCTION("""COMPUTED_VALUE"""),74.44)</f>
        <v>74.44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IFERROR(__xludf.DUMMYFUNCTION("""COMPUTED_VALUE"""),79.04)</f>
        <v>79.04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IFERROR(__xludf.DUMMYFUNCTION("""COMPUTED_VALUE"""),81.87)</f>
        <v>81.87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IFERROR(__xludf.DUMMYFUNCTION("""COMPUTED_VALUE"""),90.99)</f>
        <v>90.99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IFERROR(__xludf.DUMMYFUNCTION("""COMPUTED_VALUE"""),99.97)</f>
        <v>99.97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IFERROR(__xludf.DUMMYFUNCTION("""COMPUTED_VALUE"""),98.84)</f>
        <v>98.84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IFERROR(__xludf.DUMMYFUNCTION("""COMPUTED_VALUE"""),99.78)</f>
        <v>99.78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IFERROR(__xludf.DUMMYFUNCTION("""COMPUTED_VALUE"""),95.48)</f>
        <v>95.48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IFERROR(__xludf.DUMMYFUNCTION("""COMPUTED_VALUE"""),81.62)</f>
        <v>81.62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IFERROR(__xludf.DUMMYFUNCTION("""COMPUTED_VALUE"""),83.76)</f>
        <v>83.76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IFERROR(__xludf.DUMMYFUNCTION("""COMPUTED_VALUE"""),81.88)</f>
        <v>81.88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IFERROR(__xludf.DUMMYFUNCTION("""COMPUTED_VALUE"""),79.56)</f>
        <v>79.56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IFERROR(__xludf.DUMMYFUNCTION("""COMPUTED_VALUE"""),76.89)</f>
        <v>76.89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IFERROR(__xludf.DUMMYFUNCTION("""COMPUTED_VALUE"""),75.8)</f>
        <v>75.8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IFERROR(__xludf.DUMMYFUNCTION("""COMPUTED_VALUE"""),78.8)</f>
        <v>78.8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IFERROR(__xludf.DUMMYFUNCTION("""COMPUTED_VALUE"""),83.33)</f>
        <v>83.33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IFERROR(__xludf.DUMMYFUNCTION("""COMPUTED_VALUE"""),89.09)</f>
        <v>89.09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IFERROR(__xludf.DUMMYFUNCTION("""COMPUTED_VALUE"""),91.67)</f>
        <v>91.67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IFERROR(__xludf.DUMMYFUNCTION("""COMPUTED_VALUE"""),98.22)</f>
        <v>98.22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IFERROR(__xludf.DUMMYFUNCTION("""COMPUTED_VALUE"""),99.09)</f>
        <v>99.09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IFERROR(__xludf.DUMMYFUNCTION("GOOGLEFINANCE(""NSE:HINDPETRO"",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IFERROR(__xludf.DUMMYFUNCTION("""COMPUTED_VALUE"""),103.07)</f>
        <v>103.07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IFERROR(__xludf.DUMMYFUNCTION("""COMPUTED_VALUE"""),107.76)</f>
        <v>107.76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IFERROR(__xludf.DUMMYFUNCTION("""COMPUTED_VALUE"""),107.31)</f>
        <v>107.31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IFERROR(__xludf.DUMMYFUNCTION("""COMPUTED_VALUE"""),99.77)</f>
        <v>99.77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IFERROR(__xludf.DUMMYFUNCTION("""COMPUTED_VALUE"""),101.78)</f>
        <v>101.78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IFERROR(__xludf.DUMMYFUNCTION("""COMPUTED_VALUE"""),100.19)</f>
        <v>100.19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IFERROR(__xludf.DUMMYFUNCTION("""COMPUTED_VALUE"""),108.18)</f>
        <v>108.18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IFERROR(__xludf.DUMMYFUNCTION("""COMPUTED_VALUE"""),109.14)</f>
        <v>109.14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IFERROR(__xludf.DUMMYFUNCTION("""COMPUTED_VALUE"""),104.2)</f>
        <v>104.2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IFERROR(__xludf.DUMMYFUNCTION("""COMPUTED_VALUE"""),111.3)</f>
        <v>111.3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IFERROR(__xludf.DUMMYFUNCTION("""COMPUTED_VALUE"""),120.54)</f>
        <v>120.54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IFERROR(__xludf.DUMMYFUNCTION("""COMPUTED_VALUE"""),113.54)</f>
        <v>113.54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IFERROR(__xludf.DUMMYFUNCTION("""COMPUTED_VALUE"""),110.58)</f>
        <v>110.58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IFERROR(__xludf.DUMMYFUNCTION("""COMPUTED_VALUE"""),117.97)</f>
        <v>117.97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IFERROR(__xludf.DUMMYFUNCTION("""COMPUTED_VALUE"""),119.78)</f>
        <v>119.78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IFERROR(__xludf.DUMMYFUNCTION("""COMPUTED_VALUE"""),115.99)</f>
        <v>115.99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IFERROR(__xludf.DUMMYFUNCTION("""COMPUTED_VALUE"""),112.44)</f>
        <v>112.44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IFERROR(__xludf.DUMMYFUNCTION("""COMPUTED_VALUE"""),106.67)</f>
        <v>106.67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IFERROR(__xludf.DUMMYFUNCTION("""COMPUTED_VALUE"""),103.98)</f>
        <v>103.98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IFERROR(__xludf.DUMMYFUNCTION("""COMPUTED_VALUE"""),76.63)</f>
        <v>76.63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IFERROR(__xludf.DUMMYFUNCTION("""COMPUTED_VALUE"""),75.44)</f>
        <v>75.44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IFERROR(__xludf.DUMMYFUNCTION("""COMPUTED_VALUE"""),76.22)</f>
        <v>76.22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IFERROR(__xludf.DUMMYFUNCTION("""COMPUTED_VALUE"""),80.0)</f>
        <v>80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IFERROR(__xludf.DUMMYFUNCTION("""COMPUTED_VALUE"""),79.0)</f>
        <v>79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IFERROR(__xludf.DUMMYFUNCTION("""COMPUTED_VALUE"""),74.44)</f>
        <v>74.44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IFERROR(__xludf.DUMMYFUNCTION("""COMPUTED_VALUE"""),76.0)</f>
        <v>76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IFERROR(__xludf.DUMMYFUNCTION("""COMPUTED_VALUE"""),74.22)</f>
        <v>74.22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IFERROR(__xludf.DUMMYFUNCTION("""COMPUTED_VALUE"""),65.83)</f>
        <v>65.83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IFERROR(__xludf.DUMMYFUNCTION("""COMPUTED_VALUE"""),68.67)</f>
        <v>68.67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IFERROR(__xludf.DUMMYFUNCTION("""COMPUTED_VALUE"""),71.64)</f>
        <v>71.64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IFERROR(__xludf.DUMMYFUNCTION("""COMPUTED_VALUE"""),74.89)</f>
        <v>74.89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IFERROR(__xludf.DUMMYFUNCTION("""COMPUTED_VALUE"""),72.16)</f>
        <v>72.16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IFERROR(__xludf.DUMMYFUNCTION("""COMPUTED_VALUE"""),70.43)</f>
        <v>70.43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IFERROR(__xludf.DUMMYFUNCTION("""COMPUTED_VALUE"""),70.41)</f>
        <v>70.41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IFERROR(__xludf.DUMMYFUNCTION("""COMPUTED_VALUE"""),71.87)</f>
        <v>71.87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IFERROR(__xludf.DUMMYFUNCTION("""COMPUTED_VALUE"""),70.38)</f>
        <v>70.38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IFERROR(__xludf.DUMMYFUNCTION("""COMPUTED_VALUE"""),78.94)</f>
        <v>78.94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IFERROR(__xludf.DUMMYFUNCTION("""COMPUTED_VALUE"""),75.33)</f>
        <v>75.33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IFERROR(__xludf.DUMMYFUNCTION("""COMPUTED_VALUE"""),72.2)</f>
        <v>72.2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IFERROR(__xludf.DUMMYFUNCTION("""COMPUTED_VALUE"""),73.33)</f>
        <v>73.33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IFERROR(__xludf.DUMMYFUNCTION("""COMPUTED_VALUE"""),74.41)</f>
        <v>74.41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IFERROR(__xludf.DUMMYFUNCTION("""COMPUTED_VALUE"""),71.67)</f>
        <v>71.67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IFERROR(__xludf.DUMMYFUNCTION("""COMPUTED_VALUE"""),76.42)</f>
        <v>76.42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IFERROR(__xludf.DUMMYFUNCTION("""COMPUTED_VALUE"""),78.67)</f>
        <v>78.67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IFERROR(__xludf.DUMMYFUNCTION("""COMPUTED_VALUE"""),81.64)</f>
        <v>81.64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IFERROR(__xludf.DUMMYFUNCTION("""COMPUTED_VALUE"""),76.78)</f>
        <v>76.78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IFERROR(__xludf.DUMMYFUNCTION("""COMPUTED_VALUE"""),86.44)</f>
        <v>86.44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IFERROR(__xludf.DUMMYFUNCTION("""COMPUTED_VALUE"""),86.89)</f>
        <v>86.89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IFERROR(__xludf.DUMMYFUNCTION("""COMPUTED_VALUE"""),85.43)</f>
        <v>85.43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IFERROR(__xludf.DUMMYFUNCTION("""COMPUTED_VALUE"""),86.44)</f>
        <v>86.44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IFERROR(__xludf.DUMMYFUNCTION("""COMPUTED_VALUE"""),90.56)</f>
        <v>90.56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IFERROR(__xludf.DUMMYFUNCTION("GOOGLEFINANCE(""NSE:HINDPETRO"",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IFERROR(__xludf.DUMMYFUNCTION("""COMPUTED_VALUE"""),92.66)</f>
        <v>92.66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IFERROR(__xludf.DUMMYFUNCTION("""COMPUTED_VALUE"""),87.73)</f>
        <v>87.73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IFERROR(__xludf.DUMMYFUNCTION("""COMPUTED_VALUE"""),80.22)</f>
        <v>80.22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IFERROR(__xludf.DUMMYFUNCTION("""COMPUTED_VALUE"""),78.33)</f>
        <v>78.33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IFERROR(__xludf.DUMMYFUNCTION("""COMPUTED_VALUE"""),82.67)</f>
        <v>82.67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IFERROR(__xludf.DUMMYFUNCTION("""COMPUTED_VALUE"""),84.44)</f>
        <v>84.44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IFERROR(__xludf.DUMMYFUNCTION("""COMPUTED_VALUE"""),84.44)</f>
        <v>84.44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IFERROR(__xludf.DUMMYFUNCTION("""COMPUTED_VALUE"""),84.44)</f>
        <v>84.44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IFERROR(__xludf.DUMMYFUNCTION("""COMPUTED_VALUE"""),82.78)</f>
        <v>82.78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IFERROR(__xludf.DUMMYFUNCTION("""COMPUTED_VALUE"""),76.67)</f>
        <v>76.67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IFERROR(__xludf.DUMMYFUNCTION("""COMPUTED_VALUE"""),75.93)</f>
        <v>75.93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IFERROR(__xludf.DUMMYFUNCTION("""COMPUTED_VALUE"""),75.56)</f>
        <v>75.56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IFERROR(__xludf.DUMMYFUNCTION("""COMPUTED_VALUE"""),72.0)</f>
        <v>72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IFERROR(__xludf.DUMMYFUNCTION("""COMPUTED_VALUE"""),72.4)</f>
        <v>72.4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IFERROR(__xludf.DUMMYFUNCTION("""COMPUTED_VALUE"""),73.28)</f>
        <v>73.28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IFERROR(__xludf.DUMMYFUNCTION("""COMPUTED_VALUE"""),74.03)</f>
        <v>74.03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IFERROR(__xludf.DUMMYFUNCTION("""COMPUTED_VALUE"""),72.77)</f>
        <v>72.77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IFERROR(__xludf.DUMMYFUNCTION("""COMPUTED_VALUE"""),74.44)</f>
        <v>74.44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IFERROR(__xludf.DUMMYFUNCTION("""COMPUTED_VALUE"""),74.67)</f>
        <v>74.67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IFERROR(__xludf.DUMMYFUNCTION("""COMPUTED_VALUE"""),74.0)</f>
        <v>74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IFERROR(__xludf.DUMMYFUNCTION("""COMPUTED_VALUE"""),76.78)</f>
        <v>76.78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IFERROR(__xludf.DUMMYFUNCTION("""COMPUTED_VALUE"""),73.88)</f>
        <v>73.88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IFERROR(__xludf.DUMMYFUNCTION("""COMPUTED_VALUE"""),72.2)</f>
        <v>72.2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IFERROR(__xludf.DUMMYFUNCTION("""COMPUTED_VALUE"""),73.64)</f>
        <v>73.64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IFERROR(__xludf.DUMMYFUNCTION("""COMPUTED_VALUE"""),70.47)</f>
        <v>70.47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IFERROR(__xludf.DUMMYFUNCTION("""COMPUTED_VALUE"""),69.99)</f>
        <v>69.99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IFERROR(__xludf.DUMMYFUNCTION("""COMPUTED_VALUE"""),68.42)</f>
        <v>68.42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IFERROR(__xludf.DUMMYFUNCTION("""COMPUTED_VALUE"""),67.76)</f>
        <v>67.76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IFERROR(__xludf.DUMMYFUNCTION("""COMPUTED_VALUE"""),67.09)</f>
        <v>67.09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IFERROR(__xludf.DUMMYFUNCTION("""COMPUTED_VALUE"""),69.98)</f>
        <v>69.98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IFERROR(__xludf.DUMMYFUNCTION("""COMPUTED_VALUE"""),67.78)</f>
        <v>67.78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IFERROR(__xludf.DUMMYFUNCTION("""COMPUTED_VALUE"""),67.87)</f>
        <v>67.87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IFERROR(__xludf.DUMMYFUNCTION("""COMPUTED_VALUE"""),66.63)</f>
        <v>66.63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IFERROR(__xludf.DUMMYFUNCTION("""COMPUTED_VALUE"""),66.66)</f>
        <v>66.66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IFERROR(__xludf.DUMMYFUNCTION("""COMPUTED_VALUE"""),68.38)</f>
        <v>68.38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IFERROR(__xludf.DUMMYFUNCTION("""COMPUTED_VALUE"""),69.78)</f>
        <v>69.78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IFERROR(__xludf.DUMMYFUNCTION("""COMPUTED_VALUE"""),72.24)</f>
        <v>72.24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IFERROR(__xludf.DUMMYFUNCTION("""COMPUTED_VALUE"""),72.44)</f>
        <v>72.44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IFERROR(__xludf.DUMMYFUNCTION("""COMPUTED_VALUE"""),74.64)</f>
        <v>74.64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IFERROR(__xludf.DUMMYFUNCTION("""COMPUTED_VALUE"""),72.42)</f>
        <v>72.42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IFERROR(__xludf.DUMMYFUNCTION("""COMPUTED_VALUE"""),70.22)</f>
        <v>70.22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IFERROR(__xludf.DUMMYFUNCTION("""COMPUTED_VALUE"""),70.44)</f>
        <v>70.44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IFERROR(__xludf.DUMMYFUNCTION("""COMPUTED_VALUE"""),71.78)</f>
        <v>71.78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IFERROR(__xludf.DUMMYFUNCTION("""COMPUTED_VALUE"""),73.78)</f>
        <v>73.78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IFERROR(__xludf.DUMMYFUNCTION("""COMPUTED_VALUE"""),77.56)</f>
        <v>77.56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IFERROR(__xludf.DUMMYFUNCTION("""COMPUTED_VALUE"""),77.3)</f>
        <v>77.3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IFERROR(__xludf.DUMMYFUNCTION("""COMPUTED_VALUE"""),74.1)</f>
        <v>74.1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IFERROR(__xludf.DUMMYFUNCTION("""COMPUTED_VALUE"""),72.31)</f>
        <v>72.31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IFERROR(__xludf.DUMMYFUNCTION("""COMPUTED_VALUE"""),73.87)</f>
        <v>73.87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IFERROR(__xludf.DUMMYFUNCTION("""COMPUTED_VALUE"""),73.33)</f>
        <v>73.33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IFERROR(__xludf.DUMMYFUNCTION("GOOGLEFINANCE(""NSE:HINDPETRO"",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IFERROR(__xludf.DUMMYFUNCTION("""COMPUTED_VALUE"""),76.89)</f>
        <v>76.89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IFERROR(__xludf.DUMMYFUNCTION("""COMPUTED_VALUE"""),77.54)</f>
        <v>77.54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IFERROR(__xludf.DUMMYFUNCTION("""COMPUTED_VALUE"""),74.91)</f>
        <v>74.91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IFERROR(__xludf.DUMMYFUNCTION("""COMPUTED_VALUE"""),70.44)</f>
        <v>70.44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IFERROR(__xludf.DUMMYFUNCTION("""COMPUTED_VALUE"""),70.89)</f>
        <v>70.89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IFERROR(__xludf.DUMMYFUNCTION("""COMPUTED_VALUE"""),70.22)</f>
        <v>70.22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IFERROR(__xludf.DUMMYFUNCTION("""COMPUTED_VALUE"""),74.87)</f>
        <v>74.87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IFERROR(__xludf.DUMMYFUNCTION("""COMPUTED_VALUE"""),74.77)</f>
        <v>74.77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IFERROR(__xludf.DUMMYFUNCTION("""COMPUTED_VALUE"""),76.62)</f>
        <v>76.62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IFERROR(__xludf.DUMMYFUNCTION("""COMPUTED_VALUE"""),74.18)</f>
        <v>74.18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IFERROR(__xludf.DUMMYFUNCTION("""COMPUTED_VALUE"""),72.64)</f>
        <v>72.64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IFERROR(__xludf.DUMMYFUNCTION("""COMPUTED_VALUE"""),74.11)</f>
        <v>74.11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IFERROR(__xludf.DUMMYFUNCTION("""COMPUTED_VALUE"""),73.78)</f>
        <v>73.78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IFERROR(__xludf.DUMMYFUNCTION("""COMPUTED_VALUE"""),79.98)</f>
        <v>79.98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IFERROR(__xludf.DUMMYFUNCTION("""COMPUTED_VALUE"""),73.56)</f>
        <v>73.56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IFERROR(__xludf.DUMMYFUNCTION("""COMPUTED_VALUE"""),74.0)</f>
        <v>74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IFERROR(__xludf.DUMMYFUNCTION("""COMPUTED_VALUE"""),79.87)</f>
        <v>79.87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IFERROR(__xludf.DUMMYFUNCTION("""COMPUTED_VALUE"""),80.0)</f>
        <v>80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IFERROR(__xludf.DUMMYFUNCTION("""COMPUTED_VALUE"""),76.89)</f>
        <v>76.89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IFERROR(__xludf.DUMMYFUNCTION("""COMPUTED_VALUE"""),74.44)</f>
        <v>74.44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IFERROR(__xludf.DUMMYFUNCTION("""COMPUTED_VALUE"""),74.0)</f>
        <v>74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IFERROR(__xludf.DUMMYFUNCTION("""COMPUTED_VALUE"""),67.51)</f>
        <v>67.51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IFERROR(__xludf.DUMMYFUNCTION("""COMPUTED_VALUE"""),57.76)</f>
        <v>57.76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IFERROR(__xludf.DUMMYFUNCTION("""COMPUTED_VALUE"""),61.21)</f>
        <v>61.21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IFERROR(__xludf.DUMMYFUNCTION("""COMPUTED_VALUE"""),58.44)</f>
        <v>58.44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IFERROR(__xludf.DUMMYFUNCTION("""COMPUTED_VALUE"""),53.67)</f>
        <v>53.67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IFERROR(__xludf.DUMMYFUNCTION("""COMPUTED_VALUE"""),51.34)</f>
        <v>51.34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IFERROR(__xludf.DUMMYFUNCTION("""COMPUTED_VALUE"""),48.89)</f>
        <v>48.89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IFERROR(__xludf.DUMMYFUNCTION("""COMPUTED_VALUE"""),51.11)</f>
        <v>51.11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IFERROR(__xludf.DUMMYFUNCTION("""COMPUTED_VALUE"""),51.99)</f>
        <v>51.99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IFERROR(__xludf.DUMMYFUNCTION("""COMPUTED_VALUE"""),50.33)</f>
        <v>50.33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IFERROR(__xludf.DUMMYFUNCTION("""COMPUTED_VALUE"""),65.04)</f>
        <v>65.04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IFERROR(__xludf.DUMMYFUNCTION("""COMPUTED_VALUE"""),64.44)</f>
        <v>64.44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IFERROR(__xludf.DUMMYFUNCTION("""COMPUTED_VALUE"""),63.89)</f>
        <v>63.89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IFERROR(__xludf.DUMMYFUNCTION("""COMPUTED_VALUE"""),69.07)</f>
        <v>69.07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IFERROR(__xludf.DUMMYFUNCTION("""COMPUTED_VALUE"""),70.0)</f>
        <v>70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IFERROR(__xludf.DUMMYFUNCTION("""COMPUTED_VALUE"""),66.73)</f>
        <v>66.73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IFERROR(__xludf.DUMMYFUNCTION("""COMPUTED_VALUE"""),66.4)</f>
        <v>66.4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IFERROR(__xludf.DUMMYFUNCTION("""COMPUTED_VALUE"""),68.64)</f>
        <v>68.64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IFERROR(__xludf.DUMMYFUNCTION("""COMPUTED_VALUE"""),75.01)</f>
        <v>75.01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IFERROR(__xludf.DUMMYFUNCTION("""COMPUTED_VALUE"""),70.71)</f>
        <v>70.71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IFERROR(__xludf.DUMMYFUNCTION("""COMPUTED_VALUE"""),74.99)</f>
        <v>74.99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IFERROR(__xludf.DUMMYFUNCTION("""COMPUTED_VALUE"""),74.01)</f>
        <v>74.01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IFERROR(__xludf.DUMMYFUNCTION("""COMPUTED_VALUE"""),71.67)</f>
        <v>71.67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IFERROR(__xludf.DUMMYFUNCTION("""COMPUTED_VALUE"""),73.0)</f>
        <v>73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IFERROR(__xludf.DUMMYFUNCTION("""COMPUTED_VALUE"""),70.84)</f>
        <v>70.84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IFERROR(__xludf.DUMMYFUNCTION("""COMPUTED_VALUE"""),66.39)</f>
        <v>66.39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IFERROR(__xludf.DUMMYFUNCTION("""COMPUTED_VALUE"""),63.54)</f>
        <v>63.54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IFERROR(__xludf.DUMMYFUNCTION("""COMPUTED_VALUE"""),61.78)</f>
        <v>61.78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IFERROR(__xludf.DUMMYFUNCTION("""COMPUTED_VALUE"""),62.42)</f>
        <v>62.42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IFERROR(__xludf.DUMMYFUNCTION("GOOGLEFINANCE(""NSE:HINDPETRO"", ""high"",DATE(2017,1,1),DATE(2018,1,1),""weekly"")"),"Date")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IFERROR(__xludf.DUMMYFUNCTION("""COMPUTED_VALUE"""),42741.64583333333)</f>
        <v>42741.64583</v>
      </c>
      <c r="C277" s="2">
        <f>IFERROR(__xludf.DUMMYFUNCTION("""COMPUTED_VALUE"""),317.97)</f>
        <v>317.97</v>
      </c>
    </row>
    <row r="278" ht="15.75" customHeight="1">
      <c r="B278" s="3">
        <f>IFERROR(__xludf.DUMMYFUNCTION("""COMPUTED_VALUE"""),42748.64583333333)</f>
        <v>42748.64583</v>
      </c>
      <c r="C278" s="2">
        <f>IFERROR(__xludf.DUMMYFUNCTION("""COMPUTED_VALUE"""),332.73)</f>
        <v>332.73</v>
      </c>
    </row>
    <row r="279" ht="15.75" customHeight="1">
      <c r="B279" s="3">
        <f>IFERROR(__xludf.DUMMYFUNCTION("""COMPUTED_VALUE"""),42755.64583333333)</f>
        <v>42755.64583</v>
      </c>
      <c r="C279" s="2">
        <f>IFERROR(__xludf.DUMMYFUNCTION("""COMPUTED_VALUE"""),332.0)</f>
        <v>332</v>
      </c>
    </row>
    <row r="280" ht="15.75" customHeight="1">
      <c r="B280" s="3">
        <f>IFERROR(__xludf.DUMMYFUNCTION("""COMPUTED_VALUE"""),42762.64583333333)</f>
        <v>42762.64583</v>
      </c>
      <c r="C280" s="2">
        <f>IFERROR(__xludf.DUMMYFUNCTION("""COMPUTED_VALUE"""),367.0)</f>
        <v>367</v>
      </c>
    </row>
    <row r="281" ht="15.75" customHeight="1">
      <c r="B281" s="3">
        <f>IFERROR(__xludf.DUMMYFUNCTION("""COMPUTED_VALUE"""),42769.64583333333)</f>
        <v>42769.64583</v>
      </c>
      <c r="C281" s="2">
        <f>IFERROR(__xludf.DUMMYFUNCTION("""COMPUTED_VALUE"""),370.0)</f>
        <v>370</v>
      </c>
    </row>
    <row r="282" ht="15.75" customHeight="1">
      <c r="B282" s="3">
        <f>IFERROR(__xludf.DUMMYFUNCTION("""COMPUTED_VALUE"""),42776.64583333333)</f>
        <v>42776.64583</v>
      </c>
      <c r="C282" s="2">
        <f>IFERROR(__xludf.DUMMYFUNCTION("""COMPUTED_VALUE"""),388.67)</f>
        <v>388.67</v>
      </c>
    </row>
    <row r="283" ht="15.75" customHeight="1">
      <c r="B283" s="3">
        <f>IFERROR(__xludf.DUMMYFUNCTION("""COMPUTED_VALUE"""),42783.64583333333)</f>
        <v>42783.64583</v>
      </c>
      <c r="C283" s="2">
        <f>IFERROR(__xludf.DUMMYFUNCTION("""COMPUTED_VALUE"""),387.97)</f>
        <v>387.97</v>
      </c>
    </row>
    <row r="284" ht="15.75" customHeight="1">
      <c r="B284" s="3">
        <f>IFERROR(__xludf.DUMMYFUNCTION("""COMPUTED_VALUE"""),42789.64583333333)</f>
        <v>42789.64583</v>
      </c>
      <c r="C284" s="2">
        <f>IFERROR(__xludf.DUMMYFUNCTION("""COMPUTED_VALUE"""),382.33)</f>
        <v>382.33</v>
      </c>
    </row>
    <row r="285" ht="15.75" customHeight="1">
      <c r="B285" s="3">
        <f>IFERROR(__xludf.DUMMYFUNCTION("""COMPUTED_VALUE"""),42797.64583333333)</f>
        <v>42797.64583</v>
      </c>
      <c r="C285" s="2">
        <f>IFERROR(__xludf.DUMMYFUNCTION("""COMPUTED_VALUE"""),383.33)</f>
        <v>383.33</v>
      </c>
    </row>
    <row r="286" ht="15.75" customHeight="1">
      <c r="B286" s="3">
        <f>IFERROR(__xludf.DUMMYFUNCTION("""COMPUTED_VALUE"""),42804.64583333333)</f>
        <v>42804.64583</v>
      </c>
      <c r="C286" s="2">
        <f>IFERROR(__xludf.DUMMYFUNCTION("""COMPUTED_VALUE"""),354.0)</f>
        <v>354</v>
      </c>
    </row>
    <row r="287" ht="15.75" customHeight="1">
      <c r="B287" s="3">
        <f>IFERROR(__xludf.DUMMYFUNCTION("""COMPUTED_VALUE"""),42811.64583333333)</f>
        <v>42811.64583</v>
      </c>
      <c r="C287" s="2">
        <f>IFERROR(__xludf.DUMMYFUNCTION("""COMPUTED_VALUE"""),351.23)</f>
        <v>351.23</v>
      </c>
    </row>
    <row r="288" ht="15.75" customHeight="1">
      <c r="B288" s="3">
        <f>IFERROR(__xludf.DUMMYFUNCTION("""COMPUTED_VALUE"""),42818.64583333333)</f>
        <v>42818.64583</v>
      </c>
      <c r="C288" s="2">
        <f>IFERROR(__xludf.DUMMYFUNCTION("""COMPUTED_VALUE"""),351.23)</f>
        <v>351.23</v>
      </c>
    </row>
    <row r="289" ht="15.75" customHeight="1">
      <c r="B289" s="3">
        <f>IFERROR(__xludf.DUMMYFUNCTION("""COMPUTED_VALUE"""),42825.64583333333)</f>
        <v>42825.64583</v>
      </c>
      <c r="C289" s="2">
        <f>IFERROR(__xludf.DUMMYFUNCTION("""COMPUTED_VALUE"""),352.9)</f>
        <v>352.9</v>
      </c>
    </row>
    <row r="290" ht="15.75" customHeight="1">
      <c r="B290" s="3">
        <f>IFERROR(__xludf.DUMMYFUNCTION("""COMPUTED_VALUE"""),42832.64583333333)</f>
        <v>42832.64583</v>
      </c>
      <c r="C290" s="2">
        <f>IFERROR(__xludf.DUMMYFUNCTION("""COMPUTED_VALUE"""),361.2)</f>
        <v>361.2</v>
      </c>
    </row>
    <row r="291" ht="15.75" customHeight="1">
      <c r="B291" s="3">
        <f>IFERROR(__xludf.DUMMYFUNCTION("""COMPUTED_VALUE"""),42838.64583333333)</f>
        <v>42838.64583</v>
      </c>
      <c r="C291" s="2">
        <f>IFERROR(__xludf.DUMMYFUNCTION("""COMPUTED_VALUE"""),375.97)</f>
        <v>375.97</v>
      </c>
    </row>
    <row r="292" ht="15.75" customHeight="1">
      <c r="B292" s="3">
        <f>IFERROR(__xludf.DUMMYFUNCTION("""COMPUTED_VALUE"""),42846.64583333333)</f>
        <v>42846.64583</v>
      </c>
      <c r="C292" s="2">
        <f>IFERROR(__xludf.DUMMYFUNCTION("""COMPUTED_VALUE"""),377.8)</f>
        <v>377.8</v>
      </c>
    </row>
    <row r="293" ht="15.75" customHeight="1">
      <c r="B293" s="3">
        <f>IFERROR(__xludf.DUMMYFUNCTION("""COMPUTED_VALUE"""),42853.64583333333)</f>
        <v>42853.64583</v>
      </c>
      <c r="C293" s="2">
        <f>IFERROR(__xludf.DUMMYFUNCTION("""COMPUTED_VALUE"""),379.33)</f>
        <v>379.33</v>
      </c>
    </row>
    <row r="294" ht="15.75" customHeight="1">
      <c r="B294" s="3">
        <f>IFERROR(__xludf.DUMMYFUNCTION("""COMPUTED_VALUE"""),42860.64583333333)</f>
        <v>42860.64583</v>
      </c>
      <c r="C294" s="2">
        <f>IFERROR(__xludf.DUMMYFUNCTION("""COMPUTED_VALUE"""),371.83)</f>
        <v>371.83</v>
      </c>
    </row>
    <row r="295" ht="15.75" customHeight="1">
      <c r="B295" s="3">
        <f>IFERROR(__xludf.DUMMYFUNCTION("""COMPUTED_VALUE"""),42867.64583333333)</f>
        <v>42867.64583</v>
      </c>
      <c r="C295" s="2">
        <f>IFERROR(__xludf.DUMMYFUNCTION("""COMPUTED_VALUE"""),359.53)</f>
        <v>359.53</v>
      </c>
    </row>
    <row r="296" ht="15.75" customHeight="1">
      <c r="B296" s="3">
        <f>IFERROR(__xludf.DUMMYFUNCTION("""COMPUTED_VALUE"""),42874.64583333333)</f>
        <v>42874.64583</v>
      </c>
      <c r="C296" s="2">
        <f>IFERROR(__xludf.DUMMYFUNCTION("""COMPUTED_VALUE"""),366.6)</f>
        <v>366.6</v>
      </c>
    </row>
    <row r="297" ht="15.75" customHeight="1">
      <c r="B297" s="3">
        <f>IFERROR(__xludf.DUMMYFUNCTION("""COMPUTED_VALUE"""),42881.64583333333)</f>
        <v>42881.64583</v>
      </c>
      <c r="C297" s="2">
        <f>IFERROR(__xludf.DUMMYFUNCTION("""COMPUTED_VALUE"""),381.93)</f>
        <v>381.93</v>
      </c>
    </row>
    <row r="298" ht="15.75" customHeight="1">
      <c r="B298" s="3">
        <f>IFERROR(__xludf.DUMMYFUNCTION("""COMPUTED_VALUE"""),42888.64583333333)</f>
        <v>42888.64583</v>
      </c>
      <c r="C298" s="2">
        <f>IFERROR(__xludf.DUMMYFUNCTION("""COMPUTED_VALUE"""),383.2)</f>
        <v>383.2</v>
      </c>
    </row>
    <row r="299" ht="15.75" customHeight="1">
      <c r="B299" s="3">
        <f>IFERROR(__xludf.DUMMYFUNCTION("""COMPUTED_VALUE"""),42895.64583333333)</f>
        <v>42895.64583</v>
      </c>
      <c r="C299" s="2">
        <f>IFERROR(__xludf.DUMMYFUNCTION("""COMPUTED_VALUE"""),368.33)</f>
        <v>368.33</v>
      </c>
    </row>
    <row r="300" ht="15.75" customHeight="1">
      <c r="B300" s="3">
        <f>IFERROR(__xludf.DUMMYFUNCTION("""COMPUTED_VALUE"""),42902.64583333333)</f>
        <v>42902.64583</v>
      </c>
      <c r="C300" s="2">
        <f>IFERROR(__xludf.DUMMYFUNCTION("""COMPUTED_VALUE"""),367.53)</f>
        <v>367.53</v>
      </c>
    </row>
    <row r="301" ht="15.75" customHeight="1">
      <c r="B301" s="3">
        <f>IFERROR(__xludf.DUMMYFUNCTION("""COMPUTED_VALUE"""),42909.64583333333)</f>
        <v>42909.64583</v>
      </c>
      <c r="C301" s="2">
        <f>IFERROR(__xludf.DUMMYFUNCTION("""COMPUTED_VALUE"""),357.97)</f>
        <v>357.97</v>
      </c>
    </row>
    <row r="302" ht="15.75" customHeight="1">
      <c r="B302" s="3">
        <f>IFERROR(__xludf.DUMMYFUNCTION("""COMPUTED_VALUE"""),42916.64583333333)</f>
        <v>42916.64583</v>
      </c>
      <c r="C302" s="2">
        <f>IFERROR(__xludf.DUMMYFUNCTION("""COMPUTED_VALUE"""),346.6)</f>
        <v>346.6</v>
      </c>
    </row>
    <row r="303" ht="15.75" customHeight="1">
      <c r="B303" s="3">
        <f>IFERROR(__xludf.DUMMYFUNCTION("""COMPUTED_VALUE"""),42923.64583333333)</f>
        <v>42923.64583</v>
      </c>
      <c r="C303" s="2">
        <f>IFERROR(__xludf.DUMMYFUNCTION("""COMPUTED_VALUE"""),350.0)</f>
        <v>350</v>
      </c>
    </row>
    <row r="304" ht="15.75" customHeight="1">
      <c r="B304" s="3">
        <f>IFERROR(__xludf.DUMMYFUNCTION("""COMPUTED_VALUE"""),42930.64583333333)</f>
        <v>42930.64583</v>
      </c>
      <c r="C304" s="2">
        <f>IFERROR(__xludf.DUMMYFUNCTION("""COMPUTED_VALUE"""),392.0)</f>
        <v>392</v>
      </c>
    </row>
    <row r="305" ht="15.75" customHeight="1">
      <c r="B305" s="3">
        <f>IFERROR(__xludf.DUMMYFUNCTION("""COMPUTED_VALUE"""),42937.64583333333)</f>
        <v>42937.64583</v>
      </c>
      <c r="C305" s="2">
        <f>IFERROR(__xludf.DUMMYFUNCTION("""COMPUTED_VALUE"""),389.5)</f>
        <v>389.5</v>
      </c>
    </row>
    <row r="306" ht="15.75" customHeight="1">
      <c r="B306" s="3">
        <f>IFERROR(__xludf.DUMMYFUNCTION("""COMPUTED_VALUE"""),42944.64583333333)</f>
        <v>42944.64583</v>
      </c>
      <c r="C306" s="2">
        <f>IFERROR(__xludf.DUMMYFUNCTION("""COMPUTED_VALUE"""),378.5)</f>
        <v>378.5</v>
      </c>
    </row>
    <row r="307" ht="15.75" customHeight="1">
      <c r="B307" s="3">
        <f>IFERROR(__xludf.DUMMYFUNCTION("""COMPUTED_VALUE"""),42951.64583333333)</f>
        <v>42951.64583</v>
      </c>
      <c r="C307" s="2">
        <f>IFERROR(__xludf.DUMMYFUNCTION("""COMPUTED_VALUE"""),442.0)</f>
        <v>442</v>
      </c>
    </row>
    <row r="308" ht="15.75" customHeight="1">
      <c r="B308" s="3">
        <f>IFERROR(__xludf.DUMMYFUNCTION("""COMPUTED_VALUE"""),42958.64583333333)</f>
        <v>42958.64583</v>
      </c>
      <c r="C308" s="2">
        <f>IFERROR(__xludf.DUMMYFUNCTION("""COMPUTED_VALUE"""),462.4)</f>
        <v>462.4</v>
      </c>
    </row>
    <row r="309" ht="15.75" customHeight="1">
      <c r="B309" s="3">
        <f>IFERROR(__xludf.DUMMYFUNCTION("""COMPUTED_VALUE"""),42965.64583333333)</f>
        <v>42965.64583</v>
      </c>
      <c r="C309" s="2">
        <f>IFERROR(__xludf.DUMMYFUNCTION("""COMPUTED_VALUE"""),450.8)</f>
        <v>450.8</v>
      </c>
    </row>
    <row r="310" ht="15.75" customHeight="1">
      <c r="B310" s="3">
        <f>IFERROR(__xludf.DUMMYFUNCTION("""COMPUTED_VALUE"""),42971.64583333333)</f>
        <v>42971.64583</v>
      </c>
      <c r="C310" s="2">
        <f>IFERROR(__xludf.DUMMYFUNCTION("""COMPUTED_VALUE"""),470.9)</f>
        <v>470.9</v>
      </c>
    </row>
    <row r="311" ht="15.75" customHeight="1">
      <c r="B311" s="3">
        <f>IFERROR(__xludf.DUMMYFUNCTION("""COMPUTED_VALUE"""),42979.64583333333)</f>
        <v>42979.64583</v>
      </c>
      <c r="C311" s="2">
        <f>IFERROR(__xludf.DUMMYFUNCTION("""COMPUTED_VALUE"""),492.8)</f>
        <v>492.8</v>
      </c>
    </row>
    <row r="312" ht="15.75" customHeight="1">
      <c r="B312" s="3">
        <f>IFERROR(__xludf.DUMMYFUNCTION("""COMPUTED_VALUE"""),42986.64583333333)</f>
        <v>42986.64583</v>
      </c>
      <c r="C312" s="2">
        <f>IFERROR(__xludf.DUMMYFUNCTION("""COMPUTED_VALUE"""),485.15)</f>
        <v>485.15</v>
      </c>
    </row>
    <row r="313" ht="15.75" customHeight="1">
      <c r="B313" s="3">
        <f>IFERROR(__xludf.DUMMYFUNCTION("""COMPUTED_VALUE"""),42993.64583333333)</f>
        <v>42993.64583</v>
      </c>
      <c r="C313" s="2">
        <f>IFERROR(__xludf.DUMMYFUNCTION("""COMPUTED_VALUE"""),485.4)</f>
        <v>485.4</v>
      </c>
    </row>
    <row r="314" ht="15.75" customHeight="1">
      <c r="B314" s="3">
        <f>IFERROR(__xludf.DUMMYFUNCTION("""COMPUTED_VALUE"""),43000.64583333333)</f>
        <v>43000.64583</v>
      </c>
      <c r="C314" s="2">
        <f>IFERROR(__xludf.DUMMYFUNCTION("""COMPUTED_VALUE"""),465.0)</f>
        <v>465</v>
      </c>
    </row>
    <row r="315" ht="15.75" customHeight="1">
      <c r="B315" s="3">
        <f>IFERROR(__xludf.DUMMYFUNCTION("""COMPUTED_VALUE"""),43007.64583333333)</f>
        <v>43007.64583</v>
      </c>
      <c r="C315" s="2">
        <f>IFERROR(__xludf.DUMMYFUNCTION("""COMPUTED_VALUE"""),439.55)</f>
        <v>439.55</v>
      </c>
    </row>
    <row r="316" ht="15.75" customHeight="1">
      <c r="B316" s="3">
        <f>IFERROR(__xludf.DUMMYFUNCTION("""COMPUTED_VALUE"""),43014.64583333333)</f>
        <v>43014.64583</v>
      </c>
      <c r="C316" s="2">
        <f>IFERROR(__xludf.DUMMYFUNCTION("""COMPUTED_VALUE"""),451.35)</f>
        <v>451.35</v>
      </c>
    </row>
    <row r="317" ht="15.75" customHeight="1">
      <c r="B317" s="3">
        <f>IFERROR(__xludf.DUMMYFUNCTION("""COMPUTED_VALUE"""),43021.64583333333)</f>
        <v>43021.64583</v>
      </c>
      <c r="C317" s="2">
        <f>IFERROR(__xludf.DUMMYFUNCTION("""COMPUTED_VALUE"""),462.7)</f>
        <v>462.7</v>
      </c>
    </row>
    <row r="318" ht="15.75" customHeight="1">
      <c r="B318" s="3">
        <f>IFERROR(__xludf.DUMMYFUNCTION("""COMPUTED_VALUE"""),43027.83333333333)</f>
        <v>43027.83333</v>
      </c>
      <c r="C318" s="2">
        <f>IFERROR(__xludf.DUMMYFUNCTION("""COMPUTED_VALUE"""),473.9)</f>
        <v>473.9</v>
      </c>
    </row>
    <row r="319" ht="15.75" customHeight="1">
      <c r="B319" s="3">
        <f>IFERROR(__xludf.DUMMYFUNCTION("""COMPUTED_VALUE"""),43035.64583333333)</f>
        <v>43035.64583</v>
      </c>
      <c r="C319" s="2">
        <f>IFERROR(__xludf.DUMMYFUNCTION("""COMPUTED_VALUE"""),484.35)</f>
        <v>484.35</v>
      </c>
    </row>
    <row r="320" ht="15.75" customHeight="1">
      <c r="B320" s="3">
        <f>IFERROR(__xludf.DUMMYFUNCTION("""COMPUTED_VALUE"""),43042.64583333333)</f>
        <v>43042.64583</v>
      </c>
      <c r="C320" s="2">
        <f>IFERROR(__xludf.DUMMYFUNCTION("""COMPUTED_VALUE"""),466.9)</f>
        <v>466.9</v>
      </c>
    </row>
    <row r="321" ht="15.75" customHeight="1">
      <c r="B321" s="3">
        <f>IFERROR(__xludf.DUMMYFUNCTION("""COMPUTED_VALUE"""),43049.64583333333)</f>
        <v>43049.64583</v>
      </c>
      <c r="C321" s="2">
        <f>IFERROR(__xludf.DUMMYFUNCTION("""COMPUTED_VALUE"""),449.7)</f>
        <v>449.7</v>
      </c>
    </row>
    <row r="322" ht="15.75" customHeight="1">
      <c r="B322" s="3">
        <f>IFERROR(__xludf.DUMMYFUNCTION("""COMPUTED_VALUE"""),43056.64583333333)</f>
        <v>43056.64583</v>
      </c>
      <c r="C322" s="2">
        <f>IFERROR(__xludf.DUMMYFUNCTION("""COMPUTED_VALUE"""),424.4)</f>
        <v>424.4</v>
      </c>
    </row>
    <row r="323" ht="15.75" customHeight="1">
      <c r="B323" s="3">
        <f>IFERROR(__xludf.DUMMYFUNCTION("""COMPUTED_VALUE"""),43063.64583333333)</f>
        <v>43063.64583</v>
      </c>
      <c r="C323" s="2">
        <f>IFERROR(__xludf.DUMMYFUNCTION("""COMPUTED_VALUE"""),434.4)</f>
        <v>434.4</v>
      </c>
    </row>
    <row r="324" ht="15.75" customHeight="1">
      <c r="B324" s="3">
        <f>IFERROR(__xludf.DUMMYFUNCTION("""COMPUTED_VALUE"""),43070.64583333333)</f>
        <v>43070.64583</v>
      </c>
      <c r="C324" s="2">
        <f>IFERROR(__xludf.DUMMYFUNCTION("""COMPUTED_VALUE"""),428.45)</f>
        <v>428.45</v>
      </c>
    </row>
    <row r="325" ht="15.75" customHeight="1">
      <c r="B325" s="3">
        <f>IFERROR(__xludf.DUMMYFUNCTION("""COMPUTED_VALUE"""),43077.64583333333)</f>
        <v>43077.64583</v>
      </c>
      <c r="C325" s="2">
        <f>IFERROR(__xludf.DUMMYFUNCTION("""COMPUTED_VALUE"""),430.0)</f>
        <v>430</v>
      </c>
    </row>
    <row r="326" ht="15.75" customHeight="1">
      <c r="B326" s="3">
        <f>IFERROR(__xludf.DUMMYFUNCTION("""COMPUTED_VALUE"""),43084.64583333333)</f>
        <v>43084.64583</v>
      </c>
      <c r="C326" s="2">
        <f>IFERROR(__xludf.DUMMYFUNCTION("""COMPUTED_VALUE"""),446.65)</f>
        <v>446.65</v>
      </c>
    </row>
    <row r="327" ht="15.75" customHeight="1">
      <c r="B327" s="3">
        <f>IFERROR(__xludf.DUMMYFUNCTION("""COMPUTED_VALUE"""),43091.64583333333)</f>
        <v>43091.64583</v>
      </c>
      <c r="C327" s="2">
        <f>IFERROR(__xludf.DUMMYFUNCTION("""COMPUTED_VALUE"""),445.0)</f>
        <v>445</v>
      </c>
    </row>
    <row r="328" ht="15.75" customHeight="1">
      <c r="B328" s="3">
        <f>IFERROR(__xludf.DUMMYFUNCTION("""COMPUTED_VALUE"""),43098.64583333333)</f>
        <v>43098.64583</v>
      </c>
      <c r="C328" s="2">
        <f>IFERROR(__xludf.DUMMYFUNCTION("""COMPUTED_VALUE"""),432.7)</f>
        <v>432.7</v>
      </c>
    </row>
    <row r="329" ht="15.75" customHeight="1"/>
    <row r="330" ht="15.75" customHeight="1"/>
    <row r="331" ht="15.75" customHeight="1">
      <c r="B331" s="2" t="str">
        <f>IFERROR(__xludf.DUMMYFUNCTION("GOOGLEFINANCE(""NSE:HINDPETRO"", ""high"",DATE(2018,1,1),DATE(2019,1,1),""weekly"")"),"Date")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IFERROR(__xludf.DUMMYFUNCTION("""COMPUTED_VALUE"""),43105.64583333333)</f>
        <v>43105.64583</v>
      </c>
      <c r="C332" s="2">
        <f>IFERROR(__xludf.DUMMYFUNCTION("""COMPUTED_VALUE"""),421.9)</f>
        <v>421.9</v>
      </c>
    </row>
    <row r="333" ht="15.75" customHeight="1">
      <c r="B333" s="3">
        <f>IFERROR(__xludf.DUMMYFUNCTION("""COMPUTED_VALUE"""),43112.64583333333)</f>
        <v>43112.64583</v>
      </c>
      <c r="C333" s="2">
        <f>IFERROR(__xludf.DUMMYFUNCTION("""COMPUTED_VALUE"""),429.0)</f>
        <v>429</v>
      </c>
    </row>
    <row r="334" ht="15.75" customHeight="1">
      <c r="B334" s="3">
        <f>IFERROR(__xludf.DUMMYFUNCTION("""COMPUTED_VALUE"""),43119.64583333333)</f>
        <v>43119.64583</v>
      </c>
      <c r="C334" s="2">
        <f>IFERROR(__xludf.DUMMYFUNCTION("""COMPUTED_VALUE"""),435.0)</f>
        <v>435</v>
      </c>
    </row>
    <row r="335" ht="15.75" customHeight="1">
      <c r="B335" s="3">
        <f>IFERROR(__xludf.DUMMYFUNCTION("""COMPUTED_VALUE"""),43125.64583333333)</f>
        <v>43125.64583</v>
      </c>
      <c r="C335" s="2">
        <f>IFERROR(__xludf.DUMMYFUNCTION("""COMPUTED_VALUE"""),414.65)</f>
        <v>414.65</v>
      </c>
    </row>
    <row r="336" ht="15.75" customHeight="1">
      <c r="B336" s="3">
        <f>IFERROR(__xludf.DUMMYFUNCTION("""COMPUTED_VALUE"""),43133.64583333333)</f>
        <v>43133.64583</v>
      </c>
      <c r="C336" s="2">
        <f>IFERROR(__xludf.DUMMYFUNCTION("""COMPUTED_VALUE"""),409.8)</f>
        <v>409.8</v>
      </c>
    </row>
    <row r="337" ht="15.75" customHeight="1">
      <c r="B337" s="3">
        <f>IFERROR(__xludf.DUMMYFUNCTION("""COMPUTED_VALUE"""),43140.64583333333)</f>
        <v>43140.64583</v>
      </c>
      <c r="C337" s="2">
        <f>IFERROR(__xludf.DUMMYFUNCTION("""COMPUTED_VALUE"""),409.3)</f>
        <v>409.3</v>
      </c>
    </row>
    <row r="338" ht="15.75" customHeight="1">
      <c r="B338" s="3">
        <f>IFERROR(__xludf.DUMMYFUNCTION("""COMPUTED_VALUE"""),43147.64583333333)</f>
        <v>43147.64583</v>
      </c>
      <c r="C338" s="2">
        <f>IFERROR(__xludf.DUMMYFUNCTION("""COMPUTED_VALUE"""),398.7)</f>
        <v>398.7</v>
      </c>
    </row>
    <row r="339" ht="15.75" customHeight="1">
      <c r="B339" s="3">
        <f>IFERROR(__xludf.DUMMYFUNCTION("""COMPUTED_VALUE"""),43154.64583333333)</f>
        <v>43154.64583</v>
      </c>
      <c r="C339" s="2">
        <f>IFERROR(__xludf.DUMMYFUNCTION("""COMPUTED_VALUE"""),388.6)</f>
        <v>388.6</v>
      </c>
    </row>
    <row r="340" ht="15.75" customHeight="1">
      <c r="B340" s="3">
        <f>IFERROR(__xludf.DUMMYFUNCTION("""COMPUTED_VALUE"""),43160.64583333333)</f>
        <v>43160.64583</v>
      </c>
      <c r="C340" s="2">
        <f>IFERROR(__xludf.DUMMYFUNCTION("""COMPUTED_VALUE"""),395.35)</f>
        <v>395.35</v>
      </c>
    </row>
    <row r="341" ht="15.75" customHeight="1">
      <c r="B341" s="3">
        <f>IFERROR(__xludf.DUMMYFUNCTION("""COMPUTED_VALUE"""),43168.64583333333)</f>
        <v>43168.64583</v>
      </c>
      <c r="C341" s="2">
        <f>IFERROR(__xludf.DUMMYFUNCTION("""COMPUTED_VALUE"""),377.75)</f>
        <v>377.75</v>
      </c>
    </row>
    <row r="342" ht="15.75" customHeight="1">
      <c r="B342" s="3">
        <f>IFERROR(__xludf.DUMMYFUNCTION("""COMPUTED_VALUE"""),43175.64583333333)</f>
        <v>43175.64583</v>
      </c>
      <c r="C342" s="2">
        <f>IFERROR(__xludf.DUMMYFUNCTION("""COMPUTED_VALUE"""),385.5)</f>
        <v>385.5</v>
      </c>
    </row>
    <row r="343" ht="15.75" customHeight="1">
      <c r="B343" s="3">
        <f>IFERROR(__xludf.DUMMYFUNCTION("""COMPUTED_VALUE"""),43182.64583333333)</f>
        <v>43182.64583</v>
      </c>
      <c r="C343" s="2">
        <f>IFERROR(__xludf.DUMMYFUNCTION("""COMPUTED_VALUE"""),366.85)</f>
        <v>366.85</v>
      </c>
    </row>
    <row r="344" ht="15.75" customHeight="1">
      <c r="B344" s="3">
        <f>IFERROR(__xludf.DUMMYFUNCTION("""COMPUTED_VALUE"""),43187.64583333333)</f>
        <v>43187.64583</v>
      </c>
      <c r="C344" s="2">
        <f>IFERROR(__xludf.DUMMYFUNCTION("""COMPUTED_VALUE"""),348.8)</f>
        <v>348.8</v>
      </c>
    </row>
    <row r="345" ht="15.75" customHeight="1">
      <c r="B345" s="3">
        <f>IFERROR(__xludf.DUMMYFUNCTION("""COMPUTED_VALUE"""),43196.64583333333)</f>
        <v>43196.64583</v>
      </c>
      <c r="C345" s="2">
        <f>IFERROR(__xludf.DUMMYFUNCTION("""COMPUTED_VALUE"""),357.0)</f>
        <v>357</v>
      </c>
    </row>
    <row r="346" ht="15.75" customHeight="1">
      <c r="B346" s="3">
        <f>IFERROR(__xludf.DUMMYFUNCTION("""COMPUTED_VALUE"""),43203.64583333333)</f>
        <v>43203.64583</v>
      </c>
      <c r="C346" s="2">
        <f>IFERROR(__xludf.DUMMYFUNCTION("""COMPUTED_VALUE"""),370.0)</f>
        <v>370</v>
      </c>
    </row>
    <row r="347" ht="15.75" customHeight="1">
      <c r="B347" s="3">
        <f>IFERROR(__xludf.DUMMYFUNCTION("""COMPUTED_VALUE"""),43210.64583333333)</f>
        <v>43210.64583</v>
      </c>
      <c r="C347" s="2">
        <f>IFERROR(__xludf.DUMMYFUNCTION("""COMPUTED_VALUE"""),336.5)</f>
        <v>336.5</v>
      </c>
    </row>
    <row r="348" ht="15.75" customHeight="1">
      <c r="B348" s="3">
        <f>IFERROR(__xludf.DUMMYFUNCTION("""COMPUTED_VALUE"""),43217.64583333333)</f>
        <v>43217.64583</v>
      </c>
      <c r="C348" s="2">
        <f>IFERROR(__xludf.DUMMYFUNCTION("""COMPUTED_VALUE"""),311.5)</f>
        <v>311.5</v>
      </c>
    </row>
    <row r="349" ht="15.75" customHeight="1">
      <c r="B349" s="3">
        <f>IFERROR(__xludf.DUMMYFUNCTION("""COMPUTED_VALUE"""),43224.64583333333)</f>
        <v>43224.64583</v>
      </c>
      <c r="C349" s="2">
        <f>IFERROR(__xludf.DUMMYFUNCTION("""COMPUTED_VALUE"""),308.85)</f>
        <v>308.85</v>
      </c>
    </row>
    <row r="350" ht="15.75" customHeight="1">
      <c r="B350" s="3">
        <f>IFERROR(__xludf.DUMMYFUNCTION("""COMPUTED_VALUE"""),43231.64583333333)</f>
        <v>43231.64583</v>
      </c>
      <c r="C350" s="2">
        <f>IFERROR(__xludf.DUMMYFUNCTION("""COMPUTED_VALUE"""),321.5)</f>
        <v>321.5</v>
      </c>
    </row>
    <row r="351" ht="15.75" customHeight="1">
      <c r="B351" s="3">
        <f>IFERROR(__xludf.DUMMYFUNCTION("""COMPUTED_VALUE"""),43238.64583333333)</f>
        <v>43238.64583</v>
      </c>
      <c r="C351" s="2">
        <f>IFERROR(__xludf.DUMMYFUNCTION("""COMPUTED_VALUE"""),330.15)</f>
        <v>330.15</v>
      </c>
    </row>
    <row r="352" ht="15.75" customHeight="1">
      <c r="B352" s="3">
        <f>IFERROR(__xludf.DUMMYFUNCTION("""COMPUTED_VALUE"""),43245.64583333333)</f>
        <v>43245.64583</v>
      </c>
      <c r="C352" s="2">
        <f>IFERROR(__xludf.DUMMYFUNCTION("""COMPUTED_VALUE"""),317.0)</f>
        <v>317</v>
      </c>
    </row>
    <row r="353" ht="15.75" customHeight="1">
      <c r="B353" s="3">
        <f>IFERROR(__xludf.DUMMYFUNCTION("""COMPUTED_VALUE"""),43252.64583333333)</f>
        <v>43252.64583</v>
      </c>
      <c r="C353" s="2">
        <f>IFERROR(__xludf.DUMMYFUNCTION("""COMPUTED_VALUE"""),319.85)</f>
        <v>319.85</v>
      </c>
    </row>
    <row r="354" ht="15.75" customHeight="1">
      <c r="B354" s="3">
        <f>IFERROR(__xludf.DUMMYFUNCTION("""COMPUTED_VALUE"""),43259.64583333333)</f>
        <v>43259.64583</v>
      </c>
      <c r="C354" s="2">
        <f>IFERROR(__xludf.DUMMYFUNCTION("""COMPUTED_VALUE"""),319.0)</f>
        <v>319</v>
      </c>
    </row>
    <row r="355" ht="15.75" customHeight="1">
      <c r="B355" s="3">
        <f>IFERROR(__xludf.DUMMYFUNCTION("""COMPUTED_VALUE"""),43266.64583333333)</f>
        <v>43266.64583</v>
      </c>
      <c r="C355" s="2">
        <f>IFERROR(__xludf.DUMMYFUNCTION("""COMPUTED_VALUE"""),319.5)</f>
        <v>319.5</v>
      </c>
    </row>
    <row r="356" ht="15.75" customHeight="1">
      <c r="B356" s="3">
        <f>IFERROR(__xludf.DUMMYFUNCTION("""COMPUTED_VALUE"""),43273.64583333333)</f>
        <v>43273.64583</v>
      </c>
      <c r="C356" s="2">
        <f>IFERROR(__xludf.DUMMYFUNCTION("""COMPUTED_VALUE"""),325.35)</f>
        <v>325.35</v>
      </c>
    </row>
    <row r="357" ht="15.75" customHeight="1">
      <c r="B357" s="3">
        <f>IFERROR(__xludf.DUMMYFUNCTION("""COMPUTED_VALUE"""),43280.64583333333)</f>
        <v>43280.64583</v>
      </c>
      <c r="C357" s="2">
        <f>IFERROR(__xludf.DUMMYFUNCTION("""COMPUTED_VALUE"""),312.75)</f>
        <v>312.75</v>
      </c>
    </row>
    <row r="358" ht="15.75" customHeight="1">
      <c r="B358" s="3">
        <f>IFERROR(__xludf.DUMMYFUNCTION("""COMPUTED_VALUE"""),43287.64583333333)</f>
        <v>43287.64583</v>
      </c>
      <c r="C358" s="2">
        <f>IFERROR(__xludf.DUMMYFUNCTION("""COMPUTED_VALUE"""),271.85)</f>
        <v>271.85</v>
      </c>
    </row>
    <row r="359" ht="15.75" customHeight="1">
      <c r="B359" s="3">
        <f>IFERROR(__xludf.DUMMYFUNCTION("""COMPUTED_VALUE"""),43294.64583333333)</f>
        <v>43294.64583</v>
      </c>
      <c r="C359" s="2">
        <f>IFERROR(__xludf.DUMMYFUNCTION("""COMPUTED_VALUE"""),282.0)</f>
        <v>282</v>
      </c>
    </row>
    <row r="360" ht="15.75" customHeight="1">
      <c r="B360" s="3">
        <f>IFERROR(__xludf.DUMMYFUNCTION("""COMPUTED_VALUE"""),43301.64583333333)</f>
        <v>43301.64583</v>
      </c>
      <c r="C360" s="2">
        <f>IFERROR(__xludf.DUMMYFUNCTION("""COMPUTED_VALUE"""),287.85)</f>
        <v>287.85</v>
      </c>
    </row>
    <row r="361" ht="15.75" customHeight="1">
      <c r="B361" s="3">
        <f>IFERROR(__xludf.DUMMYFUNCTION("""COMPUTED_VALUE"""),43308.64583333333)</f>
        <v>43308.64583</v>
      </c>
      <c r="C361" s="2">
        <f>IFERROR(__xludf.DUMMYFUNCTION("""COMPUTED_VALUE"""),287.55)</f>
        <v>287.55</v>
      </c>
    </row>
    <row r="362" ht="15.75" customHeight="1">
      <c r="B362" s="3">
        <f>IFERROR(__xludf.DUMMYFUNCTION("""COMPUTED_VALUE"""),43315.64583333333)</f>
        <v>43315.64583</v>
      </c>
      <c r="C362" s="2">
        <f>IFERROR(__xludf.DUMMYFUNCTION("""COMPUTED_VALUE"""),296.5)</f>
        <v>296.5</v>
      </c>
    </row>
    <row r="363" ht="15.75" customHeight="1">
      <c r="B363" s="3">
        <f>IFERROR(__xludf.DUMMYFUNCTION("""COMPUTED_VALUE"""),43322.64583333333)</f>
        <v>43322.64583</v>
      </c>
      <c r="C363" s="2">
        <f>IFERROR(__xludf.DUMMYFUNCTION("""COMPUTED_VALUE"""),296.2)</f>
        <v>296.2</v>
      </c>
    </row>
    <row r="364" ht="15.75" customHeight="1">
      <c r="B364" s="3">
        <f>IFERROR(__xludf.DUMMYFUNCTION("""COMPUTED_VALUE"""),43329.64583333333)</f>
        <v>43329.64583</v>
      </c>
      <c r="C364" s="2">
        <f>IFERROR(__xludf.DUMMYFUNCTION("""COMPUTED_VALUE"""),284.95)</f>
        <v>284.95</v>
      </c>
    </row>
    <row r="365" ht="15.75" customHeight="1">
      <c r="B365" s="3">
        <f>IFERROR(__xludf.DUMMYFUNCTION("""COMPUTED_VALUE"""),43336.64583333333)</f>
        <v>43336.64583</v>
      </c>
      <c r="C365" s="2">
        <f>IFERROR(__xludf.DUMMYFUNCTION("""COMPUTED_VALUE"""),273.8)</f>
        <v>273.8</v>
      </c>
    </row>
    <row r="366" ht="15.75" customHeight="1">
      <c r="B366" s="3">
        <f>IFERROR(__xludf.DUMMYFUNCTION("""COMPUTED_VALUE"""),43343.64583333333)</f>
        <v>43343.64583</v>
      </c>
      <c r="C366" s="2">
        <f>IFERROR(__xludf.DUMMYFUNCTION("""COMPUTED_VALUE"""),264.2)</f>
        <v>264.2</v>
      </c>
    </row>
    <row r="367" ht="15.75" customHeight="1">
      <c r="B367" s="3">
        <f>IFERROR(__xludf.DUMMYFUNCTION("""COMPUTED_VALUE"""),43350.64583333333)</f>
        <v>43350.64583</v>
      </c>
      <c r="C367" s="2">
        <f>IFERROR(__xludf.DUMMYFUNCTION("""COMPUTED_VALUE"""),260.75)</f>
        <v>260.75</v>
      </c>
    </row>
    <row r="368" ht="15.75" customHeight="1">
      <c r="B368" s="3">
        <f>IFERROR(__xludf.DUMMYFUNCTION("""COMPUTED_VALUE"""),43357.64583333333)</f>
        <v>43357.64583</v>
      </c>
      <c r="C368" s="2">
        <f>IFERROR(__xludf.DUMMYFUNCTION("""COMPUTED_VALUE"""),254.4)</f>
        <v>254.4</v>
      </c>
    </row>
    <row r="369" ht="15.75" customHeight="1">
      <c r="B369" s="3">
        <f>IFERROR(__xludf.DUMMYFUNCTION("""COMPUTED_VALUE"""),43364.64583333333)</f>
        <v>43364.64583</v>
      </c>
      <c r="C369" s="2">
        <f>IFERROR(__xludf.DUMMYFUNCTION("""COMPUTED_VALUE"""),261.65)</f>
        <v>261.65</v>
      </c>
    </row>
    <row r="370" ht="15.75" customHeight="1">
      <c r="B370" s="3">
        <f>IFERROR(__xludf.DUMMYFUNCTION("""COMPUTED_VALUE"""),43371.64583333333)</f>
        <v>43371.64583</v>
      </c>
      <c r="C370" s="2">
        <f>IFERROR(__xludf.DUMMYFUNCTION("""COMPUTED_VALUE"""),264.35)</f>
        <v>264.35</v>
      </c>
    </row>
    <row r="371" ht="15.75" customHeight="1">
      <c r="B371" s="3">
        <f>IFERROR(__xludf.DUMMYFUNCTION("""COMPUTED_VALUE"""),43378.64583333333)</f>
        <v>43378.64583</v>
      </c>
      <c r="C371" s="2">
        <f>IFERROR(__xludf.DUMMYFUNCTION("""COMPUTED_VALUE"""),256.95)</f>
        <v>256.95</v>
      </c>
    </row>
    <row r="372" ht="15.75" customHeight="1">
      <c r="B372" s="3">
        <f>IFERROR(__xludf.DUMMYFUNCTION("""COMPUTED_VALUE"""),43385.64583333333)</f>
        <v>43385.64583</v>
      </c>
      <c r="C372" s="2">
        <f>IFERROR(__xludf.DUMMYFUNCTION("""COMPUTED_VALUE"""),222.0)</f>
        <v>222</v>
      </c>
    </row>
    <row r="373" ht="15.75" customHeight="1">
      <c r="B373" s="3">
        <f>IFERROR(__xludf.DUMMYFUNCTION("""COMPUTED_VALUE"""),43392.64583333333)</f>
        <v>43392.64583</v>
      </c>
      <c r="C373" s="2">
        <f>IFERROR(__xludf.DUMMYFUNCTION("""COMPUTED_VALUE"""),218.8)</f>
        <v>218.8</v>
      </c>
    </row>
    <row r="374" ht="15.75" customHeight="1">
      <c r="B374" s="3">
        <f>IFERROR(__xludf.DUMMYFUNCTION("""COMPUTED_VALUE"""),43399.64583333333)</f>
        <v>43399.64583</v>
      </c>
      <c r="C374" s="2">
        <f>IFERROR(__xludf.DUMMYFUNCTION("""COMPUTED_VALUE"""),237.4)</f>
        <v>237.4</v>
      </c>
    </row>
    <row r="375" ht="15.75" customHeight="1">
      <c r="B375" s="3">
        <f>IFERROR(__xludf.DUMMYFUNCTION("""COMPUTED_VALUE"""),43406.64583333333)</f>
        <v>43406.64583</v>
      </c>
      <c r="C375" s="2">
        <f>IFERROR(__xludf.DUMMYFUNCTION("""COMPUTED_VALUE"""),244.9)</f>
        <v>244.9</v>
      </c>
    </row>
    <row r="376" ht="15.75" customHeight="1">
      <c r="B376" s="3">
        <f>IFERROR(__xludf.DUMMYFUNCTION("""COMPUTED_VALUE"""),43413.64583333333)</f>
        <v>43413.64583</v>
      </c>
      <c r="C376" s="2">
        <f>IFERROR(__xludf.DUMMYFUNCTION("""COMPUTED_VALUE"""),242.0)</f>
        <v>242</v>
      </c>
    </row>
    <row r="377" ht="15.75" customHeight="1">
      <c r="B377" s="3">
        <f>IFERROR(__xludf.DUMMYFUNCTION("""COMPUTED_VALUE"""),43420.64583333333)</f>
        <v>43420.64583</v>
      </c>
      <c r="C377" s="2">
        <f>IFERROR(__xludf.DUMMYFUNCTION("""COMPUTED_VALUE"""),261.65)</f>
        <v>261.65</v>
      </c>
    </row>
    <row r="378" ht="15.75" customHeight="1">
      <c r="B378" s="3">
        <f>IFERROR(__xludf.DUMMYFUNCTION("""COMPUTED_VALUE"""),43426.64583333333)</f>
        <v>43426.64583</v>
      </c>
      <c r="C378" s="2">
        <f>IFERROR(__xludf.DUMMYFUNCTION("""COMPUTED_VALUE"""),261.8)</f>
        <v>261.8</v>
      </c>
    </row>
    <row r="379" ht="15.75" customHeight="1">
      <c r="B379" s="3">
        <f>IFERROR(__xludf.DUMMYFUNCTION("""COMPUTED_VALUE"""),43434.64583333333)</f>
        <v>43434.64583</v>
      </c>
      <c r="C379" s="2">
        <f>IFERROR(__xludf.DUMMYFUNCTION("""COMPUTED_VALUE"""),253.65)</f>
        <v>253.65</v>
      </c>
    </row>
    <row r="380" ht="15.75" customHeight="1">
      <c r="B380" s="3">
        <f>IFERROR(__xludf.DUMMYFUNCTION("""COMPUTED_VALUE"""),43441.64583333333)</f>
        <v>43441.64583</v>
      </c>
      <c r="C380" s="2">
        <f>IFERROR(__xludf.DUMMYFUNCTION("""COMPUTED_VALUE"""),232.0)</f>
        <v>232</v>
      </c>
    </row>
    <row r="381" ht="15.75" customHeight="1">
      <c r="B381" s="3">
        <f>IFERROR(__xludf.DUMMYFUNCTION("""COMPUTED_VALUE"""),43448.64583333333)</f>
        <v>43448.64583</v>
      </c>
      <c r="C381" s="2">
        <f>IFERROR(__xludf.DUMMYFUNCTION("""COMPUTED_VALUE"""),229.5)</f>
        <v>229.5</v>
      </c>
    </row>
    <row r="382" ht="15.75" customHeight="1">
      <c r="B382" s="3">
        <f>IFERROR(__xludf.DUMMYFUNCTION("""COMPUTED_VALUE"""),43455.64583333333)</f>
        <v>43455.64583</v>
      </c>
      <c r="C382" s="2">
        <f>IFERROR(__xludf.DUMMYFUNCTION("""COMPUTED_VALUE"""),252.05)</f>
        <v>252.05</v>
      </c>
    </row>
    <row r="383" ht="15.75" customHeight="1">
      <c r="B383" s="3">
        <f>IFERROR(__xludf.DUMMYFUNCTION("""COMPUTED_VALUE"""),43462.64583333333)</f>
        <v>43462.64583</v>
      </c>
      <c r="C383" s="2">
        <f>IFERROR(__xludf.DUMMYFUNCTION("""COMPUTED_VALUE"""),257.0)</f>
        <v>257</v>
      </c>
    </row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IFERROR(__xludf.DUMMYFUNCTION("GOOGLEFINANCE(""NSE:MTNL"",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IFERROR(__xludf.DUMMYFUNCTION("""COMPUTED_VALUE"""),130.0)</f>
        <v>130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IFERROR(__xludf.DUMMYFUNCTION("""COMPUTED_VALUE"""),131.5)</f>
        <v>131.5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IFERROR(__xludf.DUMMYFUNCTION("""COMPUTED_VALUE"""),130.0)</f>
        <v>130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IFERROR(__xludf.DUMMYFUNCTION("""COMPUTED_VALUE"""),125.5)</f>
        <v>125.5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IFERROR(__xludf.DUMMYFUNCTION("""COMPUTED_VALUE"""),123.8)</f>
        <v>123.8</v>
      </c>
    </row>
    <row r="7">
      <c r="B7" s="3">
        <f>IFERROR(__xludf.DUMMYFUNCTION("""COMPUTED_VALUE"""),37295.645833333336)</f>
        <v>37295.64583</v>
      </c>
      <c r="C7" s="2">
        <f>IFERROR(__xludf.DUMMYFUNCTION("""COMPUTED_VALUE"""),156.6)</f>
        <v>156.6</v>
      </c>
    </row>
    <row r="8">
      <c r="B8" s="3">
        <f>IFERROR(__xludf.DUMMYFUNCTION("""COMPUTED_VALUE"""),37302.645833333336)</f>
        <v>37302.64583</v>
      </c>
      <c r="C8" s="2">
        <f>IFERROR(__xludf.DUMMYFUNCTION("""COMPUTED_VALUE"""),176.9)</f>
        <v>176.9</v>
      </c>
    </row>
    <row r="9">
      <c r="B9" s="3">
        <f>IFERROR(__xludf.DUMMYFUNCTION("""COMPUTED_VALUE"""),37309.645833333336)</f>
        <v>37309.64583</v>
      </c>
      <c r="C9" s="2">
        <f>IFERROR(__xludf.DUMMYFUNCTION("""COMPUTED_VALUE"""),177.7)</f>
        <v>177.7</v>
      </c>
    </row>
    <row r="10">
      <c r="B10" s="3">
        <f>IFERROR(__xludf.DUMMYFUNCTION("""COMPUTED_VALUE"""),37316.645833333336)</f>
        <v>37316.64583</v>
      </c>
      <c r="C10" s="2">
        <f>IFERROR(__xludf.DUMMYFUNCTION("""COMPUTED_VALUE"""),173.45)</f>
        <v>173.45</v>
      </c>
    </row>
    <row r="11">
      <c r="B11" s="3">
        <f>IFERROR(__xludf.DUMMYFUNCTION("""COMPUTED_VALUE"""),37323.645833333336)</f>
        <v>37323.64583</v>
      </c>
      <c r="C11" s="2">
        <f>IFERROR(__xludf.DUMMYFUNCTION("""COMPUTED_VALUE"""),159.2)</f>
        <v>159.2</v>
      </c>
    </row>
    <row r="12">
      <c r="B12" s="3">
        <f>IFERROR(__xludf.DUMMYFUNCTION("""COMPUTED_VALUE"""),37330.645833333336)</f>
        <v>37330.64583</v>
      </c>
      <c r="C12" s="2">
        <f>IFERROR(__xludf.DUMMYFUNCTION("""COMPUTED_VALUE"""),159.35)</f>
        <v>159.35</v>
      </c>
    </row>
    <row r="13">
      <c r="B13" s="3">
        <f>IFERROR(__xludf.DUMMYFUNCTION("""COMPUTED_VALUE"""),37337.645833333336)</f>
        <v>37337.64583</v>
      </c>
      <c r="C13" s="2">
        <f>IFERROR(__xludf.DUMMYFUNCTION("""COMPUTED_VALUE"""),158.9)</f>
        <v>158.9</v>
      </c>
    </row>
    <row r="14">
      <c r="B14" s="3">
        <f>IFERROR(__xludf.DUMMYFUNCTION("""COMPUTED_VALUE"""),37343.645833333336)</f>
        <v>37343.64583</v>
      </c>
      <c r="C14" s="2">
        <f>IFERROR(__xludf.DUMMYFUNCTION("""COMPUTED_VALUE"""),150.7)</f>
        <v>150.7</v>
      </c>
    </row>
    <row r="15">
      <c r="B15" s="3">
        <f>IFERROR(__xludf.DUMMYFUNCTION("""COMPUTED_VALUE"""),37351.645833333336)</f>
        <v>37351.64583</v>
      </c>
      <c r="C15" s="2">
        <f>IFERROR(__xludf.DUMMYFUNCTION("""COMPUTED_VALUE"""),164.65)</f>
        <v>164.65</v>
      </c>
    </row>
    <row r="16">
      <c r="B16" s="3">
        <f>IFERROR(__xludf.DUMMYFUNCTION("""COMPUTED_VALUE"""),37358.645833333336)</f>
        <v>37358.64583</v>
      </c>
      <c r="C16" s="2">
        <f>IFERROR(__xludf.DUMMYFUNCTION("""COMPUTED_VALUE"""),157.2)</f>
        <v>157.2</v>
      </c>
    </row>
    <row r="17">
      <c r="B17" s="3">
        <f>IFERROR(__xludf.DUMMYFUNCTION("""COMPUTED_VALUE"""),37365.645833333336)</f>
        <v>37365.64583</v>
      </c>
      <c r="C17" s="2">
        <f>IFERROR(__xludf.DUMMYFUNCTION("""COMPUTED_VALUE"""),148.0)</f>
        <v>148</v>
      </c>
    </row>
    <row r="18">
      <c r="B18" s="3">
        <f>IFERROR(__xludf.DUMMYFUNCTION("""COMPUTED_VALUE"""),37372.645833333336)</f>
        <v>37372.64583</v>
      </c>
      <c r="C18" s="2">
        <f>IFERROR(__xludf.DUMMYFUNCTION("""COMPUTED_VALUE"""),139.6)</f>
        <v>139.6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IFERROR(__xludf.DUMMYFUNCTION("""COMPUTED_VALUE"""),148.75)</f>
        <v>148.75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IFERROR(__xludf.DUMMYFUNCTION("""COMPUTED_VALUE"""),151.2)</f>
        <v>151.2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IFERROR(__xludf.DUMMYFUNCTION("""COMPUTED_VALUE"""),152.35)</f>
        <v>152.35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IFERROR(__xludf.DUMMYFUNCTION("""COMPUTED_VALUE"""),141.9)</f>
        <v>141.9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IFERROR(__xludf.DUMMYFUNCTION("""COMPUTED_VALUE"""),135.5)</f>
        <v>135.5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IFERROR(__xludf.DUMMYFUNCTION("""COMPUTED_VALUE"""),137.5)</f>
        <v>137.5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IFERROR(__xludf.DUMMYFUNCTION("""COMPUTED_VALUE"""),145.3)</f>
        <v>145.3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IFERROR(__xludf.DUMMYFUNCTION("""COMPUTED_VALUE"""),156.8)</f>
        <v>156.8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IFERROR(__xludf.DUMMYFUNCTION("""COMPUTED_VALUE"""),151.0)</f>
        <v>151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IFERROR(__xludf.DUMMYFUNCTION("""COMPUTED_VALUE"""),153.95)</f>
        <v>153.95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IFERROR(__xludf.DUMMYFUNCTION("""COMPUTED_VALUE"""),152.3)</f>
        <v>152.3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IFERROR(__xludf.DUMMYFUNCTION("""COMPUTED_VALUE"""),152.7)</f>
        <v>152.7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IFERROR(__xludf.DUMMYFUNCTION("""COMPUTED_VALUE"""),153.6)</f>
        <v>153.6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IFERROR(__xludf.DUMMYFUNCTION("""COMPUTED_VALUE"""),143.0)</f>
        <v>143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IFERROR(__xludf.DUMMYFUNCTION("""COMPUTED_VALUE"""),133.8)</f>
        <v>133.8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IFERROR(__xludf.DUMMYFUNCTION("""COMPUTED_VALUE"""),137.0)</f>
        <v>137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IFERROR(__xludf.DUMMYFUNCTION("""COMPUTED_VALUE"""),133.0)</f>
        <v>133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IFERROR(__xludf.DUMMYFUNCTION("""COMPUTED_VALUE"""),132.25)</f>
        <v>132.25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IFERROR(__xludf.DUMMYFUNCTION("""COMPUTED_VALUE"""),133.25)</f>
        <v>133.25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IFERROR(__xludf.DUMMYFUNCTION("""COMPUTED_VALUE"""),116.8)</f>
        <v>116.8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IFERROR(__xludf.DUMMYFUNCTION("""COMPUTED_VALUE"""),116.0)</f>
        <v>116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IFERROR(__xludf.DUMMYFUNCTION("""COMPUTED_VALUE"""),113.0)</f>
        <v>113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IFERROR(__xludf.DUMMYFUNCTION("""COMPUTED_VALUE"""),111.6)</f>
        <v>111.6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IFERROR(__xludf.DUMMYFUNCTION("""COMPUTED_VALUE"""),115.5)</f>
        <v>115.5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IFERROR(__xludf.DUMMYFUNCTION("""COMPUTED_VALUE"""),114.0)</f>
        <v>114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IFERROR(__xludf.DUMMYFUNCTION("""COMPUTED_VALUE"""),104.45)</f>
        <v>104.45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IFERROR(__xludf.DUMMYFUNCTION("""COMPUTED_VALUE"""),98.65)</f>
        <v>98.65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IFERROR(__xludf.DUMMYFUNCTION("""COMPUTED_VALUE"""),99.0)</f>
        <v>99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IFERROR(__xludf.DUMMYFUNCTION("""COMPUTED_VALUE"""),97.75)</f>
        <v>97.75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IFERROR(__xludf.DUMMYFUNCTION("""COMPUTED_VALUE"""),104.4)</f>
        <v>104.4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IFERROR(__xludf.DUMMYFUNCTION("""COMPUTED_VALUE"""),107.4)</f>
        <v>107.4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IFERROR(__xludf.DUMMYFUNCTION("""COMPUTED_VALUE"""),113.0)</f>
        <v>113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IFERROR(__xludf.DUMMYFUNCTION("""COMPUTED_VALUE"""),113.0)</f>
        <v>113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IFERROR(__xludf.DUMMYFUNCTION("""COMPUTED_VALUE"""),107.0)</f>
        <v>107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IFERROR(__xludf.DUMMYFUNCTION("""COMPUTED_VALUE"""),106.0)</f>
        <v>106</v>
      </c>
    </row>
    <row r="54" ht="15.75" customHeight="1"/>
    <row r="55" ht="15.75" customHeight="1"/>
    <row r="56" ht="15.75" customHeight="1">
      <c r="B56" s="2" t="str">
        <f>IFERROR(__xludf.DUMMYFUNCTION("GOOGLEFINANCE(""NSE:MTNL"",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IFERROR(__xludf.DUMMYFUNCTION("""COMPUTED_VALUE"""),98.45)</f>
        <v>98.45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IFERROR(__xludf.DUMMYFUNCTION("""COMPUTED_VALUE"""),91.1)</f>
        <v>91.1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IFERROR(__xludf.DUMMYFUNCTION("""COMPUTED_VALUE"""),92.3)</f>
        <v>92.3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IFERROR(__xludf.DUMMYFUNCTION("""COMPUTED_VALUE"""),91.0)</f>
        <v>91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IFERROR(__xludf.DUMMYFUNCTION("""COMPUTED_VALUE"""),119.2)</f>
        <v>119.2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IFERROR(__xludf.DUMMYFUNCTION("""COMPUTED_VALUE"""),115.5)</f>
        <v>115.5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IFERROR(__xludf.DUMMYFUNCTION("""COMPUTED_VALUE"""),110.8)</f>
        <v>110.8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IFERROR(__xludf.DUMMYFUNCTION("""COMPUTED_VALUE"""),112.55)</f>
        <v>112.55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IFERROR(__xludf.DUMMYFUNCTION("""COMPUTED_VALUE"""),109.0)</f>
        <v>109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IFERROR(__xludf.DUMMYFUNCTION("""COMPUTED_VALUE"""),102.5)</f>
        <v>102.5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IFERROR(__xludf.DUMMYFUNCTION("""COMPUTED_VALUE"""),99.0)</f>
        <v>99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IFERROR(__xludf.DUMMYFUNCTION("""COMPUTED_VALUE"""),98.7)</f>
        <v>98.7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IFERROR(__xludf.DUMMYFUNCTION("""COMPUTED_VALUE"""),102.9)</f>
        <v>102.9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IFERROR(__xludf.DUMMYFUNCTION("""COMPUTED_VALUE"""),104.0)</f>
        <v>104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IFERROR(__xludf.DUMMYFUNCTION("""COMPUTED_VALUE"""),97.45)</f>
        <v>97.45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IFERROR(__xludf.DUMMYFUNCTION("""COMPUTED_VALUE"""),96.95)</f>
        <v>96.95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IFERROR(__xludf.DUMMYFUNCTION("""COMPUTED_VALUE"""),94.25)</f>
        <v>94.25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IFERROR(__xludf.DUMMYFUNCTION("""COMPUTED_VALUE"""),101.45)</f>
        <v>101.45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IFERROR(__xludf.DUMMYFUNCTION("""COMPUTED_VALUE"""),105.0)</f>
        <v>105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IFERROR(__xludf.DUMMYFUNCTION("""COMPUTED_VALUE"""),97.25)</f>
        <v>97.25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IFERROR(__xludf.DUMMYFUNCTION("""COMPUTED_VALUE"""),96.15)</f>
        <v>96.15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IFERROR(__xludf.DUMMYFUNCTION("""COMPUTED_VALUE"""),103.9)</f>
        <v>103.9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IFERROR(__xludf.DUMMYFUNCTION("""COMPUTED_VALUE"""),106.4)</f>
        <v>106.4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IFERROR(__xludf.DUMMYFUNCTION("""COMPUTED_VALUE"""),107.65)</f>
        <v>107.65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IFERROR(__xludf.DUMMYFUNCTION("""COMPUTED_VALUE"""),115.9)</f>
        <v>115.9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IFERROR(__xludf.DUMMYFUNCTION("""COMPUTED_VALUE"""),121.4)</f>
        <v>121.4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IFERROR(__xludf.DUMMYFUNCTION("""COMPUTED_VALUE"""),117.85)</f>
        <v>117.85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IFERROR(__xludf.DUMMYFUNCTION("""COMPUTED_VALUE"""),117.0)</f>
        <v>117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IFERROR(__xludf.DUMMYFUNCTION("""COMPUTED_VALUE"""),108.9)</f>
        <v>108.9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IFERROR(__xludf.DUMMYFUNCTION("""COMPUTED_VALUE"""),130.0)</f>
        <v>130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IFERROR(__xludf.DUMMYFUNCTION("""COMPUTED_VALUE"""),127.95)</f>
        <v>127.95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IFERROR(__xludf.DUMMYFUNCTION("""COMPUTED_VALUE"""),128.65)</f>
        <v>128.65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IFERROR(__xludf.DUMMYFUNCTION("""COMPUTED_VALUE"""),137.1)</f>
        <v>137.1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IFERROR(__xludf.DUMMYFUNCTION("""COMPUTED_VALUE"""),135.95)</f>
        <v>135.95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IFERROR(__xludf.DUMMYFUNCTION("""COMPUTED_VALUE"""),131.9)</f>
        <v>131.9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IFERROR(__xludf.DUMMYFUNCTION("""COMPUTED_VALUE"""),133.25)</f>
        <v>133.25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IFERROR(__xludf.DUMMYFUNCTION("""COMPUTED_VALUE"""),124.8)</f>
        <v>124.8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IFERROR(__xludf.DUMMYFUNCTION("""COMPUTED_VALUE"""),118.4)</f>
        <v>118.4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IFERROR(__xludf.DUMMYFUNCTION("""COMPUTED_VALUE"""),123.0)</f>
        <v>123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IFERROR(__xludf.DUMMYFUNCTION("""COMPUTED_VALUE"""),127.0)</f>
        <v>127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IFERROR(__xludf.DUMMYFUNCTION("""COMPUTED_VALUE"""),128.0)</f>
        <v>128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IFERROR(__xludf.DUMMYFUNCTION("""COMPUTED_VALUE"""),115.5)</f>
        <v>115.5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IFERROR(__xludf.DUMMYFUNCTION("""COMPUTED_VALUE"""),116.2)</f>
        <v>116.2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IFERROR(__xludf.DUMMYFUNCTION("""COMPUTED_VALUE"""),115.5)</f>
        <v>115.5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IFERROR(__xludf.DUMMYFUNCTION("""COMPUTED_VALUE"""),121.0)</f>
        <v>121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IFERROR(__xludf.DUMMYFUNCTION("""COMPUTED_VALUE"""),124.9)</f>
        <v>124.9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IFERROR(__xludf.DUMMYFUNCTION("""COMPUTED_VALUE"""),123.5)</f>
        <v>123.5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IFERROR(__xludf.DUMMYFUNCTION("""COMPUTED_VALUE"""),126.7)</f>
        <v>126.7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IFERROR(__xludf.DUMMYFUNCTION("""COMPUTED_VALUE"""),134.9)</f>
        <v>134.9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IFERROR(__xludf.DUMMYFUNCTION("GOOGLEFINANCE(""NSE:MTNL"",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IFERROR(__xludf.DUMMYFUNCTION("""COMPUTED_VALUE"""),149.9)</f>
        <v>149.9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IFERROR(__xludf.DUMMYFUNCTION("""COMPUTED_VALUE"""),155.15)</f>
        <v>155.15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IFERROR(__xludf.DUMMYFUNCTION("""COMPUTED_VALUE"""),157.8)</f>
        <v>157.8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IFERROR(__xludf.DUMMYFUNCTION("""COMPUTED_VALUE"""),144.9)</f>
        <v>144.9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IFERROR(__xludf.DUMMYFUNCTION("""COMPUTED_VALUE"""),140.0)</f>
        <v>140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IFERROR(__xludf.DUMMYFUNCTION("""COMPUTED_VALUE"""),135.4)</f>
        <v>135.4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IFERROR(__xludf.DUMMYFUNCTION("""COMPUTED_VALUE"""),138.8)</f>
        <v>138.8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IFERROR(__xludf.DUMMYFUNCTION("""COMPUTED_VALUE"""),142.6)</f>
        <v>142.6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IFERROR(__xludf.DUMMYFUNCTION("""COMPUTED_VALUE"""),141.25)</f>
        <v>141.25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IFERROR(__xludf.DUMMYFUNCTION("""COMPUTED_VALUE"""),143.5)</f>
        <v>143.5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IFERROR(__xludf.DUMMYFUNCTION("""COMPUTED_VALUE"""),147.3)</f>
        <v>147.3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IFERROR(__xludf.DUMMYFUNCTION("""COMPUTED_VALUE"""),142.4)</f>
        <v>142.4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IFERROR(__xludf.DUMMYFUNCTION("""COMPUTED_VALUE"""),130.1)</f>
        <v>130.1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IFERROR(__xludf.DUMMYFUNCTION("""COMPUTED_VALUE"""),143.8)</f>
        <v>143.8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IFERROR(__xludf.DUMMYFUNCTION("""COMPUTED_VALUE"""),144.9)</f>
        <v>144.9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IFERROR(__xludf.DUMMYFUNCTION("""COMPUTED_VALUE"""),166.45)</f>
        <v>166.45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IFERROR(__xludf.DUMMYFUNCTION("""COMPUTED_VALUE"""),162.0)</f>
        <v>162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IFERROR(__xludf.DUMMYFUNCTION("""COMPUTED_VALUE"""),153.9)</f>
        <v>153.9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IFERROR(__xludf.DUMMYFUNCTION("""COMPUTED_VALUE"""),153.7)</f>
        <v>153.7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IFERROR(__xludf.DUMMYFUNCTION("""COMPUTED_VALUE"""),128.5)</f>
        <v>128.5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IFERROR(__xludf.DUMMYFUNCTION("""COMPUTED_VALUE"""),129.9)</f>
        <v>129.9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IFERROR(__xludf.DUMMYFUNCTION("""COMPUTED_VALUE"""),124.8)</f>
        <v>124.8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IFERROR(__xludf.DUMMYFUNCTION("""COMPUTED_VALUE"""),135.0)</f>
        <v>135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IFERROR(__xludf.DUMMYFUNCTION("""COMPUTED_VALUE"""),133.0)</f>
        <v>133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IFERROR(__xludf.DUMMYFUNCTION("""COMPUTED_VALUE"""),132.15)</f>
        <v>132.15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IFERROR(__xludf.DUMMYFUNCTION("""COMPUTED_VALUE"""),137.95)</f>
        <v>137.95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IFERROR(__xludf.DUMMYFUNCTION("""COMPUTED_VALUE"""),140.8)</f>
        <v>140.8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IFERROR(__xludf.DUMMYFUNCTION("""COMPUTED_VALUE"""),147.0)</f>
        <v>147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IFERROR(__xludf.DUMMYFUNCTION("""COMPUTED_VALUE"""),139.3)</f>
        <v>139.3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IFERROR(__xludf.DUMMYFUNCTION("""COMPUTED_VALUE"""),138.9)</f>
        <v>138.9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IFERROR(__xludf.DUMMYFUNCTION("""COMPUTED_VALUE"""),134.9)</f>
        <v>134.9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IFERROR(__xludf.DUMMYFUNCTION("""COMPUTED_VALUE"""),134.0)</f>
        <v>134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IFERROR(__xludf.DUMMYFUNCTION("""COMPUTED_VALUE"""),126.4)</f>
        <v>126.4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IFERROR(__xludf.DUMMYFUNCTION("""COMPUTED_VALUE"""),124.55)</f>
        <v>124.55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IFERROR(__xludf.DUMMYFUNCTION("""COMPUTED_VALUE"""),125.75)</f>
        <v>125.75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IFERROR(__xludf.DUMMYFUNCTION("""COMPUTED_VALUE"""),125.3)</f>
        <v>125.3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IFERROR(__xludf.DUMMYFUNCTION("""COMPUTED_VALUE"""),129.9)</f>
        <v>129.9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IFERROR(__xludf.DUMMYFUNCTION("""COMPUTED_VALUE"""),129.0)</f>
        <v>129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IFERROR(__xludf.DUMMYFUNCTION("""COMPUTED_VALUE"""),143.95)</f>
        <v>143.95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IFERROR(__xludf.DUMMYFUNCTION("""COMPUTED_VALUE"""),145.8)</f>
        <v>145.8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IFERROR(__xludf.DUMMYFUNCTION("""COMPUTED_VALUE"""),143.4)</f>
        <v>143.4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IFERROR(__xludf.DUMMYFUNCTION("""COMPUTED_VALUE"""),142.05)</f>
        <v>142.05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IFERROR(__xludf.DUMMYFUNCTION("""COMPUTED_VALUE"""),140.5)</f>
        <v>140.5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IFERROR(__xludf.DUMMYFUNCTION("""COMPUTED_VALUE"""),148.7)</f>
        <v>148.7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IFERROR(__xludf.DUMMYFUNCTION("""COMPUTED_VALUE"""),151.1)</f>
        <v>151.1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IFERROR(__xludf.DUMMYFUNCTION("""COMPUTED_VALUE"""),155.5)</f>
        <v>155.5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IFERROR(__xludf.DUMMYFUNCTION("""COMPUTED_VALUE"""),164.8)</f>
        <v>164.8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IFERROR(__xludf.DUMMYFUNCTION("""COMPUTED_VALUE"""),158.0)</f>
        <v>158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IFERROR(__xludf.DUMMYFUNCTION("""COMPUTED_VALUE"""),163.15)</f>
        <v>163.15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IFERROR(__xludf.DUMMYFUNCTION("""COMPUTED_VALUE"""),162.45)</f>
        <v>162.45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IFERROR(__xludf.DUMMYFUNCTION("""COMPUTED_VALUE"""),157.7)</f>
        <v>157.7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IFERROR(__xludf.DUMMYFUNCTION("GOOGLEFINANCE(""NSE:MTNL"",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IFERROR(__xludf.DUMMYFUNCTION("""COMPUTED_VALUE"""),170.0)</f>
        <v>170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IFERROR(__xludf.DUMMYFUNCTION("""COMPUTED_VALUE"""),145.95)</f>
        <v>145.95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IFERROR(__xludf.DUMMYFUNCTION("""COMPUTED_VALUE"""),150.0)</f>
        <v>150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IFERROR(__xludf.DUMMYFUNCTION("""COMPUTED_VALUE"""),150.0)</f>
        <v>150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IFERROR(__xludf.DUMMYFUNCTION("""COMPUTED_VALUE"""),145.0)</f>
        <v>145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IFERROR(__xludf.DUMMYFUNCTION("""COMPUTED_VALUE"""),149.8)</f>
        <v>149.8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IFERROR(__xludf.DUMMYFUNCTION("""COMPUTED_VALUE"""),142.4)</f>
        <v>142.4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IFERROR(__xludf.DUMMYFUNCTION("""COMPUTED_VALUE"""),147.0)</f>
        <v>147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IFERROR(__xludf.DUMMYFUNCTION("""COMPUTED_VALUE"""),137.5)</f>
        <v>137.5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IFERROR(__xludf.DUMMYFUNCTION("""COMPUTED_VALUE"""),143.4)</f>
        <v>143.4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IFERROR(__xludf.DUMMYFUNCTION("""COMPUTED_VALUE"""),139.8)</f>
        <v>139.8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IFERROR(__xludf.DUMMYFUNCTION("""COMPUTED_VALUE"""),132.95)</f>
        <v>132.95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IFERROR(__xludf.DUMMYFUNCTION("""COMPUTED_VALUE"""),123.0)</f>
        <v>123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IFERROR(__xludf.DUMMYFUNCTION("""COMPUTED_VALUE"""),121.0)</f>
        <v>121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IFERROR(__xludf.DUMMYFUNCTION("""COMPUTED_VALUE"""),119.55)</f>
        <v>119.55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IFERROR(__xludf.DUMMYFUNCTION("""COMPUTED_VALUE"""),119.95)</f>
        <v>119.95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IFERROR(__xludf.DUMMYFUNCTION("""COMPUTED_VALUE"""),124.4)</f>
        <v>124.4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IFERROR(__xludf.DUMMYFUNCTION("""COMPUTED_VALUE"""),119.6)</f>
        <v>119.6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IFERROR(__xludf.DUMMYFUNCTION("""COMPUTED_VALUE"""),119.25)</f>
        <v>119.25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IFERROR(__xludf.DUMMYFUNCTION("""COMPUTED_VALUE"""),118.9)</f>
        <v>118.9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IFERROR(__xludf.DUMMYFUNCTION("""COMPUTED_VALUE"""),122.45)</f>
        <v>122.45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IFERROR(__xludf.DUMMYFUNCTION("""COMPUTED_VALUE"""),126.7)</f>
        <v>126.7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IFERROR(__xludf.DUMMYFUNCTION("""COMPUTED_VALUE"""),126.4)</f>
        <v>126.4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IFERROR(__xludf.DUMMYFUNCTION("""COMPUTED_VALUE"""),123.5)</f>
        <v>123.5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IFERROR(__xludf.DUMMYFUNCTION("""COMPUTED_VALUE"""),122.0)</f>
        <v>122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IFERROR(__xludf.DUMMYFUNCTION("""COMPUTED_VALUE"""),132.4)</f>
        <v>132.4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IFERROR(__xludf.DUMMYFUNCTION("""COMPUTED_VALUE"""),141.15)</f>
        <v>141.15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IFERROR(__xludf.DUMMYFUNCTION("""COMPUTED_VALUE"""),142.25)</f>
        <v>142.25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IFERROR(__xludf.DUMMYFUNCTION("""COMPUTED_VALUE"""),140.0)</f>
        <v>140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IFERROR(__xludf.DUMMYFUNCTION("""COMPUTED_VALUE"""),134.9)</f>
        <v>134.9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IFERROR(__xludf.DUMMYFUNCTION("""COMPUTED_VALUE"""),133.95)</f>
        <v>133.95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IFERROR(__xludf.DUMMYFUNCTION("""COMPUTED_VALUE"""),131.75)</f>
        <v>131.75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IFERROR(__xludf.DUMMYFUNCTION("""COMPUTED_VALUE"""),129.5)</f>
        <v>129.5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IFERROR(__xludf.DUMMYFUNCTION("""COMPUTED_VALUE"""),129.0)</f>
        <v>129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IFERROR(__xludf.DUMMYFUNCTION("""COMPUTED_VALUE"""),136.5)</f>
        <v>136.5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IFERROR(__xludf.DUMMYFUNCTION("""COMPUTED_VALUE"""),139.1)</f>
        <v>139.1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IFERROR(__xludf.DUMMYFUNCTION("""COMPUTED_VALUE"""),142.0)</f>
        <v>142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IFERROR(__xludf.DUMMYFUNCTION("""COMPUTED_VALUE"""),133.15)</f>
        <v>133.15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IFERROR(__xludf.DUMMYFUNCTION("""COMPUTED_VALUE"""),141.4)</f>
        <v>141.4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IFERROR(__xludf.DUMMYFUNCTION("""COMPUTED_VALUE"""),135.35)</f>
        <v>135.35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IFERROR(__xludf.DUMMYFUNCTION("""COMPUTED_VALUE"""),130.0)</f>
        <v>130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IFERROR(__xludf.DUMMYFUNCTION("""COMPUTED_VALUE"""),122.0)</f>
        <v>122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IFERROR(__xludf.DUMMYFUNCTION("""COMPUTED_VALUE"""),120.5)</f>
        <v>120.5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IFERROR(__xludf.DUMMYFUNCTION("""COMPUTED_VALUE"""),125.0)</f>
        <v>125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IFERROR(__xludf.DUMMYFUNCTION("""COMPUTED_VALUE"""),128.7)</f>
        <v>128.7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IFERROR(__xludf.DUMMYFUNCTION("""COMPUTED_VALUE"""),125.8)</f>
        <v>125.8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IFERROR(__xludf.DUMMYFUNCTION("""COMPUTED_VALUE"""),134.0)</f>
        <v>134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IFERROR(__xludf.DUMMYFUNCTION("""COMPUTED_VALUE"""),147.0)</f>
        <v>147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IFERROR(__xludf.DUMMYFUNCTION("""COMPUTED_VALUE"""),150.4)</f>
        <v>150.4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IFERROR(__xludf.DUMMYFUNCTION("""COMPUTED_VALUE"""),145.65)</f>
        <v>145.65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IFERROR(__xludf.DUMMYFUNCTION("GOOGLEFINANCE(""NSE:MTNL"",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IFERROR(__xludf.DUMMYFUNCTION("""COMPUTED_VALUE"""),148.1)</f>
        <v>148.1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IFERROR(__xludf.DUMMYFUNCTION("""COMPUTED_VALUE"""),156.9)</f>
        <v>156.9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IFERROR(__xludf.DUMMYFUNCTION("""COMPUTED_VALUE"""),149.4)</f>
        <v>149.4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IFERROR(__xludf.DUMMYFUNCTION("""COMPUTED_VALUE"""),143.5)</f>
        <v>143.5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IFERROR(__xludf.DUMMYFUNCTION("""COMPUTED_VALUE"""),144.5)</f>
        <v>144.5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IFERROR(__xludf.DUMMYFUNCTION("""COMPUTED_VALUE"""),144.5)</f>
        <v>144.5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IFERROR(__xludf.DUMMYFUNCTION("""COMPUTED_VALUE"""),156.9)</f>
        <v>156.9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IFERROR(__xludf.DUMMYFUNCTION("""COMPUTED_VALUE"""),150.0)</f>
        <v>150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IFERROR(__xludf.DUMMYFUNCTION("""COMPUTED_VALUE"""),154.7)</f>
        <v>154.7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IFERROR(__xludf.DUMMYFUNCTION("""COMPUTED_VALUE"""),163.7)</f>
        <v>163.7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IFERROR(__xludf.DUMMYFUNCTION("""COMPUTED_VALUE"""),169.0)</f>
        <v>169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IFERROR(__xludf.DUMMYFUNCTION("""COMPUTED_VALUE"""),184.2)</f>
        <v>184.2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IFERROR(__xludf.DUMMYFUNCTION("""COMPUTED_VALUE"""),194.75)</f>
        <v>194.75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IFERROR(__xludf.DUMMYFUNCTION("""COMPUTED_VALUE"""),204.4)</f>
        <v>204.4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IFERROR(__xludf.DUMMYFUNCTION("""COMPUTED_VALUE"""),209.3)</f>
        <v>209.3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IFERROR(__xludf.DUMMYFUNCTION("""COMPUTED_VALUE"""),212.45)</f>
        <v>212.45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IFERROR(__xludf.DUMMYFUNCTION("""COMPUTED_VALUE"""),226.0)</f>
        <v>226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IFERROR(__xludf.DUMMYFUNCTION("""COMPUTED_VALUE"""),223.9)</f>
        <v>223.9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IFERROR(__xludf.DUMMYFUNCTION("""COMPUTED_VALUE"""),204.7)</f>
        <v>204.7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IFERROR(__xludf.DUMMYFUNCTION("""COMPUTED_VALUE"""),185.4)</f>
        <v>185.4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IFERROR(__xludf.DUMMYFUNCTION("""COMPUTED_VALUE"""),175.05)</f>
        <v>175.05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IFERROR(__xludf.DUMMYFUNCTION("""COMPUTED_VALUE"""),162.0)</f>
        <v>162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IFERROR(__xludf.DUMMYFUNCTION("""COMPUTED_VALUE"""),159.95)</f>
        <v>159.95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IFERROR(__xludf.DUMMYFUNCTION("""COMPUTED_VALUE"""),165.0)</f>
        <v>165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IFERROR(__xludf.DUMMYFUNCTION("""COMPUTED_VALUE"""),166.95)</f>
        <v>166.95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IFERROR(__xludf.DUMMYFUNCTION("""COMPUTED_VALUE"""),157.4)</f>
        <v>157.4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IFERROR(__xludf.DUMMYFUNCTION("""COMPUTED_VALUE"""),156.45)</f>
        <v>156.45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IFERROR(__xludf.DUMMYFUNCTION("""COMPUTED_VALUE"""),150.2)</f>
        <v>150.2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IFERROR(__xludf.DUMMYFUNCTION("""COMPUTED_VALUE"""),149.95)</f>
        <v>149.95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IFERROR(__xludf.DUMMYFUNCTION("""COMPUTED_VALUE"""),146.05)</f>
        <v>146.05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IFERROR(__xludf.DUMMYFUNCTION("""COMPUTED_VALUE"""),148.85)</f>
        <v>148.85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IFERROR(__xludf.DUMMYFUNCTION("""COMPUTED_VALUE"""),157.2)</f>
        <v>157.2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IFERROR(__xludf.DUMMYFUNCTION("""COMPUTED_VALUE"""),160.0)</f>
        <v>160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IFERROR(__xludf.DUMMYFUNCTION("""COMPUTED_VALUE"""),163.0)</f>
        <v>163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IFERROR(__xludf.DUMMYFUNCTION("""COMPUTED_VALUE"""),165.0)</f>
        <v>165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IFERROR(__xludf.DUMMYFUNCTION("""COMPUTED_VALUE"""),163.4)</f>
        <v>163.4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IFERROR(__xludf.DUMMYFUNCTION("""COMPUTED_VALUE"""),160.85)</f>
        <v>160.85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IFERROR(__xludf.DUMMYFUNCTION("""COMPUTED_VALUE"""),158.5)</f>
        <v>158.5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IFERROR(__xludf.DUMMYFUNCTION("""COMPUTED_VALUE"""),163.15)</f>
        <v>163.15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IFERROR(__xludf.DUMMYFUNCTION("""COMPUTED_VALUE"""),164.0)</f>
        <v>164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IFERROR(__xludf.DUMMYFUNCTION("""COMPUTED_VALUE"""),159.8)</f>
        <v>159.8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IFERROR(__xludf.DUMMYFUNCTION("""COMPUTED_VALUE"""),153.5)</f>
        <v>153.5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IFERROR(__xludf.DUMMYFUNCTION("""COMPUTED_VALUE"""),141.95)</f>
        <v>141.95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IFERROR(__xludf.DUMMYFUNCTION("""COMPUTED_VALUE"""),155.05)</f>
        <v>155.05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IFERROR(__xludf.DUMMYFUNCTION("""COMPUTED_VALUE"""),141.9)</f>
        <v>141.9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IFERROR(__xludf.DUMMYFUNCTION("""COMPUTED_VALUE"""),142.0)</f>
        <v>142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IFERROR(__xludf.DUMMYFUNCTION("""COMPUTED_VALUE"""),141.2)</f>
        <v>141.2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IFERROR(__xludf.DUMMYFUNCTION("""COMPUTED_VALUE"""),134.5)</f>
        <v>134.5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IFERROR(__xludf.DUMMYFUNCTION("""COMPUTED_VALUE"""),139.8)</f>
        <v>139.8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IFERROR(__xludf.DUMMYFUNCTION("""COMPUTED_VALUE"""),148.0)</f>
        <v>148</v>
      </c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IFERROR(__xludf.DUMMYFUNCTION("GOOGLEFINANCE(""NSE:CIPLA"",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IFERROR(__xludf.DUMMYFUNCTION("""COMPUTED_VALUE"""),92.24)</f>
        <v>92.24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IFERROR(__xludf.DUMMYFUNCTION("""COMPUTED_VALUE"""),96.72)</f>
        <v>96.72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IFERROR(__xludf.DUMMYFUNCTION("""COMPUTED_VALUE"""),96.72)</f>
        <v>96.72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IFERROR(__xludf.DUMMYFUNCTION("""COMPUTED_VALUE"""),92.0)</f>
        <v>92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IFERROR(__xludf.DUMMYFUNCTION("""COMPUTED_VALUE"""),94.8)</f>
        <v>94.8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IFERROR(__xludf.DUMMYFUNCTION("""COMPUTED_VALUE"""),90.4)</f>
        <v>90.4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IFERROR(__xludf.DUMMYFUNCTION("""COMPUTED_VALUE"""),87.6)</f>
        <v>87.6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IFERROR(__xludf.DUMMYFUNCTION("""COMPUTED_VALUE"""),87.12)</f>
        <v>87.12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IFERROR(__xludf.DUMMYFUNCTION("""COMPUTED_VALUE"""),86.4)</f>
        <v>86.4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IFERROR(__xludf.DUMMYFUNCTION("""COMPUTED_VALUE"""),83.6)</f>
        <v>83.6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IFERROR(__xludf.DUMMYFUNCTION("""COMPUTED_VALUE"""),82.56)</f>
        <v>82.56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IFERROR(__xludf.DUMMYFUNCTION("""COMPUTED_VALUE"""),83.2)</f>
        <v>83.2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IFERROR(__xludf.DUMMYFUNCTION("""COMPUTED_VALUE"""),82.56)</f>
        <v>82.56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IFERROR(__xludf.DUMMYFUNCTION("""COMPUTED_VALUE"""),84.52)</f>
        <v>84.52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IFERROR(__xludf.DUMMYFUNCTION("""COMPUTED_VALUE"""),87.04)</f>
        <v>87.04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IFERROR(__xludf.DUMMYFUNCTION("""COMPUTED_VALUE"""),83.6)</f>
        <v>83.6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IFERROR(__xludf.DUMMYFUNCTION("""COMPUTED_VALUE"""),81.6)</f>
        <v>81.6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IFERROR(__xludf.DUMMYFUNCTION("""COMPUTED_VALUE"""),86.88)</f>
        <v>86.88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IFERROR(__xludf.DUMMYFUNCTION("""COMPUTED_VALUE"""),87.18)</f>
        <v>87.18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IFERROR(__xludf.DUMMYFUNCTION("""COMPUTED_VALUE"""),86.0)</f>
        <v>86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IFERROR(__xludf.DUMMYFUNCTION("""COMPUTED_VALUE"""),84.8)</f>
        <v>84.8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IFERROR(__xludf.DUMMYFUNCTION("""COMPUTED_VALUE"""),84.0)</f>
        <v>84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IFERROR(__xludf.DUMMYFUNCTION("""COMPUTED_VALUE"""),82.16)</f>
        <v>82.16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IFERROR(__xludf.DUMMYFUNCTION("""COMPUTED_VALUE"""),81.6)</f>
        <v>81.6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IFERROR(__xludf.DUMMYFUNCTION("""COMPUTED_VALUE"""),80.16)</f>
        <v>80.16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IFERROR(__xludf.DUMMYFUNCTION("""COMPUTED_VALUE"""),75.6)</f>
        <v>75.6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IFERROR(__xludf.DUMMYFUNCTION("""COMPUTED_VALUE"""),76.7)</f>
        <v>76.7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IFERROR(__xludf.DUMMYFUNCTION("""COMPUTED_VALUE"""),83.2)</f>
        <v>83.2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IFERROR(__xludf.DUMMYFUNCTION("""COMPUTED_VALUE"""),75.88)</f>
        <v>75.88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IFERROR(__xludf.DUMMYFUNCTION("""COMPUTED_VALUE"""),76.88)</f>
        <v>76.88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IFERROR(__xludf.DUMMYFUNCTION("""COMPUTED_VALUE"""),75.4)</f>
        <v>75.4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IFERROR(__xludf.DUMMYFUNCTION("""COMPUTED_VALUE"""),76.16)</f>
        <v>76.16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IFERROR(__xludf.DUMMYFUNCTION("""COMPUTED_VALUE"""),75.76)</f>
        <v>75.76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IFERROR(__xludf.DUMMYFUNCTION("""COMPUTED_VALUE"""),74.2)</f>
        <v>74.2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IFERROR(__xludf.DUMMYFUNCTION("""COMPUTED_VALUE"""),76.84)</f>
        <v>76.84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IFERROR(__xludf.DUMMYFUNCTION("""COMPUTED_VALUE"""),78.0)</f>
        <v>78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IFERROR(__xludf.DUMMYFUNCTION("""COMPUTED_VALUE"""),77.52)</f>
        <v>77.52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IFERROR(__xludf.DUMMYFUNCTION("""COMPUTED_VALUE"""),76.64)</f>
        <v>76.64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IFERROR(__xludf.DUMMYFUNCTION("""COMPUTED_VALUE"""),76.4)</f>
        <v>76.4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IFERROR(__xludf.DUMMYFUNCTION("""COMPUTED_VALUE"""),77.2)</f>
        <v>77.2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IFERROR(__xludf.DUMMYFUNCTION("""COMPUTED_VALUE"""),79.92)</f>
        <v>79.92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IFERROR(__xludf.DUMMYFUNCTION("""COMPUTED_VALUE"""),73.6)</f>
        <v>73.6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IFERROR(__xludf.DUMMYFUNCTION("""COMPUTED_VALUE"""),71.92)</f>
        <v>71.92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IFERROR(__xludf.DUMMYFUNCTION("""COMPUTED_VALUE"""),71.2)</f>
        <v>71.2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IFERROR(__xludf.DUMMYFUNCTION("""COMPUTED_VALUE"""),70.4)</f>
        <v>70.4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IFERROR(__xludf.DUMMYFUNCTION("""COMPUTED_VALUE"""),73.2)</f>
        <v>73.2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IFERROR(__xludf.DUMMYFUNCTION("""COMPUTED_VALUE"""),72.95)</f>
        <v>72.95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IFERROR(__xludf.DUMMYFUNCTION("""COMPUTED_VALUE"""),86.39)</f>
        <v>86.39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IFERROR(__xludf.DUMMYFUNCTION("""COMPUTED_VALUE"""),73.36)</f>
        <v>73.36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IFERROR(__xludf.DUMMYFUNCTION("""COMPUTED_VALUE"""),71.92)</f>
        <v>71.92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IFERROR(__xludf.DUMMYFUNCTION("""COMPUTED_VALUE"""),71.74)</f>
        <v>71.74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IFERROR(__xludf.DUMMYFUNCTION("""COMPUTED_VALUE"""),71.92)</f>
        <v>71.92</v>
      </c>
    </row>
    <row r="54" ht="15.75" customHeight="1"/>
    <row r="55" ht="15.75" customHeight="1"/>
    <row r="56" ht="15.75" customHeight="1">
      <c r="B56" s="2" t="str">
        <f>IFERROR(__xludf.DUMMYFUNCTION("GOOGLEFINANCE(""NSE:CIPLA"",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IFERROR(__xludf.DUMMYFUNCTION("""COMPUTED_VALUE"""),73.2)</f>
        <v>73.2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IFERROR(__xludf.DUMMYFUNCTION("""COMPUTED_VALUE"""),76.2)</f>
        <v>76.2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IFERROR(__xludf.DUMMYFUNCTION("""COMPUTED_VALUE"""),75.68)</f>
        <v>75.68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IFERROR(__xludf.DUMMYFUNCTION("""COMPUTED_VALUE"""),70.64)</f>
        <v>70.64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IFERROR(__xludf.DUMMYFUNCTION("""COMPUTED_VALUE"""),69.44)</f>
        <v>69.44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IFERROR(__xludf.DUMMYFUNCTION("""COMPUTED_VALUE"""),67.12)</f>
        <v>67.12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IFERROR(__xludf.DUMMYFUNCTION("""COMPUTED_VALUE"""),66.64)</f>
        <v>66.64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IFERROR(__xludf.DUMMYFUNCTION("""COMPUTED_VALUE"""),65.11)</f>
        <v>65.11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IFERROR(__xludf.DUMMYFUNCTION("""COMPUTED_VALUE"""),64.4)</f>
        <v>64.4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IFERROR(__xludf.DUMMYFUNCTION("""COMPUTED_VALUE"""),62.8)</f>
        <v>62.8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IFERROR(__xludf.DUMMYFUNCTION("""COMPUTED_VALUE"""),60.0)</f>
        <v>60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IFERROR(__xludf.DUMMYFUNCTION("""COMPUTED_VALUE"""),68.8)</f>
        <v>68.8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IFERROR(__xludf.DUMMYFUNCTION("""COMPUTED_VALUE"""),58.56)</f>
        <v>58.56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IFERROR(__xludf.DUMMYFUNCTION("""COMPUTED_VALUE"""),60.08)</f>
        <v>60.08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IFERROR(__xludf.DUMMYFUNCTION("""COMPUTED_VALUE"""),59.84)</f>
        <v>59.84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IFERROR(__xludf.DUMMYFUNCTION("""COMPUTED_VALUE"""),58.72)</f>
        <v>58.72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IFERROR(__xludf.DUMMYFUNCTION("""COMPUTED_VALUE"""),52.0)</f>
        <v>52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IFERROR(__xludf.DUMMYFUNCTION("""COMPUTED_VALUE"""),51.92)</f>
        <v>51.92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IFERROR(__xludf.DUMMYFUNCTION("""COMPUTED_VALUE"""),53.12)</f>
        <v>53.12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IFERROR(__xludf.DUMMYFUNCTION("""COMPUTED_VALUE"""),53.12)</f>
        <v>53.12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IFERROR(__xludf.DUMMYFUNCTION("""COMPUTED_VALUE"""),55.12)</f>
        <v>55.12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IFERROR(__xludf.DUMMYFUNCTION("""COMPUTED_VALUE"""),59.57)</f>
        <v>59.57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IFERROR(__xludf.DUMMYFUNCTION("""COMPUTED_VALUE"""),59.35)</f>
        <v>59.35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IFERROR(__xludf.DUMMYFUNCTION("""COMPUTED_VALUE"""),61.2)</f>
        <v>61.2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IFERROR(__xludf.DUMMYFUNCTION("""COMPUTED_VALUE"""),60.8)</f>
        <v>60.8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IFERROR(__xludf.DUMMYFUNCTION("""COMPUTED_VALUE"""),65.6)</f>
        <v>65.6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IFERROR(__xludf.DUMMYFUNCTION("""COMPUTED_VALUE"""),67.04)</f>
        <v>67.04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IFERROR(__xludf.DUMMYFUNCTION("""COMPUTED_VALUE"""),67.2)</f>
        <v>67.2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IFERROR(__xludf.DUMMYFUNCTION("""COMPUTED_VALUE"""),64.96)</f>
        <v>64.96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IFERROR(__xludf.DUMMYFUNCTION("""COMPUTED_VALUE"""),67.11)</f>
        <v>67.11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IFERROR(__xludf.DUMMYFUNCTION("""COMPUTED_VALUE"""),70.24)</f>
        <v>70.24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IFERROR(__xludf.DUMMYFUNCTION("""COMPUTED_VALUE"""),70.72)</f>
        <v>70.72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IFERROR(__xludf.DUMMYFUNCTION("""COMPUTED_VALUE"""),72.12)</f>
        <v>72.12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IFERROR(__xludf.DUMMYFUNCTION("""COMPUTED_VALUE"""),82.0)</f>
        <v>82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IFERROR(__xludf.DUMMYFUNCTION("""COMPUTED_VALUE"""),94.22)</f>
        <v>94.22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IFERROR(__xludf.DUMMYFUNCTION("""COMPUTED_VALUE"""),85.2)</f>
        <v>85.2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IFERROR(__xludf.DUMMYFUNCTION("""COMPUTED_VALUE"""),82.88)</f>
        <v>82.88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IFERROR(__xludf.DUMMYFUNCTION("""COMPUTED_VALUE"""),83.04)</f>
        <v>83.04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IFERROR(__xludf.DUMMYFUNCTION("""COMPUTED_VALUE"""),84.0)</f>
        <v>84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IFERROR(__xludf.DUMMYFUNCTION("""COMPUTED_VALUE"""),85.98)</f>
        <v>85.98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IFERROR(__xludf.DUMMYFUNCTION("""COMPUTED_VALUE"""),96.8)</f>
        <v>96.8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IFERROR(__xludf.DUMMYFUNCTION("""COMPUTED_VALUE"""),105.15)</f>
        <v>105.15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IFERROR(__xludf.DUMMYFUNCTION("""COMPUTED_VALUE"""),103.2)</f>
        <v>103.2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IFERROR(__xludf.DUMMYFUNCTION("""COMPUTED_VALUE"""),91.18)</f>
        <v>91.18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IFERROR(__xludf.DUMMYFUNCTION("""COMPUTED_VALUE"""),97.2)</f>
        <v>97.2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IFERROR(__xludf.DUMMYFUNCTION("""COMPUTED_VALUE"""),100.62)</f>
        <v>100.62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IFERROR(__xludf.DUMMYFUNCTION("""COMPUTED_VALUE"""),100.0)</f>
        <v>100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IFERROR(__xludf.DUMMYFUNCTION("""COMPUTED_VALUE"""),103.36)</f>
        <v>103.36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IFERROR(__xludf.DUMMYFUNCTION("""COMPUTED_VALUE"""),103.68)</f>
        <v>103.68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IFERROR(__xludf.DUMMYFUNCTION("GOOGLEFINANCE(""NSE:CIPLA"",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IFERROR(__xludf.DUMMYFUNCTION("""COMPUTED_VALUE"""),112.22)</f>
        <v>112.22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IFERROR(__xludf.DUMMYFUNCTION("""COMPUTED_VALUE"""),112.8)</f>
        <v>112.8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IFERROR(__xludf.DUMMYFUNCTION("""COMPUTED_VALUE"""),110.08)</f>
        <v>110.08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IFERROR(__xludf.DUMMYFUNCTION("""COMPUTED_VALUE"""),110.32)</f>
        <v>110.32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IFERROR(__xludf.DUMMYFUNCTION("""COMPUTED_VALUE"""),105.6)</f>
        <v>105.6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IFERROR(__xludf.DUMMYFUNCTION("""COMPUTED_VALUE"""),96.64)</f>
        <v>96.64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IFERROR(__xludf.DUMMYFUNCTION("""COMPUTED_VALUE"""),98.0)</f>
        <v>98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IFERROR(__xludf.DUMMYFUNCTION("""COMPUTED_VALUE"""),99.51)</f>
        <v>99.51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IFERROR(__xludf.DUMMYFUNCTION("""COMPUTED_VALUE"""),100.24)</f>
        <v>100.24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IFERROR(__xludf.DUMMYFUNCTION("""COMPUTED_VALUE"""),101.28)</f>
        <v>101.28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IFERROR(__xludf.DUMMYFUNCTION("""COMPUTED_VALUE"""),102.4)</f>
        <v>102.4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IFERROR(__xludf.DUMMYFUNCTION("""COMPUTED_VALUE"""),103.2)</f>
        <v>103.2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IFERROR(__xludf.DUMMYFUNCTION("""COMPUTED_VALUE"""),94.72)</f>
        <v>94.72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IFERROR(__xludf.DUMMYFUNCTION("""COMPUTED_VALUE"""),96.16)</f>
        <v>96.16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IFERROR(__xludf.DUMMYFUNCTION("""COMPUTED_VALUE"""),99.36)</f>
        <v>99.36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IFERROR(__xludf.DUMMYFUNCTION("""COMPUTED_VALUE"""),108.32)</f>
        <v>108.32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IFERROR(__xludf.DUMMYFUNCTION("""COMPUTED_VALUE"""),110.08)</f>
        <v>110.08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IFERROR(__xludf.DUMMYFUNCTION("""COMPUTED_VALUE"""),113.44)</f>
        <v>113.44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IFERROR(__xludf.DUMMYFUNCTION("""COMPUTED_VALUE"""),525.2)</f>
        <v>525.2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IFERROR(__xludf.DUMMYFUNCTION("""COMPUTED_VALUE"""),101.76)</f>
        <v>101.76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IFERROR(__xludf.DUMMYFUNCTION("""COMPUTED_VALUE"""),104.36)</f>
        <v>104.36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IFERROR(__xludf.DUMMYFUNCTION("""COMPUTED_VALUE"""),101.56)</f>
        <v>101.56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IFERROR(__xludf.DUMMYFUNCTION("""COMPUTED_VALUE"""),96.3)</f>
        <v>96.3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IFERROR(__xludf.DUMMYFUNCTION("""COMPUTED_VALUE"""),92.78)</f>
        <v>92.78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IFERROR(__xludf.DUMMYFUNCTION("""COMPUTED_VALUE"""),85.58)</f>
        <v>85.58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IFERROR(__xludf.DUMMYFUNCTION("""COMPUTED_VALUE"""),89.2)</f>
        <v>89.2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IFERROR(__xludf.DUMMYFUNCTION("""COMPUTED_VALUE"""),94.0)</f>
        <v>94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IFERROR(__xludf.DUMMYFUNCTION("""COMPUTED_VALUE"""),94.8)</f>
        <v>94.8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IFERROR(__xludf.DUMMYFUNCTION("""COMPUTED_VALUE"""),97.98)</f>
        <v>97.98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IFERROR(__xludf.DUMMYFUNCTION("""COMPUTED_VALUE"""),102.0)</f>
        <v>102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IFERROR(__xludf.DUMMYFUNCTION("""COMPUTED_VALUE"""),101.2)</f>
        <v>101.2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IFERROR(__xludf.DUMMYFUNCTION("""COMPUTED_VALUE"""),98.8)</f>
        <v>98.8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IFERROR(__xludf.DUMMYFUNCTION("""COMPUTED_VALUE"""),100.0)</f>
        <v>100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IFERROR(__xludf.DUMMYFUNCTION("""COMPUTED_VALUE"""),99.92)</f>
        <v>99.92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IFERROR(__xludf.DUMMYFUNCTION("""COMPUTED_VALUE"""),97.56)</f>
        <v>97.56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IFERROR(__xludf.DUMMYFUNCTION("""COMPUTED_VALUE"""),105.08)</f>
        <v>105.08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IFERROR(__xludf.DUMMYFUNCTION("""COMPUTED_VALUE"""),110.0)</f>
        <v>110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IFERROR(__xludf.DUMMYFUNCTION("""COMPUTED_VALUE"""),115.76)</f>
        <v>115.76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IFERROR(__xludf.DUMMYFUNCTION("""COMPUTED_VALUE"""),119.6)</f>
        <v>119.6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IFERROR(__xludf.DUMMYFUNCTION("""COMPUTED_VALUE"""),117.7)</f>
        <v>117.7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IFERROR(__xludf.DUMMYFUNCTION("""COMPUTED_VALUE"""),115.8)</f>
        <v>115.8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IFERROR(__xludf.DUMMYFUNCTION("""COMPUTED_VALUE"""),113.2)</f>
        <v>113.2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IFERROR(__xludf.DUMMYFUNCTION("""COMPUTED_VALUE"""),112.8)</f>
        <v>112.8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IFERROR(__xludf.DUMMYFUNCTION("""COMPUTED_VALUE"""),112.36)</f>
        <v>112.36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IFERROR(__xludf.DUMMYFUNCTION("""COMPUTED_VALUE"""),112.8)</f>
        <v>112.8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IFERROR(__xludf.DUMMYFUNCTION("""COMPUTED_VALUE"""),110.8)</f>
        <v>110.8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IFERROR(__xludf.DUMMYFUNCTION("""COMPUTED_VALUE"""),118.26)</f>
        <v>118.26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IFERROR(__xludf.DUMMYFUNCTION("""COMPUTED_VALUE"""),119.98)</f>
        <v>119.98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IFERROR(__xludf.DUMMYFUNCTION("""COMPUTED_VALUE"""),121.52)</f>
        <v>121.52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IFERROR(__xludf.DUMMYFUNCTION("""COMPUTED_VALUE"""),125.2)</f>
        <v>125.2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IFERROR(__xludf.DUMMYFUNCTION("""COMPUTED_VALUE"""),127.76)</f>
        <v>127.76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IFERROR(__xludf.DUMMYFUNCTION("GOOGLEFINANCE(""NSE:CIPLA"",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IFERROR(__xludf.DUMMYFUNCTION("""COMPUTED_VALUE"""),128.68)</f>
        <v>128.68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IFERROR(__xludf.DUMMYFUNCTION("""COMPUTED_VALUE"""),119.16)</f>
        <v>119.16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IFERROR(__xludf.DUMMYFUNCTION("""COMPUTED_VALUE"""),109.2)</f>
        <v>109.2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IFERROR(__xludf.DUMMYFUNCTION("""COMPUTED_VALUE"""),125.92)</f>
        <v>125.92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IFERROR(__xludf.DUMMYFUNCTION("""COMPUTED_VALUE"""),118.96)</f>
        <v>118.96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IFERROR(__xludf.DUMMYFUNCTION("""COMPUTED_VALUE"""),114.8)</f>
        <v>114.8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IFERROR(__xludf.DUMMYFUNCTION("""COMPUTED_VALUE"""),115.2)</f>
        <v>115.2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IFERROR(__xludf.DUMMYFUNCTION("""COMPUTED_VALUE"""),108.82)</f>
        <v>108.82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IFERROR(__xludf.DUMMYFUNCTION("""COMPUTED_VALUE"""),109.16)</f>
        <v>109.16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IFERROR(__xludf.DUMMYFUNCTION("""COMPUTED_VALUE"""),120.0)</f>
        <v>120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IFERROR(__xludf.DUMMYFUNCTION("""COMPUTED_VALUE"""),115.82)</f>
        <v>115.82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IFERROR(__xludf.DUMMYFUNCTION("""COMPUTED_VALUE"""),112.68)</f>
        <v>112.68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IFERROR(__xludf.DUMMYFUNCTION("""COMPUTED_VALUE"""),104.8)</f>
        <v>104.8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IFERROR(__xludf.DUMMYFUNCTION("""COMPUTED_VALUE"""),106.4)</f>
        <v>106.4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IFERROR(__xludf.DUMMYFUNCTION("""COMPUTED_VALUE"""),102.0)</f>
        <v>102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IFERROR(__xludf.DUMMYFUNCTION("""COMPUTED_VALUE"""),98.58)</f>
        <v>98.58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IFERROR(__xludf.DUMMYFUNCTION("""COMPUTED_VALUE"""),107.38)</f>
        <v>107.38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IFERROR(__xludf.DUMMYFUNCTION("""COMPUTED_VALUE"""),109.2)</f>
        <v>109.2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IFERROR(__xludf.DUMMYFUNCTION("""COMPUTED_VALUE"""),113.56)</f>
        <v>113.56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IFERROR(__xludf.DUMMYFUNCTION("""COMPUTED_VALUE"""),113.96)</f>
        <v>113.96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IFERROR(__xludf.DUMMYFUNCTION("""COMPUTED_VALUE"""),120.0)</f>
        <v>120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IFERROR(__xludf.DUMMYFUNCTION("""COMPUTED_VALUE"""),119.6)</f>
        <v>119.6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IFERROR(__xludf.DUMMYFUNCTION("""COMPUTED_VALUE"""),117.6)</f>
        <v>117.6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IFERROR(__xludf.DUMMYFUNCTION("""COMPUTED_VALUE"""),127.16)</f>
        <v>127.16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IFERROR(__xludf.DUMMYFUNCTION("""COMPUTED_VALUE"""),128.78)</f>
        <v>128.78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IFERROR(__xludf.DUMMYFUNCTION("""COMPUTED_VALUE"""),132.4)</f>
        <v>132.4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IFERROR(__xludf.DUMMYFUNCTION("""COMPUTED_VALUE"""),132.98)</f>
        <v>132.98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IFERROR(__xludf.DUMMYFUNCTION("""COMPUTED_VALUE"""),159.58)</f>
        <v>159.58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IFERROR(__xludf.DUMMYFUNCTION("""COMPUTED_VALUE"""),139.36)</f>
        <v>139.36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IFERROR(__xludf.DUMMYFUNCTION("""COMPUTED_VALUE"""),137.36)</f>
        <v>137.36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IFERROR(__xludf.DUMMYFUNCTION("""COMPUTED_VALUE"""),138.4)</f>
        <v>138.4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IFERROR(__xludf.DUMMYFUNCTION("""COMPUTED_VALUE"""),142.0)</f>
        <v>142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IFERROR(__xludf.DUMMYFUNCTION("""COMPUTED_VALUE"""),149.2)</f>
        <v>149.2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IFERROR(__xludf.DUMMYFUNCTION("""COMPUTED_VALUE"""),142.38)</f>
        <v>142.38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IFERROR(__xludf.DUMMYFUNCTION("""COMPUTED_VALUE"""),150.0)</f>
        <v>150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IFERROR(__xludf.DUMMYFUNCTION("""COMPUTED_VALUE"""),147.98)</f>
        <v>147.98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IFERROR(__xludf.DUMMYFUNCTION("""COMPUTED_VALUE"""),148.8)</f>
        <v>148.8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IFERROR(__xludf.DUMMYFUNCTION("""COMPUTED_VALUE"""),153.94)</f>
        <v>153.94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IFERROR(__xludf.DUMMYFUNCTION("""COMPUTED_VALUE"""),158.74)</f>
        <v>158.74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IFERROR(__xludf.DUMMYFUNCTION("""COMPUTED_VALUE"""),150.0)</f>
        <v>150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IFERROR(__xludf.DUMMYFUNCTION("""COMPUTED_VALUE"""),160.44)</f>
        <v>160.44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IFERROR(__xludf.DUMMYFUNCTION("""COMPUTED_VALUE"""),151.2)</f>
        <v>151.2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IFERROR(__xludf.DUMMYFUNCTION("""COMPUTED_VALUE"""),146.14)</f>
        <v>146.14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IFERROR(__xludf.DUMMYFUNCTION("""COMPUTED_VALUE"""),158.0)</f>
        <v>158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IFERROR(__xludf.DUMMYFUNCTION("""COMPUTED_VALUE"""),157.92)</f>
        <v>157.92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IFERROR(__xludf.DUMMYFUNCTION("""COMPUTED_VALUE"""),169.48)</f>
        <v>169.48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IFERROR(__xludf.DUMMYFUNCTION("""COMPUTED_VALUE"""),175.2)</f>
        <v>175.2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IFERROR(__xludf.DUMMYFUNCTION("""COMPUTED_VALUE"""),180.0)</f>
        <v>180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IFERROR(__xludf.DUMMYFUNCTION("""COMPUTED_VALUE"""),179.92)</f>
        <v>179.92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IFERROR(__xludf.DUMMYFUNCTION("""COMPUTED_VALUE"""),180.0)</f>
        <v>180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IFERROR(__xludf.DUMMYFUNCTION("GOOGLEFINANCE(""NSE:CIPLA"",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IFERROR(__xludf.DUMMYFUNCTION("""COMPUTED_VALUE"""),180.8)</f>
        <v>180.8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IFERROR(__xludf.DUMMYFUNCTION("""COMPUTED_VALUE"""),180.16)</f>
        <v>180.16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IFERROR(__xludf.DUMMYFUNCTION("""COMPUTED_VALUE"""),177.92)</f>
        <v>177.92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IFERROR(__xludf.DUMMYFUNCTION("""COMPUTED_VALUE"""),199.6)</f>
        <v>199.6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IFERROR(__xludf.DUMMYFUNCTION("""COMPUTED_VALUE"""),200.16)</f>
        <v>200.16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IFERROR(__xludf.DUMMYFUNCTION("""COMPUTED_VALUE"""),232.56)</f>
        <v>232.56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IFERROR(__xludf.DUMMYFUNCTION("""COMPUTED_VALUE"""),249.76)</f>
        <v>249.76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IFERROR(__xludf.DUMMYFUNCTION("""COMPUTED_VALUE"""),226.78)</f>
        <v>226.78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IFERROR(__xludf.DUMMYFUNCTION("""COMPUTED_VALUE"""),230.56)</f>
        <v>230.56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IFERROR(__xludf.DUMMYFUNCTION("""COMPUTED_VALUE"""),243.32)</f>
        <v>243.32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IFERROR(__xludf.DUMMYFUNCTION("""COMPUTED_VALUE"""),236.36)</f>
        <v>236.36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IFERROR(__xludf.DUMMYFUNCTION("""COMPUTED_VALUE"""),254.0)</f>
        <v>254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IFERROR(__xludf.DUMMYFUNCTION("""COMPUTED_VALUE"""),266.38)</f>
        <v>266.38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IFERROR(__xludf.DUMMYFUNCTION("""COMPUTED_VALUE"""),304.0)</f>
        <v>304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IFERROR(__xludf.DUMMYFUNCTION("""COMPUTED_VALUE"""),294.96)</f>
        <v>294.96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IFERROR(__xludf.DUMMYFUNCTION("""COMPUTED_VALUE"""),288.0)</f>
        <v>288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IFERROR(__xludf.DUMMYFUNCTION("""COMPUTED_VALUE"""),278.3)</f>
        <v>278.3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IFERROR(__xludf.DUMMYFUNCTION("""COMPUTED_VALUE"""),280.0)</f>
        <v>280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IFERROR(__xludf.DUMMYFUNCTION("""COMPUTED_VALUE"""),271.65)</f>
        <v>271.65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IFERROR(__xludf.DUMMYFUNCTION("""COMPUTED_VALUE"""),240.0)</f>
        <v>240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IFERROR(__xludf.DUMMYFUNCTION("""COMPUTED_VALUE"""),245.0)</f>
        <v>245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IFERROR(__xludf.DUMMYFUNCTION("""COMPUTED_VALUE"""),226.4)</f>
        <v>226.4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IFERROR(__xludf.DUMMYFUNCTION("""COMPUTED_VALUE"""),214.0)</f>
        <v>214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IFERROR(__xludf.DUMMYFUNCTION("""COMPUTED_VALUE"""),240.0)</f>
        <v>240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IFERROR(__xludf.DUMMYFUNCTION("""COMPUTED_VALUE"""),234.4)</f>
        <v>234.4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IFERROR(__xludf.DUMMYFUNCTION("""COMPUTED_VALUE"""),220.35)</f>
        <v>220.35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IFERROR(__xludf.DUMMYFUNCTION("""COMPUTED_VALUE"""),227.5)</f>
        <v>227.5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IFERROR(__xludf.DUMMYFUNCTION("""COMPUTED_VALUE"""),222.8)</f>
        <v>222.8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IFERROR(__xludf.DUMMYFUNCTION("""COMPUTED_VALUE"""),234.75)</f>
        <v>234.75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IFERROR(__xludf.DUMMYFUNCTION("""COMPUTED_VALUE"""),238.4)</f>
        <v>238.4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IFERROR(__xludf.DUMMYFUNCTION("""COMPUTED_VALUE"""),242.7)</f>
        <v>242.7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IFERROR(__xludf.DUMMYFUNCTION("""COMPUTED_VALUE"""),255.35)</f>
        <v>255.35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IFERROR(__xludf.DUMMYFUNCTION("""COMPUTED_VALUE"""),280.0)</f>
        <v>280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IFERROR(__xludf.DUMMYFUNCTION("""COMPUTED_VALUE"""),259.0)</f>
        <v>259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IFERROR(__xludf.DUMMYFUNCTION("""COMPUTED_VALUE"""),263.4)</f>
        <v>263.4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IFERROR(__xludf.DUMMYFUNCTION("""COMPUTED_VALUE"""),259.2)</f>
        <v>259.2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IFERROR(__xludf.DUMMYFUNCTION("""COMPUTED_VALUE"""),262.7)</f>
        <v>262.7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IFERROR(__xludf.DUMMYFUNCTION("""COMPUTED_VALUE"""),269.0)</f>
        <v>269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IFERROR(__xludf.DUMMYFUNCTION("""COMPUTED_VALUE"""),270.7)</f>
        <v>270.7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IFERROR(__xludf.DUMMYFUNCTION("""COMPUTED_VALUE"""),265.0)</f>
        <v>265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IFERROR(__xludf.DUMMYFUNCTION("""COMPUTED_VALUE"""),265.0)</f>
        <v>265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IFERROR(__xludf.DUMMYFUNCTION("""COMPUTED_VALUE"""),274.4)</f>
        <v>274.4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IFERROR(__xludf.DUMMYFUNCTION("""COMPUTED_VALUE"""),273.15)</f>
        <v>273.15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IFERROR(__xludf.DUMMYFUNCTION("""COMPUTED_VALUE"""),274.8)</f>
        <v>274.8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IFERROR(__xludf.DUMMYFUNCTION("""COMPUTED_VALUE"""),265.0)</f>
        <v>265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IFERROR(__xludf.DUMMYFUNCTION("""COMPUTED_VALUE"""),269.5)</f>
        <v>269.5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IFERROR(__xludf.DUMMYFUNCTION("""COMPUTED_VALUE"""),257.0)</f>
        <v>257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IFERROR(__xludf.DUMMYFUNCTION("""COMPUTED_VALUE"""),252.0)</f>
        <v>252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IFERROR(__xludf.DUMMYFUNCTION("""COMPUTED_VALUE"""),250.0)</f>
        <v>250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IFERROR(__xludf.DUMMYFUNCTION("""COMPUTED_VALUE"""),260.9)</f>
        <v>260.9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IFERROR(__xludf.DUMMYFUNCTION("GOOGLEFINANCE(""NSE:CIPLA"",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IFERROR(__xludf.DUMMYFUNCTION("""COMPUTED_VALUE"""),260.0)</f>
        <v>260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IFERROR(__xludf.DUMMYFUNCTION("""COMPUTED_VALUE"""),256.95)</f>
        <v>256.95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IFERROR(__xludf.DUMMYFUNCTION("""COMPUTED_VALUE"""),262.5)</f>
        <v>262.5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IFERROR(__xludf.DUMMYFUNCTION("""COMPUTED_VALUE"""),256.95)</f>
        <v>256.95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IFERROR(__xludf.DUMMYFUNCTION("""COMPUTED_VALUE"""),252.7)</f>
        <v>252.7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IFERROR(__xludf.DUMMYFUNCTION("""COMPUTED_VALUE"""),260.0)</f>
        <v>260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IFERROR(__xludf.DUMMYFUNCTION("""COMPUTED_VALUE"""),267.0)</f>
        <v>267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IFERROR(__xludf.DUMMYFUNCTION("""COMPUTED_VALUE"""),259.0)</f>
        <v>259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IFERROR(__xludf.DUMMYFUNCTION("""COMPUTED_VALUE"""),246.9)</f>
        <v>246.9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IFERROR(__xludf.DUMMYFUNCTION("""COMPUTED_VALUE"""),238.0)</f>
        <v>238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IFERROR(__xludf.DUMMYFUNCTION("""COMPUTED_VALUE"""),238.0)</f>
        <v>238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IFERROR(__xludf.DUMMYFUNCTION("""COMPUTED_VALUE"""),243.9)</f>
        <v>243.9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IFERROR(__xludf.DUMMYFUNCTION("""COMPUTED_VALUE"""),246.75)</f>
        <v>246.75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IFERROR(__xludf.DUMMYFUNCTION("""COMPUTED_VALUE"""),238.0)</f>
        <v>238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IFERROR(__xludf.DUMMYFUNCTION("""COMPUTED_VALUE"""),239.65)</f>
        <v>239.65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IFERROR(__xludf.DUMMYFUNCTION("""COMPUTED_VALUE"""),236.9)</f>
        <v>236.9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IFERROR(__xludf.DUMMYFUNCTION("""COMPUTED_VALUE"""),257.9)</f>
        <v>257.9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IFERROR(__xludf.DUMMYFUNCTION("""COMPUTED_VALUE"""),224.0)</f>
        <v>224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IFERROR(__xludf.DUMMYFUNCTION("""COMPUTED_VALUE"""),219.65)</f>
        <v>219.65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IFERROR(__xludf.DUMMYFUNCTION("""COMPUTED_VALUE"""),213.0)</f>
        <v>213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IFERROR(__xludf.DUMMYFUNCTION("""COMPUTED_VALUE"""),211.25)</f>
        <v>211.25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IFERROR(__xludf.DUMMYFUNCTION("""COMPUTED_VALUE"""),225.0)</f>
        <v>225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IFERROR(__xludf.DUMMYFUNCTION("""COMPUTED_VALUE"""),228.8)</f>
        <v>228.8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IFERROR(__xludf.DUMMYFUNCTION("""COMPUTED_VALUE"""),215.1)</f>
        <v>215.1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IFERROR(__xludf.DUMMYFUNCTION("""COMPUTED_VALUE"""),214.35)</f>
        <v>214.35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IFERROR(__xludf.DUMMYFUNCTION("""COMPUTED_VALUE"""),211.05)</f>
        <v>211.05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IFERROR(__xludf.DUMMYFUNCTION("""COMPUTED_VALUE"""),221.9)</f>
        <v>221.9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IFERROR(__xludf.DUMMYFUNCTION("""COMPUTED_VALUE"""),219.8)</f>
        <v>219.8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IFERROR(__xludf.DUMMYFUNCTION("""COMPUTED_VALUE"""),212.9)</f>
        <v>212.9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IFERROR(__xludf.DUMMYFUNCTION("""COMPUTED_VALUE"""),198.9)</f>
        <v>198.9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IFERROR(__xludf.DUMMYFUNCTION("""COMPUTED_VALUE"""),192.0)</f>
        <v>192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IFERROR(__xludf.DUMMYFUNCTION("""COMPUTED_VALUE"""),191.4)</f>
        <v>191.4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IFERROR(__xludf.DUMMYFUNCTION("""COMPUTED_VALUE"""),193.75)</f>
        <v>193.75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IFERROR(__xludf.DUMMYFUNCTION("""COMPUTED_VALUE"""),188.0)</f>
        <v>188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IFERROR(__xludf.DUMMYFUNCTION("""COMPUTED_VALUE"""),174.8)</f>
        <v>174.8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IFERROR(__xludf.DUMMYFUNCTION("""COMPUTED_VALUE"""),186.2)</f>
        <v>186.2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IFERROR(__xludf.DUMMYFUNCTION("""COMPUTED_VALUE"""),181.9)</f>
        <v>181.9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IFERROR(__xludf.DUMMYFUNCTION("""COMPUTED_VALUE"""),175.0)</f>
        <v>175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IFERROR(__xludf.DUMMYFUNCTION("""COMPUTED_VALUE"""),184.75)</f>
        <v>184.75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IFERROR(__xludf.DUMMYFUNCTION("""COMPUTED_VALUE"""),194.4)</f>
        <v>194.4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IFERROR(__xludf.DUMMYFUNCTION("""COMPUTED_VALUE"""),197.0)</f>
        <v>197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IFERROR(__xludf.DUMMYFUNCTION("""COMPUTED_VALUE"""),189.5)</f>
        <v>189.5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IFERROR(__xludf.DUMMYFUNCTION("""COMPUTED_VALUE"""),202.2)</f>
        <v>202.2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IFERROR(__xludf.DUMMYFUNCTION("""COMPUTED_VALUE"""),190.0)</f>
        <v>190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IFERROR(__xludf.DUMMYFUNCTION("""COMPUTED_VALUE"""),192.45)</f>
        <v>192.45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IFERROR(__xludf.DUMMYFUNCTION("""COMPUTED_VALUE"""),189.95)</f>
        <v>189.95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IFERROR(__xludf.DUMMYFUNCTION("""COMPUTED_VALUE"""),186.0)</f>
        <v>186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IFERROR(__xludf.DUMMYFUNCTION("""COMPUTED_VALUE"""),203.45)</f>
        <v>203.45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IFERROR(__xludf.DUMMYFUNCTION("""COMPUTED_VALUE"""),211.8)</f>
        <v>211.8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IFERROR(__xludf.DUMMYFUNCTION("""COMPUTED_VALUE"""),221.95)</f>
        <v>221.95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IFERROR(__xludf.DUMMYFUNCTION("""COMPUTED_VALUE"""),219.0)</f>
        <v>219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IFERROR(__xludf.DUMMYFUNCTION("GOOGLEFINANCE(""NSE:CIPLA"",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IFERROR(__xludf.DUMMYFUNCTION("""COMPUTED_VALUE"""),224.6)</f>
        <v>224.6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IFERROR(__xludf.DUMMYFUNCTION("""COMPUTED_VALUE"""),215.8)</f>
        <v>215.8</v>
      </c>
    </row>
    <row r="334" ht="15.75" customHeight="1">
      <c r="B334" s="3">
        <f>IFERROR(__xludf.DUMMYFUNCTION("""COMPUTED_VALUE"""),39464.645833333336)</f>
        <v>39464.64583</v>
      </c>
      <c r="C334" s="2">
        <f>IFERROR(__xludf.DUMMYFUNCTION("""COMPUTED_VALUE"""),213.0)</f>
        <v>213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IFERROR(__xludf.DUMMYFUNCTION("""COMPUTED_VALUE"""),201.25)</f>
        <v>201.25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IFERROR(__xludf.DUMMYFUNCTION("""COMPUTED_VALUE"""),198.0)</f>
        <v>198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IFERROR(__xludf.DUMMYFUNCTION("""COMPUTED_VALUE"""),204.7)</f>
        <v>204.7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IFERROR(__xludf.DUMMYFUNCTION("""COMPUTED_VALUE"""),197.0)</f>
        <v>197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IFERROR(__xludf.DUMMYFUNCTION("""COMPUTED_VALUE"""),200.0)</f>
        <v>200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IFERROR(__xludf.DUMMYFUNCTION("""COMPUTED_VALUE"""),213.0)</f>
        <v>213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IFERROR(__xludf.DUMMYFUNCTION("""COMPUTED_VALUE"""),215.0)</f>
        <v>215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IFERROR(__xludf.DUMMYFUNCTION("""COMPUTED_VALUE"""),209.9)</f>
        <v>209.9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IFERROR(__xludf.DUMMYFUNCTION("""COMPUTED_VALUE"""),210.7)</f>
        <v>210.7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IFERROR(__xludf.DUMMYFUNCTION("""COMPUTED_VALUE"""),219.0)</f>
        <v>219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IFERROR(__xludf.DUMMYFUNCTION("""COMPUTED_VALUE"""),224.8)</f>
        <v>224.8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IFERROR(__xludf.DUMMYFUNCTION("""COMPUTED_VALUE"""),219.2)</f>
        <v>219.2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IFERROR(__xludf.DUMMYFUNCTION("""COMPUTED_VALUE"""),223.4)</f>
        <v>223.4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IFERROR(__xludf.DUMMYFUNCTION("""COMPUTED_VALUE"""),233.6)</f>
        <v>233.6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IFERROR(__xludf.DUMMYFUNCTION("""COMPUTED_VALUE"""),229.3)</f>
        <v>229.3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IFERROR(__xludf.DUMMYFUNCTION("""COMPUTED_VALUE"""),220.9)</f>
        <v>220.9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IFERROR(__xludf.DUMMYFUNCTION("""COMPUTED_VALUE"""),215.5)</f>
        <v>215.5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IFERROR(__xludf.DUMMYFUNCTION("""COMPUTED_VALUE"""),212.8)</f>
        <v>212.8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IFERROR(__xludf.DUMMYFUNCTION("""COMPUTED_VALUE"""),219.3)</f>
        <v>219.3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IFERROR(__xludf.DUMMYFUNCTION("""COMPUTED_VALUE"""),215.1)</f>
        <v>215.1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IFERROR(__xludf.DUMMYFUNCTION("""COMPUTED_VALUE"""),224.0)</f>
        <v>224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IFERROR(__xludf.DUMMYFUNCTION("""COMPUTED_VALUE"""),221.5)</f>
        <v>221.5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IFERROR(__xludf.DUMMYFUNCTION("""COMPUTED_VALUE"""),220.6)</f>
        <v>220.6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IFERROR(__xludf.DUMMYFUNCTION("""COMPUTED_VALUE"""),218.9)</f>
        <v>218.9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IFERROR(__xludf.DUMMYFUNCTION("""COMPUTED_VALUE"""),215.15)</f>
        <v>215.15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IFERROR(__xludf.DUMMYFUNCTION("""COMPUTED_VALUE"""),219.5)</f>
        <v>219.5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IFERROR(__xludf.DUMMYFUNCTION("""COMPUTED_VALUE"""),244.95)</f>
        <v>244.95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IFERROR(__xludf.DUMMYFUNCTION("""COMPUTED_VALUE"""),229.0)</f>
        <v>229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IFERROR(__xludf.DUMMYFUNCTION("""COMPUTED_VALUE"""),235.95)</f>
        <v>235.95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IFERROR(__xludf.DUMMYFUNCTION("""COMPUTED_VALUE"""),238.5)</f>
        <v>238.5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IFERROR(__xludf.DUMMYFUNCTION("""COMPUTED_VALUE"""),243.0)</f>
        <v>243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IFERROR(__xludf.DUMMYFUNCTION("""COMPUTED_VALUE"""),244.4)</f>
        <v>244.4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IFERROR(__xludf.DUMMYFUNCTION("""COMPUTED_VALUE"""),240.2)</f>
        <v>240.2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IFERROR(__xludf.DUMMYFUNCTION("""COMPUTED_VALUE"""),238.5)</f>
        <v>238.5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IFERROR(__xludf.DUMMYFUNCTION("""COMPUTED_VALUE"""),234.5)</f>
        <v>234.5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IFERROR(__xludf.DUMMYFUNCTION("""COMPUTED_VALUE"""),237.5)</f>
        <v>237.5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IFERROR(__xludf.DUMMYFUNCTION("""COMPUTED_VALUE"""),235.0)</f>
        <v>235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IFERROR(__xludf.DUMMYFUNCTION("""COMPUTED_VALUE"""),225.5)</f>
        <v>225.5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IFERROR(__xludf.DUMMYFUNCTION("""COMPUTED_VALUE"""),205.1)</f>
        <v>205.1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IFERROR(__xludf.DUMMYFUNCTION("""COMPUTED_VALUE"""),199.5)</f>
        <v>199.5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IFERROR(__xludf.DUMMYFUNCTION("""COMPUTED_VALUE"""),183.8)</f>
        <v>183.8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IFERROR(__xludf.DUMMYFUNCTION("""COMPUTED_VALUE"""),190.9)</f>
        <v>190.9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IFERROR(__xludf.DUMMYFUNCTION("""COMPUTED_VALUE"""),210.5)</f>
        <v>210.5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IFERROR(__xludf.DUMMYFUNCTION("""COMPUTED_VALUE"""),194.4)</f>
        <v>194.4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IFERROR(__xludf.DUMMYFUNCTION("""COMPUTED_VALUE"""),203.0)</f>
        <v>203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IFERROR(__xludf.DUMMYFUNCTION("""COMPUTED_VALUE"""),205.0)</f>
        <v>205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IFERROR(__xludf.DUMMYFUNCTION("""COMPUTED_VALUE"""),190.8)</f>
        <v>190.8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IFERROR(__xludf.DUMMYFUNCTION("""COMPUTED_VALUE"""),195.95)</f>
        <v>195.95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IFERROR(__xludf.DUMMYFUNCTION("""COMPUTED_VALUE"""),193.35)</f>
        <v>193.35</v>
      </c>
    </row>
    <row r="384" ht="15.75" customHeight="1"/>
    <row r="385" ht="15.75" customHeight="1"/>
    <row r="386" ht="15.75" customHeight="1">
      <c r="B386" s="2" t="str">
        <f>IFERROR(__xludf.DUMMYFUNCTION("GOOGLEFINANCE(""NSE:CIPLA"",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IFERROR(__xludf.DUMMYFUNCTION("""COMPUTED_VALUE"""),196.1)</f>
        <v>196.1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IFERROR(__xludf.DUMMYFUNCTION("""COMPUTED_VALUE"""),195.95)</f>
        <v>195.95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IFERROR(__xludf.DUMMYFUNCTION("""COMPUTED_VALUE"""),189.9)</f>
        <v>189.9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IFERROR(__xludf.DUMMYFUNCTION("""COMPUTED_VALUE"""),191.65)</f>
        <v>191.65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IFERROR(__xludf.DUMMYFUNCTION("""COMPUTED_VALUE"""),196.7)</f>
        <v>196.7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IFERROR(__xludf.DUMMYFUNCTION("""COMPUTED_VALUE"""),196.5)</f>
        <v>196.5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IFERROR(__xludf.DUMMYFUNCTION("""COMPUTED_VALUE"""),195.85)</f>
        <v>195.85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IFERROR(__xludf.DUMMYFUNCTION("""COMPUTED_VALUE"""),194.45)</f>
        <v>194.45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IFERROR(__xludf.DUMMYFUNCTION("""COMPUTED_VALUE"""),195.5)</f>
        <v>195.5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IFERROR(__xludf.DUMMYFUNCTION("""COMPUTED_VALUE"""),206.4)</f>
        <v>206.4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IFERROR(__xludf.DUMMYFUNCTION("""COMPUTED_VALUE"""),209.75)</f>
        <v>209.75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IFERROR(__xludf.DUMMYFUNCTION("""COMPUTED_VALUE"""),205.0)</f>
        <v>205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IFERROR(__xludf.DUMMYFUNCTION("""COMPUTED_VALUE"""),222.0)</f>
        <v>222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IFERROR(__xludf.DUMMYFUNCTION("""COMPUTED_VALUE"""),227.0)</f>
        <v>227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IFERROR(__xludf.DUMMYFUNCTION("""COMPUTED_VALUE"""),235.9)</f>
        <v>235.9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IFERROR(__xludf.DUMMYFUNCTION("""COMPUTED_VALUE"""),244.05)</f>
        <v>244.05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IFERROR(__xludf.DUMMYFUNCTION("""COMPUTED_VALUE"""),244.8)</f>
        <v>244.8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IFERROR(__xludf.DUMMYFUNCTION("""COMPUTED_VALUE"""),256.9)</f>
        <v>256.9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IFERROR(__xludf.DUMMYFUNCTION("""COMPUTED_VALUE"""),247.0)</f>
        <v>247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IFERROR(__xludf.DUMMYFUNCTION("""COMPUTED_VALUE"""),233.0)</f>
        <v>233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IFERROR(__xludf.DUMMYFUNCTION("""COMPUTED_VALUE"""),256.0)</f>
        <v>256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IFERROR(__xludf.DUMMYFUNCTION("""COMPUTED_VALUE"""),229.85)</f>
        <v>229.85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IFERROR(__xludf.DUMMYFUNCTION("""COMPUTED_VALUE"""),238.3)</f>
        <v>238.3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IFERROR(__xludf.DUMMYFUNCTION("""COMPUTED_VALUE"""),254.75)</f>
        <v>254.75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IFERROR(__xludf.DUMMYFUNCTION("""COMPUTED_VALUE"""),267.1)</f>
        <v>267.1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IFERROR(__xludf.DUMMYFUNCTION("""COMPUTED_VALUE"""),269.5)</f>
        <v>269.5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IFERROR(__xludf.DUMMYFUNCTION("""COMPUTED_VALUE"""),265.0)</f>
        <v>265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IFERROR(__xludf.DUMMYFUNCTION("""COMPUTED_VALUE"""),266.0)</f>
        <v>266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IFERROR(__xludf.DUMMYFUNCTION("""COMPUTED_VALUE"""),282.0)</f>
        <v>282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IFERROR(__xludf.DUMMYFUNCTION("""COMPUTED_VALUE"""),289.7)</f>
        <v>289.7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IFERROR(__xludf.DUMMYFUNCTION("""COMPUTED_VALUE"""),292.0)</f>
        <v>292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IFERROR(__xludf.DUMMYFUNCTION("""COMPUTED_VALUE"""),286.1)</f>
        <v>286.1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IFERROR(__xludf.DUMMYFUNCTION("""COMPUTED_VALUE"""),295.4)</f>
        <v>295.4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IFERROR(__xludf.DUMMYFUNCTION("""COMPUTED_VALUE"""),283.0)</f>
        <v>283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IFERROR(__xludf.DUMMYFUNCTION("""COMPUTED_VALUE"""),284.95)</f>
        <v>284.95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IFERROR(__xludf.DUMMYFUNCTION("""COMPUTED_VALUE"""),273.95)</f>
        <v>273.95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IFERROR(__xludf.DUMMYFUNCTION("""COMPUTED_VALUE"""),273.0)</f>
        <v>273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IFERROR(__xludf.DUMMYFUNCTION("""COMPUTED_VALUE"""),271.5)</f>
        <v>271.5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IFERROR(__xludf.DUMMYFUNCTION("""COMPUTED_VALUE"""),269.0)</f>
        <v>269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IFERROR(__xludf.DUMMYFUNCTION("""COMPUTED_VALUE"""),290.0)</f>
        <v>290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IFERROR(__xludf.DUMMYFUNCTION("""COMPUTED_VALUE"""),304.9)</f>
        <v>304.9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IFERROR(__xludf.DUMMYFUNCTION("""COMPUTED_VALUE"""),294.0)</f>
        <v>294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IFERROR(__xludf.DUMMYFUNCTION("""COMPUTED_VALUE"""),304.0)</f>
        <v>304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IFERROR(__xludf.DUMMYFUNCTION("""COMPUTED_VALUE"""),304.9)</f>
        <v>304.9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IFERROR(__xludf.DUMMYFUNCTION("""COMPUTED_VALUE"""),311.0)</f>
        <v>311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IFERROR(__xludf.DUMMYFUNCTION("""COMPUTED_VALUE"""),314.0)</f>
        <v>314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IFERROR(__xludf.DUMMYFUNCTION("""COMPUTED_VALUE"""),331.9)</f>
        <v>331.9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IFERROR(__xludf.DUMMYFUNCTION("""COMPUTED_VALUE"""),361.8)</f>
        <v>361.8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IFERROR(__xludf.DUMMYFUNCTION("""COMPUTED_VALUE"""),363.0)</f>
        <v>363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IFERROR(__xludf.DUMMYFUNCTION("""COMPUTED_VALUE"""),363.5)</f>
        <v>363.5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IFERROR(__xludf.DUMMYFUNCTION("""COMPUTED_VALUE"""),359.3)</f>
        <v>359.3</v>
      </c>
    </row>
    <row r="438" ht="15.75" customHeight="1"/>
    <row r="439" ht="15.75" customHeight="1"/>
    <row r="440" ht="15.75" customHeight="1"/>
    <row r="441" ht="15.75" customHeight="1">
      <c r="B441" s="2" t="str">
        <f>IFERROR(__xludf.DUMMYFUNCTION("GOOGLEFINANCE(""NSE:CIPLA"",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IFERROR(__xludf.DUMMYFUNCTION("""COMPUTED_VALUE"""),350.4)</f>
        <v>350.4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IFERROR(__xludf.DUMMYFUNCTION("""COMPUTED_VALUE"""),353.0)</f>
        <v>353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IFERROR(__xludf.DUMMYFUNCTION("""COMPUTED_VALUE"""),358.4)</f>
        <v>358.4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IFERROR(__xludf.DUMMYFUNCTION("""COMPUTED_VALUE"""),332.7)</f>
        <v>332.7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IFERROR(__xludf.DUMMYFUNCTION("""COMPUTED_VALUE"""),325.6)</f>
        <v>325.6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IFERROR(__xludf.DUMMYFUNCTION("""COMPUTED_VALUE"""),325.9)</f>
        <v>325.9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IFERROR(__xludf.DUMMYFUNCTION("""COMPUTED_VALUE"""),320.4)</f>
        <v>320.4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IFERROR(__xludf.DUMMYFUNCTION("""COMPUTED_VALUE"""),325.5)</f>
        <v>325.5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IFERROR(__xludf.DUMMYFUNCTION("""COMPUTED_VALUE"""),324.9)</f>
        <v>324.9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IFERROR(__xludf.DUMMYFUNCTION("""COMPUTED_VALUE"""),336.0)</f>
        <v>336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IFERROR(__xludf.DUMMYFUNCTION("""COMPUTED_VALUE"""),354.75)</f>
        <v>354.75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IFERROR(__xludf.DUMMYFUNCTION("""COMPUTED_VALUE"""),354.85)</f>
        <v>354.85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IFERROR(__xludf.DUMMYFUNCTION("""COMPUTED_VALUE"""),351.9)</f>
        <v>351.9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IFERROR(__xludf.DUMMYFUNCTION("""COMPUTED_VALUE"""),337.9)</f>
        <v>337.9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IFERROR(__xludf.DUMMYFUNCTION("""COMPUTED_VALUE"""),339.95)</f>
        <v>339.95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IFERROR(__xludf.DUMMYFUNCTION("""COMPUTED_VALUE"""),345.0)</f>
        <v>345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IFERROR(__xludf.DUMMYFUNCTION("""COMPUTED_VALUE"""),353.85)</f>
        <v>353.85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IFERROR(__xludf.DUMMYFUNCTION("""COMPUTED_VALUE"""),345.0)</f>
        <v>345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IFERROR(__xludf.DUMMYFUNCTION("""COMPUTED_VALUE"""),324.0)</f>
        <v>324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IFERROR(__xludf.DUMMYFUNCTION("""COMPUTED_VALUE"""),322.7)</f>
        <v>322.7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IFERROR(__xludf.DUMMYFUNCTION("""COMPUTED_VALUE"""),327.95)</f>
        <v>327.95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IFERROR(__xludf.DUMMYFUNCTION("""COMPUTED_VALUE"""),342.25)</f>
        <v>342.25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IFERROR(__xludf.DUMMYFUNCTION("""COMPUTED_VALUE"""),344.95)</f>
        <v>344.95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IFERROR(__xludf.DUMMYFUNCTION("""COMPUTED_VALUE"""),350.5)</f>
        <v>350.5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IFERROR(__xludf.DUMMYFUNCTION("""COMPUTED_VALUE"""),352.0)</f>
        <v>352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IFERROR(__xludf.DUMMYFUNCTION("""COMPUTED_VALUE"""),342.9)</f>
        <v>342.9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IFERROR(__xludf.DUMMYFUNCTION("""COMPUTED_VALUE"""),341.0)</f>
        <v>341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IFERROR(__xludf.DUMMYFUNCTION("""COMPUTED_VALUE"""),332.0)</f>
        <v>332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IFERROR(__xludf.DUMMYFUNCTION("""COMPUTED_VALUE"""),333.8)</f>
        <v>333.8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IFERROR(__xludf.DUMMYFUNCTION("""COMPUTED_VALUE"""),328.45)</f>
        <v>328.45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IFERROR(__xludf.DUMMYFUNCTION("""COMPUTED_VALUE"""),324.9)</f>
        <v>324.9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IFERROR(__xludf.DUMMYFUNCTION("""COMPUTED_VALUE"""),317.95)</f>
        <v>317.95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IFERROR(__xludf.DUMMYFUNCTION("""COMPUTED_VALUE"""),321.0)</f>
        <v>321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IFERROR(__xludf.DUMMYFUNCTION("""COMPUTED_VALUE"""),309.4)</f>
        <v>309.4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IFERROR(__xludf.DUMMYFUNCTION("""COMPUTED_VALUE"""),316.0)</f>
        <v>316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IFERROR(__xludf.DUMMYFUNCTION("""COMPUTED_VALUE"""),315.0)</f>
        <v>315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IFERROR(__xludf.DUMMYFUNCTION("""COMPUTED_VALUE"""),324.0)</f>
        <v>324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IFERROR(__xludf.DUMMYFUNCTION("""COMPUTED_VALUE"""),328.65)</f>
        <v>328.65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IFERROR(__xludf.DUMMYFUNCTION("""COMPUTED_VALUE"""),340.3)</f>
        <v>340.3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IFERROR(__xludf.DUMMYFUNCTION("""COMPUTED_VALUE"""),342.6)</f>
        <v>342.6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IFERROR(__xludf.DUMMYFUNCTION("""COMPUTED_VALUE"""),348.7)</f>
        <v>348.7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IFERROR(__xludf.DUMMYFUNCTION("""COMPUTED_VALUE"""),359.8)</f>
        <v>359.8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IFERROR(__xludf.DUMMYFUNCTION("""COMPUTED_VALUE"""),362.8)</f>
        <v>362.8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IFERROR(__xludf.DUMMYFUNCTION("""COMPUTED_VALUE"""),354.95)</f>
        <v>354.95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IFERROR(__xludf.DUMMYFUNCTION("""COMPUTED_VALUE"""),356.6)</f>
        <v>356.6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IFERROR(__xludf.DUMMYFUNCTION("""COMPUTED_VALUE"""),350.0)</f>
        <v>350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IFERROR(__xludf.DUMMYFUNCTION("""COMPUTED_VALUE"""),375.4)</f>
        <v>375.4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IFERROR(__xludf.DUMMYFUNCTION("""COMPUTED_VALUE"""),379.8)</f>
        <v>379.8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IFERROR(__xludf.DUMMYFUNCTION("""COMPUTED_VALUE"""),362.35)</f>
        <v>362.35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IFERROR(__xludf.DUMMYFUNCTION("""COMPUTED_VALUE"""),371.75)</f>
        <v>371.75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IFERROR(__xludf.DUMMYFUNCTION("""COMPUTED_VALUE"""),374.25)</f>
        <v>374.25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IFERROR(__xludf.DUMMYFUNCTION("GOOGLEFINANCE(""NSE:CIPLA"",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IFERROR(__xludf.DUMMYFUNCTION("""COMPUTED_VALUE"""),381.0)</f>
        <v>381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IFERROR(__xludf.DUMMYFUNCTION("""COMPUTED_VALUE"""),357.35)</f>
        <v>357.35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IFERROR(__xludf.DUMMYFUNCTION("""COMPUTED_VALUE"""),359.5)</f>
        <v>359.5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IFERROR(__xludf.DUMMYFUNCTION("""COMPUTED_VALUE"""),356.0)</f>
        <v>356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IFERROR(__xludf.DUMMYFUNCTION("""COMPUTED_VALUE"""),336.7)</f>
        <v>336.7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IFERROR(__xludf.DUMMYFUNCTION("""COMPUTED_VALUE"""),322.4)</f>
        <v>322.4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IFERROR(__xludf.DUMMYFUNCTION("""COMPUTED_VALUE"""),318.65)</f>
        <v>318.65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IFERROR(__xludf.DUMMYFUNCTION("""COMPUTED_VALUE"""),309.3)</f>
        <v>309.3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IFERROR(__xludf.DUMMYFUNCTION("""COMPUTED_VALUE"""),310.8)</f>
        <v>310.8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IFERROR(__xludf.DUMMYFUNCTION("""COMPUTED_VALUE"""),309.4)</f>
        <v>309.4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IFERROR(__xludf.DUMMYFUNCTION("""COMPUTED_VALUE"""),303.45)</f>
        <v>303.45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IFERROR(__xludf.DUMMYFUNCTION("""COMPUTED_VALUE"""),309.95)</f>
        <v>309.95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IFERROR(__xludf.DUMMYFUNCTION("""COMPUTED_VALUE"""),332.75)</f>
        <v>332.75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IFERROR(__xludf.DUMMYFUNCTION("""COMPUTED_VALUE"""),326.0)</f>
        <v>326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IFERROR(__xludf.DUMMYFUNCTION("""COMPUTED_VALUE"""),325.0)</f>
        <v>325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IFERROR(__xludf.DUMMYFUNCTION("""COMPUTED_VALUE"""),323.8)</f>
        <v>323.8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IFERROR(__xludf.DUMMYFUNCTION("""COMPUTED_VALUE"""),323.95)</f>
        <v>323.95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IFERROR(__xludf.DUMMYFUNCTION("""COMPUTED_VALUE"""),315.85)</f>
        <v>315.85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IFERROR(__xludf.DUMMYFUNCTION("""COMPUTED_VALUE"""),312.5)</f>
        <v>312.5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IFERROR(__xludf.DUMMYFUNCTION("""COMPUTED_VALUE"""),316.7)</f>
        <v>316.7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IFERROR(__xludf.DUMMYFUNCTION("""COMPUTED_VALUE"""),324.0)</f>
        <v>324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IFERROR(__xludf.DUMMYFUNCTION("""COMPUTED_VALUE"""),334.9)</f>
        <v>334.9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IFERROR(__xludf.DUMMYFUNCTION("""COMPUTED_VALUE"""),339.0)</f>
        <v>339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IFERROR(__xludf.DUMMYFUNCTION("""COMPUTED_VALUE"""),341.8)</f>
        <v>341.8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IFERROR(__xludf.DUMMYFUNCTION("""COMPUTED_VALUE"""),329.8)</f>
        <v>329.8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IFERROR(__xludf.DUMMYFUNCTION("""COMPUTED_VALUE"""),336.3)</f>
        <v>336.3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IFERROR(__xludf.DUMMYFUNCTION("""COMPUTED_VALUE"""),337.95)</f>
        <v>337.95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IFERROR(__xludf.DUMMYFUNCTION("""COMPUTED_VALUE"""),334.95)</f>
        <v>334.95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IFERROR(__xludf.DUMMYFUNCTION("""COMPUTED_VALUE"""),324.05)</f>
        <v>324.05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IFERROR(__xludf.DUMMYFUNCTION("""COMPUTED_VALUE"""),323.5)</f>
        <v>323.5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IFERROR(__xludf.DUMMYFUNCTION("""COMPUTED_VALUE"""),315.45)</f>
        <v>315.45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IFERROR(__xludf.DUMMYFUNCTION("""COMPUTED_VALUE"""),309.2)</f>
        <v>309.2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IFERROR(__xludf.DUMMYFUNCTION("""COMPUTED_VALUE"""),296.85)</f>
        <v>296.85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IFERROR(__xludf.DUMMYFUNCTION("""COMPUTED_VALUE"""),292.45)</f>
        <v>292.45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IFERROR(__xludf.DUMMYFUNCTION("""COMPUTED_VALUE"""),289.9)</f>
        <v>289.9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IFERROR(__xludf.DUMMYFUNCTION("""COMPUTED_VALUE"""),294.0)</f>
        <v>294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IFERROR(__xludf.DUMMYFUNCTION("""COMPUTED_VALUE"""),299.6)</f>
        <v>299.6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IFERROR(__xludf.DUMMYFUNCTION("""COMPUTED_VALUE"""),286.3)</f>
        <v>286.3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IFERROR(__xludf.DUMMYFUNCTION("""COMPUTED_VALUE"""),290.0)</f>
        <v>290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IFERROR(__xludf.DUMMYFUNCTION("""COMPUTED_VALUE"""),289.85)</f>
        <v>289.85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IFERROR(__xludf.DUMMYFUNCTION("""COMPUTED_VALUE"""),291.25)</f>
        <v>291.25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IFERROR(__xludf.DUMMYFUNCTION("""COMPUTED_VALUE"""),291.45)</f>
        <v>291.45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IFERROR(__xludf.DUMMYFUNCTION("""COMPUTED_VALUE"""),300.0)</f>
        <v>300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IFERROR(__xludf.DUMMYFUNCTION("""COMPUTED_VALUE"""),299.2)</f>
        <v>299.2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IFERROR(__xludf.DUMMYFUNCTION("""COMPUTED_VALUE"""),293.95)</f>
        <v>293.95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IFERROR(__xludf.DUMMYFUNCTION("""COMPUTED_VALUE"""),320.7)</f>
        <v>320.7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IFERROR(__xludf.DUMMYFUNCTION("""COMPUTED_VALUE"""),323.0)</f>
        <v>323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IFERROR(__xludf.DUMMYFUNCTION("""COMPUTED_VALUE"""),334.05)</f>
        <v>334.05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IFERROR(__xludf.DUMMYFUNCTION("""COMPUTED_VALUE"""),332.5)</f>
        <v>332.5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IFERROR(__xludf.DUMMYFUNCTION("""COMPUTED_VALUE"""),340.0)</f>
        <v>340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IFERROR(__xludf.DUMMYFUNCTION("""COMPUTED_VALUE"""),337.4)</f>
        <v>337.4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IFERROR(__xludf.DUMMYFUNCTION("""COMPUTED_VALUE"""),331.95)</f>
        <v>331.95</v>
      </c>
    </row>
    <row r="549" ht="15.75" customHeight="1"/>
    <row r="550" ht="15.75" customHeight="1"/>
    <row r="551" ht="15.75" customHeight="1">
      <c r="B551" s="2" t="str">
        <f>IFERROR(__xludf.DUMMYFUNCTION("GOOGLEFINANCE(""NSE:CIPLA"",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IFERROR(__xludf.DUMMYFUNCTION("""COMPUTED_VALUE"""),349.2)</f>
        <v>349.2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IFERROR(__xludf.DUMMYFUNCTION("""COMPUTED_VALUE"""),343.0)</f>
        <v>343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IFERROR(__xludf.DUMMYFUNCTION("""COMPUTED_VALUE"""),348.4)</f>
        <v>348.4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IFERROR(__xludf.DUMMYFUNCTION("""COMPUTED_VALUE"""),354.7)</f>
        <v>354.7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IFERROR(__xludf.DUMMYFUNCTION("""COMPUTED_VALUE"""),359.95)</f>
        <v>359.95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IFERROR(__xludf.DUMMYFUNCTION("""COMPUTED_VALUE"""),353.3)</f>
        <v>353.3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IFERROR(__xludf.DUMMYFUNCTION("""COMPUTED_VALUE"""),325.9)</f>
        <v>325.9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IFERROR(__xludf.DUMMYFUNCTION("""COMPUTED_VALUE"""),314.95)</f>
        <v>314.95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IFERROR(__xludf.DUMMYFUNCTION("""COMPUTED_VALUE"""),313.0)</f>
        <v>313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IFERROR(__xludf.DUMMYFUNCTION("""COMPUTED_VALUE"""),308.9)</f>
        <v>308.9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IFERROR(__xludf.DUMMYFUNCTION("""COMPUTED_VALUE"""),305.95)</f>
        <v>305.95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IFERROR(__xludf.DUMMYFUNCTION("""COMPUTED_VALUE"""),313.8)</f>
        <v>313.8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IFERROR(__xludf.DUMMYFUNCTION("""COMPUTED_VALUE"""),316.0)</f>
        <v>316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IFERROR(__xludf.DUMMYFUNCTION("""COMPUTED_VALUE"""),323.0)</f>
        <v>323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IFERROR(__xludf.DUMMYFUNCTION("""COMPUTED_VALUE"""),329.6)</f>
        <v>329.6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IFERROR(__xludf.DUMMYFUNCTION("""COMPUTED_VALUE"""),331.3)</f>
        <v>331.3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IFERROR(__xludf.DUMMYFUNCTION("""COMPUTED_VALUE"""),327.55)</f>
        <v>327.55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IFERROR(__xludf.DUMMYFUNCTION("""COMPUTED_VALUE"""),318.4)</f>
        <v>318.4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IFERROR(__xludf.DUMMYFUNCTION("""COMPUTED_VALUE"""),316.1)</f>
        <v>316.1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IFERROR(__xludf.DUMMYFUNCTION("""COMPUTED_VALUE"""),312.25)</f>
        <v>312.25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IFERROR(__xludf.DUMMYFUNCTION("""COMPUTED_VALUE"""),311.1)</f>
        <v>311.1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IFERROR(__xludf.DUMMYFUNCTION("""COMPUTED_VALUE"""),316.9)</f>
        <v>316.9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IFERROR(__xludf.DUMMYFUNCTION("""COMPUTED_VALUE"""),317.9)</f>
        <v>317.9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IFERROR(__xludf.DUMMYFUNCTION("""COMPUTED_VALUE"""),329.7)</f>
        <v>329.7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IFERROR(__xludf.DUMMYFUNCTION("""COMPUTED_VALUE"""),332.45)</f>
        <v>332.45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IFERROR(__xludf.DUMMYFUNCTION("""COMPUTED_VALUE"""),337.5)</f>
        <v>337.5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IFERROR(__xludf.DUMMYFUNCTION("""COMPUTED_VALUE"""),332.2)</f>
        <v>332.2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IFERROR(__xludf.DUMMYFUNCTION("""COMPUTED_VALUE"""),363.6)</f>
        <v>363.6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IFERROR(__xludf.DUMMYFUNCTION("""COMPUTED_VALUE"""),355.95)</f>
        <v>355.95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IFERROR(__xludf.DUMMYFUNCTION("""COMPUTED_VALUE"""),360.45)</f>
        <v>360.45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IFERROR(__xludf.DUMMYFUNCTION("""COMPUTED_VALUE"""),367.95)</f>
        <v>367.95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IFERROR(__xludf.DUMMYFUNCTION("""COMPUTED_VALUE"""),383.1)</f>
        <v>383.1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IFERROR(__xludf.DUMMYFUNCTION("""COMPUTED_VALUE"""),395.4)</f>
        <v>395.4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IFERROR(__xludf.DUMMYFUNCTION("""COMPUTED_VALUE"""),373.95)</f>
        <v>373.95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IFERROR(__xludf.DUMMYFUNCTION("""COMPUTED_VALUE"""),382.1)</f>
        <v>382.1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IFERROR(__xludf.DUMMYFUNCTION("""COMPUTED_VALUE"""),387.2)</f>
        <v>387.2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IFERROR(__xludf.DUMMYFUNCTION("""COMPUTED_VALUE"""),376.5)</f>
        <v>376.5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IFERROR(__xludf.DUMMYFUNCTION("""COMPUTED_VALUE"""),370.95)</f>
        <v>370.95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IFERROR(__xludf.DUMMYFUNCTION("""COMPUTED_VALUE"""),368.4)</f>
        <v>368.4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IFERROR(__xludf.DUMMYFUNCTION("""COMPUTED_VALUE"""),380.95)</f>
        <v>380.95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IFERROR(__xludf.DUMMYFUNCTION("""COMPUTED_VALUE"""),400.95)</f>
        <v>400.95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IFERROR(__xludf.DUMMYFUNCTION("""COMPUTED_VALUE"""),398.0)</f>
        <v>398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IFERROR(__xludf.DUMMYFUNCTION("""COMPUTED_VALUE"""),395.5)</f>
        <v>395.5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IFERROR(__xludf.DUMMYFUNCTION("""COMPUTED_VALUE"""),416.9)</f>
        <v>416.9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IFERROR(__xludf.DUMMYFUNCTION("""COMPUTED_VALUE"""),420.6)</f>
        <v>420.6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IFERROR(__xludf.DUMMYFUNCTION("""COMPUTED_VALUE"""),423.0)</f>
        <v>423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IFERROR(__xludf.DUMMYFUNCTION("""COMPUTED_VALUE"""),430.1)</f>
        <v>430.1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IFERROR(__xludf.DUMMYFUNCTION("""COMPUTED_VALUE"""),424.4)</f>
        <v>424.4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IFERROR(__xludf.DUMMYFUNCTION("GOOGLEFINANCE(""NSE:CIPLA"",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IFERROR(__xludf.DUMMYFUNCTION("""COMPUTED_VALUE"""),425.0)</f>
        <v>425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IFERROR(__xludf.DUMMYFUNCTION("""COMPUTED_VALUE"""),435.0)</f>
        <v>435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IFERROR(__xludf.DUMMYFUNCTION("""COMPUTED_VALUE"""),423.95)</f>
        <v>423.95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IFERROR(__xludf.DUMMYFUNCTION("""COMPUTED_VALUE"""),411.8)</f>
        <v>411.8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IFERROR(__xludf.DUMMYFUNCTION("""COMPUTED_VALUE"""),415.15)</f>
        <v>415.15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IFERROR(__xludf.DUMMYFUNCTION("""COMPUTED_VALUE"""),417.55)</f>
        <v>417.55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IFERROR(__xludf.DUMMYFUNCTION("""COMPUTED_VALUE"""),397.55)</f>
        <v>397.55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IFERROR(__xludf.DUMMYFUNCTION("""COMPUTED_VALUE"""),388.9)</f>
        <v>388.9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IFERROR(__xludf.DUMMYFUNCTION("""COMPUTED_VALUE"""),382.9)</f>
        <v>382.9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IFERROR(__xludf.DUMMYFUNCTION("""COMPUTED_VALUE"""),393.0)</f>
        <v>393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IFERROR(__xludf.DUMMYFUNCTION("""COMPUTED_VALUE"""),395.95)</f>
        <v>395.95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IFERROR(__xludf.DUMMYFUNCTION("""COMPUTED_VALUE"""),394.85)</f>
        <v>394.85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IFERROR(__xludf.DUMMYFUNCTION("""COMPUTED_VALUE"""),386.0)</f>
        <v>386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IFERROR(__xludf.DUMMYFUNCTION("""COMPUTED_VALUE"""),398.7)</f>
        <v>398.7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IFERROR(__xludf.DUMMYFUNCTION("""COMPUTED_VALUE"""),410.55)</f>
        <v>410.55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IFERROR(__xludf.DUMMYFUNCTION("""COMPUTED_VALUE"""),409.35)</f>
        <v>409.35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IFERROR(__xludf.DUMMYFUNCTION("""COMPUTED_VALUE"""),412.4)</f>
        <v>412.4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IFERROR(__xludf.DUMMYFUNCTION("""COMPUTED_VALUE"""),413.85)</f>
        <v>413.85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IFERROR(__xludf.DUMMYFUNCTION("""COMPUTED_VALUE"""),428.0)</f>
        <v>428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IFERROR(__xludf.DUMMYFUNCTION("""COMPUTED_VALUE"""),426.95)</f>
        <v>426.95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IFERROR(__xludf.DUMMYFUNCTION("""COMPUTED_VALUE"""),409.0)</f>
        <v>409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IFERROR(__xludf.DUMMYFUNCTION("""COMPUTED_VALUE"""),380.1)</f>
        <v>380.1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IFERROR(__xludf.DUMMYFUNCTION("""COMPUTED_VALUE"""),385.45)</f>
        <v>385.45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IFERROR(__xludf.DUMMYFUNCTION("""COMPUTED_VALUE"""),382.8)</f>
        <v>382.8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IFERROR(__xludf.DUMMYFUNCTION("""COMPUTED_VALUE"""),393.5)</f>
        <v>393.5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IFERROR(__xludf.DUMMYFUNCTION("""COMPUTED_VALUE"""),401.9)</f>
        <v>401.9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IFERROR(__xludf.DUMMYFUNCTION("""COMPUTED_VALUE"""),406.8)</f>
        <v>406.8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IFERROR(__xludf.DUMMYFUNCTION("""COMPUTED_VALUE"""),418.5)</f>
        <v>418.5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IFERROR(__xludf.DUMMYFUNCTION("""COMPUTED_VALUE"""),419.85)</f>
        <v>419.85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IFERROR(__xludf.DUMMYFUNCTION("""COMPUTED_VALUE"""),416.9)</f>
        <v>416.9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IFERROR(__xludf.DUMMYFUNCTION("""COMPUTED_VALUE"""),413.9)</f>
        <v>413.9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IFERROR(__xludf.DUMMYFUNCTION("""COMPUTED_VALUE"""),429.8)</f>
        <v>429.8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IFERROR(__xludf.DUMMYFUNCTION("""COMPUTED_VALUE"""),419.7)</f>
        <v>419.7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IFERROR(__xludf.DUMMYFUNCTION("""COMPUTED_VALUE"""),419.7)</f>
        <v>419.7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IFERROR(__xludf.DUMMYFUNCTION("""COMPUTED_VALUE"""),440.8)</f>
        <v>440.8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IFERROR(__xludf.DUMMYFUNCTION("""COMPUTED_VALUE"""),446.7)</f>
        <v>446.7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IFERROR(__xludf.DUMMYFUNCTION("""COMPUTED_VALUE"""),450.4)</f>
        <v>450.4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IFERROR(__xludf.DUMMYFUNCTION("""COMPUTED_VALUE"""),440.95)</f>
        <v>440.95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IFERROR(__xludf.DUMMYFUNCTION("""COMPUTED_VALUE"""),444.8)</f>
        <v>444.8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IFERROR(__xludf.DUMMYFUNCTION("""COMPUTED_VALUE"""),443.0)</f>
        <v>443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IFERROR(__xludf.DUMMYFUNCTION("""COMPUTED_VALUE"""),431.85)</f>
        <v>431.85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IFERROR(__xludf.DUMMYFUNCTION("""COMPUTED_VALUE"""),425.55)</f>
        <v>425.55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IFERROR(__xludf.DUMMYFUNCTION("""COMPUTED_VALUE"""),421.0)</f>
        <v>421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IFERROR(__xludf.DUMMYFUNCTION("""COMPUTED_VALUE"""),429.75)</f>
        <v>429.75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IFERROR(__xludf.DUMMYFUNCTION("""COMPUTED_VALUE"""),428.25)</f>
        <v>428.25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IFERROR(__xludf.DUMMYFUNCTION("""COMPUTED_VALUE"""),407.05)</f>
        <v>407.05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IFERROR(__xludf.DUMMYFUNCTION("""COMPUTED_VALUE"""),392.75)</f>
        <v>392.75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IFERROR(__xludf.DUMMYFUNCTION("""COMPUTED_VALUE"""),395.85)</f>
        <v>395.85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IFERROR(__xludf.DUMMYFUNCTION("""COMPUTED_VALUE"""),396.0)</f>
        <v>396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IFERROR(__xludf.DUMMYFUNCTION("""COMPUTED_VALUE"""),403.4)</f>
        <v>403.4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IFERROR(__xludf.DUMMYFUNCTION("""COMPUTED_VALUE"""),409.5)</f>
        <v>409.5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IFERROR(__xludf.DUMMYFUNCTION("GOOGLEFINANCE(""NSE:CIPLA"",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IFERROR(__xludf.DUMMYFUNCTION("""COMPUTED_VALUE"""),407.65)</f>
        <v>407.65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IFERROR(__xludf.DUMMYFUNCTION("""COMPUTED_VALUE"""),407.4)</f>
        <v>407.4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IFERROR(__xludf.DUMMYFUNCTION("""COMPUTED_VALUE"""),423.9)</f>
        <v>423.9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IFERROR(__xludf.DUMMYFUNCTION("""COMPUTED_VALUE"""),425.85)</f>
        <v>425.85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IFERROR(__xludf.DUMMYFUNCTION("""COMPUTED_VALUE"""),420.5)</f>
        <v>420.5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IFERROR(__xludf.DUMMYFUNCTION("""COMPUTED_VALUE"""),420.0)</f>
        <v>420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IFERROR(__xludf.DUMMYFUNCTION("""COMPUTED_VALUE"""),423.6)</f>
        <v>423.6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IFERROR(__xludf.DUMMYFUNCTION("""COMPUTED_VALUE"""),378.05)</f>
        <v>378.05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IFERROR(__xludf.DUMMYFUNCTION("""COMPUTED_VALUE"""),385.0)</f>
        <v>385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IFERROR(__xludf.DUMMYFUNCTION("""COMPUTED_VALUE"""),387.7)</f>
        <v>387.7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IFERROR(__xludf.DUMMYFUNCTION("""COMPUTED_VALUE"""),387.0)</f>
        <v>387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IFERROR(__xludf.DUMMYFUNCTION("""COMPUTED_VALUE"""),401.6)</f>
        <v>401.6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IFERROR(__xludf.DUMMYFUNCTION("""COMPUTED_VALUE"""),406.1)</f>
        <v>406.1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IFERROR(__xludf.DUMMYFUNCTION("""COMPUTED_VALUE"""),410.1)</f>
        <v>410.1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IFERROR(__xludf.DUMMYFUNCTION("""COMPUTED_VALUE"""),404.05)</f>
        <v>404.05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IFERROR(__xludf.DUMMYFUNCTION("""COMPUTED_VALUE"""),404.75)</f>
        <v>404.75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IFERROR(__xludf.DUMMYFUNCTION("""COMPUTED_VALUE"""),409.5)</f>
        <v>409.5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IFERROR(__xludf.DUMMYFUNCTION("""COMPUTED_VALUE"""),404.4)</f>
        <v>404.4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IFERROR(__xludf.DUMMYFUNCTION("""COMPUTED_VALUE"""),425.0)</f>
        <v>425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IFERROR(__xludf.DUMMYFUNCTION("""COMPUTED_VALUE"""),394.4)</f>
        <v>394.4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IFERROR(__xludf.DUMMYFUNCTION("""COMPUTED_VALUE"""),390.8)</f>
        <v>390.8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IFERROR(__xludf.DUMMYFUNCTION("""COMPUTED_VALUE"""),397.3)</f>
        <v>397.3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IFERROR(__xludf.DUMMYFUNCTION("""COMPUTED_VALUE"""),420.9)</f>
        <v>420.9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IFERROR(__xludf.DUMMYFUNCTION("""COMPUTED_VALUE"""),443.25)</f>
        <v>443.25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IFERROR(__xludf.DUMMYFUNCTION("""COMPUTED_VALUE"""),442.8)</f>
        <v>442.8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IFERROR(__xludf.DUMMYFUNCTION("""COMPUTED_VALUE"""),453.15)</f>
        <v>453.15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IFERROR(__xludf.DUMMYFUNCTION("""COMPUTED_VALUE"""),460.65)</f>
        <v>460.65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IFERROR(__xludf.DUMMYFUNCTION("""COMPUTED_VALUE"""),444.15)</f>
        <v>444.15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IFERROR(__xludf.DUMMYFUNCTION("""COMPUTED_VALUE"""),447.8)</f>
        <v>447.8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IFERROR(__xludf.DUMMYFUNCTION("""COMPUTED_VALUE"""),463.35)</f>
        <v>463.35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IFERROR(__xludf.DUMMYFUNCTION("""COMPUTED_VALUE"""),447.5)</f>
        <v>447.5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IFERROR(__xludf.DUMMYFUNCTION("""COMPUTED_VALUE"""),452.25)</f>
        <v>452.25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IFERROR(__xludf.DUMMYFUNCTION("""COMPUTED_VALUE"""),502.0)</f>
        <v>502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IFERROR(__xludf.DUMMYFUNCTION("""COMPUTED_VALUE"""),517.4)</f>
        <v>517.4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IFERROR(__xludf.DUMMYFUNCTION("""COMPUTED_VALUE"""),575.0)</f>
        <v>575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IFERROR(__xludf.DUMMYFUNCTION("""COMPUTED_VALUE"""),616.9)</f>
        <v>616.9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IFERROR(__xludf.DUMMYFUNCTION("""COMPUTED_VALUE"""),639.1)</f>
        <v>639.1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IFERROR(__xludf.DUMMYFUNCTION("""COMPUTED_VALUE"""),626.0)</f>
        <v>626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IFERROR(__xludf.DUMMYFUNCTION("""COMPUTED_VALUE"""),631.4)</f>
        <v>631.4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IFERROR(__xludf.DUMMYFUNCTION("""COMPUTED_VALUE"""),630.35)</f>
        <v>630.35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IFERROR(__xludf.DUMMYFUNCTION("""COMPUTED_VALUE"""),601.0)</f>
        <v>601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IFERROR(__xludf.DUMMYFUNCTION("""COMPUTED_VALUE"""),634.85)</f>
        <v>634.85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IFERROR(__xludf.DUMMYFUNCTION("""COMPUTED_VALUE"""),673.0)</f>
        <v>673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IFERROR(__xludf.DUMMYFUNCTION("""COMPUTED_VALUE"""),671.0)</f>
        <v>671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IFERROR(__xludf.DUMMYFUNCTION("""COMPUTED_VALUE"""),653.0)</f>
        <v>653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IFERROR(__xludf.DUMMYFUNCTION("""COMPUTED_VALUE"""),645.0)</f>
        <v>645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IFERROR(__xludf.DUMMYFUNCTION("""COMPUTED_VALUE"""),646.6)</f>
        <v>646.6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IFERROR(__xludf.DUMMYFUNCTION("""COMPUTED_VALUE"""),667.3)</f>
        <v>667.3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IFERROR(__xludf.DUMMYFUNCTION("""COMPUTED_VALUE"""),655.0)</f>
        <v>655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IFERROR(__xludf.DUMMYFUNCTION("""COMPUTED_VALUE"""),643.85)</f>
        <v>643.85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IFERROR(__xludf.DUMMYFUNCTION("""COMPUTED_VALUE"""),636.45)</f>
        <v>636.45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IFERROR(__xludf.DUMMYFUNCTION("GOOGLEFINANCE(""NSE:CIPLA"",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IFERROR(__xludf.DUMMYFUNCTION("""COMPUTED_VALUE"""),637.55)</f>
        <v>637.55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IFERROR(__xludf.DUMMYFUNCTION("""COMPUTED_VALUE"""),641.5)</f>
        <v>641.5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IFERROR(__xludf.DUMMYFUNCTION("""COMPUTED_VALUE"""),650.0)</f>
        <v>650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IFERROR(__xludf.DUMMYFUNCTION("""COMPUTED_VALUE"""),686.5)</f>
        <v>686.5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IFERROR(__xludf.DUMMYFUNCTION("""COMPUTED_VALUE"""),711.9)</f>
        <v>711.9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IFERROR(__xludf.DUMMYFUNCTION("""COMPUTED_VALUE"""),706.5)</f>
        <v>706.5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IFERROR(__xludf.DUMMYFUNCTION("""COMPUTED_VALUE"""),701.85)</f>
        <v>701.85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IFERROR(__xludf.DUMMYFUNCTION("""COMPUTED_VALUE"""),692.0)</f>
        <v>692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IFERROR(__xludf.DUMMYFUNCTION("""COMPUTED_VALUE"""),747.5)</f>
        <v>747.5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IFERROR(__xludf.DUMMYFUNCTION("""COMPUTED_VALUE"""),752.85)</f>
        <v>752.85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IFERROR(__xludf.DUMMYFUNCTION("""COMPUTED_VALUE"""),726.8)</f>
        <v>726.8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IFERROR(__xludf.DUMMYFUNCTION("""COMPUTED_VALUE"""),718.45)</f>
        <v>718.45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IFERROR(__xludf.DUMMYFUNCTION("""COMPUTED_VALUE"""),717.7)</f>
        <v>717.7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IFERROR(__xludf.DUMMYFUNCTION("""COMPUTED_VALUE"""),746.1)</f>
        <v>746.1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IFERROR(__xludf.DUMMYFUNCTION("""COMPUTED_VALUE"""),717.0)</f>
        <v>717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IFERROR(__xludf.DUMMYFUNCTION("""COMPUTED_VALUE"""),683.9)</f>
        <v>683.9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IFERROR(__xludf.DUMMYFUNCTION("""COMPUTED_VALUE"""),642.4)</f>
        <v>642.4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IFERROR(__xludf.DUMMYFUNCTION("""COMPUTED_VALUE"""),681.1)</f>
        <v>681.1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IFERROR(__xludf.DUMMYFUNCTION("""COMPUTED_VALUE"""),695.95)</f>
        <v>695.95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IFERROR(__xludf.DUMMYFUNCTION("""COMPUTED_VALUE"""),693.9)</f>
        <v>693.9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IFERROR(__xludf.DUMMYFUNCTION("""COMPUTED_VALUE"""),677.5)</f>
        <v>677.5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IFERROR(__xludf.DUMMYFUNCTION("""COMPUTED_VALUE"""),672.75)</f>
        <v>672.75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IFERROR(__xludf.DUMMYFUNCTION("""COMPUTED_VALUE"""),621.7)</f>
        <v>621.7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IFERROR(__xludf.DUMMYFUNCTION("""COMPUTED_VALUE"""),622.6)</f>
        <v>622.6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IFERROR(__xludf.DUMMYFUNCTION("""COMPUTED_VALUE"""),634.2)</f>
        <v>634.2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IFERROR(__xludf.DUMMYFUNCTION("""COMPUTED_VALUE"""),638.95)</f>
        <v>638.95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IFERROR(__xludf.DUMMYFUNCTION("""COMPUTED_VALUE"""),658.65)</f>
        <v>658.65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IFERROR(__xludf.DUMMYFUNCTION("""COMPUTED_VALUE"""),687.7)</f>
        <v>687.7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IFERROR(__xludf.DUMMYFUNCTION("""COMPUTED_VALUE"""),691.45)</f>
        <v>691.45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IFERROR(__xludf.DUMMYFUNCTION("""COMPUTED_VALUE"""),724.0)</f>
        <v>724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IFERROR(__xludf.DUMMYFUNCTION("""COMPUTED_VALUE"""),731.1)</f>
        <v>731.1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IFERROR(__xludf.DUMMYFUNCTION("""COMPUTED_VALUE"""),741.75)</f>
        <v>741.75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IFERROR(__xludf.DUMMYFUNCTION("""COMPUTED_VALUE"""),745.0)</f>
        <v>745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IFERROR(__xludf.DUMMYFUNCTION("""COMPUTED_VALUE"""),681.9)</f>
        <v>681.9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IFERROR(__xludf.DUMMYFUNCTION("""COMPUTED_VALUE"""),688.4)</f>
        <v>688.4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IFERROR(__xludf.DUMMYFUNCTION("""COMPUTED_VALUE"""),668.0)</f>
        <v>668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IFERROR(__xludf.DUMMYFUNCTION("""COMPUTED_VALUE"""),669.0)</f>
        <v>669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IFERROR(__xludf.DUMMYFUNCTION("""COMPUTED_VALUE"""),653.3)</f>
        <v>653.3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IFERROR(__xludf.DUMMYFUNCTION("""COMPUTED_VALUE"""),653.85)</f>
        <v>653.85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IFERROR(__xludf.DUMMYFUNCTION("""COMPUTED_VALUE"""),691.9)</f>
        <v>691.9</v>
      </c>
    </row>
    <row r="757" ht="15.75" customHeight="1">
      <c r="B757" s="3">
        <f>IFERROR(__xludf.DUMMYFUNCTION("""COMPUTED_VALUE"""),42300.64583333333)</f>
        <v>42300.64583</v>
      </c>
      <c r="C757" s="2">
        <f>IFERROR(__xludf.DUMMYFUNCTION("""COMPUTED_VALUE"""),689.7)</f>
        <v>689.7</v>
      </c>
    </row>
    <row r="758" ht="15.75" customHeight="1">
      <c r="B758" s="3">
        <f>IFERROR(__xludf.DUMMYFUNCTION("""COMPUTED_VALUE"""),42307.64583333333)</f>
        <v>42307.64583</v>
      </c>
      <c r="C758" s="2">
        <f>IFERROR(__xludf.DUMMYFUNCTION("""COMPUTED_VALUE"""),704.9)</f>
        <v>704.9</v>
      </c>
    </row>
    <row r="759" ht="15.75" customHeight="1">
      <c r="B759" s="3">
        <f>IFERROR(__xludf.DUMMYFUNCTION("""COMPUTED_VALUE"""),42314.64583333333)</f>
        <v>42314.64583</v>
      </c>
      <c r="C759" s="2">
        <f>IFERROR(__xludf.DUMMYFUNCTION("""COMPUTED_VALUE"""),688.95)</f>
        <v>688.95</v>
      </c>
    </row>
    <row r="760" ht="15.75" customHeight="1">
      <c r="B760" s="3">
        <f>IFERROR(__xludf.DUMMYFUNCTION("""COMPUTED_VALUE"""),42321.64583333333)</f>
        <v>42321.64583</v>
      </c>
      <c r="C760" s="2">
        <f>IFERROR(__xludf.DUMMYFUNCTION("""COMPUTED_VALUE"""),649.7)</f>
        <v>649.7</v>
      </c>
    </row>
    <row r="761" ht="15.75" customHeight="1">
      <c r="B761" s="3">
        <f>IFERROR(__xludf.DUMMYFUNCTION("""COMPUTED_VALUE"""),42328.64583333333)</f>
        <v>42328.64583</v>
      </c>
      <c r="C761" s="2">
        <f>IFERROR(__xludf.DUMMYFUNCTION("""COMPUTED_VALUE"""),648.9)</f>
        <v>648.9</v>
      </c>
    </row>
    <row r="762" ht="15.75" customHeight="1">
      <c r="B762" s="3">
        <f>IFERROR(__xludf.DUMMYFUNCTION("""COMPUTED_VALUE"""),42335.64583333333)</f>
        <v>42335.64583</v>
      </c>
      <c r="C762" s="2">
        <f>IFERROR(__xludf.DUMMYFUNCTION("""COMPUTED_VALUE"""),648.0)</f>
        <v>648</v>
      </c>
    </row>
    <row r="763" ht="15.75" customHeight="1">
      <c r="B763" s="3">
        <f>IFERROR(__xludf.DUMMYFUNCTION("""COMPUTED_VALUE"""),42342.64583333333)</f>
        <v>42342.64583</v>
      </c>
      <c r="C763" s="2">
        <f>IFERROR(__xludf.DUMMYFUNCTION("""COMPUTED_VALUE"""),661.4)</f>
        <v>661.4</v>
      </c>
    </row>
    <row r="764" ht="15.75" customHeight="1">
      <c r="B764" s="3">
        <f>IFERROR(__xludf.DUMMYFUNCTION("""COMPUTED_VALUE"""),42349.64583333333)</f>
        <v>42349.64583</v>
      </c>
      <c r="C764" s="2">
        <f>IFERROR(__xludf.DUMMYFUNCTION("""COMPUTED_VALUE"""),654.0)</f>
        <v>654</v>
      </c>
    </row>
    <row r="765" ht="15.75" customHeight="1">
      <c r="B765" s="3">
        <f>IFERROR(__xludf.DUMMYFUNCTION("""COMPUTED_VALUE"""),42356.64583333333)</f>
        <v>42356.64583</v>
      </c>
      <c r="C765" s="2">
        <f>IFERROR(__xludf.DUMMYFUNCTION("""COMPUTED_VALUE"""),649.3)</f>
        <v>649.3</v>
      </c>
    </row>
    <row r="766" ht="15.75" customHeight="1">
      <c r="B766" s="3">
        <f>IFERROR(__xludf.DUMMYFUNCTION("""COMPUTED_VALUE"""),42362.64583333333)</f>
        <v>42362.64583</v>
      </c>
      <c r="C766" s="2">
        <f>IFERROR(__xludf.DUMMYFUNCTION("""COMPUTED_VALUE"""),654.4)</f>
        <v>654.4</v>
      </c>
    </row>
    <row r="767" ht="15.75" customHeight="1">
      <c r="B767" s="3">
        <f>IFERROR(__xludf.DUMMYFUNCTION("""COMPUTED_VALUE"""),42370.64583333333)</f>
        <v>42370.64583</v>
      </c>
      <c r="C767" s="2">
        <f>IFERROR(__xludf.DUMMYFUNCTION("""COMPUTED_VALUE"""),660.0)</f>
        <v>660</v>
      </c>
    </row>
    <row r="768" ht="15.75" customHeight="1"/>
    <row r="769" ht="15.75" customHeight="1"/>
    <row r="770" ht="15.75" customHeight="1"/>
    <row r="771" ht="15.75" customHeight="1">
      <c r="B771" s="2" t="str">
        <f>IFERROR(__xludf.DUMMYFUNCTION("GOOGLEFINANCE(""NSE:CIPLA"",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IFERROR(__xludf.DUMMYFUNCTION("""COMPUTED_VALUE"""),655.95)</f>
        <v>655.95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IFERROR(__xludf.DUMMYFUNCTION("""COMPUTED_VALUE"""),617.4)</f>
        <v>617.4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IFERROR(__xludf.DUMMYFUNCTION("""COMPUTED_VALUE"""),608.05)</f>
        <v>608.05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IFERROR(__xludf.DUMMYFUNCTION("""COMPUTED_VALUE"""),592.0)</f>
        <v>592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IFERROR(__xludf.DUMMYFUNCTION("""COMPUTED_VALUE"""),606.05)</f>
        <v>606.05</v>
      </c>
    </row>
    <row r="777" ht="15.75" customHeight="1">
      <c r="B777" s="3">
        <f>IFERROR(__xludf.DUMMYFUNCTION("""COMPUTED_VALUE"""),42419.64583333333)</f>
        <v>42419.64583</v>
      </c>
      <c r="C777" s="2">
        <f>IFERROR(__xludf.DUMMYFUNCTION("""COMPUTED_VALUE"""),549.5)</f>
        <v>549.5</v>
      </c>
    </row>
    <row r="778" ht="15.75" customHeight="1">
      <c r="B778" s="3">
        <f>IFERROR(__xludf.DUMMYFUNCTION("""COMPUTED_VALUE"""),42426.64583333333)</f>
        <v>42426.64583</v>
      </c>
      <c r="C778" s="2">
        <f>IFERROR(__xludf.DUMMYFUNCTION("""COMPUTED_VALUE"""),532.9)</f>
        <v>532.9</v>
      </c>
    </row>
    <row r="779" ht="15.75" customHeight="1">
      <c r="B779" s="3">
        <f>IFERROR(__xludf.DUMMYFUNCTION("""COMPUTED_VALUE"""),42433.64583333333)</f>
        <v>42433.64583</v>
      </c>
      <c r="C779" s="2">
        <f>IFERROR(__xludf.DUMMYFUNCTION("""COMPUTED_VALUE"""),545.6)</f>
        <v>545.6</v>
      </c>
    </row>
    <row r="780" ht="15.75" customHeight="1">
      <c r="B780" s="3">
        <f>IFERROR(__xludf.DUMMYFUNCTION("""COMPUTED_VALUE"""),42440.64583333333)</f>
        <v>42440.64583</v>
      </c>
      <c r="C780" s="2">
        <f>IFERROR(__xludf.DUMMYFUNCTION("""COMPUTED_VALUE"""),549.7)</f>
        <v>549.7</v>
      </c>
    </row>
    <row r="781" ht="15.75" customHeight="1">
      <c r="B781" s="3">
        <f>IFERROR(__xludf.DUMMYFUNCTION("""COMPUTED_VALUE"""),42447.64583333333)</f>
        <v>42447.64583</v>
      </c>
      <c r="C781" s="2">
        <f>IFERROR(__xludf.DUMMYFUNCTION("""COMPUTED_VALUE"""),543.75)</f>
        <v>543.75</v>
      </c>
    </row>
    <row r="782" ht="15.75" customHeight="1">
      <c r="B782" s="3">
        <f>IFERROR(__xludf.DUMMYFUNCTION("""COMPUTED_VALUE"""),42452.64583333333)</f>
        <v>42452.64583</v>
      </c>
      <c r="C782" s="2">
        <f>IFERROR(__xludf.DUMMYFUNCTION("""COMPUTED_VALUE"""),539.0)</f>
        <v>539</v>
      </c>
    </row>
    <row r="783" ht="15.75" customHeight="1">
      <c r="B783" s="3">
        <f>IFERROR(__xludf.DUMMYFUNCTION("""COMPUTED_VALUE"""),42461.64583333333)</f>
        <v>42461.64583</v>
      </c>
      <c r="C783" s="2">
        <f>IFERROR(__xludf.DUMMYFUNCTION("""COMPUTED_VALUE"""),537.35)</f>
        <v>537.35</v>
      </c>
    </row>
    <row r="784" ht="15.75" customHeight="1">
      <c r="B784" s="3">
        <f>IFERROR(__xludf.DUMMYFUNCTION("""COMPUTED_VALUE"""),42468.64583333333)</f>
        <v>42468.64583</v>
      </c>
      <c r="C784" s="2">
        <f>IFERROR(__xludf.DUMMYFUNCTION("""COMPUTED_VALUE"""),519.0)</f>
        <v>519</v>
      </c>
    </row>
    <row r="785" ht="15.75" customHeight="1">
      <c r="B785" s="3">
        <f>IFERROR(__xludf.DUMMYFUNCTION("""COMPUTED_VALUE"""),42473.64583333333)</f>
        <v>42473.64583</v>
      </c>
      <c r="C785" s="2">
        <f>IFERROR(__xludf.DUMMYFUNCTION("""COMPUTED_VALUE"""),515.0)</f>
        <v>515</v>
      </c>
    </row>
    <row r="786" ht="15.75" customHeight="1">
      <c r="B786" s="3">
        <f>IFERROR(__xludf.DUMMYFUNCTION("""COMPUTED_VALUE"""),42482.64583333333)</f>
        <v>42482.64583</v>
      </c>
      <c r="C786" s="2">
        <f>IFERROR(__xludf.DUMMYFUNCTION("""COMPUTED_VALUE"""),536.55)</f>
        <v>536.55</v>
      </c>
    </row>
    <row r="787" ht="15.75" customHeight="1">
      <c r="B787" s="3">
        <f>IFERROR(__xludf.DUMMYFUNCTION("""COMPUTED_VALUE"""),42489.64583333333)</f>
        <v>42489.64583</v>
      </c>
      <c r="C787" s="2">
        <f>IFERROR(__xludf.DUMMYFUNCTION("""COMPUTED_VALUE"""),544.3)</f>
        <v>544.3</v>
      </c>
    </row>
    <row r="788" ht="15.75" customHeight="1">
      <c r="B788" s="3">
        <f>IFERROR(__xludf.DUMMYFUNCTION("""COMPUTED_VALUE"""),42496.64583333333)</f>
        <v>42496.64583</v>
      </c>
      <c r="C788" s="2">
        <f>IFERROR(__xludf.DUMMYFUNCTION("""COMPUTED_VALUE"""),547.0)</f>
        <v>547</v>
      </c>
    </row>
    <row r="789" ht="15.75" customHeight="1">
      <c r="B789" s="3">
        <f>IFERROR(__xludf.DUMMYFUNCTION("""COMPUTED_VALUE"""),42503.64583333333)</f>
        <v>42503.64583</v>
      </c>
      <c r="C789" s="2">
        <f>IFERROR(__xludf.DUMMYFUNCTION("""COMPUTED_VALUE"""),542.45)</f>
        <v>542.45</v>
      </c>
    </row>
    <row r="790" ht="15.75" customHeight="1">
      <c r="B790" s="3">
        <f>IFERROR(__xludf.DUMMYFUNCTION("""COMPUTED_VALUE"""),42510.64583333333)</f>
        <v>42510.64583</v>
      </c>
      <c r="C790" s="2">
        <f>IFERROR(__xludf.DUMMYFUNCTION("""COMPUTED_VALUE"""),533.85)</f>
        <v>533.85</v>
      </c>
    </row>
    <row r="791" ht="15.75" customHeight="1">
      <c r="B791" s="3">
        <f>IFERROR(__xludf.DUMMYFUNCTION("""COMPUTED_VALUE"""),42517.64583333333)</f>
        <v>42517.64583</v>
      </c>
      <c r="C791" s="2">
        <f>IFERROR(__xludf.DUMMYFUNCTION("""COMPUTED_VALUE"""),510.0)</f>
        <v>510</v>
      </c>
    </row>
    <row r="792" ht="15.75" customHeight="1">
      <c r="B792" s="3">
        <f>IFERROR(__xludf.DUMMYFUNCTION("""COMPUTED_VALUE"""),42524.64583333333)</f>
        <v>42524.64583</v>
      </c>
      <c r="C792" s="2">
        <f>IFERROR(__xludf.DUMMYFUNCTION("""COMPUTED_VALUE"""),479.25)</f>
        <v>479.25</v>
      </c>
    </row>
    <row r="793" ht="15.75" customHeight="1">
      <c r="B793" s="3">
        <f>IFERROR(__xludf.DUMMYFUNCTION("""COMPUTED_VALUE"""),42531.64583333333)</f>
        <v>42531.64583</v>
      </c>
      <c r="C793" s="2">
        <f>IFERROR(__xludf.DUMMYFUNCTION("""COMPUTED_VALUE"""),486.6)</f>
        <v>486.6</v>
      </c>
    </row>
    <row r="794" ht="15.75" customHeight="1">
      <c r="B794" s="3">
        <f>IFERROR(__xludf.DUMMYFUNCTION("""COMPUTED_VALUE"""),42538.64583333333)</f>
        <v>42538.64583</v>
      </c>
      <c r="C794" s="2">
        <f>IFERROR(__xludf.DUMMYFUNCTION("""COMPUTED_VALUE"""),492.55)</f>
        <v>492.55</v>
      </c>
    </row>
    <row r="795" ht="15.75" customHeight="1">
      <c r="B795" s="3">
        <f>IFERROR(__xludf.DUMMYFUNCTION("""COMPUTED_VALUE"""),42545.64583333333)</f>
        <v>42545.64583</v>
      </c>
      <c r="C795" s="2">
        <f>IFERROR(__xludf.DUMMYFUNCTION("""COMPUTED_VALUE"""),490.9)</f>
        <v>490.9</v>
      </c>
    </row>
    <row r="796" ht="15.75" customHeight="1">
      <c r="B796" s="3">
        <f>IFERROR(__xludf.DUMMYFUNCTION("""COMPUTED_VALUE"""),42552.64583333333)</f>
        <v>42552.64583</v>
      </c>
      <c r="C796" s="2">
        <f>IFERROR(__xludf.DUMMYFUNCTION("""COMPUTED_VALUE"""),510.0)</f>
        <v>510</v>
      </c>
    </row>
    <row r="797" ht="15.75" customHeight="1">
      <c r="B797" s="3">
        <f>IFERROR(__xludf.DUMMYFUNCTION("""COMPUTED_VALUE"""),42559.64583333333)</f>
        <v>42559.64583</v>
      </c>
      <c r="C797" s="2">
        <f>IFERROR(__xludf.DUMMYFUNCTION("""COMPUTED_VALUE"""),522.45)</f>
        <v>522.45</v>
      </c>
    </row>
    <row r="798" ht="15.75" customHeight="1">
      <c r="B798" s="3">
        <f>IFERROR(__xludf.DUMMYFUNCTION("""COMPUTED_VALUE"""),42566.64583333333)</f>
        <v>42566.64583</v>
      </c>
      <c r="C798" s="2">
        <f>IFERROR(__xludf.DUMMYFUNCTION("""COMPUTED_VALUE"""),528.25)</f>
        <v>528.25</v>
      </c>
    </row>
    <row r="799" ht="15.75" customHeight="1">
      <c r="B799" s="3">
        <f>IFERROR(__xludf.DUMMYFUNCTION("""COMPUTED_VALUE"""),42573.64583333333)</f>
        <v>42573.64583</v>
      </c>
      <c r="C799" s="2">
        <f>IFERROR(__xludf.DUMMYFUNCTION("""COMPUTED_VALUE"""),526.95)</f>
        <v>526.95</v>
      </c>
    </row>
    <row r="800" ht="15.75" customHeight="1">
      <c r="B800" s="3">
        <f>IFERROR(__xludf.DUMMYFUNCTION("""COMPUTED_VALUE"""),42580.64583333333)</f>
        <v>42580.64583</v>
      </c>
      <c r="C800" s="2">
        <f>IFERROR(__xludf.DUMMYFUNCTION("""COMPUTED_VALUE"""),535.5)</f>
        <v>535.5</v>
      </c>
    </row>
    <row r="801" ht="15.75" customHeight="1">
      <c r="B801" s="3">
        <f>IFERROR(__xludf.DUMMYFUNCTION("""COMPUTED_VALUE"""),42587.64583333333)</f>
        <v>42587.64583</v>
      </c>
      <c r="C801" s="2">
        <f>IFERROR(__xludf.DUMMYFUNCTION("""COMPUTED_VALUE"""),535.0)</f>
        <v>535</v>
      </c>
    </row>
    <row r="802" ht="15.75" customHeight="1">
      <c r="B802" s="3">
        <f>IFERROR(__xludf.DUMMYFUNCTION("""COMPUTED_VALUE"""),42594.64583333333)</f>
        <v>42594.64583</v>
      </c>
      <c r="C802" s="2">
        <f>IFERROR(__xludf.DUMMYFUNCTION("""COMPUTED_VALUE"""),541.2)</f>
        <v>541.2</v>
      </c>
    </row>
    <row r="803" ht="15.75" customHeight="1">
      <c r="B803" s="3">
        <f>IFERROR(__xludf.DUMMYFUNCTION("""COMPUTED_VALUE"""),42601.64583333333)</f>
        <v>42601.64583</v>
      </c>
      <c r="C803" s="2">
        <f>IFERROR(__xludf.DUMMYFUNCTION("""COMPUTED_VALUE"""),564.0)</f>
        <v>564</v>
      </c>
    </row>
    <row r="804" ht="15.75" customHeight="1">
      <c r="B804" s="3">
        <f>IFERROR(__xludf.DUMMYFUNCTION("""COMPUTED_VALUE"""),42608.64583333333)</f>
        <v>42608.64583</v>
      </c>
      <c r="C804" s="2">
        <f>IFERROR(__xludf.DUMMYFUNCTION("""COMPUTED_VALUE"""),574.55)</f>
        <v>574.55</v>
      </c>
    </row>
    <row r="805" ht="15.75" customHeight="1">
      <c r="B805" s="3">
        <f>IFERROR(__xludf.DUMMYFUNCTION("""COMPUTED_VALUE"""),42615.64583333333)</f>
        <v>42615.64583</v>
      </c>
      <c r="C805" s="2">
        <f>IFERROR(__xludf.DUMMYFUNCTION("""COMPUTED_VALUE"""),587.5)</f>
        <v>587.5</v>
      </c>
    </row>
    <row r="806" ht="15.75" customHeight="1">
      <c r="B806" s="3">
        <f>IFERROR(__xludf.DUMMYFUNCTION("""COMPUTED_VALUE"""),42622.64583333333)</f>
        <v>42622.64583</v>
      </c>
      <c r="C806" s="2">
        <f>IFERROR(__xludf.DUMMYFUNCTION("""COMPUTED_VALUE"""),598.4)</f>
        <v>598.4</v>
      </c>
    </row>
    <row r="807" ht="15.75" customHeight="1">
      <c r="B807" s="3">
        <f>IFERROR(__xludf.DUMMYFUNCTION("""COMPUTED_VALUE"""),42629.64583333333)</f>
        <v>42629.64583</v>
      </c>
      <c r="C807" s="2">
        <f>IFERROR(__xludf.DUMMYFUNCTION("""COMPUTED_VALUE"""),596.0)</f>
        <v>596</v>
      </c>
    </row>
    <row r="808" ht="15.75" customHeight="1">
      <c r="B808" s="3">
        <f>IFERROR(__xludf.DUMMYFUNCTION("""COMPUTED_VALUE"""),42636.64583333333)</f>
        <v>42636.64583</v>
      </c>
      <c r="C808" s="2">
        <f>IFERROR(__xludf.DUMMYFUNCTION("""COMPUTED_VALUE"""),617.8)</f>
        <v>617.8</v>
      </c>
    </row>
    <row r="809" ht="15.75" customHeight="1">
      <c r="B809" s="3">
        <f>IFERROR(__xludf.DUMMYFUNCTION("""COMPUTED_VALUE"""),42643.64583333333)</f>
        <v>42643.64583</v>
      </c>
      <c r="C809" s="2">
        <f>IFERROR(__xludf.DUMMYFUNCTION("""COMPUTED_VALUE"""),615.0)</f>
        <v>615</v>
      </c>
    </row>
    <row r="810" ht="15.75" customHeight="1">
      <c r="B810" s="3">
        <f>IFERROR(__xludf.DUMMYFUNCTION("""COMPUTED_VALUE"""),42650.64583333333)</f>
        <v>42650.64583</v>
      </c>
      <c r="C810" s="2">
        <f>IFERROR(__xludf.DUMMYFUNCTION("""COMPUTED_VALUE"""),603.85)</f>
        <v>603.85</v>
      </c>
    </row>
    <row r="811" ht="15.75" customHeight="1">
      <c r="B811" s="3">
        <f>IFERROR(__xludf.DUMMYFUNCTION("""COMPUTED_VALUE"""),42657.64583333333)</f>
        <v>42657.64583</v>
      </c>
      <c r="C811" s="2">
        <f>IFERROR(__xludf.DUMMYFUNCTION("""COMPUTED_VALUE"""),599.0)</f>
        <v>599</v>
      </c>
    </row>
    <row r="812" ht="15.75" customHeight="1">
      <c r="B812" s="3">
        <f>IFERROR(__xludf.DUMMYFUNCTION("""COMPUTED_VALUE"""),42664.64583333333)</f>
        <v>42664.64583</v>
      </c>
      <c r="C812" s="2">
        <f>IFERROR(__xludf.DUMMYFUNCTION("""COMPUTED_VALUE"""),600.5)</f>
        <v>600.5</v>
      </c>
    </row>
    <row r="813" ht="15.75" customHeight="1">
      <c r="B813" s="3">
        <f>IFERROR(__xludf.DUMMYFUNCTION("""COMPUTED_VALUE"""),42671.64583333333)</f>
        <v>42671.64583</v>
      </c>
      <c r="C813" s="2">
        <f>IFERROR(__xludf.DUMMYFUNCTION("""COMPUTED_VALUE"""),594.5)</f>
        <v>594.5</v>
      </c>
    </row>
    <row r="814" ht="15.75" customHeight="1">
      <c r="B814" s="3">
        <f>IFERROR(__xludf.DUMMYFUNCTION("""COMPUTED_VALUE"""),42678.64583333333)</f>
        <v>42678.64583</v>
      </c>
      <c r="C814" s="2">
        <f>IFERROR(__xludf.DUMMYFUNCTION("""COMPUTED_VALUE"""),580.6)</f>
        <v>580.6</v>
      </c>
    </row>
    <row r="815" ht="15.75" customHeight="1">
      <c r="B815" s="3">
        <f>IFERROR(__xludf.DUMMYFUNCTION("""COMPUTED_VALUE"""),42685.64583333333)</f>
        <v>42685.64583</v>
      </c>
      <c r="C815" s="2">
        <f>IFERROR(__xludf.DUMMYFUNCTION("""COMPUTED_VALUE"""),568.0)</f>
        <v>568</v>
      </c>
    </row>
    <row r="816" ht="15.75" customHeight="1">
      <c r="B816" s="3">
        <f>IFERROR(__xludf.DUMMYFUNCTION("""COMPUTED_VALUE"""),42692.64583333333)</f>
        <v>42692.64583</v>
      </c>
      <c r="C816" s="2">
        <f>IFERROR(__xludf.DUMMYFUNCTION("""COMPUTED_VALUE"""),564.85)</f>
        <v>564.85</v>
      </c>
    </row>
    <row r="817" ht="15.75" customHeight="1">
      <c r="B817" s="3">
        <f>IFERROR(__xludf.DUMMYFUNCTION("""COMPUTED_VALUE"""),42699.64583333333)</f>
        <v>42699.64583</v>
      </c>
      <c r="C817" s="2">
        <f>IFERROR(__xludf.DUMMYFUNCTION("""COMPUTED_VALUE"""),569.95)</f>
        <v>569.95</v>
      </c>
    </row>
    <row r="818" ht="15.75" customHeight="1">
      <c r="B818" s="3">
        <f>IFERROR(__xludf.DUMMYFUNCTION("""COMPUTED_VALUE"""),42706.64583333333)</f>
        <v>42706.64583</v>
      </c>
      <c r="C818" s="2">
        <f>IFERROR(__xludf.DUMMYFUNCTION("""COMPUTED_VALUE"""),579.85)</f>
        <v>579.85</v>
      </c>
    </row>
    <row r="819" ht="15.75" customHeight="1">
      <c r="B819" s="3">
        <f>IFERROR(__xludf.DUMMYFUNCTION("""COMPUTED_VALUE"""),42713.64583333333)</f>
        <v>42713.64583</v>
      </c>
      <c r="C819" s="2">
        <f>IFERROR(__xludf.DUMMYFUNCTION("""COMPUTED_VALUE"""),586.0)</f>
        <v>586</v>
      </c>
    </row>
    <row r="820" ht="15.75" customHeight="1">
      <c r="B820" s="3">
        <f>IFERROR(__xludf.DUMMYFUNCTION("""COMPUTED_VALUE"""),42720.64583333333)</f>
        <v>42720.64583</v>
      </c>
      <c r="C820" s="2">
        <f>IFERROR(__xludf.DUMMYFUNCTION("""COMPUTED_VALUE"""),582.0)</f>
        <v>582</v>
      </c>
    </row>
    <row r="821" ht="15.75" customHeight="1">
      <c r="B821" s="3">
        <f>IFERROR(__xludf.DUMMYFUNCTION("""COMPUTED_VALUE"""),42727.64583333333)</f>
        <v>42727.64583</v>
      </c>
      <c r="C821" s="2">
        <f>IFERROR(__xludf.DUMMYFUNCTION("""COMPUTED_VALUE"""),589.15)</f>
        <v>589.15</v>
      </c>
    </row>
    <row r="822" ht="15.75" customHeight="1">
      <c r="B822" s="3">
        <f>IFERROR(__xludf.DUMMYFUNCTION("""COMPUTED_VALUE"""),42734.64583333333)</f>
        <v>42734.64583</v>
      </c>
      <c r="C822" s="2">
        <f>IFERROR(__xludf.DUMMYFUNCTION("""COMPUTED_VALUE"""),581.3)</f>
        <v>581.3</v>
      </c>
    </row>
    <row r="823" ht="15.75" customHeight="1"/>
    <row r="824" ht="15.75" customHeight="1"/>
    <row r="825" ht="15.75" customHeight="1"/>
    <row r="826" ht="15.75" customHeight="1">
      <c r="B826" s="2" t="str">
        <f>IFERROR(__xludf.DUMMYFUNCTION("GOOGLEFINANCE(""NSE:CIPLA"",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IFERROR(__xludf.DUMMYFUNCTION("""COMPUTED_VALUE"""),591.0)</f>
        <v>591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IFERROR(__xludf.DUMMYFUNCTION("""COMPUTED_VALUE"""),589.1)</f>
        <v>589.1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IFERROR(__xludf.DUMMYFUNCTION("""COMPUTED_VALUE"""),593.4)</f>
        <v>593.4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IFERROR(__xludf.DUMMYFUNCTION("""COMPUTED_VALUE"""),591.4)</f>
        <v>591.4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IFERROR(__xludf.DUMMYFUNCTION("""COMPUTED_VALUE"""),611.5)</f>
        <v>611.5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IFERROR(__xludf.DUMMYFUNCTION("""COMPUTED_VALUE"""),621.25)</f>
        <v>621.25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IFERROR(__xludf.DUMMYFUNCTION("""COMPUTED_VALUE"""),596.45)</f>
        <v>596.45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IFERROR(__xludf.DUMMYFUNCTION("""COMPUTED_VALUE"""),597.75)</f>
        <v>597.75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IFERROR(__xludf.DUMMYFUNCTION("""COMPUTED_VALUE"""),596.7)</f>
        <v>596.7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IFERROR(__xludf.DUMMYFUNCTION("""COMPUTED_VALUE"""),595.0)</f>
        <v>595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IFERROR(__xludf.DUMMYFUNCTION("""COMPUTED_VALUE"""),605.9)</f>
        <v>605.9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IFERROR(__xludf.DUMMYFUNCTION("""COMPUTED_VALUE"""),601.5)</f>
        <v>601.5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IFERROR(__xludf.DUMMYFUNCTION("""COMPUTED_VALUE"""),600.85)</f>
        <v>600.85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IFERROR(__xludf.DUMMYFUNCTION("""COMPUTED_VALUE"""),603.9)</f>
        <v>603.9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IFERROR(__xludf.DUMMYFUNCTION("""COMPUTED_VALUE"""),594.2)</f>
        <v>594.2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IFERROR(__xludf.DUMMYFUNCTION("""COMPUTED_VALUE"""),580.0)</f>
        <v>580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IFERROR(__xludf.DUMMYFUNCTION("""COMPUTED_VALUE"""),565.1)</f>
        <v>565.1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IFERROR(__xludf.DUMMYFUNCTION("""COMPUTED_VALUE"""),559.0)</f>
        <v>559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IFERROR(__xludf.DUMMYFUNCTION("""COMPUTED_VALUE"""),569.85)</f>
        <v>569.85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IFERROR(__xludf.DUMMYFUNCTION("""COMPUTED_VALUE"""),572.45)</f>
        <v>572.45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IFERROR(__xludf.DUMMYFUNCTION("""COMPUTED_VALUE"""),567.7)</f>
        <v>567.7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IFERROR(__xludf.DUMMYFUNCTION("""COMPUTED_VALUE"""),533.9)</f>
        <v>533.9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IFERROR(__xludf.DUMMYFUNCTION("""COMPUTED_VALUE"""),555.8)</f>
        <v>555.8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IFERROR(__xludf.DUMMYFUNCTION("""COMPUTED_VALUE"""),555.2)</f>
        <v>555.2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IFERROR(__xludf.DUMMYFUNCTION("""COMPUTED_VALUE"""),549.5)</f>
        <v>549.5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IFERROR(__xludf.DUMMYFUNCTION("""COMPUTED_VALUE"""),558.9)</f>
        <v>558.9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IFERROR(__xludf.DUMMYFUNCTION("""COMPUTED_VALUE"""),559.9)</f>
        <v>559.9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IFERROR(__xludf.DUMMYFUNCTION("""COMPUTED_VALUE"""),560.0)</f>
        <v>560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IFERROR(__xludf.DUMMYFUNCTION("""COMPUTED_VALUE"""),577.0)</f>
        <v>577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IFERROR(__xludf.DUMMYFUNCTION("""COMPUTED_VALUE"""),579.4)</f>
        <v>579.4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IFERROR(__xludf.DUMMYFUNCTION("""COMPUTED_VALUE"""),575.0)</f>
        <v>575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IFERROR(__xludf.DUMMYFUNCTION("""COMPUTED_VALUE"""),581.0)</f>
        <v>581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IFERROR(__xludf.DUMMYFUNCTION("""COMPUTED_VALUE"""),594.0)</f>
        <v>594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IFERROR(__xludf.DUMMYFUNCTION("""COMPUTED_VALUE"""),575.75)</f>
        <v>575.75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IFERROR(__xludf.DUMMYFUNCTION("""COMPUTED_VALUE"""),581.0)</f>
        <v>581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IFERROR(__xludf.DUMMYFUNCTION("""COMPUTED_VALUE"""),577.0)</f>
        <v>577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IFERROR(__xludf.DUMMYFUNCTION("""COMPUTED_VALUE"""),567.3)</f>
        <v>567.3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IFERROR(__xludf.DUMMYFUNCTION("""COMPUTED_VALUE"""),600.0)</f>
        <v>600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IFERROR(__xludf.DUMMYFUNCTION("""COMPUTED_VALUE"""),594.4)</f>
        <v>594.4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IFERROR(__xludf.DUMMYFUNCTION("""COMPUTED_VALUE"""),592.75)</f>
        <v>592.75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IFERROR(__xludf.DUMMYFUNCTION("""COMPUTED_VALUE"""),598.25)</f>
        <v>598.25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IFERROR(__xludf.DUMMYFUNCTION("""COMPUTED_VALUE"""),635.9)</f>
        <v>635.9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IFERROR(__xludf.DUMMYFUNCTION("""COMPUTED_VALUE"""),629.8)</f>
        <v>629.8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IFERROR(__xludf.DUMMYFUNCTION("""COMPUTED_VALUE"""),648.15)</f>
        <v>648.15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IFERROR(__xludf.DUMMYFUNCTION("""COMPUTED_VALUE"""),663.4)</f>
        <v>663.4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IFERROR(__xludf.DUMMYFUNCTION("""COMPUTED_VALUE"""),614.9)</f>
        <v>614.9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IFERROR(__xludf.DUMMYFUNCTION("""COMPUTED_VALUE"""),625.7)</f>
        <v>625.7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IFERROR(__xludf.DUMMYFUNCTION("""COMPUTED_VALUE"""),621.7)</f>
        <v>621.7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IFERROR(__xludf.DUMMYFUNCTION("""COMPUTED_VALUE"""),607.0)</f>
        <v>607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IFERROR(__xludf.DUMMYFUNCTION("""COMPUTED_VALUE"""),612.95)</f>
        <v>612.95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IFERROR(__xludf.DUMMYFUNCTION("""COMPUTED_VALUE"""),611.0)</f>
        <v>611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IFERROR(__xludf.DUMMYFUNCTION("""COMPUTED_VALUE"""),623.75)</f>
        <v>623.75</v>
      </c>
    </row>
    <row r="879" ht="15.75" customHeight="1"/>
    <row r="880" ht="15.75" customHeight="1"/>
    <row r="881" ht="15.75" customHeight="1">
      <c r="B881" s="2" t="str">
        <f>IFERROR(__xludf.DUMMYFUNCTION("GOOGLEFINANCE(""NSE:CIPLA"",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IFERROR(__xludf.DUMMYFUNCTION("""COMPUTED_VALUE"""),619.85)</f>
        <v>619.85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IFERROR(__xludf.DUMMYFUNCTION("""COMPUTED_VALUE"""),627.5)</f>
        <v>627.5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IFERROR(__xludf.DUMMYFUNCTION("""COMPUTED_VALUE"""),615.5)</f>
        <v>615.5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IFERROR(__xludf.DUMMYFUNCTION("""COMPUTED_VALUE"""),631.0)</f>
        <v>631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IFERROR(__xludf.DUMMYFUNCTION("""COMPUTED_VALUE"""),628.4)</f>
        <v>628.4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IFERROR(__xludf.DUMMYFUNCTION("""COMPUTED_VALUE"""),626.0)</f>
        <v>626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IFERROR(__xludf.DUMMYFUNCTION("""COMPUTED_VALUE"""),635.0)</f>
        <v>635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IFERROR(__xludf.DUMMYFUNCTION("""COMPUTED_VALUE"""),612.15)</f>
        <v>612.15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IFERROR(__xludf.DUMMYFUNCTION("""COMPUTED_VALUE"""),598.9)</f>
        <v>598.9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IFERROR(__xludf.DUMMYFUNCTION("""COMPUTED_VALUE"""),589.4)</f>
        <v>589.4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IFERROR(__xludf.DUMMYFUNCTION("""COMPUTED_VALUE"""),583.8)</f>
        <v>583.8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IFERROR(__xludf.DUMMYFUNCTION("""COMPUTED_VALUE"""),567.45)</f>
        <v>567.45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IFERROR(__xludf.DUMMYFUNCTION("""COMPUTED_VALUE"""),549.0)</f>
        <v>549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IFERROR(__xludf.DUMMYFUNCTION("""COMPUTED_VALUE"""),578.95)</f>
        <v>578.95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IFERROR(__xludf.DUMMYFUNCTION("""COMPUTED_VALUE"""),567.0)</f>
        <v>567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IFERROR(__xludf.DUMMYFUNCTION("""COMPUTED_VALUE"""),597.0)</f>
        <v>597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IFERROR(__xludf.DUMMYFUNCTION("""COMPUTED_VALUE"""),607.0)</f>
        <v>607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IFERROR(__xludf.DUMMYFUNCTION("""COMPUTED_VALUE"""),621.9)</f>
        <v>621.9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IFERROR(__xludf.DUMMYFUNCTION("""COMPUTED_VALUE"""),601.95)</f>
        <v>601.95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IFERROR(__xludf.DUMMYFUNCTION("""COMPUTED_VALUE"""),593.0)</f>
        <v>593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IFERROR(__xludf.DUMMYFUNCTION("""COMPUTED_VALUE"""),564.9)</f>
        <v>564.9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IFERROR(__xludf.DUMMYFUNCTION("""COMPUTED_VALUE"""),548.3)</f>
        <v>548.3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IFERROR(__xludf.DUMMYFUNCTION("""COMPUTED_VALUE"""),562.0)</f>
        <v>562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IFERROR(__xludf.DUMMYFUNCTION("""COMPUTED_VALUE"""),614.55)</f>
        <v>614.55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IFERROR(__xludf.DUMMYFUNCTION("""COMPUTED_VALUE"""),622.75)</f>
        <v>622.75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IFERROR(__xludf.DUMMYFUNCTION("""COMPUTED_VALUE"""),622.55)</f>
        <v>622.55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IFERROR(__xludf.DUMMYFUNCTION("""COMPUTED_VALUE"""),648.0)</f>
        <v>648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IFERROR(__xludf.DUMMYFUNCTION("""COMPUTED_VALUE"""),636.7)</f>
        <v>636.7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IFERROR(__xludf.DUMMYFUNCTION("""COMPUTED_VALUE"""),644.0)</f>
        <v>644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IFERROR(__xludf.DUMMYFUNCTION("""COMPUTED_VALUE"""),641.9)</f>
        <v>641.9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IFERROR(__xludf.DUMMYFUNCTION("""COMPUTED_VALUE"""),651.9)</f>
        <v>651.9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IFERROR(__xludf.DUMMYFUNCTION("""COMPUTED_VALUE"""),662.5)</f>
        <v>662.5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IFERROR(__xludf.DUMMYFUNCTION("""COMPUTED_VALUE"""),660.0)</f>
        <v>660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IFERROR(__xludf.DUMMYFUNCTION("""COMPUTED_VALUE"""),665.0)</f>
        <v>665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IFERROR(__xludf.DUMMYFUNCTION("""COMPUTED_VALUE"""),677.5)</f>
        <v>677.5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IFERROR(__xludf.DUMMYFUNCTION("""COMPUTED_VALUE"""),671.2)</f>
        <v>671.2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IFERROR(__xludf.DUMMYFUNCTION("""COMPUTED_VALUE"""),678.0)</f>
        <v>678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IFERROR(__xludf.DUMMYFUNCTION("""COMPUTED_VALUE"""),678.45)</f>
        <v>678.45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IFERROR(__xludf.DUMMYFUNCTION("""COMPUTED_VALUE"""),677.0)</f>
        <v>677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IFERROR(__xludf.DUMMYFUNCTION("""COMPUTED_VALUE"""),663.95)</f>
        <v>663.95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IFERROR(__xludf.DUMMYFUNCTION("""COMPUTED_VALUE"""),651.0)</f>
        <v>651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IFERROR(__xludf.DUMMYFUNCTION("""COMPUTED_VALUE"""),651.65)</f>
        <v>651.65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IFERROR(__xludf.DUMMYFUNCTION("""COMPUTED_VALUE"""),640.65)</f>
        <v>640.65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IFERROR(__xludf.DUMMYFUNCTION("""COMPUTED_VALUE"""),638.2)</f>
        <v>638.2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IFERROR(__xludf.DUMMYFUNCTION("""COMPUTED_VALUE"""),617.5)</f>
        <v>617.5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IFERROR(__xludf.DUMMYFUNCTION("""COMPUTED_VALUE"""),541.9)</f>
        <v>541.9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IFERROR(__xludf.DUMMYFUNCTION("""COMPUTED_VALUE"""),536.0)</f>
        <v>536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IFERROR(__xludf.DUMMYFUNCTION("""COMPUTED_VALUE"""),542.0)</f>
        <v>542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IFERROR(__xludf.DUMMYFUNCTION("""COMPUTED_VALUE"""),549.0)</f>
        <v>549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IFERROR(__xludf.DUMMYFUNCTION("""COMPUTED_VALUE"""),534.3)</f>
        <v>534.3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IFERROR(__xludf.DUMMYFUNCTION("""COMPUTED_VALUE"""),529.35)</f>
        <v>529.35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IFERROR(__xludf.DUMMYFUNCTION("""COMPUTED_VALUE"""),525.35)</f>
        <v>525.35</v>
      </c>
    </row>
    <row r="934" ht="15.75" customHeight="1"/>
    <row r="935" ht="15.75" customHeight="1"/>
    <row r="936" ht="15.75" customHeight="1">
      <c r="B936" s="2" t="str">
        <f>IFERROR(__xludf.DUMMYFUNCTION("GOOGLEFINANCE(""NSE:CIPLA"",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IFERROR(__xludf.DUMMYFUNCTION("""COMPUTED_VALUE"""),526.0)</f>
        <v>526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IFERROR(__xludf.DUMMYFUNCTION("""COMPUTED_VALUE"""),519.0)</f>
        <v>519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IFERROR(__xludf.DUMMYFUNCTION("""COMPUTED_VALUE"""),515.95)</f>
        <v>515.95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IFERROR(__xludf.DUMMYFUNCTION("""COMPUTED_VALUE"""),514.2)</f>
        <v>514.2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IFERROR(__xludf.DUMMYFUNCTION("""COMPUTED_VALUE"""),522.55)</f>
        <v>522.55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IFERROR(__xludf.DUMMYFUNCTION("""COMPUTED_VALUE"""),546.7)</f>
        <v>546.7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IFERROR(__xludf.DUMMYFUNCTION("""COMPUTED_VALUE"""),556.0)</f>
        <v>556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IFERROR(__xludf.DUMMYFUNCTION("""COMPUTED_VALUE"""),547.9)</f>
        <v>547.9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IFERROR(__xludf.DUMMYFUNCTION("""COMPUTED_VALUE"""),558.3)</f>
        <v>558.3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IFERROR(__xludf.DUMMYFUNCTION("""COMPUTED_VALUE"""),552.0)</f>
        <v>552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IFERROR(__xludf.DUMMYFUNCTION("""COMPUTED_VALUE"""),543.65)</f>
        <v>543.65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IFERROR(__xludf.DUMMYFUNCTION("""COMPUTED_VALUE"""),539.0)</f>
        <v>539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IFERROR(__xludf.DUMMYFUNCTION("""COMPUTED_VALUE"""),533.6)</f>
        <v>533.6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IFERROR(__xludf.DUMMYFUNCTION("""COMPUTED_VALUE"""),541.0)</f>
        <v>541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IFERROR(__xludf.DUMMYFUNCTION("""COMPUTED_VALUE"""),556.7)</f>
        <v>556.7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IFERROR(__xludf.DUMMYFUNCTION("""COMPUTED_VALUE"""),571.75)</f>
        <v>571.75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IFERROR(__xludf.DUMMYFUNCTION("""COMPUTED_VALUE"""),575.95)</f>
        <v>575.95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IFERROR(__xludf.DUMMYFUNCTION("""COMPUTED_VALUE"""),573.0)</f>
        <v>573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IFERROR(__xludf.DUMMYFUNCTION("""COMPUTED_VALUE"""),566.3)</f>
        <v>566.3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IFERROR(__xludf.DUMMYFUNCTION("""COMPUTED_VALUE"""),562.5)</f>
        <v>562.5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IFERROR(__xludf.DUMMYFUNCTION("""COMPUTED_VALUE"""),580.0)</f>
        <v>580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IFERROR(__xludf.DUMMYFUNCTION("""COMPUTED_VALUE"""),586.0)</f>
        <v>586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IFERROR(__xludf.DUMMYFUNCTION("""COMPUTED_VALUE"""),575.0)</f>
        <v>575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IFERROR(__xludf.DUMMYFUNCTION("""COMPUTED_VALUE"""),567.0)</f>
        <v>567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IFERROR(__xludf.DUMMYFUNCTION("""COMPUTED_VALUE"""),556.6)</f>
        <v>556.6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IFERROR(__xludf.DUMMYFUNCTION("""COMPUTED_VALUE"""),563.9)</f>
        <v>563.9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IFERROR(__xludf.DUMMYFUNCTION("""COMPUTED_VALUE"""),559.35)</f>
        <v>559.35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IFERROR(__xludf.DUMMYFUNCTION("""COMPUTED_VALUE"""),566.5)</f>
        <v>566.5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IFERROR(__xludf.DUMMYFUNCTION("""COMPUTED_VALUE"""),560.5)</f>
        <v>560.5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IFERROR(__xludf.DUMMYFUNCTION("""COMPUTED_VALUE"""),540.0)</f>
        <v>540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IFERROR(__xludf.DUMMYFUNCTION("""COMPUTED_VALUE"""),534.95)</f>
        <v>534.95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IFERROR(__xludf.DUMMYFUNCTION("""COMPUTED_VALUE"""),527.0)</f>
        <v>527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IFERROR(__xludf.DUMMYFUNCTION("""COMPUTED_VALUE"""),486.9)</f>
        <v>486.9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IFERROR(__xludf.DUMMYFUNCTION("""COMPUTED_VALUE"""),485.55)</f>
        <v>485.55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IFERROR(__xludf.DUMMYFUNCTION("""COMPUTED_VALUE"""),476.2)</f>
        <v>476.2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IFERROR(__xludf.DUMMYFUNCTION("""COMPUTED_VALUE"""),482.5)</f>
        <v>482.5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IFERROR(__xludf.DUMMYFUNCTION("""COMPUTED_VALUE"""),478.7)</f>
        <v>478.7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IFERROR(__xludf.DUMMYFUNCTION("""COMPUTED_VALUE"""),472.4)</f>
        <v>472.4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IFERROR(__xludf.DUMMYFUNCTION("""COMPUTED_VALUE"""),472.3)</f>
        <v>472.3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IFERROR(__xludf.DUMMYFUNCTION("""COMPUTED_VALUE"""),432.8)</f>
        <v>432.8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IFERROR(__xludf.DUMMYFUNCTION("""COMPUTED_VALUE"""),443.0)</f>
        <v>443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IFERROR(__xludf.DUMMYFUNCTION("""COMPUTED_VALUE"""),451.15)</f>
        <v>451.15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IFERROR(__xludf.DUMMYFUNCTION("""COMPUTED_VALUE"""),461.45)</f>
        <v>461.45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IFERROR(__xludf.DUMMYFUNCTION("""COMPUTED_VALUE"""),478.95)</f>
        <v>478.95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IFERROR(__xludf.DUMMYFUNCTION("""COMPUTED_VALUE"""),487.95)</f>
        <v>487.95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IFERROR(__xludf.DUMMYFUNCTION("""COMPUTED_VALUE"""),468.05)</f>
        <v>468.05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IFERROR(__xludf.DUMMYFUNCTION("""COMPUTED_VALUE"""),492.3)</f>
        <v>492.3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IFERROR(__xludf.DUMMYFUNCTION("""COMPUTED_VALUE"""),490.55)</f>
        <v>490.55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IFERROR(__xludf.DUMMYFUNCTION("""COMPUTED_VALUE"""),471.85)</f>
        <v>471.85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IFERROR(__xludf.DUMMYFUNCTION("""COMPUTED_VALUE"""),465.0)</f>
        <v>465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IFERROR(__xludf.DUMMYFUNCTION("""COMPUTED_VALUE"""),474.45)</f>
        <v>474.45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IFERROR(__xludf.DUMMYFUNCTION("""COMPUTED_VALUE"""),483.5)</f>
        <v>483.5</v>
      </c>
    </row>
    <row r="989" ht="15.75" customHeight="1"/>
    <row r="990" ht="15.75" customHeight="1"/>
    <row r="991" ht="15.75" customHeight="1">
      <c r="B991" s="2" t="str">
        <f>IFERROR(__xludf.DUMMYFUNCTION("GOOGLEFINANCE(""NSE:CIPLA"",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IFERROR(__xludf.DUMMYFUNCTION("""COMPUTED_VALUE"""),487.0)</f>
        <v>487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IFERROR(__xludf.DUMMYFUNCTION("""COMPUTED_VALUE"""),477.0)</f>
        <v>477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IFERROR(__xludf.DUMMYFUNCTION("""COMPUTED_VALUE"""),487.45)</f>
        <v>487.45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IFERROR(__xludf.DUMMYFUNCTION("""COMPUTED_VALUE"""),483.15)</f>
        <v>483.15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IFERROR(__xludf.DUMMYFUNCTION("""COMPUTED_VALUE"""),468.0)</f>
        <v>468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IFERROR(__xludf.DUMMYFUNCTION("""COMPUTED_VALUE"""),464.35)</f>
        <v>464.35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IFERROR(__xludf.DUMMYFUNCTION("""COMPUTED_VALUE"""),454.95)</f>
        <v>454.95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IFERROR(__xludf.DUMMYFUNCTION("""COMPUTED_VALUE"""),449.2)</f>
        <v>449.2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IFERROR(__xludf.DUMMYFUNCTION("""COMPUTED_VALUE"""),436.7)</f>
        <v>436.7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IFERROR(__xludf.DUMMYFUNCTION("""COMPUTED_VALUE"""),472.0)</f>
        <v>472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IFERROR(__xludf.DUMMYFUNCTION("""COMPUTED_VALUE"""),434.95)</f>
        <v>434.95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IFERROR(__xludf.DUMMYFUNCTION("""COMPUTED_VALUE"""),423.9)</f>
        <v>423.9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IFERROR(__xludf.DUMMYFUNCTION("""COMPUTED_VALUE"""),411.0)</f>
        <v>411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IFERROR(__xludf.DUMMYFUNCTION("""COMPUTED_VALUE"""),454.7)</f>
        <v>454.7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IFERROR(__xludf.DUMMYFUNCTION("""COMPUTED_VALUE"""),610.0)</f>
        <v>610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IFERROR(__xludf.DUMMYFUNCTION("""COMPUTED_VALUE"""),615.0)</f>
        <v>615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IFERROR(__xludf.DUMMYFUNCTION("""COMPUTED_VALUE"""),609.8)</f>
        <v>609.8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IFERROR(__xludf.DUMMYFUNCTION("""COMPUTED_VALUE"""),632.65)</f>
        <v>632.65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IFERROR(__xludf.DUMMYFUNCTION("""COMPUTED_VALUE"""),623.05)</f>
        <v>623.05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IFERROR(__xludf.DUMMYFUNCTION("""COMPUTED_VALUE"""),605.0)</f>
        <v>605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IFERROR(__xludf.DUMMYFUNCTION("""COMPUTED_VALUE"""),641.85)</f>
        <v>641.85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IFERROR(__xludf.DUMMYFUNCTION("""COMPUTED_VALUE"""),650.95)</f>
        <v>650.95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IFERROR(__xludf.DUMMYFUNCTION("""COMPUTED_VALUE"""),669.75)</f>
        <v>669.75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IFERROR(__xludf.DUMMYFUNCTION("""COMPUTED_VALUE"""),657.8)</f>
        <v>657.8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IFERROR(__xludf.DUMMYFUNCTION("""COMPUTED_VALUE"""),653.5)</f>
        <v>653.5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IFERROR(__xludf.DUMMYFUNCTION("""COMPUTED_VALUE"""),692.5)</f>
        <v>692.5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IFERROR(__xludf.DUMMYFUNCTION("""COMPUTED_VALUE"""),654.45)</f>
        <v>654.45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IFERROR(__xludf.DUMMYFUNCTION("""COMPUTED_VALUE"""),648.0)</f>
        <v>648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IFERROR(__xludf.DUMMYFUNCTION("""COMPUTED_VALUE"""),696.65)</f>
        <v>696.65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IFERROR(__xludf.DUMMYFUNCTION("""COMPUTED_VALUE"""),690.85)</f>
        <v>690.85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IFERROR(__xludf.DUMMYFUNCTION("""COMPUTED_VALUE"""),724.0)</f>
        <v>724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IFERROR(__xludf.DUMMYFUNCTION("""COMPUTED_VALUE"""),739.7)</f>
        <v>739.7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IFERROR(__xludf.DUMMYFUNCTION("""COMPUTED_VALUE"""),814.5)</f>
        <v>814.5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IFERROR(__xludf.DUMMYFUNCTION("""COMPUTED_VALUE"""),781.0)</f>
        <v>781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IFERROR(__xludf.DUMMYFUNCTION("""COMPUTED_VALUE"""),771.0)</f>
        <v>771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IFERROR(__xludf.DUMMYFUNCTION("""COMPUTED_VALUE"""),755.7)</f>
        <v>755.7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IFERROR(__xludf.DUMMYFUNCTION("""COMPUTED_VALUE"""),735.9)</f>
        <v>735.9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IFERROR(__xludf.DUMMYFUNCTION("""COMPUTED_VALUE"""),819.3)</f>
        <v>819.3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IFERROR(__xludf.DUMMYFUNCTION("""COMPUTED_VALUE"""),811.95)</f>
        <v>811.95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IFERROR(__xludf.DUMMYFUNCTION("""COMPUTED_VALUE"""),794.9)</f>
        <v>794.9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IFERROR(__xludf.DUMMYFUNCTION("""COMPUTED_VALUE"""),825.0)</f>
        <v>825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IFERROR(__xludf.DUMMYFUNCTION("""COMPUTED_VALUE"""),829.05)</f>
        <v>829.05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IFERROR(__xludf.DUMMYFUNCTION("""COMPUTED_VALUE"""),784.1)</f>
        <v>784.1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IFERROR(__xludf.DUMMYFUNCTION("""COMPUTED_VALUE"""),780.0)</f>
        <v>780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IFERROR(__xludf.DUMMYFUNCTION("""COMPUTED_VALUE"""),802.0)</f>
        <v>802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IFERROR(__xludf.DUMMYFUNCTION("""COMPUTED_VALUE"""),752.0)</f>
        <v>752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IFERROR(__xludf.DUMMYFUNCTION("""COMPUTED_VALUE"""),758.05)</f>
        <v>758.05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IFERROR(__xludf.DUMMYFUNCTION("""COMPUTED_VALUE"""),770.6)</f>
        <v>770.6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IFERROR(__xludf.DUMMYFUNCTION("""COMPUTED_VALUE"""),782.5)</f>
        <v>782.5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IFERROR(__xludf.DUMMYFUNCTION("""COMPUTED_VALUE"""),798.0)</f>
        <v>798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IFERROR(__xludf.DUMMYFUNCTION("""COMPUTED_VALUE"""),834.9)</f>
        <v>834.9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IFERROR(__xludf.DUMMYFUNCTION("""COMPUTED_VALUE"""),839.0)</f>
        <v>839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IFERROR(__xludf.DUMMYFUNCTION("GOOGLEFINANCE(""NSE:HEROMOTOCO"",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IFERROR(__xludf.DUMMYFUNCTION("""COMPUTED_VALUE"""),285.8)</f>
        <v>285.8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IFERROR(__xludf.DUMMYFUNCTION("""COMPUTED_VALUE"""),315.85)</f>
        <v>315.85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IFERROR(__xludf.DUMMYFUNCTION("""COMPUTED_VALUE"""),335.0)</f>
        <v>335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IFERROR(__xludf.DUMMYFUNCTION("""COMPUTED_VALUE"""),346.0)</f>
        <v>346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IFERROR(__xludf.DUMMYFUNCTION("""COMPUTED_VALUE"""),323.75)</f>
        <v>323.75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IFERROR(__xludf.DUMMYFUNCTION("""COMPUTED_VALUE"""),329.5)</f>
        <v>329.5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IFERROR(__xludf.DUMMYFUNCTION("""COMPUTED_VALUE"""),329.8)</f>
        <v>329.8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IFERROR(__xludf.DUMMYFUNCTION("""COMPUTED_VALUE"""),368.9)</f>
        <v>368.9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IFERROR(__xludf.DUMMYFUNCTION("""COMPUTED_VALUE"""),400.0)</f>
        <v>400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IFERROR(__xludf.DUMMYFUNCTION("""COMPUTED_VALUE"""),395.0)</f>
        <v>395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IFERROR(__xludf.DUMMYFUNCTION("""COMPUTED_VALUE"""),377.7)</f>
        <v>377.7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IFERROR(__xludf.DUMMYFUNCTION("""COMPUTED_VALUE"""),380.0)</f>
        <v>380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IFERROR(__xludf.DUMMYFUNCTION("""COMPUTED_VALUE"""),360.0)</f>
        <v>360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IFERROR(__xludf.DUMMYFUNCTION("""COMPUTED_VALUE"""),386.0)</f>
        <v>386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IFERROR(__xludf.DUMMYFUNCTION("""COMPUTED_VALUE"""),376.8)</f>
        <v>376.8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IFERROR(__xludf.DUMMYFUNCTION("""COMPUTED_VALUE"""),385.0)</f>
        <v>385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IFERROR(__xludf.DUMMYFUNCTION("""COMPUTED_VALUE"""),378.0)</f>
        <v>378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IFERROR(__xludf.DUMMYFUNCTION("""COMPUTED_VALUE"""),375.0)</f>
        <v>375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IFERROR(__xludf.DUMMYFUNCTION("""COMPUTED_VALUE"""),357.8)</f>
        <v>357.8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IFERROR(__xludf.DUMMYFUNCTION("""COMPUTED_VALUE"""),354.85)</f>
        <v>354.85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IFERROR(__xludf.DUMMYFUNCTION("""COMPUTED_VALUE"""),333.95)</f>
        <v>333.95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IFERROR(__xludf.DUMMYFUNCTION("""COMPUTED_VALUE"""),335.05)</f>
        <v>335.05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IFERROR(__xludf.DUMMYFUNCTION("""COMPUTED_VALUE"""),337.8)</f>
        <v>337.8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IFERROR(__xludf.DUMMYFUNCTION("""COMPUTED_VALUE"""),349.9)</f>
        <v>349.9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IFERROR(__xludf.DUMMYFUNCTION("""COMPUTED_VALUE"""),342.55)</f>
        <v>342.55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IFERROR(__xludf.DUMMYFUNCTION("""COMPUTED_VALUE"""),318.55)</f>
        <v>318.55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IFERROR(__xludf.DUMMYFUNCTION("""COMPUTED_VALUE"""),330.0)</f>
        <v>330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IFERROR(__xludf.DUMMYFUNCTION("""COMPUTED_VALUE"""),343.9)</f>
        <v>343.9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IFERROR(__xludf.DUMMYFUNCTION("""COMPUTED_VALUE"""),328.8)</f>
        <v>328.8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IFERROR(__xludf.DUMMYFUNCTION("""COMPUTED_VALUE"""),312.0)</f>
        <v>312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IFERROR(__xludf.DUMMYFUNCTION("""COMPUTED_VALUE"""),289.0)</f>
        <v>289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IFERROR(__xludf.DUMMYFUNCTION("""COMPUTED_VALUE"""),284.9)</f>
        <v>284.9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IFERROR(__xludf.DUMMYFUNCTION("""COMPUTED_VALUE"""),306.0)</f>
        <v>306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IFERROR(__xludf.DUMMYFUNCTION("""COMPUTED_VALUE"""),308.5)</f>
        <v>308.5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IFERROR(__xludf.DUMMYFUNCTION("""COMPUTED_VALUE"""),282.0)</f>
        <v>282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IFERROR(__xludf.DUMMYFUNCTION("""COMPUTED_VALUE"""),282.7)</f>
        <v>282.7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IFERROR(__xludf.DUMMYFUNCTION("""COMPUTED_VALUE"""),285.0)</f>
        <v>285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IFERROR(__xludf.DUMMYFUNCTION("""COMPUTED_VALUE"""),278.75)</f>
        <v>278.75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IFERROR(__xludf.DUMMYFUNCTION("""COMPUTED_VALUE"""),279.0)</f>
        <v>279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IFERROR(__xludf.DUMMYFUNCTION("""COMPUTED_VALUE"""),270.45)</f>
        <v>270.45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IFERROR(__xludf.DUMMYFUNCTION("""COMPUTED_VALUE"""),273.8)</f>
        <v>273.8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IFERROR(__xludf.DUMMYFUNCTION("""COMPUTED_VALUE"""),265.0)</f>
        <v>265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IFERROR(__xludf.DUMMYFUNCTION("""COMPUTED_VALUE"""),264.7)</f>
        <v>264.7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IFERROR(__xludf.DUMMYFUNCTION("""COMPUTED_VALUE"""),248.0)</f>
        <v>248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IFERROR(__xludf.DUMMYFUNCTION("""COMPUTED_VALUE"""),253.9)</f>
        <v>253.9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IFERROR(__xludf.DUMMYFUNCTION("""COMPUTED_VALUE"""),266.8)</f>
        <v>266.8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IFERROR(__xludf.DUMMYFUNCTION("""COMPUTED_VALUE"""),269.0)</f>
        <v>269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IFERROR(__xludf.DUMMYFUNCTION("""COMPUTED_VALUE"""),299.45)</f>
        <v>299.45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IFERROR(__xludf.DUMMYFUNCTION("""COMPUTED_VALUE"""),293.0)</f>
        <v>293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IFERROR(__xludf.DUMMYFUNCTION("""COMPUTED_VALUE"""),273.0)</f>
        <v>273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IFERROR(__xludf.DUMMYFUNCTION("""COMPUTED_VALUE"""),285.0)</f>
        <v>285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IFERROR(__xludf.DUMMYFUNCTION("""COMPUTED_VALUE"""),276.5)</f>
        <v>276.5</v>
      </c>
    </row>
    <row r="54" ht="15.75" customHeight="1"/>
    <row r="55" ht="15.75" customHeight="1"/>
    <row r="56" ht="15.75" customHeight="1">
      <c r="B56" s="2" t="str">
        <f>IFERROR(__xludf.DUMMYFUNCTION("GOOGLEFINANCE(""NSE:HEROMOTOCO"",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IFERROR(__xludf.DUMMYFUNCTION("""COMPUTED_VALUE"""),272.5)</f>
        <v>272.5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IFERROR(__xludf.DUMMYFUNCTION("""COMPUTED_VALUE"""),264.0)</f>
        <v>264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IFERROR(__xludf.DUMMYFUNCTION("""COMPUTED_VALUE"""),254.5)</f>
        <v>254.5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IFERROR(__xludf.DUMMYFUNCTION("""COMPUTED_VALUE"""),247.4)</f>
        <v>247.4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IFERROR(__xludf.DUMMYFUNCTION("""COMPUTED_VALUE"""),258.0)</f>
        <v>258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IFERROR(__xludf.DUMMYFUNCTION("""COMPUTED_VALUE"""),265.0)</f>
        <v>265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IFERROR(__xludf.DUMMYFUNCTION("""COMPUTED_VALUE"""),238.0)</f>
        <v>238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IFERROR(__xludf.DUMMYFUNCTION("""COMPUTED_VALUE"""),229.5)</f>
        <v>229.5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IFERROR(__xludf.DUMMYFUNCTION("""COMPUTED_VALUE"""),227.5)</f>
        <v>227.5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IFERROR(__xludf.DUMMYFUNCTION("""COMPUTED_VALUE"""),226.5)</f>
        <v>226.5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IFERROR(__xludf.DUMMYFUNCTION("""COMPUTED_VALUE"""),235.0)</f>
        <v>235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IFERROR(__xludf.DUMMYFUNCTION("""COMPUTED_VALUE"""),229.0)</f>
        <v>229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IFERROR(__xludf.DUMMYFUNCTION("""COMPUTED_VALUE"""),195.95)</f>
        <v>195.95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IFERROR(__xludf.DUMMYFUNCTION("""COMPUTED_VALUE"""),207.5)</f>
        <v>207.5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IFERROR(__xludf.DUMMYFUNCTION("""COMPUTED_VALUE"""),208.0)</f>
        <v>208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IFERROR(__xludf.DUMMYFUNCTION("""COMPUTED_VALUE"""),196.9)</f>
        <v>196.9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IFERROR(__xludf.DUMMYFUNCTION("""COMPUTED_VALUE"""),206.4)</f>
        <v>206.4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IFERROR(__xludf.DUMMYFUNCTION("""COMPUTED_VALUE"""),214.5)</f>
        <v>214.5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IFERROR(__xludf.DUMMYFUNCTION("""COMPUTED_VALUE"""),231.9)</f>
        <v>231.9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IFERROR(__xludf.DUMMYFUNCTION("""COMPUTED_VALUE"""),239.5)</f>
        <v>239.5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IFERROR(__xludf.DUMMYFUNCTION("""COMPUTED_VALUE"""),228.0)</f>
        <v>228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IFERROR(__xludf.DUMMYFUNCTION("""COMPUTED_VALUE"""),236.9)</f>
        <v>236.9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IFERROR(__xludf.DUMMYFUNCTION("""COMPUTED_VALUE"""),253.1)</f>
        <v>253.1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IFERROR(__xludf.DUMMYFUNCTION("""COMPUTED_VALUE"""),252.45)</f>
        <v>252.45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IFERROR(__xludf.DUMMYFUNCTION("""COMPUTED_VALUE"""),257.8)</f>
        <v>257.8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IFERROR(__xludf.DUMMYFUNCTION("""COMPUTED_VALUE"""),262.8)</f>
        <v>262.8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IFERROR(__xludf.DUMMYFUNCTION("""COMPUTED_VALUE"""),264.9)</f>
        <v>264.9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IFERROR(__xludf.DUMMYFUNCTION("""COMPUTED_VALUE"""),265.0)</f>
        <v>265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IFERROR(__xludf.DUMMYFUNCTION("""COMPUTED_VALUE"""),260.0)</f>
        <v>260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IFERROR(__xludf.DUMMYFUNCTION("""COMPUTED_VALUE"""),275.9)</f>
        <v>275.9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IFERROR(__xludf.DUMMYFUNCTION("""COMPUTED_VALUE"""),280.55)</f>
        <v>280.55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IFERROR(__xludf.DUMMYFUNCTION("""COMPUTED_VALUE"""),280.0)</f>
        <v>280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IFERROR(__xludf.DUMMYFUNCTION("""COMPUTED_VALUE"""),283.5)</f>
        <v>283.5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IFERROR(__xludf.DUMMYFUNCTION("""COMPUTED_VALUE"""),308.0)</f>
        <v>308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IFERROR(__xludf.DUMMYFUNCTION("""COMPUTED_VALUE"""),297.65)</f>
        <v>297.65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IFERROR(__xludf.DUMMYFUNCTION("""COMPUTED_VALUE"""),293.3)</f>
        <v>293.3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IFERROR(__xludf.DUMMYFUNCTION("""COMPUTED_VALUE"""),290.65)</f>
        <v>290.65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IFERROR(__xludf.DUMMYFUNCTION("""COMPUTED_VALUE"""),301.1)</f>
        <v>301.1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IFERROR(__xludf.DUMMYFUNCTION("""COMPUTED_VALUE"""),327.0)</f>
        <v>327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IFERROR(__xludf.DUMMYFUNCTION("""COMPUTED_VALUE"""),350.0)</f>
        <v>350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IFERROR(__xludf.DUMMYFUNCTION("""COMPUTED_VALUE"""),347.0)</f>
        <v>347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IFERROR(__xludf.DUMMYFUNCTION("""COMPUTED_VALUE"""),355.9)</f>
        <v>355.9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IFERROR(__xludf.DUMMYFUNCTION("""COMPUTED_VALUE"""),384.45)</f>
        <v>384.45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IFERROR(__xludf.DUMMYFUNCTION("""COMPUTED_VALUE"""),399.95)</f>
        <v>399.95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IFERROR(__xludf.DUMMYFUNCTION("""COMPUTED_VALUE"""),384.0)</f>
        <v>384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IFERROR(__xludf.DUMMYFUNCTION("""COMPUTED_VALUE"""),414.0)</f>
        <v>414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IFERROR(__xludf.DUMMYFUNCTION("""COMPUTED_VALUE"""),407.9)</f>
        <v>407.9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IFERROR(__xludf.DUMMYFUNCTION("""COMPUTED_VALUE"""),419.95)</f>
        <v>419.95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IFERROR(__xludf.DUMMYFUNCTION("""COMPUTED_VALUE"""),465.0)</f>
        <v>465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IFERROR(__xludf.DUMMYFUNCTION("GOOGLEFINANCE(""NSE:HEROMOTOCO"",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IFERROR(__xludf.DUMMYFUNCTION("""COMPUTED_VALUE"""),472.0)</f>
        <v>472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IFERROR(__xludf.DUMMYFUNCTION("""COMPUTED_VALUE"""),488.4)</f>
        <v>488.4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IFERROR(__xludf.DUMMYFUNCTION("""COMPUTED_VALUE"""),498.0)</f>
        <v>498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IFERROR(__xludf.DUMMYFUNCTION("""COMPUTED_VALUE"""),499.5)</f>
        <v>499.5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IFERROR(__xludf.DUMMYFUNCTION("""COMPUTED_VALUE"""),475.5)</f>
        <v>475.5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IFERROR(__xludf.DUMMYFUNCTION("""COMPUTED_VALUE"""),474.4)</f>
        <v>474.4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IFERROR(__xludf.DUMMYFUNCTION("""COMPUTED_VALUE"""),509.45)</f>
        <v>509.45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IFERROR(__xludf.DUMMYFUNCTION("""COMPUTED_VALUE"""),519.85)</f>
        <v>519.85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IFERROR(__xludf.DUMMYFUNCTION("""COMPUTED_VALUE"""),521.7)</f>
        <v>521.7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IFERROR(__xludf.DUMMYFUNCTION("""COMPUTED_VALUE"""),536.85)</f>
        <v>536.85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IFERROR(__xludf.DUMMYFUNCTION("""COMPUTED_VALUE"""),544.4)</f>
        <v>544.4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IFERROR(__xludf.DUMMYFUNCTION("""COMPUTED_VALUE"""),487.8)</f>
        <v>487.8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IFERROR(__xludf.DUMMYFUNCTION("""COMPUTED_VALUE"""),475.0)</f>
        <v>475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IFERROR(__xludf.DUMMYFUNCTION("""COMPUTED_VALUE"""),512.5)</f>
        <v>512.5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IFERROR(__xludf.DUMMYFUNCTION("""COMPUTED_VALUE"""),514.95)</f>
        <v>514.95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IFERROR(__xludf.DUMMYFUNCTION("""COMPUTED_VALUE"""),510.2)</f>
        <v>510.2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IFERROR(__xludf.DUMMYFUNCTION("""COMPUTED_VALUE"""),494.0)</f>
        <v>494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IFERROR(__xludf.DUMMYFUNCTION("""COMPUTED_VALUE"""),495.0)</f>
        <v>495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IFERROR(__xludf.DUMMYFUNCTION("""COMPUTED_VALUE"""),495.0)</f>
        <v>495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IFERROR(__xludf.DUMMYFUNCTION("""COMPUTED_VALUE"""),489.0)</f>
        <v>489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IFERROR(__xludf.DUMMYFUNCTION("""COMPUTED_VALUE"""),494.85)</f>
        <v>494.85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IFERROR(__xludf.DUMMYFUNCTION("""COMPUTED_VALUE"""),489.0)</f>
        <v>489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IFERROR(__xludf.DUMMYFUNCTION("""COMPUTED_VALUE"""),494.0)</f>
        <v>494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IFERROR(__xludf.DUMMYFUNCTION("""COMPUTED_VALUE"""),487.0)</f>
        <v>487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IFERROR(__xludf.DUMMYFUNCTION("""COMPUTED_VALUE"""),495.0)</f>
        <v>495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IFERROR(__xludf.DUMMYFUNCTION("""COMPUTED_VALUE"""),516.5)</f>
        <v>516.5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IFERROR(__xludf.DUMMYFUNCTION("""COMPUTED_VALUE"""),535.15)</f>
        <v>535.15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IFERROR(__xludf.DUMMYFUNCTION("""COMPUTED_VALUE"""),505.0)</f>
        <v>505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IFERROR(__xludf.DUMMYFUNCTION("""COMPUTED_VALUE"""),464.45)</f>
        <v>464.45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IFERROR(__xludf.DUMMYFUNCTION("""COMPUTED_VALUE"""),448.0)</f>
        <v>448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IFERROR(__xludf.DUMMYFUNCTION("""COMPUTED_VALUE"""),457.85)</f>
        <v>457.85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IFERROR(__xludf.DUMMYFUNCTION("""COMPUTED_VALUE"""),468.8)</f>
        <v>468.8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IFERROR(__xludf.DUMMYFUNCTION("""COMPUTED_VALUE"""),452.5)</f>
        <v>452.5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IFERROR(__xludf.DUMMYFUNCTION("""COMPUTED_VALUE"""),454.5)</f>
        <v>454.5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IFERROR(__xludf.DUMMYFUNCTION("""COMPUTED_VALUE"""),454.9)</f>
        <v>454.9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IFERROR(__xludf.DUMMYFUNCTION("""COMPUTED_VALUE"""),459.0)</f>
        <v>459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IFERROR(__xludf.DUMMYFUNCTION("""COMPUTED_VALUE"""),465.75)</f>
        <v>465.75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IFERROR(__xludf.DUMMYFUNCTION("""COMPUTED_VALUE"""),463.5)</f>
        <v>463.5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IFERROR(__xludf.DUMMYFUNCTION("""COMPUTED_VALUE"""),459.3)</f>
        <v>459.3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IFERROR(__xludf.DUMMYFUNCTION("""COMPUTED_VALUE"""),438.9)</f>
        <v>438.9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IFERROR(__xludf.DUMMYFUNCTION("""COMPUTED_VALUE"""),440.0)</f>
        <v>440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IFERROR(__xludf.DUMMYFUNCTION("""COMPUTED_VALUE"""),442.0)</f>
        <v>442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IFERROR(__xludf.DUMMYFUNCTION("""COMPUTED_VALUE"""),435.9)</f>
        <v>435.9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IFERROR(__xludf.DUMMYFUNCTION("""COMPUTED_VALUE"""),444.5)</f>
        <v>444.5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IFERROR(__xludf.DUMMYFUNCTION("""COMPUTED_VALUE"""),455.0)</f>
        <v>455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IFERROR(__xludf.DUMMYFUNCTION("""COMPUTED_VALUE"""),475.4)</f>
        <v>475.4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IFERROR(__xludf.DUMMYFUNCTION("""COMPUTED_VALUE"""),495.5)</f>
        <v>495.5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IFERROR(__xludf.DUMMYFUNCTION("""COMPUTED_VALUE"""),498.5)</f>
        <v>498.5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IFERROR(__xludf.DUMMYFUNCTION("""COMPUTED_VALUE"""),522.0)</f>
        <v>522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IFERROR(__xludf.DUMMYFUNCTION("""COMPUTED_VALUE"""),596.9)</f>
        <v>596.9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IFERROR(__xludf.DUMMYFUNCTION("""COMPUTED_VALUE"""),586.5)</f>
        <v>586.5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IFERROR(__xludf.DUMMYFUNCTION("GOOGLEFINANCE(""NSE:HEROMOTOCO"",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IFERROR(__xludf.DUMMYFUNCTION("""COMPUTED_VALUE"""),616.0)</f>
        <v>616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IFERROR(__xludf.DUMMYFUNCTION("""COMPUTED_VALUE"""),580.0)</f>
        <v>580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IFERROR(__xludf.DUMMYFUNCTION("""COMPUTED_VALUE"""),547.0)</f>
        <v>547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IFERROR(__xludf.DUMMYFUNCTION("""COMPUTED_VALUE"""),552.0)</f>
        <v>552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IFERROR(__xludf.DUMMYFUNCTION("""COMPUTED_VALUE"""),549.7)</f>
        <v>549.7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IFERROR(__xludf.DUMMYFUNCTION("""COMPUTED_VALUE"""),554.1)</f>
        <v>554.1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IFERROR(__xludf.DUMMYFUNCTION("""COMPUTED_VALUE"""),567.6)</f>
        <v>567.6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IFERROR(__xludf.DUMMYFUNCTION("""COMPUTED_VALUE"""),549.8)</f>
        <v>549.8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IFERROR(__xludf.DUMMYFUNCTION("""COMPUTED_VALUE"""),571.85)</f>
        <v>571.85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IFERROR(__xludf.DUMMYFUNCTION("""COMPUTED_VALUE"""),570.0)</f>
        <v>570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IFERROR(__xludf.DUMMYFUNCTION("""COMPUTED_VALUE"""),616.0)</f>
        <v>616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IFERROR(__xludf.DUMMYFUNCTION("""COMPUTED_VALUE"""),556.6)</f>
        <v>556.6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IFERROR(__xludf.DUMMYFUNCTION("""COMPUTED_VALUE"""),564.0)</f>
        <v>564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IFERROR(__xludf.DUMMYFUNCTION("""COMPUTED_VALUE"""),553.9)</f>
        <v>553.9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IFERROR(__xludf.DUMMYFUNCTION("""COMPUTED_VALUE"""),536.0)</f>
        <v>536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IFERROR(__xludf.DUMMYFUNCTION("""COMPUTED_VALUE"""),521.0)</f>
        <v>521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IFERROR(__xludf.DUMMYFUNCTION("""COMPUTED_VALUE"""),526.0)</f>
        <v>526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IFERROR(__xludf.DUMMYFUNCTION("""COMPUTED_VALUE"""),543.0)</f>
        <v>543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IFERROR(__xludf.DUMMYFUNCTION("""COMPUTED_VALUE"""),558.4)</f>
        <v>558.4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IFERROR(__xludf.DUMMYFUNCTION("""COMPUTED_VALUE"""),569.95)</f>
        <v>569.95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IFERROR(__xludf.DUMMYFUNCTION("""COMPUTED_VALUE"""),600.0)</f>
        <v>600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IFERROR(__xludf.DUMMYFUNCTION("""COMPUTED_VALUE"""),564.0)</f>
        <v>564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IFERROR(__xludf.DUMMYFUNCTION("""COMPUTED_VALUE"""),556.9)</f>
        <v>556.9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IFERROR(__xludf.DUMMYFUNCTION("""COMPUTED_VALUE"""),608.0)</f>
        <v>608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IFERROR(__xludf.DUMMYFUNCTION("""COMPUTED_VALUE"""),601.0)</f>
        <v>601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IFERROR(__xludf.DUMMYFUNCTION("""COMPUTED_VALUE"""),591.8)</f>
        <v>591.8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IFERROR(__xludf.DUMMYFUNCTION("""COMPUTED_VALUE"""),640.0)</f>
        <v>640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IFERROR(__xludf.DUMMYFUNCTION("""COMPUTED_VALUE"""),657.5)</f>
        <v>657.5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IFERROR(__xludf.DUMMYFUNCTION("""COMPUTED_VALUE"""),634.0)</f>
        <v>634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IFERROR(__xludf.DUMMYFUNCTION("""COMPUTED_VALUE"""),645.0)</f>
        <v>645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IFERROR(__xludf.DUMMYFUNCTION("""COMPUTED_VALUE"""),702.0)</f>
        <v>702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IFERROR(__xludf.DUMMYFUNCTION("""COMPUTED_VALUE"""),695.0)</f>
        <v>695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IFERROR(__xludf.DUMMYFUNCTION("""COMPUTED_VALUE"""),699.95)</f>
        <v>699.95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IFERROR(__xludf.DUMMYFUNCTION("""COMPUTED_VALUE"""),702.5)</f>
        <v>702.5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IFERROR(__xludf.DUMMYFUNCTION("""COMPUTED_VALUE"""),710.65)</f>
        <v>710.65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IFERROR(__xludf.DUMMYFUNCTION("""COMPUTED_VALUE"""),706.9)</f>
        <v>706.9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IFERROR(__xludf.DUMMYFUNCTION("""COMPUTED_VALUE"""),723.85)</f>
        <v>723.85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IFERROR(__xludf.DUMMYFUNCTION("""COMPUTED_VALUE"""),754.85)</f>
        <v>754.85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IFERROR(__xludf.DUMMYFUNCTION("""COMPUTED_VALUE"""),770.0)</f>
        <v>770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IFERROR(__xludf.DUMMYFUNCTION("""COMPUTED_VALUE"""),749.4)</f>
        <v>749.4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IFERROR(__xludf.DUMMYFUNCTION("""COMPUTED_VALUE"""),753.5)</f>
        <v>753.5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IFERROR(__xludf.DUMMYFUNCTION("""COMPUTED_VALUE"""),840.0)</f>
        <v>840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IFERROR(__xludf.DUMMYFUNCTION("""COMPUTED_VALUE"""),727.9)</f>
        <v>727.9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IFERROR(__xludf.DUMMYFUNCTION("""COMPUTED_VALUE"""),811.0)</f>
        <v>811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IFERROR(__xludf.DUMMYFUNCTION("""COMPUTED_VALUE"""),825.85)</f>
        <v>825.85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IFERROR(__xludf.DUMMYFUNCTION("""COMPUTED_VALUE"""),871.0)</f>
        <v>871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IFERROR(__xludf.DUMMYFUNCTION("""COMPUTED_VALUE"""),858.9)</f>
        <v>858.9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IFERROR(__xludf.DUMMYFUNCTION("""COMPUTED_VALUE"""),882.0)</f>
        <v>882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IFERROR(__xludf.DUMMYFUNCTION("""COMPUTED_VALUE"""),879.8)</f>
        <v>879.8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IFERROR(__xludf.DUMMYFUNCTION("""COMPUTED_VALUE"""),892.3)</f>
        <v>892.3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IFERROR(__xludf.DUMMYFUNCTION("GOOGLEFINANCE(""NSE:HEROMOTOCO"",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IFERROR(__xludf.DUMMYFUNCTION("""COMPUTED_VALUE"""),882.0)</f>
        <v>882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IFERROR(__xludf.DUMMYFUNCTION("""COMPUTED_VALUE"""),888.2)</f>
        <v>888.2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IFERROR(__xludf.DUMMYFUNCTION("""COMPUTED_VALUE"""),854.5)</f>
        <v>854.5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IFERROR(__xludf.DUMMYFUNCTION("""COMPUTED_VALUE"""),880.0)</f>
        <v>880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IFERROR(__xludf.DUMMYFUNCTION("""COMPUTED_VALUE"""),887.8)</f>
        <v>887.8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IFERROR(__xludf.DUMMYFUNCTION("""COMPUTED_VALUE"""),927.3)</f>
        <v>927.3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IFERROR(__xludf.DUMMYFUNCTION("""COMPUTED_VALUE"""),940.0)</f>
        <v>940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IFERROR(__xludf.DUMMYFUNCTION("""COMPUTED_VALUE"""),921.8)</f>
        <v>921.8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IFERROR(__xludf.DUMMYFUNCTION("""COMPUTED_VALUE"""),915.0)</f>
        <v>915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IFERROR(__xludf.DUMMYFUNCTION("""COMPUTED_VALUE"""),918.0)</f>
        <v>918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IFERROR(__xludf.DUMMYFUNCTION("""COMPUTED_VALUE"""),914.8)</f>
        <v>914.8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IFERROR(__xludf.DUMMYFUNCTION("""COMPUTED_VALUE"""),939.8)</f>
        <v>939.8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IFERROR(__xludf.DUMMYFUNCTION("""COMPUTED_VALUE"""),910.0)</f>
        <v>910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IFERROR(__xludf.DUMMYFUNCTION("""COMPUTED_VALUE"""),915.9)</f>
        <v>915.9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IFERROR(__xludf.DUMMYFUNCTION("""COMPUTED_VALUE"""),888.9)</f>
        <v>888.9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IFERROR(__xludf.DUMMYFUNCTION("""COMPUTED_VALUE"""),886.8)</f>
        <v>886.8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IFERROR(__xludf.DUMMYFUNCTION("""COMPUTED_VALUE"""),860.0)</f>
        <v>860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IFERROR(__xludf.DUMMYFUNCTION("""COMPUTED_VALUE"""),890.0)</f>
        <v>890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IFERROR(__xludf.DUMMYFUNCTION("""COMPUTED_VALUE"""),898.4)</f>
        <v>898.4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IFERROR(__xludf.DUMMYFUNCTION("""COMPUTED_VALUE"""),849.0)</f>
        <v>849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IFERROR(__xludf.DUMMYFUNCTION("""COMPUTED_VALUE"""),870.0)</f>
        <v>870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IFERROR(__xludf.DUMMYFUNCTION("""COMPUTED_VALUE"""),793.8)</f>
        <v>793.8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IFERROR(__xludf.DUMMYFUNCTION("""COMPUTED_VALUE"""),765.0)</f>
        <v>765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IFERROR(__xludf.DUMMYFUNCTION("""COMPUTED_VALUE"""),802.0)</f>
        <v>802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IFERROR(__xludf.DUMMYFUNCTION("""COMPUTED_VALUE"""),809.8)</f>
        <v>809.8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IFERROR(__xludf.DUMMYFUNCTION("""COMPUTED_VALUE"""),810.2)</f>
        <v>810.2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IFERROR(__xludf.DUMMYFUNCTION("""COMPUTED_VALUE"""),774.9)</f>
        <v>774.9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IFERROR(__xludf.DUMMYFUNCTION("""COMPUTED_VALUE"""),734.0)</f>
        <v>734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IFERROR(__xludf.DUMMYFUNCTION("""COMPUTED_VALUE"""),723.0)</f>
        <v>723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IFERROR(__xludf.DUMMYFUNCTION("""COMPUTED_VALUE"""),712.0)</f>
        <v>712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IFERROR(__xludf.DUMMYFUNCTION("""COMPUTED_VALUE"""),699.7)</f>
        <v>699.7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IFERROR(__xludf.DUMMYFUNCTION("""COMPUTED_VALUE"""),716.7)</f>
        <v>716.7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IFERROR(__xludf.DUMMYFUNCTION("""COMPUTED_VALUE"""),731.0)</f>
        <v>731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IFERROR(__xludf.DUMMYFUNCTION("""COMPUTED_VALUE"""),729.0)</f>
        <v>729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IFERROR(__xludf.DUMMYFUNCTION("""COMPUTED_VALUE"""),738.0)</f>
        <v>738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IFERROR(__xludf.DUMMYFUNCTION("""COMPUTED_VALUE"""),789.75)</f>
        <v>789.75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IFERROR(__xludf.DUMMYFUNCTION("""COMPUTED_VALUE"""),789.0)</f>
        <v>789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IFERROR(__xludf.DUMMYFUNCTION("""COMPUTED_VALUE"""),797.0)</f>
        <v>797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IFERROR(__xludf.DUMMYFUNCTION("""COMPUTED_VALUE"""),789.8)</f>
        <v>789.8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IFERROR(__xludf.DUMMYFUNCTION("""COMPUTED_VALUE"""),759.0)</f>
        <v>759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IFERROR(__xludf.DUMMYFUNCTION("""COMPUTED_VALUE"""),758.65)</f>
        <v>758.65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IFERROR(__xludf.DUMMYFUNCTION("""COMPUTED_VALUE"""),770.0)</f>
        <v>770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IFERROR(__xludf.DUMMYFUNCTION("""COMPUTED_VALUE"""),769.8)</f>
        <v>769.8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IFERROR(__xludf.DUMMYFUNCTION("""COMPUTED_VALUE"""),729.9)</f>
        <v>729.9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IFERROR(__xludf.DUMMYFUNCTION("""COMPUTED_VALUE"""),758.0)</f>
        <v>758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IFERROR(__xludf.DUMMYFUNCTION("""COMPUTED_VALUE"""),795.0)</f>
        <v>795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IFERROR(__xludf.DUMMYFUNCTION("""COMPUTED_VALUE"""),784.45)</f>
        <v>784.45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IFERROR(__xludf.DUMMYFUNCTION("""COMPUTED_VALUE"""),748.7)</f>
        <v>748.7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IFERROR(__xludf.DUMMYFUNCTION("""COMPUTED_VALUE"""),765.0)</f>
        <v>765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IFERROR(__xludf.DUMMYFUNCTION("""COMPUTED_VALUE"""),774.5)</f>
        <v>774.5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IFERROR(__xludf.DUMMYFUNCTION("GOOGLEFINANCE(""NSE:HEROMOTOCO"",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IFERROR(__xludf.DUMMYFUNCTION("""COMPUTED_VALUE"""),807.2)</f>
        <v>807.2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IFERROR(__xludf.DUMMYFUNCTION("""COMPUTED_VALUE"""),752.0)</f>
        <v>752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IFERROR(__xludf.DUMMYFUNCTION("""COMPUTED_VALUE"""),750.0)</f>
        <v>750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IFERROR(__xludf.DUMMYFUNCTION("""COMPUTED_VALUE"""),734.8)</f>
        <v>734.8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IFERROR(__xludf.DUMMYFUNCTION("""COMPUTED_VALUE"""),734.8)</f>
        <v>734.8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IFERROR(__xludf.DUMMYFUNCTION("""COMPUTED_VALUE"""),744.3)</f>
        <v>744.3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IFERROR(__xludf.DUMMYFUNCTION("""COMPUTED_VALUE"""),754.0)</f>
        <v>754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IFERROR(__xludf.DUMMYFUNCTION("""COMPUTED_VALUE"""),753.7)</f>
        <v>753.7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IFERROR(__xludf.DUMMYFUNCTION("""COMPUTED_VALUE"""),709.95)</f>
        <v>709.95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IFERROR(__xludf.DUMMYFUNCTION("""COMPUTED_VALUE"""),703.5)</f>
        <v>703.5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IFERROR(__xludf.DUMMYFUNCTION("""COMPUTED_VALUE"""),707.5)</f>
        <v>707.5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IFERROR(__xludf.DUMMYFUNCTION("""COMPUTED_VALUE"""),694.5)</f>
        <v>694.5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IFERROR(__xludf.DUMMYFUNCTION("""COMPUTED_VALUE"""),699.5)</f>
        <v>699.5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IFERROR(__xludf.DUMMYFUNCTION("""COMPUTED_VALUE"""),672.0)</f>
        <v>672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IFERROR(__xludf.DUMMYFUNCTION("""COMPUTED_VALUE"""),654.0)</f>
        <v>654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IFERROR(__xludf.DUMMYFUNCTION("""COMPUTED_VALUE"""),662.0)</f>
        <v>662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IFERROR(__xludf.DUMMYFUNCTION("""COMPUTED_VALUE"""),700.0)</f>
        <v>700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IFERROR(__xludf.DUMMYFUNCTION("""COMPUTED_VALUE"""),718.0)</f>
        <v>718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IFERROR(__xludf.DUMMYFUNCTION("""COMPUTED_VALUE"""),718.0)</f>
        <v>718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IFERROR(__xludf.DUMMYFUNCTION("""COMPUTED_VALUE"""),703.0)</f>
        <v>703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IFERROR(__xludf.DUMMYFUNCTION("""COMPUTED_VALUE"""),699.9)</f>
        <v>699.9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IFERROR(__xludf.DUMMYFUNCTION("""COMPUTED_VALUE"""),744.85)</f>
        <v>744.85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IFERROR(__xludf.DUMMYFUNCTION("""COMPUTED_VALUE"""),726.9)</f>
        <v>726.9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IFERROR(__xludf.DUMMYFUNCTION("""COMPUTED_VALUE"""),734.0)</f>
        <v>734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IFERROR(__xludf.DUMMYFUNCTION("""COMPUTED_VALUE"""),687.0)</f>
        <v>687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IFERROR(__xludf.DUMMYFUNCTION("""COMPUTED_VALUE"""),701.0)</f>
        <v>701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IFERROR(__xludf.DUMMYFUNCTION("""COMPUTED_VALUE"""),730.0)</f>
        <v>730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IFERROR(__xludf.DUMMYFUNCTION("""COMPUTED_VALUE"""),704.0)</f>
        <v>704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IFERROR(__xludf.DUMMYFUNCTION("""COMPUTED_VALUE"""),726.7)</f>
        <v>726.7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IFERROR(__xludf.DUMMYFUNCTION("""COMPUTED_VALUE"""),720.0)</f>
        <v>720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IFERROR(__xludf.DUMMYFUNCTION("""COMPUTED_VALUE"""),704.0)</f>
        <v>704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IFERROR(__xludf.DUMMYFUNCTION("""COMPUTED_VALUE"""),684.0)</f>
        <v>684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IFERROR(__xludf.DUMMYFUNCTION("""COMPUTED_VALUE"""),679.0)</f>
        <v>679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IFERROR(__xludf.DUMMYFUNCTION("""COMPUTED_VALUE"""),664.4)</f>
        <v>664.4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IFERROR(__xludf.DUMMYFUNCTION("""COMPUTED_VALUE"""),661.0)</f>
        <v>661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IFERROR(__xludf.DUMMYFUNCTION("""COMPUTED_VALUE"""),720.0)</f>
        <v>720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IFERROR(__xludf.DUMMYFUNCTION("""COMPUTED_VALUE"""),674.0)</f>
        <v>674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IFERROR(__xludf.DUMMYFUNCTION("""COMPUTED_VALUE"""),747.0)</f>
        <v>747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IFERROR(__xludf.DUMMYFUNCTION("""COMPUTED_VALUE"""),775.0)</f>
        <v>775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IFERROR(__xludf.DUMMYFUNCTION("""COMPUTED_VALUE"""),762.0)</f>
        <v>762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IFERROR(__xludf.DUMMYFUNCTION("""COMPUTED_VALUE"""),772.0)</f>
        <v>772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IFERROR(__xludf.DUMMYFUNCTION("""COMPUTED_VALUE"""),774.7)</f>
        <v>774.7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IFERROR(__xludf.DUMMYFUNCTION("""COMPUTED_VALUE"""),770.0)</f>
        <v>770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IFERROR(__xludf.DUMMYFUNCTION("""COMPUTED_VALUE"""),755.0)</f>
        <v>755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IFERROR(__xludf.DUMMYFUNCTION("""COMPUTED_VALUE"""),705.5)</f>
        <v>705.5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IFERROR(__xludf.DUMMYFUNCTION("""COMPUTED_VALUE"""),722.5)</f>
        <v>722.5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IFERROR(__xludf.DUMMYFUNCTION("""COMPUTED_VALUE"""),749.9)</f>
        <v>749.9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IFERROR(__xludf.DUMMYFUNCTION("""COMPUTED_VALUE"""),728.0)</f>
        <v>728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IFERROR(__xludf.DUMMYFUNCTION("""COMPUTED_VALUE"""),728.0)</f>
        <v>728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IFERROR(__xludf.DUMMYFUNCTION("""COMPUTED_VALUE"""),727.8)</f>
        <v>727.8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IFERROR(__xludf.DUMMYFUNCTION("""COMPUTED_VALUE"""),749.0)</f>
        <v>749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IFERROR(__xludf.DUMMYFUNCTION("GOOGLEFINANCE(""NSE:HEROMOTOCO"",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IFERROR(__xludf.DUMMYFUNCTION("""COMPUTED_VALUE"""),721.0)</f>
        <v>721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IFERROR(__xludf.DUMMYFUNCTION("""COMPUTED_VALUE"""),714.9)</f>
        <v>714.9</v>
      </c>
    </row>
    <row r="334" ht="15.75" customHeight="1">
      <c r="B334" s="3">
        <f>IFERROR(__xludf.DUMMYFUNCTION("""COMPUTED_VALUE"""),39464.645833333336)</f>
        <v>39464.64583</v>
      </c>
      <c r="C334" s="2">
        <f>IFERROR(__xludf.DUMMYFUNCTION("""COMPUTED_VALUE"""),714.8)</f>
        <v>714.8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IFERROR(__xludf.DUMMYFUNCTION("""COMPUTED_VALUE"""),700.0)</f>
        <v>700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IFERROR(__xludf.DUMMYFUNCTION("""COMPUTED_VALUE"""),731.85)</f>
        <v>731.85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IFERROR(__xludf.DUMMYFUNCTION("""COMPUTED_VALUE"""),779.0)</f>
        <v>779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IFERROR(__xludf.DUMMYFUNCTION("""COMPUTED_VALUE"""),740.0)</f>
        <v>740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IFERROR(__xludf.DUMMYFUNCTION("""COMPUTED_VALUE"""),735.0)</f>
        <v>735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IFERROR(__xludf.DUMMYFUNCTION("""COMPUTED_VALUE"""),774.7)</f>
        <v>774.7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IFERROR(__xludf.DUMMYFUNCTION("""COMPUTED_VALUE"""),785.0)</f>
        <v>785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IFERROR(__xludf.DUMMYFUNCTION("""COMPUTED_VALUE"""),765.0)</f>
        <v>765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IFERROR(__xludf.DUMMYFUNCTION("""COMPUTED_VALUE"""),714.0)</f>
        <v>714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IFERROR(__xludf.DUMMYFUNCTION("""COMPUTED_VALUE"""),720.0)</f>
        <v>720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IFERROR(__xludf.DUMMYFUNCTION("""COMPUTED_VALUE"""),768.0)</f>
        <v>768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IFERROR(__xludf.DUMMYFUNCTION("""COMPUTED_VALUE"""),762.0)</f>
        <v>762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IFERROR(__xludf.DUMMYFUNCTION("""COMPUTED_VALUE"""),748.0)</f>
        <v>748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IFERROR(__xludf.DUMMYFUNCTION("""COMPUTED_VALUE"""),814.9)</f>
        <v>814.9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IFERROR(__xludf.DUMMYFUNCTION("""COMPUTED_VALUE"""),867.7)</f>
        <v>867.7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IFERROR(__xludf.DUMMYFUNCTION("""COMPUTED_VALUE"""),847.25)</f>
        <v>847.25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IFERROR(__xludf.DUMMYFUNCTION("""COMPUTED_VALUE"""),828.2)</f>
        <v>828.2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IFERROR(__xludf.DUMMYFUNCTION("""COMPUTED_VALUE"""),817.0)</f>
        <v>817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IFERROR(__xludf.DUMMYFUNCTION("""COMPUTED_VALUE"""),802.9)</f>
        <v>802.9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IFERROR(__xludf.DUMMYFUNCTION("""COMPUTED_VALUE"""),803.0)</f>
        <v>803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IFERROR(__xludf.DUMMYFUNCTION("""COMPUTED_VALUE"""),835.0)</f>
        <v>835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IFERROR(__xludf.DUMMYFUNCTION("""COMPUTED_VALUE"""),810.0)</f>
        <v>810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IFERROR(__xludf.DUMMYFUNCTION("""COMPUTED_VALUE"""),758.5)</f>
        <v>758.5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IFERROR(__xludf.DUMMYFUNCTION("""COMPUTED_VALUE"""),762.0)</f>
        <v>762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IFERROR(__xludf.DUMMYFUNCTION("""COMPUTED_VALUE"""),749.7)</f>
        <v>749.7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IFERROR(__xludf.DUMMYFUNCTION("""COMPUTED_VALUE"""),687.8)</f>
        <v>687.8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IFERROR(__xludf.DUMMYFUNCTION("""COMPUTED_VALUE"""),770.0)</f>
        <v>770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IFERROR(__xludf.DUMMYFUNCTION("""COMPUTED_VALUE"""),808.9)</f>
        <v>808.9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IFERROR(__xludf.DUMMYFUNCTION("""COMPUTED_VALUE"""),848.0)</f>
        <v>848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IFERROR(__xludf.DUMMYFUNCTION("""COMPUTED_VALUE"""),843.8)</f>
        <v>843.8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IFERROR(__xludf.DUMMYFUNCTION("""COMPUTED_VALUE"""),809.0)</f>
        <v>809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IFERROR(__xludf.DUMMYFUNCTION("""COMPUTED_VALUE"""),834.0)</f>
        <v>834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IFERROR(__xludf.DUMMYFUNCTION("""COMPUTED_VALUE"""),890.0)</f>
        <v>890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IFERROR(__xludf.DUMMYFUNCTION("""COMPUTED_VALUE"""),889.0)</f>
        <v>889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IFERROR(__xludf.DUMMYFUNCTION("""COMPUTED_VALUE"""),870.5)</f>
        <v>870.5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IFERROR(__xludf.DUMMYFUNCTION("""COMPUTED_VALUE"""),874.8)</f>
        <v>874.8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IFERROR(__xludf.DUMMYFUNCTION("""COMPUTED_VALUE"""),898.0)</f>
        <v>898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IFERROR(__xludf.DUMMYFUNCTION("""COMPUTED_VALUE"""),895.0)</f>
        <v>895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IFERROR(__xludf.DUMMYFUNCTION("""COMPUTED_VALUE"""),854.8)</f>
        <v>854.8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IFERROR(__xludf.DUMMYFUNCTION("""COMPUTED_VALUE"""),846.0)</f>
        <v>846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IFERROR(__xludf.DUMMYFUNCTION("""COMPUTED_VALUE"""),797.95)</f>
        <v>797.95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IFERROR(__xludf.DUMMYFUNCTION("""COMPUTED_VALUE"""),768.0)</f>
        <v>768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IFERROR(__xludf.DUMMYFUNCTION("""COMPUTED_VALUE"""),763.95)</f>
        <v>763.95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IFERROR(__xludf.DUMMYFUNCTION("""COMPUTED_VALUE"""),761.7)</f>
        <v>761.7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IFERROR(__xludf.DUMMYFUNCTION("""COMPUTED_VALUE"""),823.7)</f>
        <v>823.7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IFERROR(__xludf.DUMMYFUNCTION("""COMPUTED_VALUE"""),798.0)</f>
        <v>798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IFERROR(__xludf.DUMMYFUNCTION("""COMPUTED_VALUE"""),804.8)</f>
        <v>804.8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IFERROR(__xludf.DUMMYFUNCTION("""COMPUTED_VALUE"""),842.8)</f>
        <v>842.8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IFERROR(__xludf.DUMMYFUNCTION("""COMPUTED_VALUE"""),823.9)</f>
        <v>823.9</v>
      </c>
    </row>
    <row r="384" ht="15.75" customHeight="1"/>
    <row r="385" ht="15.75" customHeight="1"/>
    <row r="386" ht="15.75" customHeight="1">
      <c r="B386" s="2" t="str">
        <f>IFERROR(__xludf.DUMMYFUNCTION("GOOGLEFINANCE(""NSE:HEROMOTOCO"",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IFERROR(__xludf.DUMMYFUNCTION("""COMPUTED_VALUE"""),818.9)</f>
        <v>818.9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IFERROR(__xludf.DUMMYFUNCTION("""COMPUTED_VALUE"""),810.0)</f>
        <v>810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IFERROR(__xludf.DUMMYFUNCTION("""COMPUTED_VALUE"""),849.9)</f>
        <v>849.9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IFERROR(__xludf.DUMMYFUNCTION("""COMPUTED_VALUE"""),853.0)</f>
        <v>853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IFERROR(__xludf.DUMMYFUNCTION("""COMPUTED_VALUE"""),890.0)</f>
        <v>890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IFERROR(__xludf.DUMMYFUNCTION("""COMPUTED_VALUE"""),889.8)</f>
        <v>889.8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IFERROR(__xludf.DUMMYFUNCTION("""COMPUTED_VALUE"""),999.6)</f>
        <v>999.6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IFERROR(__xludf.DUMMYFUNCTION("""COMPUTED_VALUE"""),950.0)</f>
        <v>950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IFERROR(__xludf.DUMMYFUNCTION("""COMPUTED_VALUE"""),935.5)</f>
        <v>935.5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IFERROR(__xludf.DUMMYFUNCTION("""COMPUTED_VALUE"""),945.0)</f>
        <v>945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IFERROR(__xludf.DUMMYFUNCTION("""COMPUTED_VALUE"""),988.0)</f>
        <v>988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IFERROR(__xludf.DUMMYFUNCTION("""COMPUTED_VALUE"""),1014.0)</f>
        <v>1014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IFERROR(__xludf.DUMMYFUNCTION("""COMPUTED_VALUE"""),1103.85)</f>
        <v>1103.85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IFERROR(__xludf.DUMMYFUNCTION("""COMPUTED_VALUE"""),1103.0)</f>
        <v>1103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IFERROR(__xludf.DUMMYFUNCTION("""COMPUTED_VALUE"""),1096.8)</f>
        <v>1096.8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IFERROR(__xludf.DUMMYFUNCTION("""COMPUTED_VALUE"""),1119.0)</f>
        <v>1119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IFERROR(__xludf.DUMMYFUNCTION("""COMPUTED_VALUE"""),1158.5)</f>
        <v>1158.5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IFERROR(__xludf.DUMMYFUNCTION("""COMPUTED_VALUE"""),1199.0)</f>
        <v>1199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IFERROR(__xludf.DUMMYFUNCTION("""COMPUTED_VALUE"""),1247.7)</f>
        <v>1247.7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IFERROR(__xludf.DUMMYFUNCTION("""COMPUTED_VALUE"""),1245.0)</f>
        <v>1245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IFERROR(__xludf.DUMMYFUNCTION("""COMPUTED_VALUE"""),1587.8)</f>
        <v>1587.8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IFERROR(__xludf.DUMMYFUNCTION("""COMPUTED_VALUE"""),1382.0)</f>
        <v>1382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IFERROR(__xludf.DUMMYFUNCTION("""COMPUTED_VALUE"""),1468.0)</f>
        <v>1468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IFERROR(__xludf.DUMMYFUNCTION("""COMPUTED_VALUE"""),1574.7)</f>
        <v>1574.7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IFERROR(__xludf.DUMMYFUNCTION("""COMPUTED_VALUE"""),1500.0)</f>
        <v>1500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IFERROR(__xludf.DUMMYFUNCTION("""COMPUTED_VALUE"""),1482.95)</f>
        <v>1482.95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IFERROR(__xludf.DUMMYFUNCTION("""COMPUTED_VALUE"""),1425.0)</f>
        <v>1425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IFERROR(__xludf.DUMMYFUNCTION("""COMPUTED_VALUE"""),1500.0)</f>
        <v>1500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IFERROR(__xludf.DUMMYFUNCTION("""COMPUTED_VALUE"""),1650.4)</f>
        <v>1650.4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IFERROR(__xludf.DUMMYFUNCTION("""COMPUTED_VALUE"""),1750.25)</f>
        <v>1750.25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IFERROR(__xludf.DUMMYFUNCTION("""COMPUTED_VALUE"""),1765.0)</f>
        <v>1765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IFERROR(__xludf.DUMMYFUNCTION("""COMPUTED_VALUE"""),1648.85)</f>
        <v>1648.85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IFERROR(__xludf.DUMMYFUNCTION("""COMPUTED_VALUE"""),1524.95)</f>
        <v>1524.95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IFERROR(__xludf.DUMMYFUNCTION("""COMPUTED_VALUE"""),1489.9)</f>
        <v>1489.9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IFERROR(__xludf.DUMMYFUNCTION("""COMPUTED_VALUE"""),1539.5)</f>
        <v>1539.5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IFERROR(__xludf.DUMMYFUNCTION("""COMPUTED_VALUE"""),1618.5)</f>
        <v>1618.5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IFERROR(__xludf.DUMMYFUNCTION("""COMPUTED_VALUE"""),1689.9)</f>
        <v>1689.9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IFERROR(__xludf.DUMMYFUNCTION("""COMPUTED_VALUE"""),1695.7)</f>
        <v>1695.7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IFERROR(__xludf.DUMMYFUNCTION("""COMPUTED_VALUE"""),1748.45)</f>
        <v>1748.45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IFERROR(__xludf.DUMMYFUNCTION("""COMPUTED_VALUE"""),1689.9)</f>
        <v>1689.9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IFERROR(__xludf.DUMMYFUNCTION("""COMPUTED_VALUE"""),1774.7)</f>
        <v>1774.7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IFERROR(__xludf.DUMMYFUNCTION("""COMPUTED_VALUE"""),1688.0)</f>
        <v>1688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IFERROR(__xludf.DUMMYFUNCTION("""COMPUTED_VALUE"""),1620.0)</f>
        <v>1620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IFERROR(__xludf.DUMMYFUNCTION("""COMPUTED_VALUE"""),1588.0)</f>
        <v>1588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IFERROR(__xludf.DUMMYFUNCTION("""COMPUTED_VALUE"""),1593.0)</f>
        <v>1593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IFERROR(__xludf.DUMMYFUNCTION("""COMPUTED_VALUE"""),1703.0)</f>
        <v>1703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IFERROR(__xludf.DUMMYFUNCTION("""COMPUTED_VALUE"""),1808.7)</f>
        <v>1808.7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IFERROR(__xludf.DUMMYFUNCTION("""COMPUTED_VALUE"""),1775.0)</f>
        <v>1775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IFERROR(__xludf.DUMMYFUNCTION("""COMPUTED_VALUE"""),1713.0)</f>
        <v>1713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IFERROR(__xludf.DUMMYFUNCTION("""COMPUTED_VALUE"""),1697.85)</f>
        <v>1697.85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IFERROR(__xludf.DUMMYFUNCTION("""COMPUTED_VALUE"""),1740.0)</f>
        <v>1740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IFERROR(__xludf.DUMMYFUNCTION("""COMPUTED_VALUE"""),1777.1)</f>
        <v>1777.1</v>
      </c>
    </row>
    <row r="439" ht="15.75" customHeight="1"/>
    <row r="440" ht="15.75" customHeight="1"/>
    <row r="441" ht="15.75" customHeight="1">
      <c r="B441" s="2" t="str">
        <f>IFERROR(__xludf.DUMMYFUNCTION("GOOGLEFINANCE(""NSE:HEROMOTOCO"",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IFERROR(__xludf.DUMMYFUNCTION("""COMPUTED_VALUE"""),1738.5)</f>
        <v>1738.5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IFERROR(__xludf.DUMMYFUNCTION("""COMPUTED_VALUE"""),1688.8)</f>
        <v>1688.8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IFERROR(__xludf.DUMMYFUNCTION("""COMPUTED_VALUE"""),1700.8)</f>
        <v>1700.8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IFERROR(__xludf.DUMMYFUNCTION("""COMPUTED_VALUE"""),1658.7)</f>
        <v>1658.7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IFERROR(__xludf.DUMMYFUNCTION("""COMPUTED_VALUE"""),1701.0)</f>
        <v>1701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IFERROR(__xludf.DUMMYFUNCTION("""COMPUTED_VALUE"""),1725.0)</f>
        <v>1725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IFERROR(__xludf.DUMMYFUNCTION("""COMPUTED_VALUE"""),1800.0)</f>
        <v>1800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IFERROR(__xludf.DUMMYFUNCTION("""COMPUTED_VALUE"""),1894.7)</f>
        <v>1894.7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IFERROR(__xludf.DUMMYFUNCTION("""COMPUTED_VALUE"""),1954.0)</f>
        <v>1954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IFERROR(__xludf.DUMMYFUNCTION("""COMPUTED_VALUE"""),1977.9)</f>
        <v>1977.9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IFERROR(__xludf.DUMMYFUNCTION("""COMPUTED_VALUE"""),2079.65)</f>
        <v>2079.65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IFERROR(__xludf.DUMMYFUNCTION("""COMPUTED_VALUE"""),2057.95)</f>
        <v>2057.95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IFERROR(__xludf.DUMMYFUNCTION("""COMPUTED_VALUE"""),2078.8)</f>
        <v>2078.8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IFERROR(__xludf.DUMMYFUNCTION("""COMPUTED_VALUE"""),2094.0)</f>
        <v>2094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IFERROR(__xludf.DUMMYFUNCTION("""COMPUTED_VALUE"""),1940.0)</f>
        <v>1940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IFERROR(__xludf.DUMMYFUNCTION("""COMPUTED_VALUE"""),1939.0)</f>
        <v>1939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IFERROR(__xludf.DUMMYFUNCTION("""COMPUTED_VALUE"""),1944.2)</f>
        <v>1944.2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IFERROR(__xludf.DUMMYFUNCTION("""COMPUTED_VALUE"""),1948.7)</f>
        <v>1948.7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IFERROR(__xludf.DUMMYFUNCTION("""COMPUTED_VALUE"""),1884.8)</f>
        <v>1884.8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IFERROR(__xludf.DUMMYFUNCTION("""COMPUTED_VALUE"""),1925.0)</f>
        <v>1925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IFERROR(__xludf.DUMMYFUNCTION("""COMPUTED_VALUE"""),2049.0)</f>
        <v>2049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IFERROR(__xludf.DUMMYFUNCTION("""COMPUTED_VALUE"""),2034.45)</f>
        <v>2034.45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IFERROR(__xludf.DUMMYFUNCTION("""COMPUTED_VALUE"""),2040.8)</f>
        <v>2040.8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IFERROR(__xludf.DUMMYFUNCTION("""COMPUTED_VALUE"""),2064.9)</f>
        <v>2064.9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IFERROR(__xludf.DUMMYFUNCTION("""COMPUTED_VALUE"""),2070.0)</f>
        <v>2070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IFERROR(__xludf.DUMMYFUNCTION("""COMPUTED_VALUE"""),2031.5)</f>
        <v>2031.5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IFERROR(__xludf.DUMMYFUNCTION("""COMPUTED_VALUE"""),2037.7)</f>
        <v>2037.7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IFERROR(__xludf.DUMMYFUNCTION("""COMPUTED_VALUE"""),1978.05)</f>
        <v>1978.05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IFERROR(__xludf.DUMMYFUNCTION("""COMPUTED_VALUE"""),1965.0)</f>
        <v>1965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IFERROR(__xludf.DUMMYFUNCTION("""COMPUTED_VALUE"""),1889.95)</f>
        <v>1889.95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IFERROR(__xludf.DUMMYFUNCTION("""COMPUTED_VALUE"""),1899.95)</f>
        <v>1899.95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IFERROR(__xludf.DUMMYFUNCTION("""COMPUTED_VALUE"""),1925.0)</f>
        <v>1925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IFERROR(__xludf.DUMMYFUNCTION("""COMPUTED_VALUE"""),1933.0)</f>
        <v>1933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IFERROR(__xludf.DUMMYFUNCTION("""COMPUTED_VALUE"""),1809.45)</f>
        <v>1809.45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IFERROR(__xludf.DUMMYFUNCTION("""COMPUTED_VALUE"""),1749.0)</f>
        <v>1749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IFERROR(__xludf.DUMMYFUNCTION("""COMPUTED_VALUE"""),1769.9)</f>
        <v>1769.9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IFERROR(__xludf.DUMMYFUNCTION("""COMPUTED_VALUE"""),1875.0)</f>
        <v>1875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IFERROR(__xludf.DUMMYFUNCTION("""COMPUTED_VALUE"""),1888.0)</f>
        <v>1888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IFERROR(__xludf.DUMMYFUNCTION("""COMPUTED_VALUE"""),1859.0)</f>
        <v>1859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IFERROR(__xludf.DUMMYFUNCTION("""COMPUTED_VALUE"""),1894.0)</f>
        <v>1894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IFERROR(__xludf.DUMMYFUNCTION("""COMPUTED_VALUE"""),1871.0)</f>
        <v>1871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IFERROR(__xludf.DUMMYFUNCTION("""COMPUTED_VALUE"""),1927.0)</f>
        <v>1927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IFERROR(__xludf.DUMMYFUNCTION("""COMPUTED_VALUE"""),1886.3)</f>
        <v>1886.3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IFERROR(__xludf.DUMMYFUNCTION("""COMPUTED_VALUE"""),1874.0)</f>
        <v>1874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IFERROR(__xludf.DUMMYFUNCTION("""COMPUTED_VALUE"""),1960.0)</f>
        <v>1960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IFERROR(__xludf.DUMMYFUNCTION("""COMPUTED_VALUE"""),1970.0)</f>
        <v>1970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IFERROR(__xludf.DUMMYFUNCTION("""COMPUTED_VALUE"""),2061.9)</f>
        <v>2061.9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IFERROR(__xludf.DUMMYFUNCTION("""COMPUTED_VALUE"""),1814.35)</f>
        <v>1814.35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IFERROR(__xludf.DUMMYFUNCTION("""COMPUTED_VALUE"""),1799.0)</f>
        <v>1799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IFERROR(__xludf.DUMMYFUNCTION("""COMPUTED_VALUE"""),1997.0)</f>
        <v>1997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IFERROR(__xludf.DUMMYFUNCTION("""COMPUTED_VALUE"""),2019.0)</f>
        <v>2019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IFERROR(__xludf.DUMMYFUNCTION("GOOGLEFINANCE(""NSE:HEROMOTOCO"",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IFERROR(__xludf.DUMMYFUNCTION("""COMPUTED_VALUE"""),2020.0)</f>
        <v>2020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IFERROR(__xludf.DUMMYFUNCTION("""COMPUTED_VALUE"""),1885.0)</f>
        <v>1885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IFERROR(__xludf.DUMMYFUNCTION("""COMPUTED_VALUE"""),1810.0)</f>
        <v>1810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IFERROR(__xludf.DUMMYFUNCTION("""COMPUTED_VALUE"""),1795.0)</f>
        <v>1795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IFERROR(__xludf.DUMMYFUNCTION("""COMPUTED_VALUE"""),1668.0)</f>
        <v>1668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IFERROR(__xludf.DUMMYFUNCTION("""COMPUTED_VALUE"""),1599.0)</f>
        <v>1599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IFERROR(__xludf.DUMMYFUNCTION("""COMPUTED_VALUE"""),1542.0)</f>
        <v>1542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IFERROR(__xludf.DUMMYFUNCTION("""COMPUTED_VALUE"""),1522.0)</f>
        <v>1522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IFERROR(__xludf.DUMMYFUNCTION("""COMPUTED_VALUE"""),1554.45)</f>
        <v>1554.45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IFERROR(__xludf.DUMMYFUNCTION("""COMPUTED_VALUE"""),1574.85)</f>
        <v>1574.85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IFERROR(__xludf.DUMMYFUNCTION("""COMPUTED_VALUE"""),1549.9)</f>
        <v>1549.9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IFERROR(__xludf.DUMMYFUNCTION("""COMPUTED_VALUE"""),1499.0)</f>
        <v>1499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IFERROR(__xludf.DUMMYFUNCTION("""COMPUTED_VALUE"""),1635.4)</f>
        <v>1635.4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IFERROR(__xludf.DUMMYFUNCTION("""COMPUTED_VALUE"""),1708.7)</f>
        <v>1708.7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IFERROR(__xludf.DUMMYFUNCTION("""COMPUTED_VALUE"""),1848.0)</f>
        <v>1848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IFERROR(__xludf.DUMMYFUNCTION("""COMPUTED_VALUE"""),1949.8)</f>
        <v>1949.8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IFERROR(__xludf.DUMMYFUNCTION("""COMPUTED_VALUE"""),1800.0)</f>
        <v>1800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IFERROR(__xludf.DUMMYFUNCTION("""COMPUTED_VALUE"""),1780.0)</f>
        <v>1780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IFERROR(__xludf.DUMMYFUNCTION("""COMPUTED_VALUE"""),1812.65)</f>
        <v>1812.65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IFERROR(__xludf.DUMMYFUNCTION("""COMPUTED_VALUE"""),1880.0)</f>
        <v>1880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IFERROR(__xludf.DUMMYFUNCTION("""COMPUTED_VALUE"""),1949.0)</f>
        <v>1949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IFERROR(__xludf.DUMMYFUNCTION("""COMPUTED_VALUE"""),1889.0)</f>
        <v>1889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IFERROR(__xludf.DUMMYFUNCTION("""COMPUTED_VALUE"""),1869.95)</f>
        <v>1869.95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IFERROR(__xludf.DUMMYFUNCTION("""COMPUTED_VALUE"""),1756.6)</f>
        <v>1756.6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IFERROR(__xludf.DUMMYFUNCTION("""COMPUTED_VALUE"""),1871.8)</f>
        <v>1871.8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IFERROR(__xludf.DUMMYFUNCTION("""COMPUTED_VALUE"""),1903.9)</f>
        <v>1903.9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IFERROR(__xludf.DUMMYFUNCTION("""COMPUTED_VALUE"""),1920.0)</f>
        <v>1920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IFERROR(__xludf.DUMMYFUNCTION("""COMPUTED_VALUE"""),1924.7)</f>
        <v>1924.7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IFERROR(__xludf.DUMMYFUNCTION("""COMPUTED_VALUE"""),1837.9)</f>
        <v>1837.9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IFERROR(__xludf.DUMMYFUNCTION("""COMPUTED_VALUE"""),1847.05)</f>
        <v>1847.05</v>
      </c>
    </row>
    <row r="527" ht="15.75" customHeight="1">
      <c r="B527" s="3">
        <f>IFERROR(__xludf.DUMMYFUNCTION("""COMPUTED_VALUE"""),40759.645833333336)</f>
        <v>40759.64583</v>
      </c>
      <c r="C527" s="2">
        <f>IFERROR(__xludf.DUMMYFUNCTION("""COMPUTED_VALUE"""),1830.0)</f>
        <v>1830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IFERROR(__xludf.DUMMYFUNCTION("""COMPUTED_VALUE"""),1914.0)</f>
        <v>1914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IFERROR(__xludf.DUMMYFUNCTION("""COMPUTED_VALUE"""),2000.0)</f>
        <v>2000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IFERROR(__xludf.DUMMYFUNCTION("""COMPUTED_VALUE"""),2021.5)</f>
        <v>2021.5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IFERROR(__xludf.DUMMYFUNCTION("""COMPUTED_VALUE"""),2121.65)</f>
        <v>2121.65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IFERROR(__xludf.DUMMYFUNCTION("""COMPUTED_VALUE"""),2237.0)</f>
        <v>2237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IFERROR(__xludf.DUMMYFUNCTION("""COMPUTED_VALUE"""),2230.0)</f>
        <v>2230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IFERROR(__xludf.DUMMYFUNCTION("""COMPUTED_VALUE"""),2217.5)</f>
        <v>2217.5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IFERROR(__xludf.DUMMYFUNCTION("""COMPUTED_VALUE"""),2045.0)</f>
        <v>2045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IFERROR(__xludf.DUMMYFUNCTION("""COMPUTED_VALUE"""),1999.9)</f>
        <v>1999.9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IFERROR(__xludf.DUMMYFUNCTION("""COMPUTED_VALUE"""),2035.25)</f>
        <v>2035.25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IFERROR(__xludf.DUMMYFUNCTION("""COMPUTED_VALUE"""),2092.95)</f>
        <v>2092.95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IFERROR(__xludf.DUMMYFUNCTION("""COMPUTED_VALUE"""),2231.45)</f>
        <v>2231.45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IFERROR(__xludf.DUMMYFUNCTION("""COMPUTED_VALUE"""),2190.6)</f>
        <v>2190.6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IFERROR(__xludf.DUMMYFUNCTION("""COMPUTED_VALUE"""),2188.9)</f>
        <v>2188.9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IFERROR(__xludf.DUMMYFUNCTION("""COMPUTED_VALUE"""),2249.7)</f>
        <v>2249.7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IFERROR(__xludf.DUMMYFUNCTION("""COMPUTED_VALUE"""),2220.0)</f>
        <v>2220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IFERROR(__xludf.DUMMYFUNCTION("""COMPUTED_VALUE"""),2108.9)</f>
        <v>2108.9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IFERROR(__xludf.DUMMYFUNCTION("""COMPUTED_VALUE"""),2091.3)</f>
        <v>2091.3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IFERROR(__xludf.DUMMYFUNCTION("""COMPUTED_VALUE"""),2050.05)</f>
        <v>2050.05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IFERROR(__xludf.DUMMYFUNCTION("""COMPUTED_VALUE"""),1942.75)</f>
        <v>1942.75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IFERROR(__xludf.DUMMYFUNCTION("""COMPUTED_VALUE"""),1940.95)</f>
        <v>1940.95</v>
      </c>
    </row>
    <row r="549" ht="15.75" customHeight="1"/>
    <row r="550" ht="15.75" customHeight="1"/>
    <row r="551" ht="15.75" customHeight="1">
      <c r="B551" s="2" t="str">
        <f>IFERROR(__xludf.DUMMYFUNCTION("GOOGLEFINANCE(""NSE:HEROMOTOCO"",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IFERROR(__xludf.DUMMYFUNCTION("""COMPUTED_VALUE"""),1828.0)</f>
        <v>1828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IFERROR(__xludf.DUMMYFUNCTION("""COMPUTED_VALUE"""),1995.65)</f>
        <v>1995.65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IFERROR(__xludf.DUMMYFUNCTION("""COMPUTED_VALUE"""),1949.0)</f>
        <v>1949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IFERROR(__xludf.DUMMYFUNCTION("""COMPUTED_VALUE"""),2007.8)</f>
        <v>2007.8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IFERROR(__xludf.DUMMYFUNCTION("""COMPUTED_VALUE"""),2035.0)</f>
        <v>2035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IFERROR(__xludf.DUMMYFUNCTION("""COMPUTED_VALUE"""),2209.95)</f>
        <v>2209.95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IFERROR(__xludf.DUMMYFUNCTION("""COMPUTED_VALUE"""),2198.0)</f>
        <v>2198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IFERROR(__xludf.DUMMYFUNCTION("""COMPUTED_VALUE"""),1948.0)</f>
        <v>1948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IFERROR(__xludf.DUMMYFUNCTION("""COMPUTED_VALUE"""),1995.0)</f>
        <v>1995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IFERROR(__xludf.DUMMYFUNCTION("""COMPUTED_VALUE"""),2058.8)</f>
        <v>2058.8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IFERROR(__xludf.DUMMYFUNCTION("""COMPUTED_VALUE"""),2065.0)</f>
        <v>2065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IFERROR(__xludf.DUMMYFUNCTION("""COMPUTED_VALUE"""),2072.0)</f>
        <v>2072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IFERROR(__xludf.DUMMYFUNCTION("""COMPUTED_VALUE"""),2098.9)</f>
        <v>2098.9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IFERROR(__xludf.DUMMYFUNCTION("""COMPUTED_VALUE"""),2217.95)</f>
        <v>2217.95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IFERROR(__xludf.DUMMYFUNCTION("""COMPUTED_VALUE"""),2279.0)</f>
        <v>2279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IFERROR(__xludf.DUMMYFUNCTION("""COMPUTED_VALUE"""),1991.0)</f>
        <v>1991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IFERROR(__xludf.DUMMYFUNCTION("""COMPUTED_VALUE"""),1921.6)</f>
        <v>1921.6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IFERROR(__xludf.DUMMYFUNCTION("""COMPUTED_VALUE"""),1894.8)</f>
        <v>1894.8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IFERROR(__xludf.DUMMYFUNCTION("""COMPUTED_VALUE"""),1868.0)</f>
        <v>1868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IFERROR(__xludf.DUMMYFUNCTION("""COMPUTED_VALUE"""),2018.8)</f>
        <v>2018.8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IFERROR(__xludf.DUMMYFUNCTION("""COMPUTED_VALUE"""),2025.0)</f>
        <v>2025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IFERROR(__xludf.DUMMYFUNCTION("""COMPUTED_VALUE"""),2112.0)</f>
        <v>2112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IFERROR(__xludf.DUMMYFUNCTION("""COMPUTED_VALUE"""),2160.0)</f>
        <v>2160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IFERROR(__xludf.DUMMYFUNCTION("""COMPUTED_VALUE"""),2148.0)</f>
        <v>2148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IFERROR(__xludf.DUMMYFUNCTION("""COMPUTED_VALUE"""),2090.0)</f>
        <v>2090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IFERROR(__xludf.DUMMYFUNCTION("""COMPUTED_VALUE"""),2135.7)</f>
        <v>2135.7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IFERROR(__xludf.DUMMYFUNCTION("""COMPUTED_VALUE"""),2083.35)</f>
        <v>2083.35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IFERROR(__xludf.DUMMYFUNCTION("""COMPUTED_VALUE"""),2040.0)</f>
        <v>2040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IFERROR(__xludf.DUMMYFUNCTION("""COMPUTED_VALUE"""),1985.0)</f>
        <v>1985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IFERROR(__xludf.DUMMYFUNCTION("""COMPUTED_VALUE"""),1947.0)</f>
        <v>1947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IFERROR(__xludf.DUMMYFUNCTION("""COMPUTED_VALUE"""),1954.7)</f>
        <v>1954.7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IFERROR(__xludf.DUMMYFUNCTION("""COMPUTED_VALUE"""),1945.85)</f>
        <v>1945.85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IFERROR(__xludf.DUMMYFUNCTION("""COMPUTED_VALUE"""),1868.0)</f>
        <v>1868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IFERROR(__xludf.DUMMYFUNCTION("""COMPUTED_VALUE"""),1943.2)</f>
        <v>1943.2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IFERROR(__xludf.DUMMYFUNCTION("""COMPUTED_VALUE"""),1949.95)</f>
        <v>1949.95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IFERROR(__xludf.DUMMYFUNCTION("""COMPUTED_VALUE"""),1905.0)</f>
        <v>1905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IFERROR(__xludf.DUMMYFUNCTION("""COMPUTED_VALUE"""),1831.55)</f>
        <v>1831.55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IFERROR(__xludf.DUMMYFUNCTION("""COMPUTED_VALUE"""),1855.0)</f>
        <v>1855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IFERROR(__xludf.DUMMYFUNCTION("""COMPUTED_VALUE"""),1875.0)</f>
        <v>1875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IFERROR(__xludf.DUMMYFUNCTION("""COMPUTED_VALUE"""),1950.0)</f>
        <v>1950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IFERROR(__xludf.DUMMYFUNCTION("""COMPUTED_VALUE"""),1966.0)</f>
        <v>1966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IFERROR(__xludf.DUMMYFUNCTION("""COMPUTED_VALUE"""),1915.0)</f>
        <v>1915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IFERROR(__xludf.DUMMYFUNCTION("""COMPUTED_VALUE"""),1857.9)</f>
        <v>1857.9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IFERROR(__xludf.DUMMYFUNCTION("""COMPUTED_VALUE"""),1869.8)</f>
        <v>1869.8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IFERROR(__xludf.DUMMYFUNCTION("""COMPUTED_VALUE"""),1839.45)</f>
        <v>1839.45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IFERROR(__xludf.DUMMYFUNCTION("""COMPUTED_VALUE"""),1911.0)</f>
        <v>1911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IFERROR(__xludf.DUMMYFUNCTION("""COMPUTED_VALUE"""),1932.85)</f>
        <v>1932.85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IFERROR(__xludf.DUMMYFUNCTION("""COMPUTED_VALUE"""),1918.0)</f>
        <v>1918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IFERROR(__xludf.DUMMYFUNCTION("GOOGLEFINANCE(""NSE:HEROMOTOCO"",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IFERROR(__xludf.DUMMYFUNCTION("""COMPUTED_VALUE"""),1939.25)</f>
        <v>1939.25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IFERROR(__xludf.DUMMYFUNCTION("""COMPUTED_VALUE"""),1909.9)</f>
        <v>1909.9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IFERROR(__xludf.DUMMYFUNCTION("""COMPUTED_VALUE"""),1855.0)</f>
        <v>1855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IFERROR(__xludf.DUMMYFUNCTION("""COMPUTED_VALUE"""),1789.8)</f>
        <v>1789.8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IFERROR(__xludf.DUMMYFUNCTION("""COMPUTED_VALUE"""),1834.9)</f>
        <v>1834.9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IFERROR(__xludf.DUMMYFUNCTION("""COMPUTED_VALUE"""),1832.5)</f>
        <v>1832.5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IFERROR(__xludf.DUMMYFUNCTION("""COMPUTED_VALUE"""),1732.2)</f>
        <v>1732.2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IFERROR(__xludf.DUMMYFUNCTION("""COMPUTED_VALUE"""),1706.9)</f>
        <v>1706.9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IFERROR(__xludf.DUMMYFUNCTION("""COMPUTED_VALUE"""),1712.5)</f>
        <v>1712.5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IFERROR(__xludf.DUMMYFUNCTION("""COMPUTED_VALUE"""),1766.8)</f>
        <v>1766.8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IFERROR(__xludf.DUMMYFUNCTION("""COMPUTED_VALUE"""),1748.0)</f>
        <v>1748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IFERROR(__xludf.DUMMYFUNCTION("""COMPUTED_VALUE"""),1699.9)</f>
        <v>1699.9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IFERROR(__xludf.DUMMYFUNCTION("""COMPUTED_VALUE"""),1665.65)</f>
        <v>1665.65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IFERROR(__xludf.DUMMYFUNCTION("""COMPUTED_VALUE"""),1551.25)</f>
        <v>1551.25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IFERROR(__xludf.DUMMYFUNCTION("""COMPUTED_VALUE"""),1505.45)</f>
        <v>1505.45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IFERROR(__xludf.DUMMYFUNCTION("""COMPUTED_VALUE"""),1520.0)</f>
        <v>1520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IFERROR(__xludf.DUMMYFUNCTION("""COMPUTED_VALUE"""),1648.0)</f>
        <v>1648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IFERROR(__xludf.DUMMYFUNCTION("""COMPUTED_VALUE"""),1683.85)</f>
        <v>1683.85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IFERROR(__xludf.DUMMYFUNCTION("""COMPUTED_VALUE"""),1716.75)</f>
        <v>1716.75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IFERROR(__xludf.DUMMYFUNCTION("""COMPUTED_VALUE"""),1710.0)</f>
        <v>1710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IFERROR(__xludf.DUMMYFUNCTION("""COMPUTED_VALUE"""),1795.6)</f>
        <v>1795.6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IFERROR(__xludf.DUMMYFUNCTION("""COMPUTED_VALUE"""),1739.9)</f>
        <v>1739.9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IFERROR(__xludf.DUMMYFUNCTION("""COMPUTED_VALUE"""),1682.0)</f>
        <v>1682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IFERROR(__xludf.DUMMYFUNCTION("""COMPUTED_VALUE"""),1655.95)</f>
        <v>1655.95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IFERROR(__xludf.DUMMYFUNCTION("""COMPUTED_VALUE"""),1685.0)</f>
        <v>1685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IFERROR(__xludf.DUMMYFUNCTION("""COMPUTED_VALUE"""),1712.5)</f>
        <v>1712.5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IFERROR(__xludf.DUMMYFUNCTION("""COMPUTED_VALUE"""),1723.0)</f>
        <v>1723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IFERROR(__xludf.DUMMYFUNCTION("""COMPUTED_VALUE"""),1794.5)</f>
        <v>1794.5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IFERROR(__xludf.DUMMYFUNCTION("""COMPUTED_VALUE"""),1870.0)</f>
        <v>1870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IFERROR(__xludf.DUMMYFUNCTION("""COMPUTED_VALUE"""),1899.8)</f>
        <v>1899.8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IFERROR(__xludf.DUMMYFUNCTION("""COMPUTED_VALUE"""),1894.9)</f>
        <v>1894.9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IFERROR(__xludf.DUMMYFUNCTION("""COMPUTED_VALUE"""),2004.3)</f>
        <v>2004.3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IFERROR(__xludf.DUMMYFUNCTION("""COMPUTED_VALUE"""),1986.5)</f>
        <v>1986.5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IFERROR(__xludf.DUMMYFUNCTION("""COMPUTED_VALUE"""),2075.0)</f>
        <v>2075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IFERROR(__xludf.DUMMYFUNCTION("""COMPUTED_VALUE"""),2094.0)</f>
        <v>2094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IFERROR(__xludf.DUMMYFUNCTION("""COMPUTED_VALUE"""),2130.0)</f>
        <v>2130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IFERROR(__xludf.DUMMYFUNCTION("""COMPUTED_VALUE"""),2127.8)</f>
        <v>2127.8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IFERROR(__xludf.DUMMYFUNCTION("""COMPUTED_VALUE"""),2073.9)</f>
        <v>2073.9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IFERROR(__xludf.DUMMYFUNCTION("""COMPUTED_VALUE"""),2059.9)</f>
        <v>2059.9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IFERROR(__xludf.DUMMYFUNCTION("""COMPUTED_VALUE"""),2090.0)</f>
        <v>2090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IFERROR(__xludf.DUMMYFUNCTION("""COMPUTED_VALUE"""),2116.95)</f>
        <v>2116.95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IFERROR(__xludf.DUMMYFUNCTION("""COMPUTED_VALUE"""),2130.0)</f>
        <v>2130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IFERROR(__xludf.DUMMYFUNCTION("""COMPUTED_VALUE"""),2150.0)</f>
        <v>2150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IFERROR(__xludf.DUMMYFUNCTION("""COMPUTED_VALUE"""),2133.0)</f>
        <v>2133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IFERROR(__xludf.DUMMYFUNCTION("""COMPUTED_VALUE"""),2100.0)</f>
        <v>2100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IFERROR(__xludf.DUMMYFUNCTION("""COMPUTED_VALUE"""),2070.0)</f>
        <v>2070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IFERROR(__xludf.DUMMYFUNCTION("""COMPUTED_VALUE"""),2081.95)</f>
        <v>2081.95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IFERROR(__xludf.DUMMYFUNCTION("""COMPUTED_VALUE"""),2118.0)</f>
        <v>2118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IFERROR(__xludf.DUMMYFUNCTION("""COMPUTED_VALUE"""),2209.95)</f>
        <v>2209.95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IFERROR(__xludf.DUMMYFUNCTION("""COMPUTED_VALUE"""),2141.35)</f>
        <v>2141.35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IFERROR(__xludf.DUMMYFUNCTION("""COMPUTED_VALUE"""),2169.7)</f>
        <v>2169.7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IFERROR(__xludf.DUMMYFUNCTION("GOOGLEFINANCE(""NSE:HEROMOTOCO"",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IFERROR(__xludf.DUMMYFUNCTION("""COMPUTED_VALUE"""),2119.0)</f>
        <v>2119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IFERROR(__xludf.DUMMYFUNCTION("""COMPUTED_VALUE"""),2101.05)</f>
        <v>2101.05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IFERROR(__xludf.DUMMYFUNCTION("""COMPUTED_VALUE"""),2108.95)</f>
        <v>2108.95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IFERROR(__xludf.DUMMYFUNCTION("""COMPUTED_VALUE"""),2104.0)</f>
        <v>2104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IFERROR(__xludf.DUMMYFUNCTION("""COMPUTED_VALUE"""),2094.0)</f>
        <v>2094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IFERROR(__xludf.DUMMYFUNCTION("""COMPUTED_VALUE"""),2011.3)</f>
        <v>2011.3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IFERROR(__xludf.DUMMYFUNCTION("""COMPUTED_VALUE"""),2019.9)</f>
        <v>2019.9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IFERROR(__xludf.DUMMYFUNCTION("""COMPUTED_VALUE"""),2014.95)</f>
        <v>2014.95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IFERROR(__xludf.DUMMYFUNCTION("""COMPUTED_VALUE"""),1993.8)</f>
        <v>1993.8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IFERROR(__xludf.DUMMYFUNCTION("""COMPUTED_VALUE"""),2057.0)</f>
        <v>2057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IFERROR(__xludf.DUMMYFUNCTION("""COMPUTED_VALUE"""),2140.6)</f>
        <v>2140.6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IFERROR(__xludf.DUMMYFUNCTION("""COMPUTED_VALUE"""),2274.0)</f>
        <v>2274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IFERROR(__xludf.DUMMYFUNCTION("""COMPUTED_VALUE"""),2300.0)</f>
        <v>2300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IFERROR(__xludf.DUMMYFUNCTION("""COMPUTED_VALUE"""),2254.9)</f>
        <v>2254.9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IFERROR(__xludf.DUMMYFUNCTION("""COMPUTED_VALUE"""),2246.5)</f>
        <v>2246.5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IFERROR(__xludf.DUMMYFUNCTION("""COMPUTED_VALUE"""),2296.0)</f>
        <v>2296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IFERROR(__xludf.DUMMYFUNCTION("""COMPUTED_VALUE"""),2224.95)</f>
        <v>2224.95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IFERROR(__xludf.DUMMYFUNCTION("""COMPUTED_VALUE"""),2233.0)</f>
        <v>2233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IFERROR(__xludf.DUMMYFUNCTION("""COMPUTED_VALUE"""),2787.7)</f>
        <v>2787.7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IFERROR(__xludf.DUMMYFUNCTION("""COMPUTED_VALUE"""),2472.7)</f>
        <v>2472.7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IFERROR(__xludf.DUMMYFUNCTION("""COMPUTED_VALUE"""),2383.0)</f>
        <v>2383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IFERROR(__xludf.DUMMYFUNCTION("""COMPUTED_VALUE"""),2700.0)</f>
        <v>2700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IFERROR(__xludf.DUMMYFUNCTION("""COMPUTED_VALUE"""),2757.8)</f>
        <v>2757.8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IFERROR(__xludf.DUMMYFUNCTION("""COMPUTED_VALUE"""),2623.0)</f>
        <v>2623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IFERROR(__xludf.DUMMYFUNCTION("""COMPUTED_VALUE"""),2678.65)</f>
        <v>2678.65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IFERROR(__xludf.DUMMYFUNCTION("""COMPUTED_VALUE"""),2693.7)</f>
        <v>2693.7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IFERROR(__xludf.DUMMYFUNCTION("""COMPUTED_VALUE"""),2629.95)</f>
        <v>2629.95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IFERROR(__xludf.DUMMYFUNCTION("""COMPUTED_VALUE"""),2512.35)</f>
        <v>2512.35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IFERROR(__xludf.DUMMYFUNCTION("""COMPUTED_VALUE"""),2584.0)</f>
        <v>2584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IFERROR(__xludf.DUMMYFUNCTION("""COMPUTED_VALUE"""),2626.2)</f>
        <v>2626.2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IFERROR(__xludf.DUMMYFUNCTION("""COMPUTED_VALUE"""),2625.0)</f>
        <v>2625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IFERROR(__xludf.DUMMYFUNCTION("""COMPUTED_VALUE"""),2618.0)</f>
        <v>2618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IFERROR(__xludf.DUMMYFUNCTION("""COMPUTED_VALUE"""),2575.0)</f>
        <v>2575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IFERROR(__xludf.DUMMYFUNCTION("""COMPUTED_VALUE"""),2677.95)</f>
        <v>2677.95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IFERROR(__xludf.DUMMYFUNCTION("""COMPUTED_VALUE"""),2839.85)</f>
        <v>2839.85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IFERROR(__xludf.DUMMYFUNCTION("""COMPUTED_VALUE"""),2850.0)</f>
        <v>2850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IFERROR(__xludf.DUMMYFUNCTION("""COMPUTED_VALUE"""),3017.0)</f>
        <v>3017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IFERROR(__xludf.DUMMYFUNCTION("""COMPUTED_VALUE"""),3029.0)</f>
        <v>3029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IFERROR(__xludf.DUMMYFUNCTION("""COMPUTED_VALUE"""),2926.75)</f>
        <v>2926.75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IFERROR(__xludf.DUMMYFUNCTION("""COMPUTED_VALUE"""),2874.95)</f>
        <v>2874.95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IFERROR(__xludf.DUMMYFUNCTION("""COMPUTED_VALUE"""),2910.0)</f>
        <v>2910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IFERROR(__xludf.DUMMYFUNCTION("""COMPUTED_VALUE"""),3140.0)</f>
        <v>3140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IFERROR(__xludf.DUMMYFUNCTION("""COMPUTED_VALUE"""),3129.0)</f>
        <v>3129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IFERROR(__xludf.DUMMYFUNCTION("""COMPUTED_VALUE"""),3050.0)</f>
        <v>3050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IFERROR(__xludf.DUMMYFUNCTION("""COMPUTED_VALUE"""),2983.0)</f>
        <v>2983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IFERROR(__xludf.DUMMYFUNCTION("""COMPUTED_VALUE"""),3048.75)</f>
        <v>3048.75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IFERROR(__xludf.DUMMYFUNCTION("""COMPUTED_VALUE"""),3162.4)</f>
        <v>3162.4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IFERROR(__xludf.DUMMYFUNCTION("""COMPUTED_VALUE"""),3269.95)</f>
        <v>3269.95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IFERROR(__xludf.DUMMYFUNCTION("""COMPUTED_VALUE"""),3205.0)</f>
        <v>3205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IFERROR(__xludf.DUMMYFUNCTION("""COMPUTED_VALUE"""),3250.0)</f>
        <v>3250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IFERROR(__xludf.DUMMYFUNCTION("""COMPUTED_VALUE"""),3162.0)</f>
        <v>3162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IFERROR(__xludf.DUMMYFUNCTION("GOOGLEFINANCE(""NSE:HEROMOTOCO"",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IFERROR(__xludf.DUMMYFUNCTION("""COMPUTED_VALUE"""),3160.0)</f>
        <v>3160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IFERROR(__xludf.DUMMYFUNCTION("""COMPUTED_VALUE"""),3146.9)</f>
        <v>3146.9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IFERROR(__xludf.DUMMYFUNCTION("""COMPUTED_VALUE"""),2988.0)</f>
        <v>2988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IFERROR(__xludf.DUMMYFUNCTION("""COMPUTED_VALUE"""),2920.0)</f>
        <v>2920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IFERROR(__xludf.DUMMYFUNCTION("""COMPUTED_VALUE"""),2936.85)</f>
        <v>2936.85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IFERROR(__xludf.DUMMYFUNCTION("""COMPUTED_VALUE"""),2888.8)</f>
        <v>2888.8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IFERROR(__xludf.DUMMYFUNCTION("""COMPUTED_VALUE"""),2868.2)</f>
        <v>2868.2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IFERROR(__xludf.DUMMYFUNCTION("""COMPUTED_VALUE"""),2861.65)</f>
        <v>2861.65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IFERROR(__xludf.DUMMYFUNCTION("""COMPUTED_VALUE"""),2705.5)</f>
        <v>2705.5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IFERROR(__xludf.DUMMYFUNCTION("""COMPUTED_VALUE"""),2673.95)</f>
        <v>2673.95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IFERROR(__xludf.DUMMYFUNCTION("""COMPUTED_VALUE"""),2697.6)</f>
        <v>2697.6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IFERROR(__xludf.DUMMYFUNCTION("""COMPUTED_VALUE"""),2649.0)</f>
        <v>2649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IFERROR(__xludf.DUMMYFUNCTION("""COMPUTED_VALUE"""),2669.95)</f>
        <v>2669.95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IFERROR(__xludf.DUMMYFUNCTION("""COMPUTED_VALUE"""),2678.0)</f>
        <v>2678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IFERROR(__xludf.DUMMYFUNCTION("""COMPUTED_VALUE"""),2599.0)</f>
        <v>2599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IFERROR(__xludf.DUMMYFUNCTION("""COMPUTED_VALUE"""),2427.35)</f>
        <v>2427.35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IFERROR(__xludf.DUMMYFUNCTION("""COMPUTED_VALUE"""),2390.0)</f>
        <v>2390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IFERROR(__xludf.DUMMYFUNCTION("""COMPUTED_VALUE"""),2399.8)</f>
        <v>2399.8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IFERROR(__xludf.DUMMYFUNCTION("""COMPUTED_VALUE"""),2555.5)</f>
        <v>2555.5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IFERROR(__xludf.DUMMYFUNCTION("""COMPUTED_VALUE"""),2615.0)</f>
        <v>2615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IFERROR(__xludf.DUMMYFUNCTION("""COMPUTED_VALUE"""),2705.0)</f>
        <v>2705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IFERROR(__xludf.DUMMYFUNCTION("""COMPUTED_VALUE"""),2737.9)</f>
        <v>2737.9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IFERROR(__xludf.DUMMYFUNCTION("""COMPUTED_VALUE"""),2593.8)</f>
        <v>2593.8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IFERROR(__xludf.DUMMYFUNCTION("""COMPUTED_VALUE"""),2580.3)</f>
        <v>2580.3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IFERROR(__xludf.DUMMYFUNCTION("""COMPUTED_VALUE"""),2590.0)</f>
        <v>2590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IFERROR(__xludf.DUMMYFUNCTION("""COMPUTED_VALUE"""),2584.95)</f>
        <v>2584.95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IFERROR(__xludf.DUMMYFUNCTION("""COMPUTED_VALUE"""),2639.0)</f>
        <v>2639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IFERROR(__xludf.DUMMYFUNCTION("""COMPUTED_VALUE"""),2678.0)</f>
        <v>2678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IFERROR(__xludf.DUMMYFUNCTION("""COMPUTED_VALUE"""),2748.8)</f>
        <v>2748.8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IFERROR(__xludf.DUMMYFUNCTION("""COMPUTED_VALUE"""),2749.45)</f>
        <v>2749.45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IFERROR(__xludf.DUMMYFUNCTION("""COMPUTED_VALUE"""),2793.8)</f>
        <v>2793.8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IFERROR(__xludf.DUMMYFUNCTION("""COMPUTED_VALUE"""),2729.9)</f>
        <v>2729.9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IFERROR(__xludf.DUMMYFUNCTION("""COMPUTED_VALUE"""),2720.15)</f>
        <v>2720.15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IFERROR(__xludf.DUMMYFUNCTION("""COMPUTED_VALUE"""),2518.95)</f>
        <v>2518.95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IFERROR(__xludf.DUMMYFUNCTION("""COMPUTED_VALUE"""),2415.0)</f>
        <v>2415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IFERROR(__xludf.DUMMYFUNCTION("""COMPUTED_VALUE"""),2369.8)</f>
        <v>2369.8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IFERROR(__xludf.DUMMYFUNCTION("""COMPUTED_VALUE"""),2446.5)</f>
        <v>2446.5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IFERROR(__xludf.DUMMYFUNCTION("""COMPUTED_VALUE"""),2449.85)</f>
        <v>2449.85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IFERROR(__xludf.DUMMYFUNCTION("""COMPUTED_VALUE"""),2472.7)</f>
        <v>2472.7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IFERROR(__xludf.DUMMYFUNCTION("""COMPUTED_VALUE"""),2582.0)</f>
        <v>2582</v>
      </c>
    </row>
    <row r="757" ht="15.75" customHeight="1">
      <c r="B757" s="3">
        <f>IFERROR(__xludf.DUMMYFUNCTION("""COMPUTED_VALUE"""),42300.64583333333)</f>
        <v>42300.64583</v>
      </c>
      <c r="C757" s="2">
        <f>IFERROR(__xludf.DUMMYFUNCTION("""COMPUTED_VALUE"""),2667.6)</f>
        <v>2667.6</v>
      </c>
    </row>
    <row r="758" ht="15.75" customHeight="1">
      <c r="B758" s="3">
        <f>IFERROR(__xludf.DUMMYFUNCTION("""COMPUTED_VALUE"""),42307.64583333333)</f>
        <v>42307.64583</v>
      </c>
      <c r="C758" s="2">
        <f>IFERROR(__xludf.DUMMYFUNCTION("""COMPUTED_VALUE"""),2644.0)</f>
        <v>2644</v>
      </c>
    </row>
    <row r="759" ht="15.75" customHeight="1">
      <c r="B759" s="3">
        <f>IFERROR(__xludf.DUMMYFUNCTION("""COMPUTED_VALUE"""),42314.64583333333)</f>
        <v>42314.64583</v>
      </c>
      <c r="C759" s="2">
        <f>IFERROR(__xludf.DUMMYFUNCTION("""COMPUTED_VALUE"""),2674.9)</f>
        <v>2674.9</v>
      </c>
    </row>
    <row r="760" ht="15.75" customHeight="1">
      <c r="B760" s="3">
        <f>IFERROR(__xludf.DUMMYFUNCTION("""COMPUTED_VALUE"""),42321.64583333333)</f>
        <v>42321.64583</v>
      </c>
      <c r="C760" s="2">
        <f>IFERROR(__xludf.DUMMYFUNCTION("""COMPUTED_VALUE"""),2671.0)</f>
        <v>2671</v>
      </c>
    </row>
    <row r="761" ht="15.75" customHeight="1">
      <c r="B761" s="3">
        <f>IFERROR(__xludf.DUMMYFUNCTION("""COMPUTED_VALUE"""),42328.64583333333)</f>
        <v>42328.64583</v>
      </c>
      <c r="C761" s="2">
        <f>IFERROR(__xludf.DUMMYFUNCTION("""COMPUTED_VALUE"""),2683.8)</f>
        <v>2683.8</v>
      </c>
    </row>
    <row r="762" ht="15.75" customHeight="1">
      <c r="B762" s="3">
        <f>IFERROR(__xludf.DUMMYFUNCTION("""COMPUTED_VALUE"""),42335.64583333333)</f>
        <v>42335.64583</v>
      </c>
      <c r="C762" s="2">
        <f>IFERROR(__xludf.DUMMYFUNCTION("""COMPUTED_VALUE"""),2714.4)</f>
        <v>2714.4</v>
      </c>
    </row>
    <row r="763" ht="15.75" customHeight="1">
      <c r="B763" s="3">
        <f>IFERROR(__xludf.DUMMYFUNCTION("""COMPUTED_VALUE"""),42342.64583333333)</f>
        <v>42342.64583</v>
      </c>
      <c r="C763" s="2">
        <f>IFERROR(__xludf.DUMMYFUNCTION("""COMPUTED_VALUE"""),2717.55)</f>
        <v>2717.55</v>
      </c>
    </row>
    <row r="764" ht="15.75" customHeight="1">
      <c r="B764" s="3">
        <f>IFERROR(__xludf.DUMMYFUNCTION("""COMPUTED_VALUE"""),42349.64583333333)</f>
        <v>42349.64583</v>
      </c>
      <c r="C764" s="2">
        <f>IFERROR(__xludf.DUMMYFUNCTION("""COMPUTED_VALUE"""),2663.1)</f>
        <v>2663.1</v>
      </c>
    </row>
    <row r="765" ht="15.75" customHeight="1">
      <c r="B765" s="3">
        <f>IFERROR(__xludf.DUMMYFUNCTION("""COMPUTED_VALUE"""),42356.64583333333)</f>
        <v>42356.64583</v>
      </c>
      <c r="C765" s="2">
        <f>IFERROR(__xludf.DUMMYFUNCTION("""COMPUTED_VALUE"""),2667.0)</f>
        <v>2667</v>
      </c>
    </row>
    <row r="766" ht="15.75" customHeight="1">
      <c r="B766" s="3">
        <f>IFERROR(__xludf.DUMMYFUNCTION("""COMPUTED_VALUE"""),42362.64583333333)</f>
        <v>42362.64583</v>
      </c>
      <c r="C766" s="2">
        <f>IFERROR(__xludf.DUMMYFUNCTION("""COMPUTED_VALUE"""),2705.0)</f>
        <v>2705</v>
      </c>
    </row>
    <row r="767" ht="15.75" customHeight="1">
      <c r="B767" s="3">
        <f>IFERROR(__xludf.DUMMYFUNCTION("""COMPUTED_VALUE"""),42370.64583333333)</f>
        <v>42370.64583</v>
      </c>
      <c r="C767" s="2">
        <f>IFERROR(__xludf.DUMMYFUNCTION("""COMPUTED_VALUE"""),2738.0)</f>
        <v>2738</v>
      </c>
    </row>
    <row r="768" ht="15.75" customHeight="1"/>
    <row r="769" ht="15.75" customHeight="1"/>
    <row r="770" ht="15.75" customHeight="1"/>
    <row r="771" ht="15.75" customHeight="1">
      <c r="B771" s="2" t="str">
        <f>IFERROR(__xludf.DUMMYFUNCTION("GOOGLEFINANCE(""NSE:HEROMOTOCO"",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IFERROR(__xludf.DUMMYFUNCTION("""COMPUTED_VALUE"""),2669.0)</f>
        <v>2669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IFERROR(__xludf.DUMMYFUNCTION("""COMPUTED_VALUE"""),2525.0)</f>
        <v>2525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IFERROR(__xludf.DUMMYFUNCTION("""COMPUTED_VALUE"""),2599.0)</f>
        <v>2599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IFERROR(__xludf.DUMMYFUNCTION("""COMPUTED_VALUE"""),2610.0)</f>
        <v>2610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IFERROR(__xludf.DUMMYFUNCTION("""COMPUTED_VALUE"""),2589.0)</f>
        <v>2589</v>
      </c>
    </row>
    <row r="777" ht="15.75" customHeight="1">
      <c r="B777" s="3">
        <f>IFERROR(__xludf.DUMMYFUNCTION("""COMPUTED_VALUE"""),42419.64583333333)</f>
        <v>42419.64583</v>
      </c>
      <c r="C777" s="2">
        <f>IFERROR(__xludf.DUMMYFUNCTION("""COMPUTED_VALUE"""),2710.5)</f>
        <v>2710.5</v>
      </c>
    </row>
    <row r="778" ht="15.75" customHeight="1">
      <c r="B778" s="3">
        <f>IFERROR(__xludf.DUMMYFUNCTION("""COMPUTED_VALUE"""),42426.64583333333)</f>
        <v>42426.64583</v>
      </c>
      <c r="C778" s="2">
        <f>IFERROR(__xludf.DUMMYFUNCTION("""COMPUTED_VALUE"""),2728.8)</f>
        <v>2728.8</v>
      </c>
    </row>
    <row r="779" ht="15.75" customHeight="1">
      <c r="B779" s="3">
        <f>IFERROR(__xludf.DUMMYFUNCTION("""COMPUTED_VALUE"""),42433.64583333333)</f>
        <v>42433.64583</v>
      </c>
      <c r="C779" s="2">
        <f>IFERROR(__xludf.DUMMYFUNCTION("""COMPUTED_VALUE"""),2859.0)</f>
        <v>2859</v>
      </c>
    </row>
    <row r="780" ht="15.75" customHeight="1">
      <c r="B780" s="3">
        <f>IFERROR(__xludf.DUMMYFUNCTION("""COMPUTED_VALUE"""),42440.64583333333)</f>
        <v>42440.64583</v>
      </c>
      <c r="C780" s="2">
        <f>IFERROR(__xludf.DUMMYFUNCTION("""COMPUTED_VALUE"""),2850.0)</f>
        <v>2850</v>
      </c>
    </row>
    <row r="781" ht="15.75" customHeight="1">
      <c r="B781" s="3">
        <f>IFERROR(__xludf.DUMMYFUNCTION("""COMPUTED_VALUE"""),42447.64583333333)</f>
        <v>42447.64583</v>
      </c>
      <c r="C781" s="2">
        <f>IFERROR(__xludf.DUMMYFUNCTION("""COMPUTED_VALUE"""),2839.0)</f>
        <v>2839</v>
      </c>
    </row>
    <row r="782" ht="15.75" customHeight="1">
      <c r="B782" s="3">
        <f>IFERROR(__xludf.DUMMYFUNCTION("""COMPUTED_VALUE"""),42452.64583333333)</f>
        <v>42452.64583</v>
      </c>
      <c r="C782" s="2">
        <f>IFERROR(__xludf.DUMMYFUNCTION("""COMPUTED_VALUE"""),2914.7)</f>
        <v>2914.7</v>
      </c>
    </row>
    <row r="783" ht="15.75" customHeight="1">
      <c r="B783" s="3">
        <f>IFERROR(__xludf.DUMMYFUNCTION("""COMPUTED_VALUE"""),42461.64583333333)</f>
        <v>42461.64583</v>
      </c>
      <c r="C783" s="2">
        <f>IFERROR(__xludf.DUMMYFUNCTION("""COMPUTED_VALUE"""),2985.95)</f>
        <v>2985.95</v>
      </c>
    </row>
    <row r="784" ht="15.75" customHeight="1">
      <c r="B784" s="3">
        <f>IFERROR(__xludf.DUMMYFUNCTION("""COMPUTED_VALUE"""),42468.64583333333)</f>
        <v>42468.64583</v>
      </c>
      <c r="C784" s="2">
        <f>IFERROR(__xludf.DUMMYFUNCTION("""COMPUTED_VALUE"""),3013.0)</f>
        <v>3013</v>
      </c>
    </row>
    <row r="785" ht="15.75" customHeight="1">
      <c r="B785" s="3">
        <f>IFERROR(__xludf.DUMMYFUNCTION("""COMPUTED_VALUE"""),42473.64583333333)</f>
        <v>42473.64583</v>
      </c>
      <c r="C785" s="2">
        <f>IFERROR(__xludf.DUMMYFUNCTION("""COMPUTED_VALUE"""),3172.0)</f>
        <v>3172</v>
      </c>
    </row>
    <row r="786" ht="15.75" customHeight="1">
      <c r="B786" s="3">
        <f>IFERROR(__xludf.DUMMYFUNCTION("""COMPUTED_VALUE"""),42482.64583333333)</f>
        <v>42482.64583</v>
      </c>
      <c r="C786" s="2">
        <f>IFERROR(__xludf.DUMMYFUNCTION("""COMPUTED_VALUE"""),3159.8)</f>
        <v>3159.8</v>
      </c>
    </row>
    <row r="787" ht="15.75" customHeight="1">
      <c r="B787" s="3">
        <f>IFERROR(__xludf.DUMMYFUNCTION("""COMPUTED_VALUE"""),42489.64583333333)</f>
        <v>42489.64583</v>
      </c>
      <c r="C787" s="2">
        <f>IFERROR(__xludf.DUMMYFUNCTION("""COMPUTED_VALUE"""),3023.5)</f>
        <v>3023.5</v>
      </c>
    </row>
    <row r="788" ht="15.75" customHeight="1">
      <c r="B788" s="3">
        <f>IFERROR(__xludf.DUMMYFUNCTION("""COMPUTED_VALUE"""),42496.64583333333)</f>
        <v>42496.64583</v>
      </c>
      <c r="C788" s="2">
        <f>IFERROR(__xludf.DUMMYFUNCTION("""COMPUTED_VALUE"""),2960.05)</f>
        <v>2960.05</v>
      </c>
    </row>
    <row r="789" ht="15.75" customHeight="1">
      <c r="B789" s="3">
        <f>IFERROR(__xludf.DUMMYFUNCTION("""COMPUTED_VALUE"""),42503.64583333333)</f>
        <v>42503.64583</v>
      </c>
      <c r="C789" s="2">
        <f>IFERROR(__xludf.DUMMYFUNCTION("""COMPUTED_VALUE"""),2980.0)</f>
        <v>2980</v>
      </c>
    </row>
    <row r="790" ht="15.75" customHeight="1">
      <c r="B790" s="3">
        <f>IFERROR(__xludf.DUMMYFUNCTION("""COMPUTED_VALUE"""),42510.64583333333)</f>
        <v>42510.64583</v>
      </c>
      <c r="C790" s="2">
        <f>IFERROR(__xludf.DUMMYFUNCTION("""COMPUTED_VALUE"""),2959.0)</f>
        <v>2959</v>
      </c>
    </row>
    <row r="791" ht="15.75" customHeight="1">
      <c r="B791" s="3">
        <f>IFERROR(__xludf.DUMMYFUNCTION("""COMPUTED_VALUE"""),42517.64583333333)</f>
        <v>42517.64583</v>
      </c>
      <c r="C791" s="2">
        <f>IFERROR(__xludf.DUMMYFUNCTION("""COMPUTED_VALUE"""),3010.05)</f>
        <v>3010.05</v>
      </c>
    </row>
    <row r="792" ht="15.75" customHeight="1">
      <c r="B792" s="3">
        <f>IFERROR(__xludf.DUMMYFUNCTION("""COMPUTED_VALUE"""),42524.64583333333)</f>
        <v>42524.64583</v>
      </c>
      <c r="C792" s="2">
        <f>IFERROR(__xludf.DUMMYFUNCTION("""COMPUTED_VALUE"""),3211.15)</f>
        <v>3211.15</v>
      </c>
    </row>
    <row r="793" ht="15.75" customHeight="1">
      <c r="B793" s="3">
        <f>IFERROR(__xludf.DUMMYFUNCTION("""COMPUTED_VALUE"""),42531.64583333333)</f>
        <v>42531.64583</v>
      </c>
      <c r="C793" s="2">
        <f>IFERROR(__xludf.DUMMYFUNCTION("""COMPUTED_VALUE"""),3179.5)</f>
        <v>3179.5</v>
      </c>
    </row>
    <row r="794" ht="15.75" customHeight="1">
      <c r="B794" s="3">
        <f>IFERROR(__xludf.DUMMYFUNCTION("""COMPUTED_VALUE"""),42538.64583333333)</f>
        <v>42538.64583</v>
      </c>
      <c r="C794" s="2">
        <f>IFERROR(__xludf.DUMMYFUNCTION("""COMPUTED_VALUE"""),3088.8)</f>
        <v>3088.8</v>
      </c>
    </row>
    <row r="795" ht="15.75" customHeight="1">
      <c r="B795" s="3">
        <f>IFERROR(__xludf.DUMMYFUNCTION("""COMPUTED_VALUE"""),42545.64583333333)</f>
        <v>42545.64583</v>
      </c>
      <c r="C795" s="2">
        <f>IFERROR(__xludf.DUMMYFUNCTION("""COMPUTED_VALUE"""),3092.0)</f>
        <v>3092</v>
      </c>
    </row>
    <row r="796" ht="15.75" customHeight="1">
      <c r="B796" s="3">
        <f>IFERROR(__xludf.DUMMYFUNCTION("""COMPUTED_VALUE"""),42552.64583333333)</f>
        <v>42552.64583</v>
      </c>
      <c r="C796" s="2">
        <f>IFERROR(__xludf.DUMMYFUNCTION("""COMPUTED_VALUE"""),3226.0)</f>
        <v>3226</v>
      </c>
    </row>
    <row r="797" ht="15.75" customHeight="1">
      <c r="B797" s="3">
        <f>IFERROR(__xludf.DUMMYFUNCTION("""COMPUTED_VALUE"""),42559.64583333333)</f>
        <v>42559.64583</v>
      </c>
      <c r="C797" s="2">
        <f>IFERROR(__xludf.DUMMYFUNCTION("""COMPUTED_VALUE"""),3189.95)</f>
        <v>3189.95</v>
      </c>
    </row>
    <row r="798" ht="15.75" customHeight="1">
      <c r="B798" s="3">
        <f>IFERROR(__xludf.DUMMYFUNCTION("""COMPUTED_VALUE"""),42566.64583333333)</f>
        <v>42566.64583</v>
      </c>
      <c r="C798" s="2">
        <f>IFERROR(__xludf.DUMMYFUNCTION("""COMPUTED_VALUE"""),3293.65)</f>
        <v>3293.65</v>
      </c>
    </row>
    <row r="799" ht="15.75" customHeight="1">
      <c r="B799" s="3">
        <f>IFERROR(__xludf.DUMMYFUNCTION("""COMPUTED_VALUE"""),42573.64583333333)</f>
        <v>42573.64583</v>
      </c>
      <c r="C799" s="2">
        <f>IFERROR(__xludf.DUMMYFUNCTION("""COMPUTED_VALUE"""),3306.95)</f>
        <v>3306.95</v>
      </c>
    </row>
    <row r="800" ht="15.75" customHeight="1">
      <c r="B800" s="3">
        <f>IFERROR(__xludf.DUMMYFUNCTION("""COMPUTED_VALUE"""),42580.64583333333)</f>
        <v>42580.64583</v>
      </c>
      <c r="C800" s="2">
        <f>IFERROR(__xludf.DUMMYFUNCTION("""COMPUTED_VALUE"""),3283.95)</f>
        <v>3283.95</v>
      </c>
    </row>
    <row r="801" ht="15.75" customHeight="1">
      <c r="B801" s="3">
        <f>IFERROR(__xludf.DUMMYFUNCTION("""COMPUTED_VALUE"""),42587.64583333333)</f>
        <v>42587.64583</v>
      </c>
      <c r="C801" s="2">
        <f>IFERROR(__xludf.DUMMYFUNCTION("""COMPUTED_VALUE"""),3466.2)</f>
        <v>3466.2</v>
      </c>
    </row>
    <row r="802" ht="15.75" customHeight="1">
      <c r="B802" s="3">
        <f>IFERROR(__xludf.DUMMYFUNCTION("""COMPUTED_VALUE"""),42594.64583333333)</f>
        <v>42594.64583</v>
      </c>
      <c r="C802" s="2">
        <f>IFERROR(__xludf.DUMMYFUNCTION("""COMPUTED_VALUE"""),3556.0)</f>
        <v>3556</v>
      </c>
    </row>
    <row r="803" ht="15.75" customHeight="1">
      <c r="B803" s="3">
        <f>IFERROR(__xludf.DUMMYFUNCTION("""COMPUTED_VALUE"""),42601.64583333333)</f>
        <v>42601.64583</v>
      </c>
      <c r="C803" s="2">
        <f>IFERROR(__xludf.DUMMYFUNCTION("""COMPUTED_VALUE"""),3429.0)</f>
        <v>3429</v>
      </c>
    </row>
    <row r="804" ht="15.75" customHeight="1">
      <c r="B804" s="3">
        <f>IFERROR(__xludf.DUMMYFUNCTION("""COMPUTED_VALUE"""),42608.64583333333)</f>
        <v>42608.64583</v>
      </c>
      <c r="C804" s="2">
        <f>IFERROR(__xludf.DUMMYFUNCTION("""COMPUTED_VALUE"""),3365.95)</f>
        <v>3365.95</v>
      </c>
    </row>
    <row r="805" ht="15.75" customHeight="1">
      <c r="B805" s="3">
        <f>IFERROR(__xludf.DUMMYFUNCTION("""COMPUTED_VALUE"""),42615.64583333333)</f>
        <v>42615.64583</v>
      </c>
      <c r="C805" s="2">
        <f>IFERROR(__xludf.DUMMYFUNCTION("""COMPUTED_VALUE"""),3614.0)</f>
        <v>3614</v>
      </c>
    </row>
    <row r="806" ht="15.75" customHeight="1">
      <c r="B806" s="3">
        <f>IFERROR(__xludf.DUMMYFUNCTION("""COMPUTED_VALUE"""),42622.64583333333)</f>
        <v>42622.64583</v>
      </c>
      <c r="C806" s="2">
        <f>IFERROR(__xludf.DUMMYFUNCTION("""COMPUTED_VALUE"""),3740.0)</f>
        <v>3740</v>
      </c>
    </row>
    <row r="807" ht="15.75" customHeight="1">
      <c r="B807" s="3">
        <f>IFERROR(__xludf.DUMMYFUNCTION("""COMPUTED_VALUE"""),42629.64583333333)</f>
        <v>42629.64583</v>
      </c>
      <c r="C807" s="2">
        <f>IFERROR(__xludf.DUMMYFUNCTION("""COMPUTED_VALUE"""),3643.0)</f>
        <v>3643</v>
      </c>
    </row>
    <row r="808" ht="15.75" customHeight="1">
      <c r="B808" s="3">
        <f>IFERROR(__xludf.DUMMYFUNCTION("""COMPUTED_VALUE"""),42636.64583333333)</f>
        <v>42636.64583</v>
      </c>
      <c r="C808" s="2">
        <f>IFERROR(__xludf.DUMMYFUNCTION("""COMPUTED_VALUE"""),3616.75)</f>
        <v>3616.75</v>
      </c>
    </row>
    <row r="809" ht="15.75" customHeight="1">
      <c r="B809" s="3">
        <f>IFERROR(__xludf.DUMMYFUNCTION("""COMPUTED_VALUE"""),42643.64583333333)</f>
        <v>42643.64583</v>
      </c>
      <c r="C809" s="2">
        <f>IFERROR(__xludf.DUMMYFUNCTION("""COMPUTED_VALUE"""),3533.3)</f>
        <v>3533.3</v>
      </c>
    </row>
    <row r="810" ht="15.75" customHeight="1">
      <c r="B810" s="3">
        <f>IFERROR(__xludf.DUMMYFUNCTION("""COMPUTED_VALUE"""),42650.64583333333)</f>
        <v>42650.64583</v>
      </c>
      <c r="C810" s="2">
        <f>IFERROR(__xludf.DUMMYFUNCTION("""COMPUTED_VALUE"""),3594.0)</f>
        <v>3594</v>
      </c>
    </row>
    <row r="811" ht="15.75" customHeight="1">
      <c r="B811" s="3">
        <f>IFERROR(__xludf.DUMMYFUNCTION("""COMPUTED_VALUE"""),42657.64583333333)</f>
        <v>42657.64583</v>
      </c>
      <c r="C811" s="2">
        <f>IFERROR(__xludf.DUMMYFUNCTION("""COMPUTED_VALUE"""),3520.0)</f>
        <v>3520</v>
      </c>
    </row>
    <row r="812" ht="15.75" customHeight="1">
      <c r="B812" s="3">
        <f>IFERROR(__xludf.DUMMYFUNCTION("""COMPUTED_VALUE"""),42664.64583333333)</f>
        <v>42664.64583</v>
      </c>
      <c r="C812" s="2">
        <f>IFERROR(__xludf.DUMMYFUNCTION("""COMPUTED_VALUE"""),3490.05)</f>
        <v>3490.05</v>
      </c>
    </row>
    <row r="813" ht="15.75" customHeight="1">
      <c r="B813" s="3">
        <f>IFERROR(__xludf.DUMMYFUNCTION("""COMPUTED_VALUE"""),42671.64583333333)</f>
        <v>42671.64583</v>
      </c>
      <c r="C813" s="2">
        <f>IFERROR(__xludf.DUMMYFUNCTION("""COMPUTED_VALUE"""),3450.0)</f>
        <v>3450</v>
      </c>
    </row>
    <row r="814" ht="15.75" customHeight="1">
      <c r="B814" s="3">
        <f>IFERROR(__xludf.DUMMYFUNCTION("""COMPUTED_VALUE"""),42678.64583333333)</f>
        <v>42678.64583</v>
      </c>
      <c r="C814" s="2">
        <f>IFERROR(__xludf.DUMMYFUNCTION("""COMPUTED_VALUE"""),3401.0)</f>
        <v>3401</v>
      </c>
    </row>
    <row r="815" ht="15.75" customHeight="1">
      <c r="B815" s="3">
        <f>IFERROR(__xludf.DUMMYFUNCTION("""COMPUTED_VALUE"""),42685.64583333333)</f>
        <v>42685.64583</v>
      </c>
      <c r="C815" s="2">
        <f>IFERROR(__xludf.DUMMYFUNCTION("""COMPUTED_VALUE"""),3386.0)</f>
        <v>3386</v>
      </c>
    </row>
    <row r="816" ht="15.75" customHeight="1">
      <c r="B816" s="3">
        <f>IFERROR(__xludf.DUMMYFUNCTION("""COMPUTED_VALUE"""),42692.64583333333)</f>
        <v>42692.64583</v>
      </c>
      <c r="C816" s="2">
        <f>IFERROR(__xludf.DUMMYFUNCTION("""COMPUTED_VALUE"""),3015.0)</f>
        <v>3015</v>
      </c>
    </row>
    <row r="817" ht="15.75" customHeight="1">
      <c r="B817" s="3">
        <f>IFERROR(__xludf.DUMMYFUNCTION("""COMPUTED_VALUE"""),42699.64583333333)</f>
        <v>42699.64583</v>
      </c>
      <c r="C817" s="2">
        <f>IFERROR(__xludf.DUMMYFUNCTION("""COMPUTED_VALUE"""),3094.7)</f>
        <v>3094.7</v>
      </c>
    </row>
    <row r="818" ht="15.75" customHeight="1">
      <c r="B818" s="3">
        <f>IFERROR(__xludf.DUMMYFUNCTION("""COMPUTED_VALUE"""),42706.64583333333)</f>
        <v>42706.64583</v>
      </c>
      <c r="C818" s="2">
        <f>IFERROR(__xludf.DUMMYFUNCTION("""COMPUTED_VALUE"""),3232.0)</f>
        <v>3232</v>
      </c>
    </row>
    <row r="819" ht="15.75" customHeight="1">
      <c r="B819" s="3">
        <f>IFERROR(__xludf.DUMMYFUNCTION("""COMPUTED_VALUE"""),42713.64583333333)</f>
        <v>42713.64583</v>
      </c>
      <c r="C819" s="2">
        <f>IFERROR(__xludf.DUMMYFUNCTION("""COMPUTED_VALUE"""),3333.0)</f>
        <v>3333</v>
      </c>
    </row>
    <row r="820" ht="15.75" customHeight="1">
      <c r="B820" s="3">
        <f>IFERROR(__xludf.DUMMYFUNCTION("""COMPUTED_VALUE"""),42720.64583333333)</f>
        <v>42720.64583</v>
      </c>
      <c r="C820" s="2">
        <f>IFERROR(__xludf.DUMMYFUNCTION("""COMPUTED_VALUE"""),3265.0)</f>
        <v>3265</v>
      </c>
    </row>
    <row r="821" ht="15.75" customHeight="1">
      <c r="B821" s="3">
        <f>IFERROR(__xludf.DUMMYFUNCTION("""COMPUTED_VALUE"""),42727.64583333333)</f>
        <v>42727.64583</v>
      </c>
      <c r="C821" s="2">
        <f>IFERROR(__xludf.DUMMYFUNCTION("""COMPUTED_VALUE"""),3150.2)</f>
        <v>3150.2</v>
      </c>
    </row>
    <row r="822" ht="15.75" customHeight="1">
      <c r="B822" s="3">
        <f>IFERROR(__xludf.DUMMYFUNCTION("""COMPUTED_VALUE"""),42734.64583333333)</f>
        <v>42734.64583</v>
      </c>
      <c r="C822" s="2">
        <f>IFERROR(__xludf.DUMMYFUNCTION("""COMPUTED_VALUE"""),3063.0)</f>
        <v>3063</v>
      </c>
    </row>
    <row r="823" ht="15.75" customHeight="1"/>
    <row r="824" ht="15.75" customHeight="1"/>
    <row r="825" ht="15.75" customHeight="1"/>
    <row r="826" ht="15.75" customHeight="1">
      <c r="B826" s="2" t="str">
        <f>IFERROR(__xludf.DUMMYFUNCTION("GOOGLEFINANCE(""NSE:HEROMOTOCO"",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IFERROR(__xludf.DUMMYFUNCTION("""COMPUTED_VALUE"""),3119.0)</f>
        <v>3119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IFERROR(__xludf.DUMMYFUNCTION("""COMPUTED_VALUE"""),3112.15)</f>
        <v>3112.15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IFERROR(__xludf.DUMMYFUNCTION("""COMPUTED_VALUE"""),3158.55)</f>
        <v>3158.55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IFERROR(__xludf.DUMMYFUNCTION("""COMPUTED_VALUE"""),3275.95)</f>
        <v>3275.95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IFERROR(__xludf.DUMMYFUNCTION("""COMPUTED_VALUE"""),3304.55)</f>
        <v>3304.55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IFERROR(__xludf.DUMMYFUNCTION("""COMPUTED_VALUE"""),3319.2)</f>
        <v>3319.2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IFERROR(__xludf.DUMMYFUNCTION("""COMPUTED_VALUE"""),3279.8)</f>
        <v>3279.8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IFERROR(__xludf.DUMMYFUNCTION("""COMPUTED_VALUE"""),3199.8)</f>
        <v>3199.8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IFERROR(__xludf.DUMMYFUNCTION("""COMPUTED_VALUE"""),3286.0)</f>
        <v>3286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IFERROR(__xludf.DUMMYFUNCTION("""COMPUTED_VALUE"""),3332.0)</f>
        <v>3332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IFERROR(__xludf.DUMMYFUNCTION("""COMPUTED_VALUE"""),3412.0)</f>
        <v>3412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IFERROR(__xludf.DUMMYFUNCTION("""COMPUTED_VALUE"""),3380.0)</f>
        <v>3380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IFERROR(__xludf.DUMMYFUNCTION("""COMPUTED_VALUE"""),3395.95)</f>
        <v>3395.95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IFERROR(__xludf.DUMMYFUNCTION("""COMPUTED_VALUE"""),3265.05)</f>
        <v>3265.05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IFERROR(__xludf.DUMMYFUNCTION("""COMPUTED_VALUE"""),3245.45)</f>
        <v>3245.45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IFERROR(__xludf.DUMMYFUNCTION("""COMPUTED_VALUE"""),3259.05)</f>
        <v>3259.05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IFERROR(__xludf.DUMMYFUNCTION("""COMPUTED_VALUE"""),3364.0)</f>
        <v>3364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IFERROR(__xludf.DUMMYFUNCTION("""COMPUTED_VALUE"""),3412.85)</f>
        <v>3412.85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IFERROR(__xludf.DUMMYFUNCTION("""COMPUTED_VALUE"""),3553.8)</f>
        <v>3553.8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IFERROR(__xludf.DUMMYFUNCTION("""COMPUTED_VALUE"""),3683.95)</f>
        <v>3683.95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IFERROR(__xludf.DUMMYFUNCTION("""COMPUTED_VALUE"""),3660.1)</f>
        <v>3660.1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IFERROR(__xludf.DUMMYFUNCTION("""COMPUTED_VALUE"""),3857.5)</f>
        <v>3857.5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IFERROR(__xludf.DUMMYFUNCTION("""COMPUTED_VALUE"""),3880.55)</f>
        <v>3880.55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IFERROR(__xludf.DUMMYFUNCTION("""COMPUTED_VALUE"""),3820.0)</f>
        <v>3820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IFERROR(__xludf.DUMMYFUNCTION("""COMPUTED_VALUE"""),3846.9)</f>
        <v>3846.9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IFERROR(__xludf.DUMMYFUNCTION("""COMPUTED_VALUE"""),3735.95)</f>
        <v>3735.95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IFERROR(__xludf.DUMMYFUNCTION("""COMPUTED_VALUE"""),3804.05)</f>
        <v>3804.05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IFERROR(__xludf.DUMMYFUNCTION("""COMPUTED_VALUE"""),3796.0)</f>
        <v>3796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IFERROR(__xludf.DUMMYFUNCTION("""COMPUTED_VALUE"""),3799.0)</f>
        <v>3799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IFERROR(__xludf.DUMMYFUNCTION("""COMPUTED_VALUE"""),3759.0)</f>
        <v>3759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IFERROR(__xludf.DUMMYFUNCTION("""COMPUTED_VALUE"""),3964.0)</f>
        <v>3964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IFERROR(__xludf.DUMMYFUNCTION("""COMPUTED_VALUE"""),4018.9)</f>
        <v>4018.9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IFERROR(__xludf.DUMMYFUNCTION("""COMPUTED_VALUE"""),4044.0)</f>
        <v>4044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IFERROR(__xludf.DUMMYFUNCTION("""COMPUTED_VALUE"""),4038.3)</f>
        <v>4038.3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IFERROR(__xludf.DUMMYFUNCTION("""COMPUTED_VALUE"""),4091.95)</f>
        <v>4091.95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IFERROR(__xludf.DUMMYFUNCTION("""COMPUTED_VALUE"""),4084.0)</f>
        <v>4084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IFERROR(__xludf.DUMMYFUNCTION("""COMPUTED_VALUE"""),3999.95)</f>
        <v>3999.95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IFERROR(__xludf.DUMMYFUNCTION("""COMPUTED_VALUE"""),3977.85)</f>
        <v>3977.85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IFERROR(__xludf.DUMMYFUNCTION("""COMPUTED_VALUE"""),3825.7)</f>
        <v>3825.7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IFERROR(__xludf.DUMMYFUNCTION("""COMPUTED_VALUE"""),3870.0)</f>
        <v>3870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IFERROR(__xludf.DUMMYFUNCTION("""COMPUTED_VALUE"""),3790.0)</f>
        <v>3790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IFERROR(__xludf.DUMMYFUNCTION("""COMPUTED_VALUE"""),3828.5)</f>
        <v>3828.5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IFERROR(__xludf.DUMMYFUNCTION("""COMPUTED_VALUE"""),3815.0)</f>
        <v>3815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IFERROR(__xludf.DUMMYFUNCTION("""COMPUTED_VALUE"""),3882.9)</f>
        <v>3882.9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IFERROR(__xludf.DUMMYFUNCTION("""COMPUTED_VALUE"""),3729.1)</f>
        <v>3729.1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IFERROR(__xludf.DUMMYFUNCTION("""COMPUTED_VALUE"""),3709.4)</f>
        <v>3709.4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IFERROR(__xludf.DUMMYFUNCTION("""COMPUTED_VALUE"""),3710.0)</f>
        <v>3710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IFERROR(__xludf.DUMMYFUNCTION("""COMPUTED_VALUE"""),3695.0)</f>
        <v>3695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IFERROR(__xludf.DUMMYFUNCTION("""COMPUTED_VALUE"""),3635.0)</f>
        <v>3635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IFERROR(__xludf.DUMMYFUNCTION("""COMPUTED_VALUE"""),3544.0)</f>
        <v>3544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IFERROR(__xludf.DUMMYFUNCTION("""COMPUTED_VALUE"""),3829.0)</f>
        <v>3829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IFERROR(__xludf.DUMMYFUNCTION("""COMPUTED_VALUE"""),3848.8)</f>
        <v>3848.8</v>
      </c>
    </row>
    <row r="879" ht="15.75" customHeight="1"/>
    <row r="880" ht="15.75" customHeight="1"/>
    <row r="881" ht="15.75" customHeight="1">
      <c r="B881" s="2" t="str">
        <f>IFERROR(__xludf.DUMMYFUNCTION("GOOGLEFINANCE(""NSE:HEROMOTOCO"",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IFERROR(__xludf.DUMMYFUNCTION("""COMPUTED_VALUE"""),3810.0)</f>
        <v>3810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IFERROR(__xludf.DUMMYFUNCTION("""COMPUTED_VALUE"""),3804.8)</f>
        <v>3804.8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IFERROR(__xludf.DUMMYFUNCTION("""COMPUTED_VALUE"""),3700.0)</f>
        <v>3700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IFERROR(__xludf.DUMMYFUNCTION("""COMPUTED_VALUE"""),3659.9)</f>
        <v>3659.9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IFERROR(__xludf.DUMMYFUNCTION("""COMPUTED_VALUE"""),3752.45)</f>
        <v>3752.45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IFERROR(__xludf.DUMMYFUNCTION("""COMPUTED_VALUE"""),3662.6)</f>
        <v>3662.6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IFERROR(__xludf.DUMMYFUNCTION("""COMPUTED_VALUE"""),3624.0)</f>
        <v>3624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IFERROR(__xludf.DUMMYFUNCTION("""COMPUTED_VALUE"""),3519.35)</f>
        <v>3519.35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IFERROR(__xludf.DUMMYFUNCTION("""COMPUTED_VALUE"""),3613.0)</f>
        <v>3613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IFERROR(__xludf.DUMMYFUNCTION("""COMPUTED_VALUE"""),3661.45)</f>
        <v>3661.45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IFERROR(__xludf.DUMMYFUNCTION("""COMPUTED_VALUE"""),3729.75)</f>
        <v>3729.75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IFERROR(__xludf.DUMMYFUNCTION("""COMPUTED_VALUE"""),3549.0)</f>
        <v>3549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IFERROR(__xludf.DUMMYFUNCTION("""COMPUTED_VALUE"""),3579.0)</f>
        <v>3579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IFERROR(__xludf.DUMMYFUNCTION("""COMPUTED_VALUE"""),3796.0)</f>
        <v>3796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IFERROR(__xludf.DUMMYFUNCTION("""COMPUTED_VALUE"""),3815.0)</f>
        <v>3815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IFERROR(__xludf.DUMMYFUNCTION("""COMPUTED_VALUE"""),3825.0)</f>
        <v>3825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IFERROR(__xludf.DUMMYFUNCTION("""COMPUTED_VALUE"""),3776.95)</f>
        <v>3776.95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IFERROR(__xludf.DUMMYFUNCTION("""COMPUTED_VALUE"""),3774.0)</f>
        <v>3774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IFERROR(__xludf.DUMMYFUNCTION("""COMPUTED_VALUE"""),3685.0)</f>
        <v>3685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IFERROR(__xludf.DUMMYFUNCTION("""COMPUTED_VALUE"""),3659.35)</f>
        <v>3659.35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IFERROR(__xludf.DUMMYFUNCTION("""COMPUTED_VALUE"""),3578.6)</f>
        <v>3578.6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IFERROR(__xludf.DUMMYFUNCTION("""COMPUTED_VALUE"""),3637.0)</f>
        <v>3637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IFERROR(__xludf.DUMMYFUNCTION("""COMPUTED_VALUE"""),3669.85)</f>
        <v>3669.85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IFERROR(__xludf.DUMMYFUNCTION("""COMPUTED_VALUE"""),3712.2)</f>
        <v>3712.2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IFERROR(__xludf.DUMMYFUNCTION("""COMPUTED_VALUE"""),3702.5)</f>
        <v>3702.5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IFERROR(__xludf.DUMMYFUNCTION("""COMPUTED_VALUE"""),3649.95)</f>
        <v>3649.95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IFERROR(__xludf.DUMMYFUNCTION("""COMPUTED_VALUE"""),3670.0)</f>
        <v>3670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IFERROR(__xludf.DUMMYFUNCTION("""COMPUTED_VALUE"""),3662.9)</f>
        <v>3662.9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IFERROR(__xludf.DUMMYFUNCTION("""COMPUTED_VALUE"""),3515.0)</f>
        <v>3515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IFERROR(__xludf.DUMMYFUNCTION("""COMPUTED_VALUE"""),3386.8)</f>
        <v>3386.8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IFERROR(__xludf.DUMMYFUNCTION("""COMPUTED_VALUE"""),3333.35)</f>
        <v>3333.35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IFERROR(__xludf.DUMMYFUNCTION("""COMPUTED_VALUE"""),3343.65)</f>
        <v>3343.65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IFERROR(__xludf.DUMMYFUNCTION("""COMPUTED_VALUE"""),3347.0)</f>
        <v>3347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IFERROR(__xludf.DUMMYFUNCTION("""COMPUTED_VALUE"""),3349.9)</f>
        <v>3349.9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IFERROR(__xludf.DUMMYFUNCTION("""COMPUTED_VALUE"""),3274.85)</f>
        <v>3274.85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IFERROR(__xludf.DUMMYFUNCTION("""COMPUTED_VALUE"""),3345.0)</f>
        <v>3345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IFERROR(__xludf.DUMMYFUNCTION("""COMPUTED_VALUE"""),3334.85)</f>
        <v>3334.85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IFERROR(__xludf.DUMMYFUNCTION("""COMPUTED_VALUE"""),3188.75)</f>
        <v>3188.75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IFERROR(__xludf.DUMMYFUNCTION("""COMPUTED_VALUE"""),3183.0)</f>
        <v>3183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IFERROR(__xludf.DUMMYFUNCTION("""COMPUTED_VALUE"""),2995.0)</f>
        <v>2995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IFERROR(__xludf.DUMMYFUNCTION("""COMPUTED_VALUE"""),2993.65)</f>
        <v>2993.65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IFERROR(__xludf.DUMMYFUNCTION("""COMPUTED_VALUE"""),2995.0)</f>
        <v>2995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IFERROR(__xludf.DUMMYFUNCTION("""COMPUTED_VALUE"""),2767.1)</f>
        <v>2767.1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IFERROR(__xludf.DUMMYFUNCTION("""COMPUTED_VALUE"""),2939.85)</f>
        <v>2939.85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IFERROR(__xludf.DUMMYFUNCTION("""COMPUTED_VALUE"""),2965.5)</f>
        <v>2965.5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IFERROR(__xludf.DUMMYFUNCTION("""COMPUTED_VALUE"""),2976.5)</f>
        <v>2976.5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IFERROR(__xludf.DUMMYFUNCTION("""COMPUTED_VALUE"""),2998.9)</f>
        <v>2998.9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IFERROR(__xludf.DUMMYFUNCTION("""COMPUTED_VALUE"""),3104.7)</f>
        <v>3104.7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IFERROR(__xludf.DUMMYFUNCTION("""COMPUTED_VALUE"""),3091.25)</f>
        <v>3091.25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IFERROR(__xludf.DUMMYFUNCTION("""COMPUTED_VALUE"""),3350.8)</f>
        <v>3350.8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IFERROR(__xludf.DUMMYFUNCTION("""COMPUTED_VALUE"""),3380.0)</f>
        <v>3380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IFERROR(__xludf.DUMMYFUNCTION("""COMPUTED_VALUE"""),3301.0)</f>
        <v>3301</v>
      </c>
    </row>
    <row r="934" ht="15.75" customHeight="1"/>
    <row r="935" ht="15.75" customHeight="1"/>
    <row r="936" ht="15.75" customHeight="1">
      <c r="B936" s="2" t="str">
        <f>IFERROR(__xludf.DUMMYFUNCTION("GOOGLEFINANCE(""NSE:HEROMOTOCO"",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IFERROR(__xludf.DUMMYFUNCTION("""COMPUTED_VALUE"""),3159.05)</f>
        <v>3159.05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IFERROR(__xludf.DUMMYFUNCTION("""COMPUTED_VALUE"""),3023.0)</f>
        <v>3023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IFERROR(__xludf.DUMMYFUNCTION("""COMPUTED_VALUE"""),2936.9)</f>
        <v>2936.9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IFERROR(__xludf.DUMMYFUNCTION("""COMPUTED_VALUE"""),2909.85)</f>
        <v>2909.85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IFERROR(__xludf.DUMMYFUNCTION("""COMPUTED_VALUE"""),2839.35)</f>
        <v>2839.35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IFERROR(__xludf.DUMMYFUNCTION("""COMPUTED_VALUE"""),2960.0)</f>
        <v>2960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IFERROR(__xludf.DUMMYFUNCTION("""COMPUTED_VALUE"""),2915.95)</f>
        <v>2915.95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IFERROR(__xludf.DUMMYFUNCTION("""COMPUTED_VALUE"""),2713.2)</f>
        <v>2713.2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IFERROR(__xludf.DUMMYFUNCTION("""COMPUTED_VALUE"""),2743.0)</f>
        <v>2743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IFERROR(__xludf.DUMMYFUNCTION("""COMPUTED_VALUE"""),2822.0)</f>
        <v>2822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IFERROR(__xludf.DUMMYFUNCTION("""COMPUTED_VALUE"""),2849.4)</f>
        <v>2849.4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IFERROR(__xludf.DUMMYFUNCTION("""COMPUTED_VALUE"""),2763.15)</f>
        <v>2763.15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IFERROR(__xludf.DUMMYFUNCTION("""COMPUTED_VALUE"""),2608.8)</f>
        <v>2608.8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IFERROR(__xludf.DUMMYFUNCTION("""COMPUTED_VALUE"""),2664.0)</f>
        <v>2664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IFERROR(__xludf.DUMMYFUNCTION("""COMPUTED_VALUE"""),2644.8)</f>
        <v>2644.8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IFERROR(__xludf.DUMMYFUNCTION("""COMPUTED_VALUE"""),2759.9)</f>
        <v>2759.9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IFERROR(__xludf.DUMMYFUNCTION("""COMPUTED_VALUE"""),2749.95)</f>
        <v>2749.95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IFERROR(__xludf.DUMMYFUNCTION("""COMPUTED_VALUE"""),2587.0)</f>
        <v>2587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IFERROR(__xludf.DUMMYFUNCTION("""COMPUTED_VALUE"""),2568.0)</f>
        <v>2568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IFERROR(__xludf.DUMMYFUNCTION("""COMPUTED_VALUE"""),2637.0)</f>
        <v>2637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IFERROR(__xludf.DUMMYFUNCTION("""COMPUTED_VALUE"""),2845.0)</f>
        <v>2845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IFERROR(__xludf.DUMMYFUNCTION("""COMPUTED_VALUE"""),2850.0)</f>
        <v>2850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IFERROR(__xludf.DUMMYFUNCTION("""COMPUTED_VALUE"""),2859.15)</f>
        <v>2859.15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IFERROR(__xludf.DUMMYFUNCTION("""COMPUTED_VALUE"""),2794.0)</f>
        <v>2794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IFERROR(__xludf.DUMMYFUNCTION("""COMPUTED_VALUE"""),2699.0)</f>
        <v>2699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IFERROR(__xludf.DUMMYFUNCTION("""COMPUTED_VALUE"""),2617.8)</f>
        <v>2617.8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IFERROR(__xludf.DUMMYFUNCTION("""COMPUTED_VALUE"""),2639.5)</f>
        <v>2639.5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IFERROR(__xludf.DUMMYFUNCTION("""COMPUTED_VALUE"""),2584.4)</f>
        <v>2584.4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IFERROR(__xludf.DUMMYFUNCTION("""COMPUTED_VALUE"""),2579.9)</f>
        <v>2579.9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IFERROR(__xludf.DUMMYFUNCTION("""COMPUTED_VALUE"""),2492.65)</f>
        <v>2492.65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IFERROR(__xludf.DUMMYFUNCTION("""COMPUTED_VALUE"""),2451.0)</f>
        <v>2451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IFERROR(__xludf.DUMMYFUNCTION("""COMPUTED_VALUE"""),2641.9)</f>
        <v>2641.9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IFERROR(__xludf.DUMMYFUNCTION("""COMPUTED_VALUE"""),2680.0)</f>
        <v>2680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IFERROR(__xludf.DUMMYFUNCTION("""COMPUTED_VALUE"""),2722.0)</f>
        <v>2722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IFERROR(__xludf.DUMMYFUNCTION("""COMPUTED_VALUE"""),2695.0)</f>
        <v>2695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IFERROR(__xludf.DUMMYFUNCTION("""COMPUTED_VALUE"""),2670.0)</f>
        <v>2670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IFERROR(__xludf.DUMMYFUNCTION("""COMPUTED_VALUE"""),2785.0)</f>
        <v>2785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IFERROR(__xludf.DUMMYFUNCTION("""COMPUTED_VALUE"""),3016.55)</f>
        <v>3016.55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IFERROR(__xludf.DUMMYFUNCTION("""COMPUTED_VALUE"""),3022.9)</f>
        <v>3022.9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IFERROR(__xludf.DUMMYFUNCTION("""COMPUTED_VALUE"""),2758.75)</f>
        <v>2758.75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IFERROR(__xludf.DUMMYFUNCTION("""COMPUTED_VALUE"""),2690.0)</f>
        <v>2690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IFERROR(__xludf.DUMMYFUNCTION("""COMPUTED_VALUE"""),2699.95)</f>
        <v>2699.95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IFERROR(__xludf.DUMMYFUNCTION("""COMPUTED_VALUE"""),2749.75)</f>
        <v>2749.75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IFERROR(__xludf.DUMMYFUNCTION("""COMPUTED_VALUE"""),2759.0)</f>
        <v>2759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IFERROR(__xludf.DUMMYFUNCTION("""COMPUTED_VALUE"""),2714.95)</f>
        <v>2714.95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IFERROR(__xludf.DUMMYFUNCTION("""COMPUTED_VALUE"""),2656.95)</f>
        <v>2656.95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IFERROR(__xludf.DUMMYFUNCTION("""COMPUTED_VALUE"""),2552.5)</f>
        <v>2552.5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IFERROR(__xludf.DUMMYFUNCTION("""COMPUTED_VALUE"""),2534.0)</f>
        <v>2534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IFERROR(__xludf.DUMMYFUNCTION("""COMPUTED_VALUE"""),2475.0)</f>
        <v>2475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IFERROR(__xludf.DUMMYFUNCTION("""COMPUTED_VALUE"""),2406.1)</f>
        <v>2406.1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IFERROR(__xludf.DUMMYFUNCTION("""COMPUTED_VALUE"""),2425.0)</f>
        <v>2425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IFERROR(__xludf.DUMMYFUNCTION("""COMPUTED_VALUE"""),2458.0)</f>
        <v>2458</v>
      </c>
    </row>
    <row r="989" ht="15.75" customHeight="1"/>
    <row r="990" ht="15.75" customHeight="1"/>
    <row r="991" ht="15.75" customHeight="1">
      <c r="B991" s="2" t="str">
        <f>IFERROR(__xludf.DUMMYFUNCTION("GOOGLEFINANCE(""NSE:HEROMOTOCO"",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IFERROR(__xludf.DUMMYFUNCTION("""COMPUTED_VALUE"""),2485.0)</f>
        <v>2485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IFERROR(__xludf.DUMMYFUNCTION("""COMPUTED_VALUE"""),2428.95)</f>
        <v>2428.95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IFERROR(__xludf.DUMMYFUNCTION("""COMPUTED_VALUE"""),2480.55)</f>
        <v>2480.55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IFERROR(__xludf.DUMMYFUNCTION("""COMPUTED_VALUE"""),2474.8)</f>
        <v>2474.8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IFERROR(__xludf.DUMMYFUNCTION("""COMPUTED_VALUE"""),2531.0)</f>
        <v>2531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IFERROR(__xludf.DUMMYFUNCTION("""COMPUTED_VALUE"""),2496.0)</f>
        <v>2496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IFERROR(__xludf.DUMMYFUNCTION("""COMPUTED_VALUE"""),2457.45)</f>
        <v>2457.45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IFERROR(__xludf.DUMMYFUNCTION("""COMPUTED_VALUE"""),2335.0)</f>
        <v>2335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IFERROR(__xludf.DUMMYFUNCTION("""COMPUTED_VALUE"""),2220.0)</f>
        <v>2220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IFERROR(__xludf.DUMMYFUNCTION("""COMPUTED_VALUE"""),2110.0)</f>
        <v>2110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IFERROR(__xludf.DUMMYFUNCTION("""COMPUTED_VALUE"""),2049.8)</f>
        <v>2049.8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IFERROR(__xludf.DUMMYFUNCTION("""COMPUTED_VALUE"""),1903.6)</f>
        <v>1903.6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IFERROR(__xludf.DUMMYFUNCTION("""COMPUTED_VALUE"""),1830.35)</f>
        <v>1830.35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IFERROR(__xludf.DUMMYFUNCTION("""COMPUTED_VALUE"""),1647.35)</f>
        <v>1647.35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IFERROR(__xludf.DUMMYFUNCTION("""COMPUTED_VALUE"""),2013.4)</f>
        <v>2013.4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IFERROR(__xludf.DUMMYFUNCTION("""COMPUTED_VALUE"""),2023.5)</f>
        <v>2023.5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IFERROR(__xludf.DUMMYFUNCTION("""COMPUTED_VALUE"""),1939.4)</f>
        <v>1939.4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IFERROR(__xludf.DUMMYFUNCTION("""COMPUTED_VALUE"""),2198.1)</f>
        <v>2198.1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IFERROR(__xludf.DUMMYFUNCTION("""COMPUTED_VALUE"""),2074.95)</f>
        <v>2074.95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IFERROR(__xludf.DUMMYFUNCTION("""COMPUTED_VALUE"""),2265.0)</f>
        <v>2265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IFERROR(__xludf.DUMMYFUNCTION("""COMPUTED_VALUE"""),2218.5)</f>
        <v>2218.5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IFERROR(__xludf.DUMMYFUNCTION("""COMPUTED_VALUE"""),2391.9)</f>
        <v>2391.9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IFERROR(__xludf.DUMMYFUNCTION("""COMPUTED_VALUE"""),2399.0)</f>
        <v>2399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IFERROR(__xludf.DUMMYFUNCTION("""COMPUTED_VALUE"""),2439.8)</f>
        <v>2439.8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IFERROR(__xludf.DUMMYFUNCTION("""COMPUTED_VALUE"""),2435.7)</f>
        <v>2435.7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IFERROR(__xludf.DUMMYFUNCTION("""COMPUTED_VALUE"""),2590.65)</f>
        <v>2590.65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IFERROR(__xludf.DUMMYFUNCTION("""COMPUTED_VALUE"""),2750.0)</f>
        <v>2750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IFERROR(__xludf.DUMMYFUNCTION("""COMPUTED_VALUE"""),2788.5)</f>
        <v>2788.5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IFERROR(__xludf.DUMMYFUNCTION("""COMPUTED_VALUE"""),2775.0)</f>
        <v>2775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IFERROR(__xludf.DUMMYFUNCTION("""COMPUTED_VALUE"""),2885.7)</f>
        <v>2885.7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IFERROR(__xludf.DUMMYFUNCTION("""COMPUTED_VALUE"""),2880.45)</f>
        <v>2880.45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IFERROR(__xludf.DUMMYFUNCTION("""COMPUTED_VALUE"""),2769.8)</f>
        <v>2769.8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IFERROR(__xludf.DUMMYFUNCTION("""COMPUTED_VALUE"""),2843.5)</f>
        <v>2843.5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IFERROR(__xludf.DUMMYFUNCTION("""COMPUTED_VALUE"""),3049.75)</f>
        <v>3049.75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IFERROR(__xludf.DUMMYFUNCTION("""COMPUTED_VALUE"""),3181.35)</f>
        <v>3181.35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IFERROR(__xludf.DUMMYFUNCTION("""COMPUTED_VALUE"""),3088.9)</f>
        <v>3088.9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IFERROR(__xludf.DUMMYFUNCTION("""COMPUTED_VALUE"""),3007.7)</f>
        <v>3007.7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IFERROR(__xludf.DUMMYFUNCTION("""COMPUTED_VALUE"""),3121.85)</f>
        <v>3121.85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IFERROR(__xludf.DUMMYFUNCTION("""COMPUTED_VALUE"""),3124.45)</f>
        <v>3124.45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IFERROR(__xludf.DUMMYFUNCTION("""COMPUTED_VALUE"""),3222.05)</f>
        <v>3222.05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IFERROR(__xludf.DUMMYFUNCTION("""COMPUTED_VALUE"""),3340.0)</f>
        <v>3340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IFERROR(__xludf.DUMMYFUNCTION("""COMPUTED_VALUE"""),3394.9)</f>
        <v>3394.9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IFERROR(__xludf.DUMMYFUNCTION("""COMPUTED_VALUE"""),3358.5)</f>
        <v>3358.5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IFERROR(__xludf.DUMMYFUNCTION("""COMPUTED_VALUE"""),3120.0)</f>
        <v>3120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IFERROR(__xludf.DUMMYFUNCTION("""COMPUTED_VALUE"""),2995.9)</f>
        <v>2995.9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IFERROR(__xludf.DUMMYFUNCTION("""COMPUTED_VALUE"""),3148.0)</f>
        <v>3148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IFERROR(__xludf.DUMMYFUNCTION("""COMPUTED_VALUE"""),3118.55)</f>
        <v>3118.55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IFERROR(__xludf.DUMMYFUNCTION("""COMPUTED_VALUE"""),3202.0)</f>
        <v>3202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IFERROR(__xludf.DUMMYFUNCTION("""COMPUTED_VALUE"""),3239.5)</f>
        <v>3239.5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IFERROR(__xludf.DUMMYFUNCTION("""COMPUTED_VALUE"""),3214.0)</f>
        <v>3214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IFERROR(__xludf.DUMMYFUNCTION("""COMPUTED_VALUE"""),3152.85)</f>
        <v>3152.85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IFERROR(__xludf.DUMMYFUNCTION("""COMPUTED_VALUE"""),3124.0)</f>
        <v>3124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IFERROR(__xludf.DUMMYFUNCTION("GOOGLEFINANCE(""NSE:INFY"",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IFERROR(__xludf.DUMMYFUNCTION("""COMPUTED_VALUE"""),70.7)</f>
        <v>70.7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IFERROR(__xludf.DUMMYFUNCTION("""COMPUTED_VALUE"""),76.16)</f>
        <v>76.16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IFERROR(__xludf.DUMMYFUNCTION("""COMPUTED_VALUE"""),65.55)</f>
        <v>65.55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IFERROR(__xludf.DUMMYFUNCTION("""COMPUTED_VALUE"""),63.11)</f>
        <v>63.11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IFERROR(__xludf.DUMMYFUNCTION("""COMPUTED_VALUE"""),62.17)</f>
        <v>62.17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IFERROR(__xludf.DUMMYFUNCTION("""COMPUTED_VALUE"""),61.88)</f>
        <v>61.88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IFERROR(__xludf.DUMMYFUNCTION("""COMPUTED_VALUE"""),61.33)</f>
        <v>61.33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IFERROR(__xludf.DUMMYFUNCTION("""COMPUTED_VALUE"""),59.66)</f>
        <v>59.66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IFERROR(__xludf.DUMMYFUNCTION("""COMPUTED_VALUE"""),60.94)</f>
        <v>60.94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IFERROR(__xludf.DUMMYFUNCTION("""COMPUTED_VALUE"""),66.47)</f>
        <v>66.47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IFERROR(__xludf.DUMMYFUNCTION("""COMPUTED_VALUE"""),67.11)</f>
        <v>67.11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IFERROR(__xludf.DUMMYFUNCTION("""COMPUTED_VALUE"""),63.71)</f>
        <v>63.71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IFERROR(__xludf.DUMMYFUNCTION("""COMPUTED_VALUE"""),62.5)</f>
        <v>62.5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IFERROR(__xludf.DUMMYFUNCTION("""COMPUTED_VALUE"""),59.13)</f>
        <v>59.13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IFERROR(__xludf.DUMMYFUNCTION("""COMPUTED_VALUE"""),61.7)</f>
        <v>61.7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IFERROR(__xludf.DUMMYFUNCTION("""COMPUTED_VALUE"""),62.48)</f>
        <v>62.48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IFERROR(__xludf.DUMMYFUNCTION("""COMPUTED_VALUE"""),62.03)</f>
        <v>62.03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IFERROR(__xludf.DUMMYFUNCTION("""COMPUTED_VALUE"""),59.34)</f>
        <v>59.34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IFERROR(__xludf.DUMMYFUNCTION("""COMPUTED_VALUE"""),61.72)</f>
        <v>61.72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IFERROR(__xludf.DUMMYFUNCTION("""COMPUTED_VALUE"""),61.53)</f>
        <v>61.53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IFERROR(__xludf.DUMMYFUNCTION("""COMPUTED_VALUE"""),59.99)</f>
        <v>59.99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IFERROR(__xludf.DUMMYFUNCTION("""COMPUTED_VALUE"""),58.98)</f>
        <v>58.98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IFERROR(__xludf.DUMMYFUNCTION("""COMPUTED_VALUE"""),54.52)</f>
        <v>54.52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IFERROR(__xludf.DUMMYFUNCTION("""COMPUTED_VALUE"""),55.47)</f>
        <v>55.47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IFERROR(__xludf.DUMMYFUNCTION("""COMPUTED_VALUE"""),53.81)</f>
        <v>53.81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IFERROR(__xludf.DUMMYFUNCTION("""COMPUTED_VALUE"""),51.48)</f>
        <v>51.48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IFERROR(__xludf.DUMMYFUNCTION("""COMPUTED_VALUE"""),53.86)</f>
        <v>53.86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IFERROR(__xludf.DUMMYFUNCTION("""COMPUTED_VALUE"""),54.38)</f>
        <v>54.38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IFERROR(__xludf.DUMMYFUNCTION("""COMPUTED_VALUE"""),51.48)</f>
        <v>51.48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IFERROR(__xludf.DUMMYFUNCTION("""COMPUTED_VALUE"""),50.44)</f>
        <v>50.44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IFERROR(__xludf.DUMMYFUNCTION("""COMPUTED_VALUE"""),48.98)</f>
        <v>48.98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IFERROR(__xludf.DUMMYFUNCTION("""COMPUTED_VALUE"""),49.84)</f>
        <v>49.84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IFERROR(__xludf.DUMMYFUNCTION("""COMPUTED_VALUE"""),50.77)</f>
        <v>50.77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IFERROR(__xludf.DUMMYFUNCTION("""COMPUTED_VALUE"""),55.39)</f>
        <v>55.39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IFERROR(__xludf.DUMMYFUNCTION("""COMPUTED_VALUE"""),56.79)</f>
        <v>56.79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IFERROR(__xludf.DUMMYFUNCTION("""COMPUTED_VALUE"""),57.25)</f>
        <v>57.25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IFERROR(__xludf.DUMMYFUNCTION("""COMPUTED_VALUE"""),57.93)</f>
        <v>57.93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IFERROR(__xludf.DUMMYFUNCTION("""COMPUTED_VALUE"""),57.56)</f>
        <v>57.56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IFERROR(__xludf.DUMMYFUNCTION("""COMPUTED_VALUE"""),55.14)</f>
        <v>55.14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IFERROR(__xludf.DUMMYFUNCTION("""COMPUTED_VALUE"""),55.03)</f>
        <v>55.03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IFERROR(__xludf.DUMMYFUNCTION("""COMPUTED_VALUE"""),59.38)</f>
        <v>59.38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IFERROR(__xludf.DUMMYFUNCTION("""COMPUTED_VALUE"""),61.05)</f>
        <v>61.05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IFERROR(__xludf.DUMMYFUNCTION("""COMPUTED_VALUE"""),60.47)</f>
        <v>60.47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IFERROR(__xludf.DUMMYFUNCTION("""COMPUTED_VALUE"""),60.86)</f>
        <v>60.86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IFERROR(__xludf.DUMMYFUNCTION("""COMPUTED_VALUE"""),64.28)</f>
        <v>64.28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IFERROR(__xludf.DUMMYFUNCTION("""COMPUTED_VALUE"""),68.36)</f>
        <v>68.36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IFERROR(__xludf.DUMMYFUNCTION("""COMPUTED_VALUE"""),73.01)</f>
        <v>73.01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IFERROR(__xludf.DUMMYFUNCTION("""COMPUTED_VALUE"""),71.95)</f>
        <v>71.95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IFERROR(__xludf.DUMMYFUNCTION("""COMPUTED_VALUE"""),72.97)</f>
        <v>72.97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IFERROR(__xludf.DUMMYFUNCTION("""COMPUTED_VALUE"""),75.66)</f>
        <v>75.66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IFERROR(__xludf.DUMMYFUNCTION("""COMPUTED_VALUE"""),73.67)</f>
        <v>73.67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IFERROR(__xludf.DUMMYFUNCTION("""COMPUTED_VALUE"""),75.11)</f>
        <v>75.11</v>
      </c>
    </row>
    <row r="54" ht="15.75" customHeight="1"/>
    <row r="55" ht="15.75" customHeight="1"/>
    <row r="56" ht="15.75" customHeight="1">
      <c r="B56" s="2" t="str">
        <f>IFERROR(__xludf.DUMMYFUNCTION("GOOGLEFINANCE(""NSE:INFY"",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IFERROR(__xludf.DUMMYFUNCTION("""COMPUTED_VALUE"""),75.6)</f>
        <v>75.6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IFERROR(__xludf.DUMMYFUNCTION("""COMPUTED_VALUE"""),76.12)</f>
        <v>76.12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IFERROR(__xludf.DUMMYFUNCTION("""COMPUTED_VALUE"""),72.97)</f>
        <v>72.97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IFERROR(__xludf.DUMMYFUNCTION("""COMPUTED_VALUE"""),72.03)</f>
        <v>72.03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IFERROR(__xludf.DUMMYFUNCTION("""COMPUTED_VALUE"""),67.96)</f>
        <v>67.96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IFERROR(__xludf.DUMMYFUNCTION("""COMPUTED_VALUE"""),71.01)</f>
        <v>71.01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IFERROR(__xludf.DUMMYFUNCTION("""COMPUTED_VALUE"""),70.0)</f>
        <v>70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IFERROR(__xludf.DUMMYFUNCTION("""COMPUTED_VALUE"""),67.72)</f>
        <v>67.72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IFERROR(__xludf.DUMMYFUNCTION("""COMPUTED_VALUE"""),68.2)</f>
        <v>68.2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IFERROR(__xludf.DUMMYFUNCTION("""COMPUTED_VALUE"""),67.5)</f>
        <v>67.5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IFERROR(__xludf.DUMMYFUNCTION("""COMPUTED_VALUE"""),64.81)</f>
        <v>64.81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IFERROR(__xludf.DUMMYFUNCTION("""COMPUTED_VALUE"""),69.64)</f>
        <v>69.64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IFERROR(__xludf.DUMMYFUNCTION("""COMPUTED_VALUE"""),67.5)</f>
        <v>67.5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IFERROR(__xludf.DUMMYFUNCTION("""COMPUTED_VALUE"""),68.75)</f>
        <v>68.75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IFERROR(__xludf.DUMMYFUNCTION("""COMPUTED_VALUE"""),47.56)</f>
        <v>47.56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IFERROR(__xludf.DUMMYFUNCTION("""COMPUTED_VALUE"""),47.5)</f>
        <v>47.5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IFERROR(__xludf.DUMMYFUNCTION("""COMPUTED_VALUE"""),46.09)</f>
        <v>46.09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IFERROR(__xludf.DUMMYFUNCTION("""COMPUTED_VALUE"""),47.97)</f>
        <v>47.97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IFERROR(__xludf.DUMMYFUNCTION("""COMPUTED_VALUE"""),46.95)</f>
        <v>46.95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IFERROR(__xludf.DUMMYFUNCTION("""COMPUTED_VALUE"""),47.61)</f>
        <v>47.61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IFERROR(__xludf.DUMMYFUNCTION("""COMPUTED_VALUE"""),43.98)</f>
        <v>43.98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IFERROR(__xludf.DUMMYFUNCTION("""COMPUTED_VALUE"""),46.64)</f>
        <v>46.64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IFERROR(__xludf.DUMMYFUNCTION("""COMPUTED_VALUE"""),46.86)</f>
        <v>46.86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IFERROR(__xludf.DUMMYFUNCTION("""COMPUTED_VALUE"""),48.44)</f>
        <v>48.44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IFERROR(__xludf.DUMMYFUNCTION("""COMPUTED_VALUE"""),52.33)</f>
        <v>52.33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IFERROR(__xludf.DUMMYFUNCTION("""COMPUTED_VALUE"""),52.34)</f>
        <v>52.34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IFERROR(__xludf.DUMMYFUNCTION("""COMPUTED_VALUE"""),57.72)</f>
        <v>57.72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IFERROR(__xludf.DUMMYFUNCTION("""COMPUTED_VALUE"""),56.01)</f>
        <v>56.01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IFERROR(__xludf.DUMMYFUNCTION("""COMPUTED_VALUE"""),55.23)</f>
        <v>55.23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IFERROR(__xludf.DUMMYFUNCTION("""COMPUTED_VALUE"""),60.08)</f>
        <v>60.08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IFERROR(__xludf.DUMMYFUNCTION("""COMPUTED_VALUE"""),59.48)</f>
        <v>59.48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IFERROR(__xludf.DUMMYFUNCTION("""COMPUTED_VALUE"""),55.28)</f>
        <v>55.28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IFERROR(__xludf.DUMMYFUNCTION("""COMPUTED_VALUE"""),58.66)</f>
        <v>58.66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IFERROR(__xludf.DUMMYFUNCTION("""COMPUTED_VALUE"""),62.19)</f>
        <v>62.19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IFERROR(__xludf.DUMMYFUNCTION("""COMPUTED_VALUE"""),66.48)</f>
        <v>66.48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IFERROR(__xludf.DUMMYFUNCTION("""COMPUTED_VALUE"""),70.7)</f>
        <v>70.7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IFERROR(__xludf.DUMMYFUNCTION("""COMPUTED_VALUE"""),68.7)</f>
        <v>68.7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IFERROR(__xludf.DUMMYFUNCTION("""COMPUTED_VALUE"""),71.48)</f>
        <v>71.48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IFERROR(__xludf.DUMMYFUNCTION("""COMPUTED_VALUE"""),72.63)</f>
        <v>72.63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IFERROR(__xludf.DUMMYFUNCTION("""COMPUTED_VALUE"""),74.06)</f>
        <v>74.06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IFERROR(__xludf.DUMMYFUNCTION("""COMPUTED_VALUE"""),75.39)</f>
        <v>75.39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IFERROR(__xludf.DUMMYFUNCTION("""COMPUTED_VALUE"""),74.29)</f>
        <v>74.29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IFERROR(__xludf.DUMMYFUNCTION("""COMPUTED_VALUE"""),80.43)</f>
        <v>80.43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IFERROR(__xludf.DUMMYFUNCTION("""COMPUTED_VALUE"""),74.02)</f>
        <v>74.02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IFERROR(__xludf.DUMMYFUNCTION("""COMPUTED_VALUE"""),77.5)</f>
        <v>77.5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IFERROR(__xludf.DUMMYFUNCTION("""COMPUTED_VALUE"""),81.88)</f>
        <v>81.88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IFERROR(__xludf.DUMMYFUNCTION("""COMPUTED_VALUE"""),78.9)</f>
        <v>78.9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IFERROR(__xludf.DUMMYFUNCTION("""COMPUTED_VALUE"""),83.18)</f>
        <v>83.18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IFERROR(__xludf.DUMMYFUNCTION("""COMPUTED_VALUE"""),85.55)</f>
        <v>85.55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IFERROR(__xludf.DUMMYFUNCTION("GOOGLEFINANCE(""NSE:INFY"",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IFERROR(__xludf.DUMMYFUNCTION("""COMPUTED_VALUE"""),93.52)</f>
        <v>93.52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IFERROR(__xludf.DUMMYFUNCTION("""COMPUTED_VALUE"""),95.31)</f>
        <v>95.31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IFERROR(__xludf.DUMMYFUNCTION("""COMPUTED_VALUE"""),92.17)</f>
        <v>92.17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IFERROR(__xludf.DUMMYFUNCTION("""COMPUTED_VALUE"""),87.81)</f>
        <v>87.81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IFERROR(__xludf.DUMMYFUNCTION("""COMPUTED_VALUE"""),87.81)</f>
        <v>87.81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IFERROR(__xludf.DUMMYFUNCTION("""COMPUTED_VALUE"""),87.27)</f>
        <v>87.27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IFERROR(__xludf.DUMMYFUNCTION("""COMPUTED_VALUE"""),89.22)</f>
        <v>89.22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IFERROR(__xludf.DUMMYFUNCTION("""COMPUTED_VALUE"""),85.31)</f>
        <v>85.31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IFERROR(__xludf.DUMMYFUNCTION("""COMPUTED_VALUE"""),88.59)</f>
        <v>88.59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IFERROR(__xludf.DUMMYFUNCTION("""COMPUTED_VALUE"""),83.98)</f>
        <v>83.98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IFERROR(__xludf.DUMMYFUNCTION("""COMPUTED_VALUE"""),91.02)</f>
        <v>91.02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IFERROR(__xludf.DUMMYFUNCTION("""COMPUTED_VALUE"""),81.67)</f>
        <v>81.67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IFERROR(__xludf.DUMMYFUNCTION("""COMPUTED_VALUE"""),87.5)</f>
        <v>87.5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IFERROR(__xludf.DUMMYFUNCTION("""COMPUTED_VALUE"""),83.19)</f>
        <v>83.19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IFERROR(__xludf.DUMMYFUNCTION("""COMPUTED_VALUE"""),92.89)</f>
        <v>92.89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IFERROR(__xludf.DUMMYFUNCTION("""COMPUTED_VALUE"""),85.23)</f>
        <v>85.23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IFERROR(__xludf.DUMMYFUNCTION("""COMPUTED_VALUE"""),82.78)</f>
        <v>82.78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IFERROR(__xludf.DUMMYFUNCTION("""COMPUTED_VALUE"""),85.75)</f>
        <v>85.75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IFERROR(__xludf.DUMMYFUNCTION("""COMPUTED_VALUE"""),82.34)</f>
        <v>82.34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IFERROR(__xludf.DUMMYFUNCTION("""COMPUTED_VALUE"""),79.13)</f>
        <v>79.13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IFERROR(__xludf.DUMMYFUNCTION("""COMPUTED_VALUE"""),84.36)</f>
        <v>84.36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IFERROR(__xludf.DUMMYFUNCTION("""COMPUTED_VALUE"""),84.14)</f>
        <v>84.14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IFERROR(__xludf.DUMMYFUNCTION("""COMPUTED_VALUE"""),83.0)</f>
        <v>83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IFERROR(__xludf.DUMMYFUNCTION("""COMPUTED_VALUE"""),82.78)</f>
        <v>82.78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IFERROR(__xludf.DUMMYFUNCTION("""COMPUTED_VALUE"""),85.94)</f>
        <v>85.94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IFERROR(__xludf.DUMMYFUNCTION("""COMPUTED_VALUE"""),89.44)</f>
        <v>89.44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IFERROR(__xludf.DUMMYFUNCTION("""COMPUTED_VALUE"""),90.31)</f>
        <v>90.31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IFERROR(__xludf.DUMMYFUNCTION("""COMPUTED_VALUE"""),92.8)</f>
        <v>92.8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IFERROR(__xludf.DUMMYFUNCTION("""COMPUTED_VALUE"""),93.25)</f>
        <v>93.25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IFERROR(__xludf.DUMMYFUNCTION("""COMPUTED_VALUE"""),97.81)</f>
        <v>97.81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IFERROR(__xludf.DUMMYFUNCTION("""COMPUTED_VALUE"""),98.88)</f>
        <v>98.88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IFERROR(__xludf.DUMMYFUNCTION("""COMPUTED_VALUE"""),96.54)</f>
        <v>96.54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IFERROR(__xludf.DUMMYFUNCTION("""COMPUTED_VALUE"""),97.15)</f>
        <v>97.15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IFERROR(__xludf.DUMMYFUNCTION("""COMPUTED_VALUE"""),98.81)</f>
        <v>98.81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IFERROR(__xludf.DUMMYFUNCTION("""COMPUTED_VALUE"""),100.84)</f>
        <v>100.84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IFERROR(__xludf.DUMMYFUNCTION("""COMPUTED_VALUE"""),104.0)</f>
        <v>104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IFERROR(__xludf.DUMMYFUNCTION("""COMPUTED_VALUE"""),106.99)</f>
        <v>106.99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IFERROR(__xludf.DUMMYFUNCTION("""COMPUTED_VALUE"""),105.06)</f>
        <v>105.06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IFERROR(__xludf.DUMMYFUNCTION("""COMPUTED_VALUE"""),108.56)</f>
        <v>108.56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IFERROR(__xludf.DUMMYFUNCTION("""COMPUTED_VALUE"""),114.75)</f>
        <v>114.75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IFERROR(__xludf.DUMMYFUNCTION("""COMPUTED_VALUE"""),112.56)</f>
        <v>112.56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IFERROR(__xludf.DUMMYFUNCTION("""COMPUTED_VALUE"""),122.36)</f>
        <v>122.36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IFERROR(__xludf.DUMMYFUNCTION("""COMPUTED_VALUE"""),130.48)</f>
        <v>130.48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IFERROR(__xludf.DUMMYFUNCTION("""COMPUTED_VALUE"""),129.29)</f>
        <v>129.29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IFERROR(__xludf.DUMMYFUNCTION("""COMPUTED_VALUE"""),130.15)</f>
        <v>130.15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IFERROR(__xludf.DUMMYFUNCTION("""COMPUTED_VALUE"""),128.06)</f>
        <v>128.06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IFERROR(__xludf.DUMMYFUNCTION("""COMPUTED_VALUE"""),135.55)</f>
        <v>135.55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IFERROR(__xludf.DUMMYFUNCTION("""COMPUTED_VALUE"""),129.63)</f>
        <v>129.63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IFERROR(__xludf.DUMMYFUNCTION("""COMPUTED_VALUE"""),133.25)</f>
        <v>133.25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IFERROR(__xludf.DUMMYFUNCTION("""COMPUTED_VALUE"""),133.71)</f>
        <v>133.71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IFERROR(__xludf.DUMMYFUNCTION("""COMPUTED_VALUE"""),131.79)</f>
        <v>131.79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IFERROR(__xludf.DUMMYFUNCTION("GOOGLEFINANCE(""NSE:INFY"",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IFERROR(__xludf.DUMMYFUNCTION("""COMPUTED_VALUE"""),149.88)</f>
        <v>149.88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IFERROR(__xludf.DUMMYFUNCTION("""COMPUTED_VALUE"""),131.25)</f>
        <v>131.25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IFERROR(__xludf.DUMMYFUNCTION("""COMPUTED_VALUE"""),126.25)</f>
        <v>126.25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IFERROR(__xludf.DUMMYFUNCTION("""COMPUTED_VALUE"""),127.99)</f>
        <v>127.99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IFERROR(__xludf.DUMMYFUNCTION("""COMPUTED_VALUE"""),132.49)</f>
        <v>132.49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IFERROR(__xludf.DUMMYFUNCTION("""COMPUTED_VALUE"""),131.73)</f>
        <v>131.73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IFERROR(__xludf.DUMMYFUNCTION("""COMPUTED_VALUE"""),137.84)</f>
        <v>137.84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IFERROR(__xludf.DUMMYFUNCTION("""COMPUTED_VALUE"""),136.63)</f>
        <v>136.63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IFERROR(__xludf.DUMMYFUNCTION("""COMPUTED_VALUE"""),140.61)</f>
        <v>140.61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IFERROR(__xludf.DUMMYFUNCTION("""COMPUTED_VALUE"""),142.67)</f>
        <v>142.67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IFERROR(__xludf.DUMMYFUNCTION("""COMPUTED_VALUE"""),140.06)</f>
        <v>140.06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IFERROR(__xludf.DUMMYFUNCTION("""COMPUTED_VALUE"""),141.25)</f>
        <v>141.25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IFERROR(__xludf.DUMMYFUNCTION("""COMPUTED_VALUE"""),144.69)</f>
        <v>144.69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IFERROR(__xludf.DUMMYFUNCTION("""COMPUTED_VALUE"""),151.43)</f>
        <v>151.43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IFERROR(__xludf.DUMMYFUNCTION("""COMPUTED_VALUE"""),133.75)</f>
        <v>133.75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IFERROR(__xludf.DUMMYFUNCTION("""COMPUTED_VALUE"""),125.5)</f>
        <v>125.5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IFERROR(__xludf.DUMMYFUNCTION("""COMPUTED_VALUE"""),126.13)</f>
        <v>126.13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IFERROR(__xludf.DUMMYFUNCTION("""COMPUTED_VALUE"""),126.88)</f>
        <v>126.88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IFERROR(__xludf.DUMMYFUNCTION("""COMPUTED_VALUE"""),132.44)</f>
        <v>132.44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IFERROR(__xludf.DUMMYFUNCTION("""COMPUTED_VALUE"""),134.38)</f>
        <v>134.38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IFERROR(__xludf.DUMMYFUNCTION("""COMPUTED_VALUE"""),141.53)</f>
        <v>141.53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IFERROR(__xludf.DUMMYFUNCTION("""COMPUTED_VALUE"""),144.06)</f>
        <v>144.06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IFERROR(__xludf.DUMMYFUNCTION("""COMPUTED_VALUE"""),143.62)</f>
        <v>143.62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IFERROR(__xludf.DUMMYFUNCTION("""COMPUTED_VALUE"""),150.87)</f>
        <v>150.87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IFERROR(__xludf.DUMMYFUNCTION("""COMPUTED_VALUE"""),149.37)</f>
        <v>149.37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IFERROR(__xludf.DUMMYFUNCTION("""COMPUTED_VALUE"""),150.0)</f>
        <v>150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IFERROR(__xludf.DUMMYFUNCTION("""COMPUTED_VALUE"""),147.5)</f>
        <v>147.5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IFERROR(__xludf.DUMMYFUNCTION("""COMPUTED_VALUE"""),145.07)</f>
        <v>145.07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IFERROR(__xludf.DUMMYFUNCTION("""COMPUTED_VALUE"""),143.31)</f>
        <v>143.31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IFERROR(__xludf.DUMMYFUNCTION("""COMPUTED_VALUE"""),148.88)</f>
        <v>148.88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IFERROR(__xludf.DUMMYFUNCTION("""COMPUTED_VALUE"""),145.44)</f>
        <v>145.44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IFERROR(__xludf.DUMMYFUNCTION("""COMPUTED_VALUE"""),145.56)</f>
        <v>145.56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IFERROR(__xludf.DUMMYFUNCTION("""COMPUTED_VALUE"""),146.25)</f>
        <v>146.25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IFERROR(__xludf.DUMMYFUNCTION("""COMPUTED_VALUE"""),153.28)</f>
        <v>153.28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IFERROR(__xludf.DUMMYFUNCTION("""COMPUTED_VALUE"""),152.17)</f>
        <v>152.17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IFERROR(__xludf.DUMMYFUNCTION("""COMPUTED_VALUE"""),154.5)</f>
        <v>154.5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IFERROR(__xludf.DUMMYFUNCTION("""COMPUTED_VALUE"""),157.44)</f>
        <v>157.44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IFERROR(__xludf.DUMMYFUNCTION("""COMPUTED_VALUE"""),160.06)</f>
        <v>160.06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IFERROR(__xludf.DUMMYFUNCTION("""COMPUTED_VALUE"""),166.56)</f>
        <v>166.56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IFERROR(__xludf.DUMMYFUNCTION("""COMPUTED_VALUE"""),170.63)</f>
        <v>170.63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IFERROR(__xludf.DUMMYFUNCTION("""COMPUTED_VALUE"""),164.31)</f>
        <v>164.31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IFERROR(__xludf.DUMMYFUNCTION("""COMPUTED_VALUE"""),160.92)</f>
        <v>160.92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IFERROR(__xludf.DUMMYFUNCTION("""COMPUTED_VALUE"""),162.74)</f>
        <v>162.74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IFERROR(__xludf.DUMMYFUNCTION("""COMPUTED_VALUE"""),168.63)</f>
        <v>168.63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IFERROR(__xludf.DUMMYFUNCTION("""COMPUTED_VALUE"""),171.8)</f>
        <v>171.8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IFERROR(__xludf.DUMMYFUNCTION("""COMPUTED_VALUE"""),180.92)</f>
        <v>180.92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IFERROR(__xludf.DUMMYFUNCTION("""COMPUTED_VALUE"""),180.56)</f>
        <v>180.56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IFERROR(__xludf.DUMMYFUNCTION("""COMPUTED_VALUE"""),187.63)</f>
        <v>187.63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IFERROR(__xludf.DUMMYFUNCTION("""COMPUTED_VALUE"""),189.69)</f>
        <v>189.69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IFERROR(__xludf.DUMMYFUNCTION("""COMPUTED_VALUE"""),189.38)</f>
        <v>189.38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IFERROR(__xludf.DUMMYFUNCTION("GOOGLEFINANCE(""NSE:INFY"",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IFERROR(__xludf.DUMMYFUNCTION("""COMPUTED_VALUE"""),191.88)</f>
        <v>191.88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IFERROR(__xludf.DUMMYFUNCTION("""COMPUTED_VALUE"""),192.49)</f>
        <v>192.49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IFERROR(__xludf.DUMMYFUNCTION("""COMPUTED_VALUE"""),179.06)</f>
        <v>179.06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IFERROR(__xludf.DUMMYFUNCTION("""COMPUTED_VALUE"""),181.93)</f>
        <v>181.93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IFERROR(__xludf.DUMMYFUNCTION("""COMPUTED_VALUE"""),182.81)</f>
        <v>182.81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IFERROR(__xludf.DUMMYFUNCTION("""COMPUTED_VALUE"""),182.5)</f>
        <v>182.5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IFERROR(__xludf.DUMMYFUNCTION("""COMPUTED_VALUE"""),180.0)</f>
        <v>180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IFERROR(__xludf.DUMMYFUNCTION("""COMPUTED_VALUE"""),177.73)</f>
        <v>177.73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IFERROR(__xludf.DUMMYFUNCTION("""COMPUTED_VALUE"""),182.38)</f>
        <v>182.38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IFERROR(__xludf.DUMMYFUNCTION("""COMPUTED_VALUE"""),182.75)</f>
        <v>182.75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IFERROR(__xludf.DUMMYFUNCTION("""COMPUTED_VALUE"""),187.34)</f>
        <v>187.34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IFERROR(__xludf.DUMMYFUNCTION("""COMPUTED_VALUE"""),187.38)</f>
        <v>187.38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IFERROR(__xludf.DUMMYFUNCTION("""COMPUTED_VALUE"""),192.13)</f>
        <v>192.13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IFERROR(__xludf.DUMMYFUNCTION("""COMPUTED_VALUE"""),215.56)</f>
        <v>215.56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IFERROR(__xludf.DUMMYFUNCTION("""COMPUTED_VALUE"""),204.38)</f>
        <v>204.38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IFERROR(__xludf.DUMMYFUNCTION("""COMPUTED_VALUE"""),209.81)</f>
        <v>209.81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IFERROR(__xludf.DUMMYFUNCTION("""COMPUTED_VALUE"""),203.06)</f>
        <v>203.06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IFERROR(__xludf.DUMMYFUNCTION("""COMPUTED_VALUE"""),205.31)</f>
        <v>205.31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IFERROR(__xludf.DUMMYFUNCTION("""COMPUTED_VALUE"""),206.25)</f>
        <v>206.25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IFERROR(__xludf.DUMMYFUNCTION("""COMPUTED_VALUE"""),193.61)</f>
        <v>193.61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IFERROR(__xludf.DUMMYFUNCTION("""COMPUTED_VALUE"""),192.81)</f>
        <v>192.81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IFERROR(__xludf.DUMMYFUNCTION("""COMPUTED_VALUE"""),182.75)</f>
        <v>182.75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IFERROR(__xludf.DUMMYFUNCTION("""COMPUTED_VALUE"""),182.11)</f>
        <v>182.11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IFERROR(__xludf.DUMMYFUNCTION("""COMPUTED_VALUE"""),188.13)</f>
        <v>188.13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IFERROR(__xludf.DUMMYFUNCTION("""COMPUTED_VALUE"""),195.63)</f>
        <v>195.63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IFERROR(__xludf.DUMMYFUNCTION("""COMPUTED_VALUE"""),202.5)</f>
        <v>202.5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IFERROR(__xludf.DUMMYFUNCTION("""COMPUTED_VALUE"""),224.88)</f>
        <v>224.88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IFERROR(__xludf.DUMMYFUNCTION("""COMPUTED_VALUE"""),212.34)</f>
        <v>212.34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IFERROR(__xludf.DUMMYFUNCTION("""COMPUTED_VALUE"""),208.43)</f>
        <v>208.43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IFERROR(__xludf.DUMMYFUNCTION("""COMPUTED_VALUE"""),214.63)</f>
        <v>214.63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IFERROR(__xludf.DUMMYFUNCTION("""COMPUTED_VALUE"""),218.75)</f>
        <v>218.75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IFERROR(__xludf.DUMMYFUNCTION("""COMPUTED_VALUE"""),223.13)</f>
        <v>223.13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IFERROR(__xludf.DUMMYFUNCTION("""COMPUTED_VALUE"""),226.13)</f>
        <v>226.13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IFERROR(__xludf.DUMMYFUNCTION("""COMPUTED_VALUE"""),227.38)</f>
        <v>227.38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IFERROR(__xludf.DUMMYFUNCTION("""COMPUTED_VALUE"""),233.75)</f>
        <v>233.75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IFERROR(__xludf.DUMMYFUNCTION("""COMPUTED_VALUE"""),230.13)</f>
        <v>230.13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IFERROR(__xludf.DUMMYFUNCTION("""COMPUTED_VALUE"""),231.25)</f>
        <v>231.25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IFERROR(__xludf.DUMMYFUNCTION("""COMPUTED_VALUE"""),234.75)</f>
        <v>234.75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IFERROR(__xludf.DUMMYFUNCTION("""COMPUTED_VALUE"""),234.96)</f>
        <v>234.96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IFERROR(__xludf.DUMMYFUNCTION("""COMPUTED_VALUE"""),262.49)</f>
        <v>262.49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IFERROR(__xludf.DUMMYFUNCTION("""COMPUTED_VALUE"""),264.38)</f>
        <v>264.38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IFERROR(__xludf.DUMMYFUNCTION("""COMPUTED_VALUE"""),266.88)</f>
        <v>266.88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IFERROR(__xludf.DUMMYFUNCTION("""COMPUTED_VALUE"""),269.75)</f>
        <v>269.75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IFERROR(__xludf.DUMMYFUNCTION("""COMPUTED_VALUE"""),280.02)</f>
        <v>280.02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IFERROR(__xludf.DUMMYFUNCTION("""COMPUTED_VALUE"""),283.13)</f>
        <v>283.13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IFERROR(__xludf.DUMMYFUNCTION("""COMPUTED_VALUE"""),279.93)</f>
        <v>279.93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IFERROR(__xludf.DUMMYFUNCTION("""COMPUTED_VALUE"""),285.0)</f>
        <v>285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IFERROR(__xludf.DUMMYFUNCTION("""COMPUTED_VALUE"""),280.0)</f>
        <v>280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IFERROR(__xludf.DUMMYFUNCTION("""COMPUTED_VALUE"""),282.5)</f>
        <v>282.5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IFERROR(__xludf.DUMMYFUNCTION("""COMPUTED_VALUE"""),284.49)</f>
        <v>284.49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IFERROR(__xludf.DUMMYFUNCTION("GOOGLEFINANCE(""NSE:INFY"",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IFERROR(__xludf.DUMMYFUNCTION("""COMPUTED_VALUE"""),290.63)</f>
        <v>290.63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IFERROR(__xludf.DUMMYFUNCTION("""COMPUTED_VALUE"""),285.0)</f>
        <v>285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IFERROR(__xludf.DUMMYFUNCTION("""COMPUTED_VALUE"""),281.25)</f>
        <v>281.25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IFERROR(__xludf.DUMMYFUNCTION("""COMPUTED_VALUE"""),282.5)</f>
        <v>282.5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IFERROR(__xludf.DUMMYFUNCTION("""COMPUTED_VALUE"""),285.0)</f>
        <v>285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IFERROR(__xludf.DUMMYFUNCTION("""COMPUTED_VALUE"""),299.75)</f>
        <v>299.75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IFERROR(__xludf.DUMMYFUNCTION("""COMPUTED_VALUE"""),301.88)</f>
        <v>301.88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IFERROR(__xludf.DUMMYFUNCTION("""COMPUTED_VALUE"""),300.0)</f>
        <v>300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IFERROR(__xludf.DUMMYFUNCTION("""COMPUTED_VALUE"""),280.88)</f>
        <v>280.88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IFERROR(__xludf.DUMMYFUNCTION("""COMPUTED_VALUE"""),270.93)</f>
        <v>270.93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IFERROR(__xludf.DUMMYFUNCTION("""COMPUTED_VALUE"""),267.99)</f>
        <v>267.99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IFERROR(__xludf.DUMMYFUNCTION("""COMPUTED_VALUE"""),268.13)</f>
        <v>268.13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IFERROR(__xludf.DUMMYFUNCTION("""COMPUTED_VALUE"""),263.13)</f>
        <v>263.13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IFERROR(__xludf.DUMMYFUNCTION("""COMPUTED_VALUE"""),250.0)</f>
        <v>250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IFERROR(__xludf.DUMMYFUNCTION("""COMPUTED_VALUE"""),266.5)</f>
        <v>266.5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IFERROR(__xludf.DUMMYFUNCTION("""COMPUTED_VALUE"""),269.5)</f>
        <v>269.5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IFERROR(__xludf.DUMMYFUNCTION("""COMPUTED_VALUE"""),259.97)</f>
        <v>259.97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IFERROR(__xludf.DUMMYFUNCTION("""COMPUTED_VALUE"""),261.66)</f>
        <v>261.66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IFERROR(__xludf.DUMMYFUNCTION("""COMPUTED_VALUE"""),259.38)</f>
        <v>259.38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IFERROR(__xludf.DUMMYFUNCTION("""COMPUTED_VALUE"""),252.96)</f>
        <v>252.96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IFERROR(__xludf.DUMMYFUNCTION("""COMPUTED_VALUE"""),249.0)</f>
        <v>249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IFERROR(__xludf.DUMMYFUNCTION("""COMPUTED_VALUE"""),251.71)</f>
        <v>251.71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IFERROR(__xludf.DUMMYFUNCTION("""COMPUTED_VALUE"""),246.88)</f>
        <v>246.88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IFERROR(__xludf.DUMMYFUNCTION("""COMPUTED_VALUE"""),254.75)</f>
        <v>254.75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IFERROR(__xludf.DUMMYFUNCTION("""COMPUTED_VALUE"""),253.63)</f>
        <v>253.63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IFERROR(__xludf.DUMMYFUNCTION("""COMPUTED_VALUE"""),246.25)</f>
        <v>246.25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IFERROR(__xludf.DUMMYFUNCTION("""COMPUTED_VALUE"""),247.09)</f>
        <v>247.09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IFERROR(__xludf.DUMMYFUNCTION("""COMPUTED_VALUE"""),255.24)</f>
        <v>255.24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IFERROR(__xludf.DUMMYFUNCTION("""COMPUTED_VALUE"""),252.38)</f>
        <v>252.38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IFERROR(__xludf.DUMMYFUNCTION("""COMPUTED_VALUE"""),256.25)</f>
        <v>256.25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IFERROR(__xludf.DUMMYFUNCTION("""COMPUTED_VALUE"""),254.38)</f>
        <v>254.38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IFERROR(__xludf.DUMMYFUNCTION("""COMPUTED_VALUE"""),250.63)</f>
        <v>250.63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IFERROR(__xludf.DUMMYFUNCTION("""COMPUTED_VALUE"""),246.25)</f>
        <v>246.25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IFERROR(__xludf.DUMMYFUNCTION("""COMPUTED_VALUE"""),239.38)</f>
        <v>239.38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IFERROR(__xludf.DUMMYFUNCTION("""COMPUTED_VALUE"""),236.75)</f>
        <v>236.75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IFERROR(__xludf.DUMMYFUNCTION("""COMPUTED_VALUE"""),240.63)</f>
        <v>240.63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IFERROR(__xludf.DUMMYFUNCTION("""COMPUTED_VALUE"""),238.09)</f>
        <v>238.09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IFERROR(__xludf.DUMMYFUNCTION("""COMPUTED_VALUE"""),233.5)</f>
        <v>233.5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IFERROR(__xludf.DUMMYFUNCTION("""COMPUTED_VALUE"""),243.75)</f>
        <v>243.75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IFERROR(__xludf.DUMMYFUNCTION("""COMPUTED_VALUE"""),251.86)</f>
        <v>251.86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IFERROR(__xludf.DUMMYFUNCTION("""COMPUTED_VALUE"""),267.74)</f>
        <v>267.74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IFERROR(__xludf.DUMMYFUNCTION("""COMPUTED_VALUE"""),245.98)</f>
        <v>245.98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IFERROR(__xludf.DUMMYFUNCTION("""COMPUTED_VALUE"""),239.75)</f>
        <v>239.75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IFERROR(__xludf.DUMMYFUNCTION("""COMPUTED_VALUE"""),241.25)</f>
        <v>241.25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IFERROR(__xludf.DUMMYFUNCTION("""COMPUTED_VALUE"""),216.25)</f>
        <v>216.25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IFERROR(__xludf.DUMMYFUNCTION("""COMPUTED_VALUE"""),206.25)</f>
        <v>206.25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IFERROR(__xludf.DUMMYFUNCTION("""COMPUTED_VALUE"""),203.11)</f>
        <v>203.11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IFERROR(__xludf.DUMMYFUNCTION("""COMPUTED_VALUE"""),218.66)</f>
        <v>218.66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IFERROR(__xludf.DUMMYFUNCTION("""COMPUTED_VALUE"""),220.96)</f>
        <v>220.96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IFERROR(__xludf.DUMMYFUNCTION("""COMPUTED_VALUE"""),215.0)</f>
        <v>215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IFERROR(__xludf.DUMMYFUNCTION("""COMPUTED_VALUE"""),229.85)</f>
        <v>229.85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IFERROR(__xludf.DUMMYFUNCTION("GOOGLEFINANCE(""NSE:INFY"",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IFERROR(__xludf.DUMMYFUNCTION("""COMPUTED_VALUE"""),225.63)</f>
        <v>225.63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IFERROR(__xludf.DUMMYFUNCTION("""COMPUTED_VALUE"""),217.41)</f>
        <v>217.41</v>
      </c>
    </row>
    <row r="334" ht="15.75" customHeight="1">
      <c r="B334" s="3">
        <f>IFERROR(__xludf.DUMMYFUNCTION("""COMPUTED_VALUE"""),39464.645833333336)</f>
        <v>39464.64583</v>
      </c>
      <c r="C334" s="2">
        <f>IFERROR(__xludf.DUMMYFUNCTION("""COMPUTED_VALUE"""),201.25)</f>
        <v>201.25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IFERROR(__xludf.DUMMYFUNCTION("""COMPUTED_VALUE"""),192.35)</f>
        <v>192.35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IFERROR(__xludf.DUMMYFUNCTION("""COMPUTED_VALUE"""),201.0)</f>
        <v>201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IFERROR(__xludf.DUMMYFUNCTION("""COMPUTED_VALUE"""),208.12)</f>
        <v>208.12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IFERROR(__xludf.DUMMYFUNCTION("""COMPUTED_VALUE"""),206.26)</f>
        <v>206.26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IFERROR(__xludf.DUMMYFUNCTION("""COMPUTED_VALUE"""),206.25)</f>
        <v>206.25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IFERROR(__xludf.DUMMYFUNCTION("""COMPUTED_VALUE"""),210.93)</f>
        <v>210.93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IFERROR(__xludf.DUMMYFUNCTION("""COMPUTED_VALUE"""),192.63)</f>
        <v>192.63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IFERROR(__xludf.DUMMYFUNCTION("""COMPUTED_VALUE"""),184.83)</f>
        <v>184.83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IFERROR(__xludf.DUMMYFUNCTION("""COMPUTED_VALUE"""),171.63)</f>
        <v>171.63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IFERROR(__xludf.DUMMYFUNCTION("""COMPUTED_VALUE"""),193.36)</f>
        <v>193.36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IFERROR(__xludf.DUMMYFUNCTION("""COMPUTED_VALUE"""),191.25)</f>
        <v>191.25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IFERROR(__xludf.DUMMYFUNCTION("""COMPUTED_VALUE"""),191.05)</f>
        <v>191.05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IFERROR(__xludf.DUMMYFUNCTION("""COMPUTED_VALUE"""),211.25)</f>
        <v>211.25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IFERROR(__xludf.DUMMYFUNCTION("""COMPUTED_VALUE"""),214.63)</f>
        <v>214.63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IFERROR(__xludf.DUMMYFUNCTION("""COMPUTED_VALUE"""),226.25)</f>
        <v>226.25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IFERROR(__xludf.DUMMYFUNCTION("""COMPUTED_VALUE"""),232.38)</f>
        <v>232.38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IFERROR(__xludf.DUMMYFUNCTION("""COMPUTED_VALUE"""),239.41)</f>
        <v>239.41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IFERROR(__xludf.DUMMYFUNCTION("""COMPUTED_VALUE"""),239.13)</f>
        <v>239.13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IFERROR(__xludf.DUMMYFUNCTION("""COMPUTED_VALUE"""),247.25)</f>
        <v>247.25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IFERROR(__xludf.DUMMYFUNCTION("""COMPUTED_VALUE"""),255.81)</f>
        <v>255.81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IFERROR(__xludf.DUMMYFUNCTION("""COMPUTED_VALUE"""),246.25)</f>
        <v>246.25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IFERROR(__xludf.DUMMYFUNCTION("""COMPUTED_VALUE"""),243.75)</f>
        <v>243.75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IFERROR(__xludf.DUMMYFUNCTION("""COMPUTED_VALUE"""),233.35)</f>
        <v>233.35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IFERROR(__xludf.DUMMYFUNCTION("""COMPUTED_VALUE"""),230.5)</f>
        <v>230.5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IFERROR(__xludf.DUMMYFUNCTION("""COMPUTED_VALUE"""),235.63)</f>
        <v>235.63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IFERROR(__xludf.DUMMYFUNCTION("""COMPUTED_VALUE"""),208.75)</f>
        <v>208.75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IFERROR(__xludf.DUMMYFUNCTION("""COMPUTED_VALUE"""),206.26)</f>
        <v>206.26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IFERROR(__xludf.DUMMYFUNCTION("""COMPUTED_VALUE"""),205.81)</f>
        <v>205.81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IFERROR(__xludf.DUMMYFUNCTION("""COMPUTED_VALUE"""),216.75)</f>
        <v>216.75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IFERROR(__xludf.DUMMYFUNCTION("""COMPUTED_VALUE"""),214.63)</f>
        <v>214.63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IFERROR(__xludf.DUMMYFUNCTION("""COMPUTED_VALUE"""),217.13)</f>
        <v>217.13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IFERROR(__xludf.DUMMYFUNCTION("""COMPUTED_VALUE"""),218.75)</f>
        <v>218.75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IFERROR(__xludf.DUMMYFUNCTION("""COMPUTED_VALUE"""),225.63)</f>
        <v>225.63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IFERROR(__xludf.DUMMYFUNCTION("""COMPUTED_VALUE"""),221.53)</f>
        <v>221.53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IFERROR(__xludf.DUMMYFUNCTION("""COMPUTED_VALUE"""),205.87)</f>
        <v>205.87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IFERROR(__xludf.DUMMYFUNCTION("""COMPUTED_VALUE"""),207.54)</f>
        <v>207.54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IFERROR(__xludf.DUMMYFUNCTION("""COMPUTED_VALUE"""),183.38)</f>
        <v>183.38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IFERROR(__xludf.DUMMYFUNCTION("""COMPUTED_VALUE"""),173.75)</f>
        <v>173.75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IFERROR(__xludf.DUMMYFUNCTION("""COMPUTED_VALUE"""),176.44)</f>
        <v>176.44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IFERROR(__xludf.DUMMYFUNCTION("""COMPUTED_VALUE"""),174.25)</f>
        <v>174.25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IFERROR(__xludf.DUMMYFUNCTION("""COMPUTED_VALUE"""),179.99)</f>
        <v>179.99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IFERROR(__xludf.DUMMYFUNCTION("""COMPUTED_VALUE"""),180.88)</f>
        <v>180.88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IFERROR(__xludf.DUMMYFUNCTION("""COMPUTED_VALUE"""),169.36)</f>
        <v>169.36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IFERROR(__xludf.DUMMYFUNCTION("""COMPUTED_VALUE"""),155.5)</f>
        <v>155.5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IFERROR(__xludf.DUMMYFUNCTION("""COMPUTED_VALUE"""),156.88)</f>
        <v>156.88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IFERROR(__xludf.DUMMYFUNCTION("""COMPUTED_VALUE"""),162.34)</f>
        <v>162.34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IFERROR(__xludf.DUMMYFUNCTION("""COMPUTED_VALUE"""),150.84)</f>
        <v>150.84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IFERROR(__xludf.DUMMYFUNCTION("""COMPUTED_VALUE"""),150.0)</f>
        <v>150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IFERROR(__xludf.DUMMYFUNCTION("""COMPUTED_VALUE"""),152.78)</f>
        <v>152.78</v>
      </c>
    </row>
    <row r="384" ht="15.75" customHeight="1"/>
    <row r="385" ht="15.75" customHeight="1"/>
    <row r="386" ht="15.75" customHeight="1">
      <c r="B386" s="2" t="str">
        <f>IFERROR(__xludf.DUMMYFUNCTION("GOOGLEFINANCE(""NSE:INFY"",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IFERROR(__xludf.DUMMYFUNCTION("""COMPUTED_VALUE"""),145.63)</f>
        <v>145.63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IFERROR(__xludf.DUMMYFUNCTION("""COMPUTED_VALUE"""),158.32)</f>
        <v>158.32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IFERROR(__xludf.DUMMYFUNCTION("""COMPUTED_VALUE"""),164.25)</f>
        <v>164.25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IFERROR(__xludf.DUMMYFUNCTION("""COMPUTED_VALUE"""),159.09)</f>
        <v>159.09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IFERROR(__xludf.DUMMYFUNCTION("""COMPUTED_VALUE"""),164.88)</f>
        <v>164.88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IFERROR(__xludf.DUMMYFUNCTION("""COMPUTED_VALUE"""),163.28)</f>
        <v>163.28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IFERROR(__xludf.DUMMYFUNCTION("""COMPUTED_VALUE"""),165.63)</f>
        <v>165.63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IFERROR(__xludf.DUMMYFUNCTION("""COMPUTED_VALUE"""),157.5)</f>
        <v>157.5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IFERROR(__xludf.DUMMYFUNCTION("""COMPUTED_VALUE"""),155.0)</f>
        <v>155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IFERROR(__xludf.DUMMYFUNCTION("""COMPUTED_VALUE"""),154.75)</f>
        <v>154.75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IFERROR(__xludf.DUMMYFUNCTION("""COMPUTED_VALUE"""),162.49)</f>
        <v>162.49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IFERROR(__xludf.DUMMYFUNCTION("""COMPUTED_VALUE"""),165.43)</f>
        <v>165.43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IFERROR(__xludf.DUMMYFUNCTION("""COMPUTED_VALUE"""),174.64)</f>
        <v>174.64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IFERROR(__xludf.DUMMYFUNCTION("""COMPUTED_VALUE"""),179.38)</f>
        <v>179.38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IFERROR(__xludf.DUMMYFUNCTION("""COMPUTED_VALUE"""),183.63)</f>
        <v>183.63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IFERROR(__xludf.DUMMYFUNCTION("""COMPUTED_VALUE"""),183.37)</f>
        <v>183.37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IFERROR(__xludf.DUMMYFUNCTION("""COMPUTED_VALUE"""),182.46)</f>
        <v>182.46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IFERROR(__xludf.DUMMYFUNCTION("""COMPUTED_VALUE"""),189.71)</f>
        <v>189.71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IFERROR(__xludf.DUMMYFUNCTION("""COMPUTED_VALUE"""),204.49)</f>
        <v>204.49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IFERROR(__xludf.DUMMYFUNCTION("""COMPUTED_VALUE"""),200.88)</f>
        <v>200.88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IFERROR(__xludf.DUMMYFUNCTION("""COMPUTED_VALUE"""),238.86)</f>
        <v>238.86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IFERROR(__xludf.DUMMYFUNCTION("""COMPUTED_VALUE"""),203.63)</f>
        <v>203.63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IFERROR(__xludf.DUMMYFUNCTION("""COMPUTED_VALUE"""),214.38)</f>
        <v>214.38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IFERROR(__xludf.DUMMYFUNCTION("""COMPUTED_VALUE"""),230.55)</f>
        <v>230.55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IFERROR(__xludf.DUMMYFUNCTION("""COMPUTED_VALUE"""),223.14)</f>
        <v>223.14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IFERROR(__xludf.DUMMYFUNCTION("""COMPUTED_VALUE"""),230.0)</f>
        <v>230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IFERROR(__xludf.DUMMYFUNCTION("""COMPUTED_VALUE"""),258.75)</f>
        <v>258.75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IFERROR(__xludf.DUMMYFUNCTION("""COMPUTED_VALUE"""),227.43)</f>
        <v>227.43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IFERROR(__xludf.DUMMYFUNCTION("""COMPUTED_VALUE"""),234.25)</f>
        <v>234.25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IFERROR(__xludf.DUMMYFUNCTION("""COMPUTED_VALUE"""),252.13)</f>
        <v>252.13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IFERROR(__xludf.DUMMYFUNCTION("""COMPUTED_VALUE"""),259.88)</f>
        <v>259.88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IFERROR(__xludf.DUMMYFUNCTION("""COMPUTED_VALUE"""),263.38)</f>
        <v>263.38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IFERROR(__xludf.DUMMYFUNCTION("""COMPUTED_VALUE"""),264.38)</f>
        <v>264.38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IFERROR(__xludf.DUMMYFUNCTION("""COMPUTED_VALUE"""),255.63)</f>
        <v>255.63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IFERROR(__xludf.DUMMYFUNCTION("""COMPUTED_VALUE"""),275.5)</f>
        <v>275.5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IFERROR(__xludf.DUMMYFUNCTION("""COMPUTED_VALUE"""),277.0)</f>
        <v>277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IFERROR(__xludf.DUMMYFUNCTION("""COMPUTED_VALUE"""),284.36)</f>
        <v>284.36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IFERROR(__xludf.DUMMYFUNCTION("""COMPUTED_VALUE"""),298.5)</f>
        <v>298.5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IFERROR(__xludf.DUMMYFUNCTION("""COMPUTED_VALUE"""),302.63)</f>
        <v>302.63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IFERROR(__xludf.DUMMYFUNCTION("""COMPUTED_VALUE"""),293.75)</f>
        <v>293.75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IFERROR(__xludf.DUMMYFUNCTION("""COMPUTED_VALUE"""),294.08)</f>
        <v>294.08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IFERROR(__xludf.DUMMYFUNCTION("""COMPUTED_VALUE"""),284.38)</f>
        <v>284.38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IFERROR(__xludf.DUMMYFUNCTION("""COMPUTED_VALUE"""),287.49)</f>
        <v>287.49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IFERROR(__xludf.DUMMYFUNCTION("""COMPUTED_VALUE"""),282.5)</f>
        <v>282.5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IFERROR(__xludf.DUMMYFUNCTION("""COMPUTED_VALUE"""),296.81)</f>
        <v>296.81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IFERROR(__xludf.DUMMYFUNCTION("""COMPUTED_VALUE"""),306.13)</f>
        <v>306.13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IFERROR(__xludf.DUMMYFUNCTION("""COMPUTED_VALUE"""),307.13)</f>
        <v>307.13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IFERROR(__xludf.DUMMYFUNCTION("""COMPUTED_VALUE"""),303.38)</f>
        <v>303.38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IFERROR(__xludf.DUMMYFUNCTION("""COMPUTED_VALUE"""),311.08)</f>
        <v>311.08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IFERROR(__xludf.DUMMYFUNCTION("""COMPUTED_VALUE"""),321.49)</f>
        <v>321.49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IFERROR(__xludf.DUMMYFUNCTION("""COMPUTED_VALUE"""),325.0)</f>
        <v>325</v>
      </c>
    </row>
    <row r="438" ht="15.75" customHeight="1"/>
    <row r="439" ht="15.75" customHeight="1"/>
    <row r="440" ht="15.75" customHeight="1"/>
    <row r="441" ht="15.75" customHeight="1">
      <c r="B441" s="2" t="str">
        <f>IFERROR(__xludf.DUMMYFUNCTION("GOOGLEFINANCE(""NSE:INFY"",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IFERROR(__xludf.DUMMYFUNCTION("""COMPUTED_VALUE"""),335.38)</f>
        <v>335.38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IFERROR(__xludf.DUMMYFUNCTION("""COMPUTED_VALUE"""),337.86)</f>
        <v>337.86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IFERROR(__xludf.DUMMYFUNCTION("""COMPUTED_VALUE"""),336.25)</f>
        <v>336.25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IFERROR(__xludf.DUMMYFUNCTION("""COMPUTED_VALUE"""),321.24)</f>
        <v>321.24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IFERROR(__xludf.DUMMYFUNCTION("""COMPUTED_VALUE"""),314.77)</f>
        <v>314.77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IFERROR(__xludf.DUMMYFUNCTION("""COMPUTED_VALUE"""),320.8)</f>
        <v>320.8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IFERROR(__xludf.DUMMYFUNCTION("""COMPUTED_VALUE"""),328.75)</f>
        <v>328.75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IFERROR(__xludf.DUMMYFUNCTION("""COMPUTED_VALUE"""),334.56)</f>
        <v>334.56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IFERROR(__xludf.DUMMYFUNCTION("""COMPUTED_VALUE"""),338.0)</f>
        <v>338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IFERROR(__xludf.DUMMYFUNCTION("""COMPUTED_VALUE"""),349.38)</f>
        <v>349.38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IFERROR(__xludf.DUMMYFUNCTION("""COMPUTED_VALUE"""),358.75)</f>
        <v>358.75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IFERROR(__xludf.DUMMYFUNCTION("""COMPUTED_VALUE"""),346.25)</f>
        <v>346.25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IFERROR(__xludf.DUMMYFUNCTION("""COMPUTED_VALUE"""),337.21)</f>
        <v>337.21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IFERROR(__xludf.DUMMYFUNCTION("""COMPUTED_VALUE"""),353.09)</f>
        <v>353.09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IFERROR(__xludf.DUMMYFUNCTION("""COMPUTED_VALUE"""),348.74)</f>
        <v>348.74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IFERROR(__xludf.DUMMYFUNCTION("""COMPUTED_VALUE"""),344.85)</f>
        <v>344.85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IFERROR(__xludf.DUMMYFUNCTION("""COMPUTED_VALUE"""),339.37)</f>
        <v>339.37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IFERROR(__xludf.DUMMYFUNCTION("""COMPUTED_VALUE"""),340.88)</f>
        <v>340.88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IFERROR(__xludf.DUMMYFUNCTION("""COMPUTED_VALUE"""),332.5)</f>
        <v>332.5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IFERROR(__xludf.DUMMYFUNCTION("""COMPUTED_VALUE"""),335.55)</f>
        <v>335.55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IFERROR(__xludf.DUMMYFUNCTION("""COMPUTED_VALUE"""),342.25)</f>
        <v>342.25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IFERROR(__xludf.DUMMYFUNCTION("""COMPUTED_VALUE"""),338.75)</f>
        <v>338.75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IFERROR(__xludf.DUMMYFUNCTION("""COMPUTED_VALUE"""),351.88)</f>
        <v>351.88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IFERROR(__xludf.DUMMYFUNCTION("""COMPUTED_VALUE"""),354.21)</f>
        <v>354.21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IFERROR(__xludf.DUMMYFUNCTION("""COMPUTED_VALUE"""),352.13)</f>
        <v>352.13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IFERROR(__xludf.DUMMYFUNCTION("""COMPUTED_VALUE"""),360.06)</f>
        <v>360.06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IFERROR(__xludf.DUMMYFUNCTION("""COMPUTED_VALUE"""),363.75)</f>
        <v>363.75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IFERROR(__xludf.DUMMYFUNCTION("""COMPUTED_VALUE"""),358.76)</f>
        <v>358.76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IFERROR(__xludf.DUMMYFUNCTION("""COMPUTED_VALUE"""),355.0)</f>
        <v>355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IFERROR(__xludf.DUMMYFUNCTION("""COMPUTED_VALUE"""),363.35)</f>
        <v>363.35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IFERROR(__xludf.DUMMYFUNCTION("""COMPUTED_VALUE"""),360.36)</f>
        <v>360.36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IFERROR(__xludf.DUMMYFUNCTION("""COMPUTED_VALUE"""),353.13)</f>
        <v>353.13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IFERROR(__xludf.DUMMYFUNCTION("""COMPUTED_VALUE"""),351.25)</f>
        <v>351.25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IFERROR(__xludf.DUMMYFUNCTION("""COMPUTED_VALUE"""),351.75)</f>
        <v>351.75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IFERROR(__xludf.DUMMYFUNCTION("""COMPUTED_VALUE"""),362.5)</f>
        <v>362.5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IFERROR(__xludf.DUMMYFUNCTION("""COMPUTED_VALUE"""),382.5)</f>
        <v>382.5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IFERROR(__xludf.DUMMYFUNCTION("""COMPUTED_VALUE"""),383.13)</f>
        <v>383.13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IFERROR(__xludf.DUMMYFUNCTION("""COMPUTED_VALUE"""),388.76)</f>
        <v>388.76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IFERROR(__xludf.DUMMYFUNCTION("""COMPUTED_VALUE"""),395.25)</f>
        <v>395.25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IFERROR(__xludf.DUMMYFUNCTION("""COMPUTED_VALUE"""),404.75)</f>
        <v>404.75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IFERROR(__xludf.DUMMYFUNCTION("""COMPUTED_VALUE"""),389.86)</f>
        <v>389.86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IFERROR(__xludf.DUMMYFUNCTION("""COMPUTED_VALUE"""),384.36)</f>
        <v>384.36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IFERROR(__xludf.DUMMYFUNCTION("""COMPUTED_VALUE"""),386.5)</f>
        <v>386.5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IFERROR(__xludf.DUMMYFUNCTION("""COMPUTED_VALUE"""),388.13)</f>
        <v>388.13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IFERROR(__xludf.DUMMYFUNCTION("""COMPUTED_VALUE"""),380.62)</f>
        <v>380.62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IFERROR(__xludf.DUMMYFUNCTION("""COMPUTED_VALUE"""),388.88)</f>
        <v>388.88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IFERROR(__xludf.DUMMYFUNCTION("""COMPUTED_VALUE"""),393.49)</f>
        <v>393.49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IFERROR(__xludf.DUMMYFUNCTION("""COMPUTED_VALUE"""),399.38)</f>
        <v>399.38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IFERROR(__xludf.DUMMYFUNCTION("""COMPUTED_VALUE"""),412.5)</f>
        <v>412.5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IFERROR(__xludf.DUMMYFUNCTION("""COMPUTED_VALUE"""),422.73)</f>
        <v>422.73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IFERROR(__xludf.DUMMYFUNCTION("""COMPUTED_VALUE"""),431.75)</f>
        <v>431.75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IFERROR(__xludf.DUMMYFUNCTION("GOOGLEFINANCE(""NSE:INFY"",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IFERROR(__xludf.DUMMYFUNCTION("""COMPUTED_VALUE"""),437.38)</f>
        <v>437.38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IFERROR(__xludf.DUMMYFUNCTION("""COMPUTED_VALUE"""),430.39)</f>
        <v>430.39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IFERROR(__xludf.DUMMYFUNCTION("""COMPUTED_VALUE"""),416.96)</f>
        <v>416.96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IFERROR(__xludf.DUMMYFUNCTION("""COMPUTED_VALUE"""),413.11)</f>
        <v>413.11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IFERROR(__xludf.DUMMYFUNCTION("""COMPUTED_VALUE"""),395.5)</f>
        <v>395.5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IFERROR(__xludf.DUMMYFUNCTION("""COMPUTED_VALUE"""),394.96)</f>
        <v>394.96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IFERROR(__xludf.DUMMYFUNCTION("""COMPUTED_VALUE"""),393.13)</f>
        <v>393.13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IFERROR(__xludf.DUMMYFUNCTION("""COMPUTED_VALUE"""),397.23)</f>
        <v>397.23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IFERROR(__xludf.DUMMYFUNCTION("""COMPUTED_VALUE"""),391.85)</f>
        <v>391.85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IFERROR(__xludf.DUMMYFUNCTION("""COMPUTED_VALUE"""),391.6)</f>
        <v>391.6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IFERROR(__xludf.DUMMYFUNCTION("""COMPUTED_VALUE"""),388.5)</f>
        <v>388.5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IFERROR(__xludf.DUMMYFUNCTION("""COMPUTED_VALUE"""),398.13)</f>
        <v>398.13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IFERROR(__xludf.DUMMYFUNCTION("""COMPUTED_VALUE"""),408.13)</f>
        <v>408.13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IFERROR(__xludf.DUMMYFUNCTION("""COMPUTED_VALUE"""),412.38)</f>
        <v>412.38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IFERROR(__xludf.DUMMYFUNCTION("""COMPUTED_VALUE"""),414.64)</f>
        <v>414.64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IFERROR(__xludf.DUMMYFUNCTION("""COMPUTED_VALUE"""),370.88)</f>
        <v>370.88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IFERROR(__xludf.DUMMYFUNCTION("""COMPUTED_VALUE"""),370.58)</f>
        <v>370.58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IFERROR(__xludf.DUMMYFUNCTION("""COMPUTED_VALUE"""),369.64)</f>
        <v>369.64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IFERROR(__xludf.DUMMYFUNCTION("""COMPUTED_VALUE"""),365.61)</f>
        <v>365.61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IFERROR(__xludf.DUMMYFUNCTION("""COMPUTED_VALUE"""),360.29)</f>
        <v>360.29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IFERROR(__xludf.DUMMYFUNCTION("""COMPUTED_VALUE"""),357.98)</f>
        <v>357.98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IFERROR(__xludf.DUMMYFUNCTION("""COMPUTED_VALUE"""),355.35)</f>
        <v>355.35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IFERROR(__xludf.DUMMYFUNCTION("""COMPUTED_VALUE"""),363.0)</f>
        <v>363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IFERROR(__xludf.DUMMYFUNCTION("""COMPUTED_VALUE"""),360.44)</f>
        <v>360.44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IFERROR(__xludf.DUMMYFUNCTION("""COMPUTED_VALUE"""),359.71)</f>
        <v>359.71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IFERROR(__xludf.DUMMYFUNCTION("""COMPUTED_VALUE"""),371.24)</f>
        <v>371.24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IFERROR(__xludf.DUMMYFUNCTION("""COMPUTED_VALUE"""),377.99)</f>
        <v>377.99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IFERROR(__xludf.DUMMYFUNCTION("""COMPUTED_VALUE"""),372.01)</f>
        <v>372.01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IFERROR(__xludf.DUMMYFUNCTION("""COMPUTED_VALUE"""),355.5)</f>
        <v>355.5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IFERROR(__xludf.DUMMYFUNCTION("""COMPUTED_VALUE"""),354.49)</f>
        <v>354.49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IFERROR(__xludf.DUMMYFUNCTION("""COMPUTED_VALUE"""),352.98)</f>
        <v>352.98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IFERROR(__xludf.DUMMYFUNCTION("""COMPUTED_VALUE"""),312.5)</f>
        <v>312.5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IFERROR(__xludf.DUMMYFUNCTION("""COMPUTED_VALUE"""),308.19)</f>
        <v>308.19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IFERROR(__xludf.DUMMYFUNCTION("""COMPUTED_VALUE"""),287.83)</f>
        <v>287.83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IFERROR(__xludf.DUMMYFUNCTION("""COMPUTED_VALUE"""),298.13)</f>
        <v>298.13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IFERROR(__xludf.DUMMYFUNCTION("""COMPUTED_VALUE"""),294.25)</f>
        <v>294.25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IFERROR(__xludf.DUMMYFUNCTION("""COMPUTED_VALUE"""),307.24)</f>
        <v>307.24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IFERROR(__xludf.DUMMYFUNCTION("""COMPUTED_VALUE"""),306.86)</f>
        <v>306.86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IFERROR(__xludf.DUMMYFUNCTION("""COMPUTED_VALUE"""),321.24)</f>
        <v>321.24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IFERROR(__xludf.DUMMYFUNCTION("""COMPUTED_VALUE"""),321.86)</f>
        <v>321.86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IFERROR(__xludf.DUMMYFUNCTION("""COMPUTED_VALUE"""),344.59)</f>
        <v>344.59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IFERROR(__xludf.DUMMYFUNCTION("""COMPUTED_VALUE"""),345.61)</f>
        <v>345.61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IFERROR(__xludf.DUMMYFUNCTION("""COMPUTED_VALUE"""),371.42)</f>
        <v>371.42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IFERROR(__xludf.DUMMYFUNCTION("""COMPUTED_VALUE"""),362.22)</f>
        <v>362.22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IFERROR(__xludf.DUMMYFUNCTION("""COMPUTED_VALUE"""),358.41)</f>
        <v>358.41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IFERROR(__xludf.DUMMYFUNCTION("""COMPUTED_VALUE"""),354.05)</f>
        <v>354.05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IFERROR(__xludf.DUMMYFUNCTION("""COMPUTED_VALUE"""),345.61)</f>
        <v>345.61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IFERROR(__xludf.DUMMYFUNCTION("""COMPUTED_VALUE"""),339.43)</f>
        <v>339.43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IFERROR(__xludf.DUMMYFUNCTION("""COMPUTED_VALUE"""),346.55)</f>
        <v>346.55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IFERROR(__xludf.DUMMYFUNCTION("""COMPUTED_VALUE"""),348.6)</f>
        <v>348.6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IFERROR(__xludf.DUMMYFUNCTION("""COMPUTED_VALUE"""),344.35)</f>
        <v>344.35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IFERROR(__xludf.DUMMYFUNCTION("""COMPUTED_VALUE"""),350.5)</f>
        <v>350.5</v>
      </c>
    </row>
    <row r="549" ht="15.75" customHeight="1"/>
    <row r="550" ht="15.75" customHeight="1"/>
    <row r="551" ht="15.75" customHeight="1">
      <c r="B551" s="2" t="str">
        <f>IFERROR(__xludf.DUMMYFUNCTION("GOOGLEFINANCE(""NSE:INFY"",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IFERROR(__xludf.DUMMYFUNCTION("""COMPUTED_VALUE"""),361.86)</f>
        <v>361.86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IFERROR(__xludf.DUMMYFUNCTION("""COMPUTED_VALUE"""),334.1)</f>
        <v>334.1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IFERROR(__xludf.DUMMYFUNCTION("""COMPUTED_VALUE"""),341.88)</f>
        <v>341.88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IFERROR(__xludf.DUMMYFUNCTION("""COMPUTED_VALUE"""),349.0)</f>
        <v>349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IFERROR(__xludf.DUMMYFUNCTION("""COMPUTED_VALUE"""),352.76)</f>
        <v>352.76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IFERROR(__xludf.DUMMYFUNCTION("""COMPUTED_VALUE"""),372.25)</f>
        <v>372.25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IFERROR(__xludf.DUMMYFUNCTION("""COMPUTED_VALUE"""),374.25)</f>
        <v>374.25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IFERROR(__xludf.DUMMYFUNCTION("""COMPUTED_VALUE"""),362.88)</f>
        <v>362.88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IFERROR(__xludf.DUMMYFUNCTION("""COMPUTED_VALUE"""),364.38)</f>
        <v>364.38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IFERROR(__xludf.DUMMYFUNCTION("""COMPUTED_VALUE"""),362.5)</f>
        <v>362.5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IFERROR(__xludf.DUMMYFUNCTION("""COMPUTED_VALUE"""),362.97)</f>
        <v>362.97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IFERROR(__xludf.DUMMYFUNCTION("""COMPUTED_VALUE"""),361.09)</f>
        <v>361.09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IFERROR(__xludf.DUMMYFUNCTION("""COMPUTED_VALUE"""),357.42)</f>
        <v>357.42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IFERROR(__xludf.DUMMYFUNCTION("""COMPUTED_VALUE"""),303.55)</f>
        <v>303.55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IFERROR(__xludf.DUMMYFUNCTION("""COMPUTED_VALUE"""),312.25)</f>
        <v>312.25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IFERROR(__xludf.DUMMYFUNCTION("""COMPUTED_VALUE"""),306.1)</f>
        <v>306.1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IFERROR(__xludf.DUMMYFUNCTION("""COMPUTED_VALUE"""),303.63)</f>
        <v>303.63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IFERROR(__xludf.DUMMYFUNCTION("""COMPUTED_VALUE"""),298.61)</f>
        <v>298.61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IFERROR(__xludf.DUMMYFUNCTION("""COMPUTED_VALUE"""),319.0)</f>
        <v>319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IFERROR(__xludf.DUMMYFUNCTION("""COMPUTED_VALUE"""),311.11)</f>
        <v>311.11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IFERROR(__xludf.DUMMYFUNCTION("""COMPUTED_VALUE"""),316.5)</f>
        <v>316.5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IFERROR(__xludf.DUMMYFUNCTION("""COMPUTED_VALUE"""),318.04)</f>
        <v>318.04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IFERROR(__xludf.DUMMYFUNCTION("""COMPUTED_VALUE"""),314.88)</f>
        <v>314.88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IFERROR(__xludf.DUMMYFUNCTION("""COMPUTED_VALUE"""),314.85)</f>
        <v>314.85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IFERROR(__xludf.DUMMYFUNCTION("""COMPUTED_VALUE"""),312.8)</f>
        <v>312.8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IFERROR(__xludf.DUMMYFUNCTION("""COMPUTED_VALUE"""),281.25)</f>
        <v>281.25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IFERROR(__xludf.DUMMYFUNCTION("""COMPUTED_VALUE"""),276.5)</f>
        <v>276.5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IFERROR(__xludf.DUMMYFUNCTION("""COMPUTED_VALUE"""),279.5)</f>
        <v>279.5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IFERROR(__xludf.DUMMYFUNCTION("""COMPUTED_VALUE"""),290.13)</f>
        <v>290.13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IFERROR(__xludf.DUMMYFUNCTION("""COMPUTED_VALUE"""),294.38)</f>
        <v>294.38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IFERROR(__xludf.DUMMYFUNCTION("""COMPUTED_VALUE"""),310.38)</f>
        <v>310.38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IFERROR(__xludf.DUMMYFUNCTION("""COMPUTED_VALUE"""),306.43)</f>
        <v>306.43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IFERROR(__xludf.DUMMYFUNCTION("""COMPUTED_VALUE"""),330.59)</f>
        <v>330.59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IFERROR(__xludf.DUMMYFUNCTION("""COMPUTED_VALUE"""),331.25)</f>
        <v>331.25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IFERROR(__xludf.DUMMYFUNCTION("""COMPUTED_VALUE"""),326.38)</f>
        <v>326.38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IFERROR(__xludf.DUMMYFUNCTION("""COMPUTED_VALUE"""),327.52)</f>
        <v>327.52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IFERROR(__xludf.DUMMYFUNCTION("""COMPUTED_VALUE"""),322.51)</f>
        <v>322.51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IFERROR(__xludf.DUMMYFUNCTION("""COMPUTED_VALUE"""),301.5)</f>
        <v>301.5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IFERROR(__xludf.DUMMYFUNCTION("""COMPUTED_VALUE"""),299.75)</f>
        <v>299.75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IFERROR(__xludf.DUMMYFUNCTION("""COMPUTED_VALUE"""),300.58)</f>
        <v>300.58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IFERROR(__xludf.DUMMYFUNCTION("""COMPUTED_VALUE"""),301.75)</f>
        <v>301.75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IFERROR(__xludf.DUMMYFUNCTION("""COMPUTED_VALUE"""),298.38)</f>
        <v>298.38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IFERROR(__xludf.DUMMYFUNCTION("""COMPUTED_VALUE"""),299.88)</f>
        <v>299.88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IFERROR(__xludf.DUMMYFUNCTION("""COMPUTED_VALUE"""),310.0)</f>
        <v>310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IFERROR(__xludf.DUMMYFUNCTION("""COMPUTED_VALUE"""),306.63)</f>
        <v>306.63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IFERROR(__xludf.DUMMYFUNCTION("""COMPUTED_VALUE"""),293.0)</f>
        <v>293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IFERROR(__xludf.DUMMYFUNCTION("""COMPUTED_VALUE"""),290.16)</f>
        <v>290.16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IFERROR(__xludf.DUMMYFUNCTION("""COMPUTED_VALUE"""),291.36)</f>
        <v>291.36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IFERROR(__xludf.DUMMYFUNCTION("GOOGLEFINANCE(""NSE:INFY"",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IFERROR(__xludf.DUMMYFUNCTION("""COMPUTED_VALUE"""),294.37)</f>
        <v>294.37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IFERROR(__xludf.DUMMYFUNCTION("""COMPUTED_VALUE"""),340.25)</f>
        <v>340.25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IFERROR(__xludf.DUMMYFUNCTION("""COMPUTED_VALUE"""),354.62)</f>
        <v>354.62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IFERROR(__xludf.DUMMYFUNCTION("""COMPUTED_VALUE"""),353.5)</f>
        <v>353.5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IFERROR(__xludf.DUMMYFUNCTION("""COMPUTED_VALUE"""),353.45)</f>
        <v>353.45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IFERROR(__xludf.DUMMYFUNCTION("""COMPUTED_VALUE"""),352.09)</f>
        <v>352.09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IFERROR(__xludf.DUMMYFUNCTION("""COMPUTED_VALUE"""),353.5)</f>
        <v>353.5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IFERROR(__xludf.DUMMYFUNCTION("""COMPUTED_VALUE"""),356.88)</f>
        <v>356.88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IFERROR(__xludf.DUMMYFUNCTION("""COMPUTED_VALUE"""),371.18)</f>
        <v>371.18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IFERROR(__xludf.DUMMYFUNCTION("""COMPUTED_VALUE"""),376.23)</f>
        <v>376.23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IFERROR(__xludf.DUMMYFUNCTION("""COMPUTED_VALUE"""),373.75)</f>
        <v>373.75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IFERROR(__xludf.DUMMYFUNCTION("""COMPUTED_VALUE"""),361.81)</f>
        <v>361.81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IFERROR(__xludf.DUMMYFUNCTION("""COMPUTED_VALUE"""),362.12)</f>
        <v>362.12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IFERROR(__xludf.DUMMYFUNCTION("""COMPUTED_VALUE"""),374.94)</f>
        <v>374.94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IFERROR(__xludf.DUMMYFUNCTION("""COMPUTED_VALUE"""),366.95)</f>
        <v>366.95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IFERROR(__xludf.DUMMYFUNCTION("""COMPUTED_VALUE"""),294.63)</f>
        <v>294.63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IFERROR(__xludf.DUMMYFUNCTION("""COMPUTED_VALUE"""),286.63)</f>
        <v>286.63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IFERROR(__xludf.DUMMYFUNCTION("""COMPUTED_VALUE"""),290.5)</f>
        <v>290.5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IFERROR(__xludf.DUMMYFUNCTION("""COMPUTED_VALUE"""),296.59)</f>
        <v>296.59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IFERROR(__xludf.DUMMYFUNCTION("""COMPUTED_VALUE"""),304.13)</f>
        <v>304.13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IFERROR(__xludf.DUMMYFUNCTION("""COMPUTED_VALUE"""),304.36)</f>
        <v>304.36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IFERROR(__xludf.DUMMYFUNCTION("""COMPUTED_VALUE"""),328.13)</f>
        <v>328.13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IFERROR(__xludf.DUMMYFUNCTION("""COMPUTED_VALUE"""),314.31)</f>
        <v>314.31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IFERROR(__xludf.DUMMYFUNCTION("""COMPUTED_VALUE"""),307.5)</f>
        <v>307.5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IFERROR(__xludf.DUMMYFUNCTION("""COMPUTED_VALUE"""),313.47)</f>
        <v>313.47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IFERROR(__xludf.DUMMYFUNCTION("""COMPUTED_VALUE"""),310.44)</f>
        <v>310.44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IFERROR(__xludf.DUMMYFUNCTION("""COMPUTED_VALUE"""),363.2)</f>
        <v>363.2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IFERROR(__xludf.DUMMYFUNCTION("""COMPUTED_VALUE"""),358.13)</f>
        <v>358.13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IFERROR(__xludf.DUMMYFUNCTION("""COMPUTED_VALUE"""),369.13)</f>
        <v>369.13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IFERROR(__xludf.DUMMYFUNCTION("""COMPUTED_VALUE"""),377.5)</f>
        <v>377.5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IFERROR(__xludf.DUMMYFUNCTION("""COMPUTED_VALUE"""),378.13)</f>
        <v>378.13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IFERROR(__xludf.DUMMYFUNCTION("""COMPUTED_VALUE"""),386.86)</f>
        <v>386.86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IFERROR(__xludf.DUMMYFUNCTION("""COMPUTED_VALUE"""),379.56)</f>
        <v>379.56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IFERROR(__xludf.DUMMYFUNCTION("""COMPUTED_VALUE"""),391.25)</f>
        <v>391.25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IFERROR(__xludf.DUMMYFUNCTION("""COMPUTED_VALUE"""),392.49)</f>
        <v>392.49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IFERROR(__xludf.DUMMYFUNCTION("""COMPUTED_VALUE"""),398.5)</f>
        <v>398.5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IFERROR(__xludf.DUMMYFUNCTION("""COMPUTED_VALUE"""),382.24)</f>
        <v>382.24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IFERROR(__xludf.DUMMYFUNCTION("""COMPUTED_VALUE"""),381.38)</f>
        <v>381.38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IFERROR(__xludf.DUMMYFUNCTION("""COMPUTED_VALUE"""),381.88)</f>
        <v>381.88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IFERROR(__xludf.DUMMYFUNCTION("""COMPUTED_VALUE"""),417.25)</f>
        <v>417.25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IFERROR(__xludf.DUMMYFUNCTION("""COMPUTED_VALUE"""),420.88)</f>
        <v>420.88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IFERROR(__xludf.DUMMYFUNCTION("""COMPUTED_VALUE"""),422.21)</f>
        <v>422.21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IFERROR(__xludf.DUMMYFUNCTION("""COMPUTED_VALUE"""),420.62)</f>
        <v>420.62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IFERROR(__xludf.DUMMYFUNCTION("""COMPUTED_VALUE"""),424.99)</f>
        <v>424.99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IFERROR(__xludf.DUMMYFUNCTION("""COMPUTED_VALUE"""),424.75)</f>
        <v>424.75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IFERROR(__xludf.DUMMYFUNCTION("""COMPUTED_VALUE"""),431.0)</f>
        <v>431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IFERROR(__xludf.DUMMYFUNCTION("""COMPUTED_VALUE"""),422.35)</f>
        <v>422.35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IFERROR(__xludf.DUMMYFUNCTION("""COMPUTED_VALUE"""),424.88)</f>
        <v>424.88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IFERROR(__xludf.DUMMYFUNCTION("""COMPUTED_VALUE"""),423.73)</f>
        <v>423.73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IFERROR(__xludf.DUMMYFUNCTION("""COMPUTED_VALUE"""),446.63)</f>
        <v>446.63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IFERROR(__xludf.DUMMYFUNCTION("""COMPUTED_VALUE"""),446.5)</f>
        <v>446.5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IFERROR(__xludf.DUMMYFUNCTION("GOOGLEFINANCE(""NSE:INFY"",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IFERROR(__xludf.DUMMYFUNCTION("""COMPUTED_VALUE"""),446.88)</f>
        <v>446.88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IFERROR(__xludf.DUMMYFUNCTION("""COMPUTED_VALUE"""),447.56)</f>
        <v>447.56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IFERROR(__xludf.DUMMYFUNCTION("""COMPUTED_VALUE"""),470.58)</f>
        <v>470.58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IFERROR(__xludf.DUMMYFUNCTION("""COMPUTED_VALUE"""),474.88)</f>
        <v>474.88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IFERROR(__xludf.DUMMYFUNCTION("""COMPUTED_VALUE"""),470.49)</f>
        <v>470.49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IFERROR(__xludf.DUMMYFUNCTION("""COMPUTED_VALUE"""),461.5)</f>
        <v>461.5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IFERROR(__xludf.DUMMYFUNCTION("""COMPUTED_VALUE"""),458.0)</f>
        <v>458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IFERROR(__xludf.DUMMYFUNCTION("""COMPUTED_VALUE"""),469.43)</f>
        <v>469.43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IFERROR(__xludf.DUMMYFUNCTION("""COMPUTED_VALUE"""),479.64)</f>
        <v>479.64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IFERROR(__xludf.DUMMYFUNCTION("""COMPUTED_VALUE"""),481.24)</f>
        <v>481.24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IFERROR(__xludf.DUMMYFUNCTION("""COMPUTED_VALUE"""),466.21)</f>
        <v>466.21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IFERROR(__xludf.DUMMYFUNCTION("""COMPUTED_VALUE"""),414.81)</f>
        <v>414.81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IFERROR(__xludf.DUMMYFUNCTION("""COMPUTED_VALUE"""),419.5)</f>
        <v>419.5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IFERROR(__xludf.DUMMYFUNCTION("""COMPUTED_VALUE"""),414.31)</f>
        <v>414.31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IFERROR(__xludf.DUMMYFUNCTION("""COMPUTED_VALUE"""),423.5)</f>
        <v>423.5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IFERROR(__xludf.DUMMYFUNCTION("""COMPUTED_VALUE"""),402.5)</f>
        <v>402.5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IFERROR(__xludf.DUMMYFUNCTION("""COMPUTED_VALUE"""),405.88)</f>
        <v>405.88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IFERROR(__xludf.DUMMYFUNCTION("""COMPUTED_VALUE"""),404.13)</f>
        <v>404.13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IFERROR(__xludf.DUMMYFUNCTION("""COMPUTED_VALUE"""),417.5)</f>
        <v>417.5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IFERROR(__xludf.DUMMYFUNCTION("""COMPUTED_VALUE"""),399.75)</f>
        <v>399.75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IFERROR(__xludf.DUMMYFUNCTION("""COMPUTED_VALUE"""),398.5)</f>
        <v>398.5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IFERROR(__xludf.DUMMYFUNCTION("""COMPUTED_VALUE"""),383.55)</f>
        <v>383.55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IFERROR(__xludf.DUMMYFUNCTION("""COMPUTED_VALUE"""),412.13)</f>
        <v>412.13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IFERROR(__xludf.DUMMYFUNCTION("""COMPUTED_VALUE"""),417.43)</f>
        <v>417.43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IFERROR(__xludf.DUMMYFUNCTION("""COMPUTED_VALUE"""),413.62)</f>
        <v>413.62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IFERROR(__xludf.DUMMYFUNCTION("""COMPUTED_VALUE"""),407.88)</f>
        <v>407.88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IFERROR(__xludf.DUMMYFUNCTION("""COMPUTED_VALUE"""),429.0)</f>
        <v>429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IFERROR(__xludf.DUMMYFUNCTION("""COMPUTED_VALUE"""),418.24)</f>
        <v>418.24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IFERROR(__xludf.DUMMYFUNCTION("""COMPUTED_VALUE"""),424.88)</f>
        <v>424.88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IFERROR(__xludf.DUMMYFUNCTION("""COMPUTED_VALUE"""),424.36)</f>
        <v>424.36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IFERROR(__xludf.DUMMYFUNCTION("""COMPUTED_VALUE"""),451.04)</f>
        <v>451.04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IFERROR(__xludf.DUMMYFUNCTION("""COMPUTED_VALUE"""),453.46)</f>
        <v>453.46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IFERROR(__xludf.DUMMYFUNCTION("""COMPUTED_VALUE"""),451.5)</f>
        <v>451.5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IFERROR(__xludf.DUMMYFUNCTION("""COMPUTED_VALUE"""),456.25)</f>
        <v>456.25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IFERROR(__xludf.DUMMYFUNCTION("""COMPUTED_VALUE"""),474.38)</f>
        <v>474.38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IFERROR(__xludf.DUMMYFUNCTION("""COMPUTED_VALUE"""),473.81)</f>
        <v>473.81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IFERROR(__xludf.DUMMYFUNCTION("""COMPUTED_VALUE"""),473.49)</f>
        <v>473.49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IFERROR(__xludf.DUMMYFUNCTION("""COMPUTED_VALUE"""),465.03)</f>
        <v>465.03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IFERROR(__xludf.DUMMYFUNCTION("""COMPUTED_VALUE"""),482.49)</f>
        <v>482.49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IFERROR(__xludf.DUMMYFUNCTION("""COMPUTED_VALUE"""),488.5)</f>
        <v>488.5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IFERROR(__xludf.DUMMYFUNCTION("""COMPUTED_VALUE"""),498.13)</f>
        <v>498.13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IFERROR(__xludf.DUMMYFUNCTION("""COMPUTED_VALUE"""),482.82)</f>
        <v>482.82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IFERROR(__xludf.DUMMYFUNCTION("""COMPUTED_VALUE"""),508.25)</f>
        <v>508.25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IFERROR(__xludf.DUMMYFUNCTION("""COMPUTED_VALUE"""),522.88)</f>
        <v>522.88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IFERROR(__xludf.DUMMYFUNCTION("""COMPUTED_VALUE"""),526.43)</f>
        <v>526.43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IFERROR(__xludf.DUMMYFUNCTION("""COMPUTED_VALUE"""),529.06)</f>
        <v>529.06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IFERROR(__xludf.DUMMYFUNCTION("""COMPUTED_VALUE"""),549.75)</f>
        <v>549.75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IFERROR(__xludf.DUMMYFUNCTION("""COMPUTED_VALUE"""),550.28)</f>
        <v>550.28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IFERROR(__xludf.DUMMYFUNCTION("""COMPUTED_VALUE"""),504.75)</f>
        <v>504.75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IFERROR(__xludf.DUMMYFUNCTION("""COMPUTED_VALUE"""),502.0)</f>
        <v>502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IFERROR(__xludf.DUMMYFUNCTION("""COMPUTED_VALUE"""),505.48)</f>
        <v>505.48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IFERROR(__xludf.DUMMYFUNCTION("GOOGLEFINANCE(""NSE:INFY"",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IFERROR(__xludf.DUMMYFUNCTION("""COMPUTED_VALUE"""),504.76)</f>
        <v>504.76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IFERROR(__xludf.DUMMYFUNCTION("""COMPUTED_VALUE"""),527.25)</f>
        <v>527.25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IFERROR(__xludf.DUMMYFUNCTION("""COMPUTED_VALUE"""),540.0)</f>
        <v>540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IFERROR(__xludf.DUMMYFUNCTION("""COMPUTED_VALUE"""),556.25)</f>
        <v>556.25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IFERROR(__xludf.DUMMYFUNCTION("""COMPUTED_VALUE"""),555.25)</f>
        <v>555.25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IFERROR(__xludf.DUMMYFUNCTION("""COMPUTED_VALUE"""),561.95)</f>
        <v>561.95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IFERROR(__xludf.DUMMYFUNCTION("""COMPUTED_VALUE"""),581.67)</f>
        <v>581.67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IFERROR(__xludf.DUMMYFUNCTION("""COMPUTED_VALUE"""),584.0)</f>
        <v>584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IFERROR(__xludf.DUMMYFUNCTION("""COMPUTED_VALUE"""),578.48)</f>
        <v>578.48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IFERROR(__xludf.DUMMYFUNCTION("""COMPUTED_VALUE"""),564.75)</f>
        <v>564.75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IFERROR(__xludf.DUMMYFUNCTION("""COMPUTED_VALUE"""),570.5)</f>
        <v>570.5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IFERROR(__xludf.DUMMYFUNCTION("""COMPUTED_VALUE"""),568.75)</f>
        <v>568.75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IFERROR(__xludf.DUMMYFUNCTION("""COMPUTED_VALUE"""),568.41)</f>
        <v>568.41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IFERROR(__xludf.DUMMYFUNCTION("""COMPUTED_VALUE"""),559.5)</f>
        <v>559.5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IFERROR(__xludf.DUMMYFUNCTION("""COMPUTED_VALUE"""),561.25)</f>
        <v>561.25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IFERROR(__xludf.DUMMYFUNCTION("""COMPUTED_VALUE"""),545.0)</f>
        <v>545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IFERROR(__xludf.DUMMYFUNCTION("""COMPUTED_VALUE"""),500.5)</f>
        <v>500.5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IFERROR(__xludf.DUMMYFUNCTION("""COMPUTED_VALUE"""),500.93)</f>
        <v>500.93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IFERROR(__xludf.DUMMYFUNCTION("""COMPUTED_VALUE"""),500.0)</f>
        <v>500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IFERROR(__xludf.DUMMYFUNCTION("""COMPUTED_VALUE"""),515.48)</f>
        <v>515.48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IFERROR(__xludf.DUMMYFUNCTION("""COMPUTED_VALUE"""),514.14)</f>
        <v>514.14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IFERROR(__xludf.DUMMYFUNCTION("""COMPUTED_VALUE"""),516.0)</f>
        <v>516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IFERROR(__xludf.DUMMYFUNCTION("""COMPUTED_VALUE"""),511.19)</f>
        <v>511.19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IFERROR(__xludf.DUMMYFUNCTION("""COMPUTED_VALUE"""),510.5)</f>
        <v>510.5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IFERROR(__xludf.DUMMYFUNCTION("""COMPUTED_VALUE"""),514.38)</f>
        <v>514.38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IFERROR(__xludf.DUMMYFUNCTION("""COMPUTED_VALUE"""),502.5)</f>
        <v>502.5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IFERROR(__xludf.DUMMYFUNCTION("""COMPUTED_VALUE"""),495.0)</f>
        <v>495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IFERROR(__xludf.DUMMYFUNCTION("""COMPUTED_VALUE"""),502.25)</f>
        <v>502.25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IFERROR(__xludf.DUMMYFUNCTION("""COMPUTED_VALUE"""),574.5)</f>
        <v>574.5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IFERROR(__xludf.DUMMYFUNCTION("""COMPUTED_VALUE"""),546.0)</f>
        <v>546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IFERROR(__xludf.DUMMYFUNCTION("""COMPUTED_VALUE"""),552.75)</f>
        <v>552.75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IFERROR(__xludf.DUMMYFUNCTION("""COMPUTED_VALUE"""),584.35)</f>
        <v>584.35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IFERROR(__xludf.DUMMYFUNCTION("""COMPUTED_VALUE"""),593.1)</f>
        <v>593.1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IFERROR(__xludf.DUMMYFUNCTION("""COMPUTED_VALUE"""),562.45)</f>
        <v>562.45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IFERROR(__xludf.DUMMYFUNCTION("""COMPUTED_VALUE"""),567.42)</f>
        <v>567.42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IFERROR(__xludf.DUMMYFUNCTION("""COMPUTED_VALUE"""),553.2)</f>
        <v>553.2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IFERROR(__xludf.DUMMYFUNCTION("""COMPUTED_VALUE"""),558.95)</f>
        <v>558.95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IFERROR(__xludf.DUMMYFUNCTION("""COMPUTED_VALUE"""),576.35)</f>
        <v>576.35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IFERROR(__xludf.DUMMYFUNCTION("""COMPUTED_VALUE"""),598.88)</f>
        <v>598.88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IFERROR(__xludf.DUMMYFUNCTION("""COMPUTED_VALUE"""),596.28)</f>
        <v>596.28</v>
      </c>
    </row>
    <row r="757" ht="15.75" customHeight="1">
      <c r="B757" s="3">
        <f>IFERROR(__xludf.DUMMYFUNCTION("""COMPUTED_VALUE"""),42300.64583333333)</f>
        <v>42300.64583</v>
      </c>
      <c r="C757" s="2">
        <f>IFERROR(__xludf.DUMMYFUNCTION("""COMPUTED_VALUE"""),576.5)</f>
        <v>576.5</v>
      </c>
    </row>
    <row r="758" ht="15.75" customHeight="1">
      <c r="B758" s="3">
        <f>IFERROR(__xludf.DUMMYFUNCTION("""COMPUTED_VALUE"""),42307.64583333333)</f>
        <v>42307.64583</v>
      </c>
      <c r="C758" s="2">
        <f>IFERROR(__xludf.DUMMYFUNCTION("""COMPUTED_VALUE"""),579.25)</f>
        <v>579.25</v>
      </c>
    </row>
    <row r="759" ht="15.75" customHeight="1">
      <c r="B759" s="3">
        <f>IFERROR(__xludf.DUMMYFUNCTION("""COMPUTED_VALUE"""),42314.64583333333)</f>
        <v>42314.64583</v>
      </c>
      <c r="C759" s="2">
        <f>IFERROR(__xludf.DUMMYFUNCTION("""COMPUTED_VALUE"""),578.8)</f>
        <v>578.8</v>
      </c>
    </row>
    <row r="760" ht="15.75" customHeight="1">
      <c r="B760" s="3">
        <f>IFERROR(__xludf.DUMMYFUNCTION("""COMPUTED_VALUE"""),42321.64583333333)</f>
        <v>42321.64583</v>
      </c>
      <c r="C760" s="2">
        <f>IFERROR(__xludf.DUMMYFUNCTION("""COMPUTED_VALUE"""),570.0)</f>
        <v>570</v>
      </c>
    </row>
    <row r="761" ht="15.75" customHeight="1">
      <c r="B761" s="3">
        <f>IFERROR(__xludf.DUMMYFUNCTION("""COMPUTED_VALUE"""),42328.64583333333)</f>
        <v>42328.64583</v>
      </c>
      <c r="C761" s="2">
        <f>IFERROR(__xludf.DUMMYFUNCTION("""COMPUTED_VALUE"""),547.0)</f>
        <v>547</v>
      </c>
    </row>
    <row r="762" ht="15.75" customHeight="1">
      <c r="B762" s="3">
        <f>IFERROR(__xludf.DUMMYFUNCTION("""COMPUTED_VALUE"""),42335.64583333333)</f>
        <v>42335.64583</v>
      </c>
      <c r="C762" s="2">
        <f>IFERROR(__xludf.DUMMYFUNCTION("""COMPUTED_VALUE"""),535.0)</f>
        <v>535</v>
      </c>
    </row>
    <row r="763" ht="15.75" customHeight="1">
      <c r="B763" s="3">
        <f>IFERROR(__xludf.DUMMYFUNCTION("""COMPUTED_VALUE"""),42342.64583333333)</f>
        <v>42342.64583</v>
      </c>
      <c r="C763" s="2">
        <f>IFERROR(__xludf.DUMMYFUNCTION("""COMPUTED_VALUE"""),547.5)</f>
        <v>547.5</v>
      </c>
    </row>
    <row r="764" ht="15.75" customHeight="1">
      <c r="B764" s="3">
        <f>IFERROR(__xludf.DUMMYFUNCTION("""COMPUTED_VALUE"""),42349.64583333333)</f>
        <v>42349.64583</v>
      </c>
      <c r="C764" s="2">
        <f>IFERROR(__xludf.DUMMYFUNCTION("""COMPUTED_VALUE"""),531.38)</f>
        <v>531.38</v>
      </c>
    </row>
    <row r="765" ht="15.75" customHeight="1">
      <c r="B765" s="3">
        <f>IFERROR(__xludf.DUMMYFUNCTION("""COMPUTED_VALUE"""),42356.64583333333)</f>
        <v>42356.64583</v>
      </c>
      <c r="C765" s="2">
        <f>IFERROR(__xludf.DUMMYFUNCTION("""COMPUTED_VALUE"""),554.9)</f>
        <v>554.9</v>
      </c>
    </row>
    <row r="766" ht="15.75" customHeight="1">
      <c r="B766" s="3">
        <f>IFERROR(__xludf.DUMMYFUNCTION("""COMPUTED_VALUE"""),42362.64583333333)</f>
        <v>42362.64583</v>
      </c>
      <c r="C766" s="2">
        <f>IFERROR(__xludf.DUMMYFUNCTION("""COMPUTED_VALUE"""),553.7)</f>
        <v>553.7</v>
      </c>
    </row>
    <row r="767" ht="15.75" customHeight="1">
      <c r="B767" s="3">
        <f>IFERROR(__xludf.DUMMYFUNCTION("""COMPUTED_VALUE"""),42370.64583333333)</f>
        <v>42370.64583</v>
      </c>
      <c r="C767" s="2">
        <f>IFERROR(__xludf.DUMMYFUNCTION("""COMPUTED_VALUE"""),555.0)</f>
        <v>555</v>
      </c>
    </row>
    <row r="768" ht="15.75" customHeight="1"/>
    <row r="769" ht="15.75" customHeight="1"/>
    <row r="770" ht="15.75" customHeight="1"/>
    <row r="771" ht="15.75" customHeight="1">
      <c r="B771" s="2" t="str">
        <f>IFERROR(__xludf.DUMMYFUNCTION("GOOGLEFINANCE(""NSE:INFY"",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IFERROR(__xludf.DUMMYFUNCTION("""COMPUTED_VALUE"""),551.23)</f>
        <v>551.23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IFERROR(__xludf.DUMMYFUNCTION("""COMPUTED_VALUE"""),582.0)</f>
        <v>582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IFERROR(__xludf.DUMMYFUNCTION("""COMPUTED_VALUE"""),581.05)</f>
        <v>581.05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IFERROR(__xludf.DUMMYFUNCTION("""COMPUTED_VALUE"""),585.0)</f>
        <v>585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IFERROR(__xludf.DUMMYFUNCTION("""COMPUTED_VALUE"""),597.48)</f>
        <v>597.48</v>
      </c>
    </row>
    <row r="777" ht="15.75" customHeight="1">
      <c r="B777" s="3">
        <f>IFERROR(__xludf.DUMMYFUNCTION("""COMPUTED_VALUE"""),42419.64583333333)</f>
        <v>42419.64583</v>
      </c>
      <c r="C777" s="2">
        <f>IFERROR(__xludf.DUMMYFUNCTION("""COMPUTED_VALUE"""),567.1)</f>
        <v>567.1</v>
      </c>
    </row>
    <row r="778" ht="15.75" customHeight="1">
      <c r="B778" s="3">
        <f>IFERROR(__xludf.DUMMYFUNCTION("""COMPUTED_VALUE"""),42426.64583333333)</f>
        <v>42426.64583</v>
      </c>
      <c r="C778" s="2">
        <f>IFERROR(__xludf.DUMMYFUNCTION("""COMPUTED_VALUE"""),571.88)</f>
        <v>571.88</v>
      </c>
    </row>
    <row r="779" ht="15.75" customHeight="1">
      <c r="B779" s="3">
        <f>IFERROR(__xludf.DUMMYFUNCTION("""COMPUTED_VALUE"""),42433.64583333333)</f>
        <v>42433.64583</v>
      </c>
      <c r="C779" s="2">
        <f>IFERROR(__xludf.DUMMYFUNCTION("""COMPUTED_VALUE"""),596.42)</f>
        <v>596.42</v>
      </c>
    </row>
    <row r="780" ht="15.75" customHeight="1">
      <c r="B780" s="3">
        <f>IFERROR(__xludf.DUMMYFUNCTION("""COMPUTED_VALUE"""),42440.64583333333)</f>
        <v>42440.64583</v>
      </c>
      <c r="C780" s="2">
        <f>IFERROR(__xludf.DUMMYFUNCTION("""COMPUTED_VALUE"""),595.25)</f>
        <v>595.25</v>
      </c>
    </row>
    <row r="781" ht="15.75" customHeight="1">
      <c r="B781" s="3">
        <f>IFERROR(__xludf.DUMMYFUNCTION("""COMPUTED_VALUE"""),42447.64583333333)</f>
        <v>42447.64583</v>
      </c>
      <c r="C781" s="2">
        <f>IFERROR(__xludf.DUMMYFUNCTION("""COMPUTED_VALUE"""),599.5)</f>
        <v>599.5</v>
      </c>
    </row>
    <row r="782" ht="15.75" customHeight="1">
      <c r="B782" s="3">
        <f>IFERROR(__xludf.DUMMYFUNCTION("""COMPUTED_VALUE"""),42452.64583333333)</f>
        <v>42452.64583</v>
      </c>
      <c r="C782" s="2">
        <f>IFERROR(__xludf.DUMMYFUNCTION("""COMPUTED_VALUE"""),605.35)</f>
        <v>605.35</v>
      </c>
    </row>
    <row r="783" ht="15.75" customHeight="1">
      <c r="B783" s="3">
        <f>IFERROR(__xludf.DUMMYFUNCTION("""COMPUTED_VALUE"""),42461.64583333333)</f>
        <v>42461.64583</v>
      </c>
      <c r="C783" s="2">
        <f>IFERROR(__xludf.DUMMYFUNCTION("""COMPUTED_VALUE"""),618.5)</f>
        <v>618.5</v>
      </c>
    </row>
    <row r="784" ht="15.75" customHeight="1">
      <c r="B784" s="3">
        <f>IFERROR(__xludf.DUMMYFUNCTION("""COMPUTED_VALUE"""),42468.64583333333)</f>
        <v>42468.64583</v>
      </c>
      <c r="C784" s="2">
        <f>IFERROR(__xludf.DUMMYFUNCTION("""COMPUTED_VALUE"""),624.0)</f>
        <v>624</v>
      </c>
    </row>
    <row r="785" ht="15.75" customHeight="1">
      <c r="B785" s="3">
        <f>IFERROR(__xludf.DUMMYFUNCTION("""COMPUTED_VALUE"""),42473.64583333333)</f>
        <v>42473.64583</v>
      </c>
      <c r="C785" s="2">
        <f>IFERROR(__xludf.DUMMYFUNCTION("""COMPUTED_VALUE"""),597.48)</f>
        <v>597.48</v>
      </c>
    </row>
    <row r="786" ht="15.75" customHeight="1">
      <c r="B786" s="3">
        <f>IFERROR(__xludf.DUMMYFUNCTION("""COMPUTED_VALUE"""),42482.64583333333)</f>
        <v>42482.64583</v>
      </c>
      <c r="C786" s="2">
        <f>IFERROR(__xludf.DUMMYFUNCTION("""COMPUTED_VALUE"""),633.95)</f>
        <v>633.95</v>
      </c>
    </row>
    <row r="787" ht="15.75" customHeight="1">
      <c r="B787" s="3">
        <f>IFERROR(__xludf.DUMMYFUNCTION("""COMPUTED_VALUE"""),42489.64583333333)</f>
        <v>42489.64583</v>
      </c>
      <c r="C787" s="2">
        <f>IFERROR(__xludf.DUMMYFUNCTION("""COMPUTED_VALUE"""),621.17)</f>
        <v>621.17</v>
      </c>
    </row>
    <row r="788" ht="15.75" customHeight="1">
      <c r="B788" s="3">
        <f>IFERROR(__xludf.DUMMYFUNCTION("""COMPUTED_VALUE"""),42496.64583333333)</f>
        <v>42496.64583</v>
      </c>
      <c r="C788" s="2">
        <f>IFERROR(__xludf.DUMMYFUNCTION("""COMPUTED_VALUE"""),606.1)</f>
        <v>606.1</v>
      </c>
    </row>
    <row r="789" ht="15.75" customHeight="1">
      <c r="B789" s="3">
        <f>IFERROR(__xludf.DUMMYFUNCTION("""COMPUTED_VALUE"""),42503.64583333333)</f>
        <v>42503.64583</v>
      </c>
      <c r="C789" s="2">
        <f>IFERROR(__xludf.DUMMYFUNCTION("""COMPUTED_VALUE"""),608.33)</f>
        <v>608.33</v>
      </c>
    </row>
    <row r="790" ht="15.75" customHeight="1">
      <c r="B790" s="3">
        <f>IFERROR(__xludf.DUMMYFUNCTION("""COMPUTED_VALUE"""),42510.64583333333)</f>
        <v>42510.64583</v>
      </c>
      <c r="C790" s="2">
        <f>IFERROR(__xludf.DUMMYFUNCTION("""COMPUTED_VALUE"""),612.88)</f>
        <v>612.88</v>
      </c>
    </row>
    <row r="791" ht="15.75" customHeight="1">
      <c r="B791" s="3">
        <f>IFERROR(__xludf.DUMMYFUNCTION("""COMPUTED_VALUE"""),42517.64583333333)</f>
        <v>42517.64583</v>
      </c>
      <c r="C791" s="2">
        <f>IFERROR(__xludf.DUMMYFUNCTION("""COMPUTED_VALUE"""),629.75)</f>
        <v>629.75</v>
      </c>
    </row>
    <row r="792" ht="15.75" customHeight="1">
      <c r="B792" s="3">
        <f>IFERROR(__xludf.DUMMYFUNCTION("""COMPUTED_VALUE"""),42524.64583333333)</f>
        <v>42524.64583</v>
      </c>
      <c r="C792" s="2">
        <f>IFERROR(__xludf.DUMMYFUNCTION("""COMPUTED_VALUE"""),639.65)</f>
        <v>639.65</v>
      </c>
    </row>
    <row r="793" ht="15.75" customHeight="1">
      <c r="B793" s="3">
        <f>IFERROR(__xludf.DUMMYFUNCTION("""COMPUTED_VALUE"""),42531.64583333333)</f>
        <v>42531.64583</v>
      </c>
      <c r="C793" s="2">
        <f>IFERROR(__xludf.DUMMYFUNCTION("""COMPUTED_VALUE"""),638.5)</f>
        <v>638.5</v>
      </c>
    </row>
    <row r="794" ht="15.75" customHeight="1">
      <c r="B794" s="3">
        <f>IFERROR(__xludf.DUMMYFUNCTION("""COMPUTED_VALUE"""),42538.64583333333)</f>
        <v>42538.64583</v>
      </c>
      <c r="C794" s="2">
        <f>IFERROR(__xludf.DUMMYFUNCTION("""COMPUTED_VALUE"""),596.38)</f>
        <v>596.38</v>
      </c>
    </row>
    <row r="795" ht="15.75" customHeight="1">
      <c r="B795" s="3">
        <f>IFERROR(__xludf.DUMMYFUNCTION("""COMPUTED_VALUE"""),42545.64583333333)</f>
        <v>42545.64583</v>
      </c>
      <c r="C795" s="2">
        <f>IFERROR(__xludf.DUMMYFUNCTION("""COMPUTED_VALUE"""),607.42)</f>
        <v>607.42</v>
      </c>
    </row>
    <row r="796" ht="15.75" customHeight="1">
      <c r="B796" s="3">
        <f>IFERROR(__xludf.DUMMYFUNCTION("""COMPUTED_VALUE"""),42552.64583333333)</f>
        <v>42552.64583</v>
      </c>
      <c r="C796" s="2">
        <f>IFERROR(__xludf.DUMMYFUNCTION("""COMPUTED_VALUE"""),592.25)</f>
        <v>592.25</v>
      </c>
    </row>
    <row r="797" ht="15.75" customHeight="1">
      <c r="B797" s="3">
        <f>IFERROR(__xludf.DUMMYFUNCTION("""COMPUTED_VALUE"""),42559.64583333333)</f>
        <v>42559.64583</v>
      </c>
      <c r="C797" s="2">
        <f>IFERROR(__xludf.DUMMYFUNCTION("""COMPUTED_VALUE"""),597.3)</f>
        <v>597.3</v>
      </c>
    </row>
    <row r="798" ht="15.75" customHeight="1">
      <c r="B798" s="3">
        <f>IFERROR(__xludf.DUMMYFUNCTION("""COMPUTED_VALUE"""),42566.64583333333)</f>
        <v>42566.64583</v>
      </c>
      <c r="C798" s="2">
        <f>IFERROR(__xludf.DUMMYFUNCTION("""COMPUTED_VALUE"""),598.03)</f>
        <v>598.03</v>
      </c>
    </row>
    <row r="799" ht="15.75" customHeight="1">
      <c r="B799" s="3">
        <f>IFERROR(__xludf.DUMMYFUNCTION("""COMPUTED_VALUE"""),42573.64583333333)</f>
        <v>42573.64583</v>
      </c>
      <c r="C799" s="2">
        <f>IFERROR(__xludf.DUMMYFUNCTION("""COMPUTED_VALUE"""),545.0)</f>
        <v>545</v>
      </c>
    </row>
    <row r="800" ht="15.75" customHeight="1">
      <c r="B800" s="3">
        <f>IFERROR(__xludf.DUMMYFUNCTION("""COMPUTED_VALUE"""),42580.64583333333)</f>
        <v>42580.64583</v>
      </c>
      <c r="C800" s="2">
        <f>IFERROR(__xludf.DUMMYFUNCTION("""COMPUTED_VALUE"""),548.25)</f>
        <v>548.25</v>
      </c>
    </row>
    <row r="801" ht="15.75" customHeight="1">
      <c r="B801" s="3">
        <f>IFERROR(__xludf.DUMMYFUNCTION("""COMPUTED_VALUE"""),42587.64583333333)</f>
        <v>42587.64583</v>
      </c>
      <c r="C801" s="2">
        <f>IFERROR(__xludf.DUMMYFUNCTION("""COMPUTED_VALUE"""),543.92)</f>
        <v>543.92</v>
      </c>
    </row>
    <row r="802" ht="15.75" customHeight="1">
      <c r="B802" s="3">
        <f>IFERROR(__xludf.DUMMYFUNCTION("""COMPUTED_VALUE"""),42594.64583333333)</f>
        <v>42594.64583</v>
      </c>
      <c r="C802" s="2">
        <f>IFERROR(__xludf.DUMMYFUNCTION("""COMPUTED_VALUE"""),547.5)</f>
        <v>547.5</v>
      </c>
    </row>
    <row r="803" ht="15.75" customHeight="1">
      <c r="B803" s="3">
        <f>IFERROR(__xludf.DUMMYFUNCTION("""COMPUTED_VALUE"""),42601.64583333333)</f>
        <v>42601.64583</v>
      </c>
      <c r="C803" s="2">
        <f>IFERROR(__xludf.DUMMYFUNCTION("""COMPUTED_VALUE"""),529.03)</f>
        <v>529.03</v>
      </c>
    </row>
    <row r="804" ht="15.75" customHeight="1">
      <c r="B804" s="3">
        <f>IFERROR(__xludf.DUMMYFUNCTION("""COMPUTED_VALUE"""),42608.64583333333)</f>
        <v>42608.64583</v>
      </c>
      <c r="C804" s="2">
        <f>IFERROR(__xludf.DUMMYFUNCTION("""COMPUTED_VALUE"""),531.03)</f>
        <v>531.03</v>
      </c>
    </row>
    <row r="805" ht="15.75" customHeight="1">
      <c r="B805" s="3">
        <f>IFERROR(__xludf.DUMMYFUNCTION("""COMPUTED_VALUE"""),42615.64583333333)</f>
        <v>42615.64583</v>
      </c>
      <c r="C805" s="2">
        <f>IFERROR(__xludf.DUMMYFUNCTION("""COMPUTED_VALUE"""),522.88)</f>
        <v>522.88</v>
      </c>
    </row>
    <row r="806" ht="15.75" customHeight="1">
      <c r="B806" s="3">
        <f>IFERROR(__xludf.DUMMYFUNCTION("""COMPUTED_VALUE"""),42622.64583333333)</f>
        <v>42622.64583</v>
      </c>
      <c r="C806" s="2">
        <f>IFERROR(__xludf.DUMMYFUNCTION("""COMPUTED_VALUE"""),529.5)</f>
        <v>529.5</v>
      </c>
    </row>
    <row r="807" ht="15.75" customHeight="1">
      <c r="B807" s="3">
        <f>IFERROR(__xludf.DUMMYFUNCTION("""COMPUTED_VALUE"""),42629.64583333333)</f>
        <v>42629.64583</v>
      </c>
      <c r="C807" s="2">
        <f>IFERROR(__xludf.DUMMYFUNCTION("""COMPUTED_VALUE"""),532.25)</f>
        <v>532.25</v>
      </c>
    </row>
    <row r="808" ht="15.75" customHeight="1">
      <c r="B808" s="3">
        <f>IFERROR(__xludf.DUMMYFUNCTION("""COMPUTED_VALUE"""),42636.64583333333)</f>
        <v>42636.64583</v>
      </c>
      <c r="C808" s="2">
        <f>IFERROR(__xludf.DUMMYFUNCTION("""COMPUTED_VALUE"""),534.45)</f>
        <v>534.45</v>
      </c>
    </row>
    <row r="809" ht="15.75" customHeight="1">
      <c r="B809" s="3">
        <f>IFERROR(__xludf.DUMMYFUNCTION("""COMPUTED_VALUE"""),42643.64583333333)</f>
        <v>42643.64583</v>
      </c>
      <c r="C809" s="2">
        <f>IFERROR(__xludf.DUMMYFUNCTION("""COMPUTED_VALUE"""),524.95)</f>
        <v>524.95</v>
      </c>
    </row>
    <row r="810" ht="15.75" customHeight="1">
      <c r="B810" s="3">
        <f>IFERROR(__xludf.DUMMYFUNCTION("""COMPUTED_VALUE"""),42650.64583333333)</f>
        <v>42650.64583</v>
      </c>
      <c r="C810" s="2">
        <f>IFERROR(__xludf.DUMMYFUNCTION("""COMPUTED_VALUE"""),525.7)</f>
        <v>525.7</v>
      </c>
    </row>
    <row r="811" ht="15.75" customHeight="1">
      <c r="B811" s="3">
        <f>IFERROR(__xludf.DUMMYFUNCTION("""COMPUTED_VALUE"""),42657.64583333333)</f>
        <v>42657.64583</v>
      </c>
      <c r="C811" s="2">
        <f>IFERROR(__xludf.DUMMYFUNCTION("""COMPUTED_VALUE"""),541.35)</f>
        <v>541.35</v>
      </c>
    </row>
    <row r="812" ht="15.75" customHeight="1">
      <c r="B812" s="3">
        <f>IFERROR(__xludf.DUMMYFUNCTION("""COMPUTED_VALUE"""),42664.64583333333)</f>
        <v>42664.64583</v>
      </c>
      <c r="C812" s="2">
        <f>IFERROR(__xludf.DUMMYFUNCTION("""COMPUTED_VALUE"""),525.35)</f>
        <v>525.35</v>
      </c>
    </row>
    <row r="813" ht="15.75" customHeight="1">
      <c r="B813" s="3">
        <f>IFERROR(__xludf.DUMMYFUNCTION("""COMPUTED_VALUE"""),42671.64583333333)</f>
        <v>42671.64583</v>
      </c>
      <c r="C813" s="2">
        <f>IFERROR(__xludf.DUMMYFUNCTION("""COMPUTED_VALUE"""),521.35)</f>
        <v>521.35</v>
      </c>
    </row>
    <row r="814" ht="15.75" customHeight="1">
      <c r="B814" s="3">
        <f>IFERROR(__xludf.DUMMYFUNCTION("""COMPUTED_VALUE"""),42678.64583333333)</f>
        <v>42678.64583</v>
      </c>
      <c r="C814" s="2">
        <f>IFERROR(__xludf.DUMMYFUNCTION("""COMPUTED_VALUE"""),503.4)</f>
        <v>503.4</v>
      </c>
    </row>
    <row r="815" ht="15.75" customHeight="1">
      <c r="B815" s="3">
        <f>IFERROR(__xludf.DUMMYFUNCTION("""COMPUTED_VALUE"""),42685.64583333333)</f>
        <v>42685.64583</v>
      </c>
      <c r="C815" s="2">
        <f>IFERROR(__xludf.DUMMYFUNCTION("""COMPUTED_VALUE"""),493.88)</f>
        <v>493.88</v>
      </c>
    </row>
    <row r="816" ht="15.75" customHeight="1">
      <c r="B816" s="3">
        <f>IFERROR(__xludf.DUMMYFUNCTION("""COMPUTED_VALUE"""),42692.64583333333)</f>
        <v>42692.64583</v>
      </c>
      <c r="C816" s="2">
        <f>IFERROR(__xludf.DUMMYFUNCTION("""COMPUTED_VALUE"""),478.43)</f>
        <v>478.43</v>
      </c>
    </row>
    <row r="817" ht="15.75" customHeight="1">
      <c r="B817" s="3">
        <f>IFERROR(__xludf.DUMMYFUNCTION("""COMPUTED_VALUE"""),42699.64583333333)</f>
        <v>42699.64583</v>
      </c>
      <c r="C817" s="2">
        <f>IFERROR(__xludf.DUMMYFUNCTION("""COMPUTED_VALUE"""),492.5)</f>
        <v>492.5</v>
      </c>
    </row>
    <row r="818" ht="15.75" customHeight="1">
      <c r="B818" s="3">
        <f>IFERROR(__xludf.DUMMYFUNCTION("""COMPUTED_VALUE"""),42706.64583333333)</f>
        <v>42706.64583</v>
      </c>
      <c r="C818" s="2">
        <f>IFERROR(__xludf.DUMMYFUNCTION("""COMPUTED_VALUE"""),492.35)</f>
        <v>492.35</v>
      </c>
    </row>
    <row r="819" ht="15.75" customHeight="1">
      <c r="B819" s="3">
        <f>IFERROR(__xludf.DUMMYFUNCTION("""COMPUTED_VALUE"""),42713.64583333333)</f>
        <v>42713.64583</v>
      </c>
      <c r="C819" s="2">
        <f>IFERROR(__xludf.DUMMYFUNCTION("""COMPUTED_VALUE"""),504.08)</f>
        <v>504.08</v>
      </c>
    </row>
    <row r="820" ht="15.75" customHeight="1">
      <c r="B820" s="3">
        <f>IFERROR(__xludf.DUMMYFUNCTION("""COMPUTED_VALUE"""),42720.64583333333)</f>
        <v>42720.64583</v>
      </c>
      <c r="C820" s="2">
        <f>IFERROR(__xludf.DUMMYFUNCTION("""COMPUTED_VALUE"""),509.48)</f>
        <v>509.48</v>
      </c>
    </row>
    <row r="821" ht="15.75" customHeight="1">
      <c r="B821" s="3">
        <f>IFERROR(__xludf.DUMMYFUNCTION("""COMPUTED_VALUE"""),42727.64583333333)</f>
        <v>42727.64583</v>
      </c>
      <c r="C821" s="2">
        <f>IFERROR(__xludf.DUMMYFUNCTION("""COMPUTED_VALUE"""),511.0)</f>
        <v>511</v>
      </c>
    </row>
    <row r="822" ht="15.75" customHeight="1">
      <c r="B822" s="3">
        <f>IFERROR(__xludf.DUMMYFUNCTION("""COMPUTED_VALUE"""),42734.64583333333)</f>
        <v>42734.64583</v>
      </c>
      <c r="C822" s="2">
        <f>IFERROR(__xludf.DUMMYFUNCTION("""COMPUTED_VALUE"""),506.0)</f>
        <v>506</v>
      </c>
    </row>
    <row r="823" ht="15.75" customHeight="1"/>
    <row r="824" ht="15.75" customHeight="1"/>
    <row r="825" ht="15.75" customHeight="1"/>
    <row r="826" ht="15.75" customHeight="1">
      <c r="B826" s="2" t="str">
        <f>IFERROR(__xludf.DUMMYFUNCTION("GOOGLEFINANCE(""NSE:INFY"",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IFERROR(__xludf.DUMMYFUNCTION("""COMPUTED_VALUE"""),506.48)</f>
        <v>506.48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IFERROR(__xludf.DUMMYFUNCTION("""COMPUTED_VALUE"""),520.0)</f>
        <v>520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IFERROR(__xludf.DUMMYFUNCTION("""COMPUTED_VALUE"""),482.73)</f>
        <v>482.73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IFERROR(__xludf.DUMMYFUNCTION("""COMPUTED_VALUE"""),479.0)</f>
        <v>479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IFERROR(__xludf.DUMMYFUNCTION("""COMPUTED_VALUE"""),475.75)</f>
        <v>475.75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IFERROR(__xludf.DUMMYFUNCTION("""COMPUTED_VALUE"""),486.0)</f>
        <v>486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IFERROR(__xludf.DUMMYFUNCTION("""COMPUTED_VALUE"""),506.95)</f>
        <v>506.95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IFERROR(__xludf.DUMMYFUNCTION("""COMPUTED_VALUE"""),515.5)</f>
        <v>515.5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IFERROR(__xludf.DUMMYFUNCTION("""COMPUTED_VALUE"""),517.15)</f>
        <v>517.15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IFERROR(__xludf.DUMMYFUNCTION("""COMPUTED_VALUE"""),517.98)</f>
        <v>517.98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IFERROR(__xludf.DUMMYFUNCTION("""COMPUTED_VALUE"""),521.45)</f>
        <v>521.45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IFERROR(__xludf.DUMMYFUNCTION("""COMPUTED_VALUE"""),522.0)</f>
        <v>522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IFERROR(__xludf.DUMMYFUNCTION("""COMPUTED_VALUE"""),520.92)</f>
        <v>520.92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IFERROR(__xludf.DUMMYFUNCTION("""COMPUTED_VALUE"""),516.23)</f>
        <v>516.23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IFERROR(__xludf.DUMMYFUNCTION("""COMPUTED_VALUE"""),495.0)</f>
        <v>495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IFERROR(__xludf.DUMMYFUNCTION("""COMPUTED_VALUE"""),467.4)</f>
        <v>467.4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IFERROR(__xludf.DUMMYFUNCTION("""COMPUTED_VALUE"""),467.78)</f>
        <v>467.78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IFERROR(__xludf.DUMMYFUNCTION("""COMPUTED_VALUE"""),469.83)</f>
        <v>469.83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IFERROR(__xludf.DUMMYFUNCTION("""COMPUTED_VALUE"""),483.0)</f>
        <v>483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IFERROR(__xludf.DUMMYFUNCTION("""COMPUTED_VALUE"""),486.95)</f>
        <v>486.95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IFERROR(__xludf.DUMMYFUNCTION("""COMPUTED_VALUE"""),500.0)</f>
        <v>500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IFERROR(__xludf.DUMMYFUNCTION("""COMPUTED_VALUE"""),500.0)</f>
        <v>500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IFERROR(__xludf.DUMMYFUNCTION("""COMPUTED_VALUE"""),494.45)</f>
        <v>494.45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IFERROR(__xludf.DUMMYFUNCTION("""COMPUTED_VALUE"""),483.98)</f>
        <v>483.98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IFERROR(__xludf.DUMMYFUNCTION("""COMPUTED_VALUE"""),484.35)</f>
        <v>484.35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IFERROR(__xludf.DUMMYFUNCTION("""COMPUTED_VALUE"""),474.0)</f>
        <v>474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IFERROR(__xludf.DUMMYFUNCTION("""COMPUTED_VALUE"""),485.0)</f>
        <v>485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IFERROR(__xludf.DUMMYFUNCTION("""COMPUTED_VALUE"""),503.43)</f>
        <v>503.43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IFERROR(__xludf.DUMMYFUNCTION("""COMPUTED_VALUE"""),502.4)</f>
        <v>502.4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IFERROR(__xludf.DUMMYFUNCTION("""COMPUTED_VALUE"""),502.0)</f>
        <v>502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IFERROR(__xludf.DUMMYFUNCTION("""COMPUTED_VALUE"""),510.85)</f>
        <v>510.85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IFERROR(__xludf.DUMMYFUNCTION("""COMPUTED_VALUE"""),498.5)</f>
        <v>498.5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IFERROR(__xludf.DUMMYFUNCTION("""COMPUTED_VALUE"""),514.63)</f>
        <v>514.63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IFERROR(__xludf.DUMMYFUNCTION("""COMPUTED_VALUE"""),462.0)</f>
        <v>462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IFERROR(__xludf.DUMMYFUNCTION("""COMPUTED_VALUE"""),476.98)</f>
        <v>476.98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IFERROR(__xludf.DUMMYFUNCTION("""COMPUTED_VALUE"""),460.55)</f>
        <v>460.55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IFERROR(__xludf.DUMMYFUNCTION("""COMPUTED_VALUE"""),456.63)</f>
        <v>456.63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IFERROR(__xludf.DUMMYFUNCTION("""COMPUTED_VALUE"""),458.88)</f>
        <v>458.88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IFERROR(__xludf.DUMMYFUNCTION("""COMPUTED_VALUE"""),454.2)</f>
        <v>454.2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IFERROR(__xludf.DUMMYFUNCTION("""COMPUTED_VALUE"""),461.0)</f>
        <v>461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IFERROR(__xludf.DUMMYFUNCTION("""COMPUTED_VALUE"""),469.98)</f>
        <v>469.98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IFERROR(__xludf.DUMMYFUNCTION("""COMPUTED_VALUE"""),471.0)</f>
        <v>471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IFERROR(__xludf.DUMMYFUNCTION("""COMPUTED_VALUE"""),478.85)</f>
        <v>478.85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IFERROR(__xludf.DUMMYFUNCTION("""COMPUTED_VALUE"""),477.33)</f>
        <v>477.33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IFERROR(__xludf.DUMMYFUNCTION("""COMPUTED_VALUE"""),482.18)</f>
        <v>482.18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IFERROR(__xludf.DUMMYFUNCTION("""COMPUTED_VALUE"""),497.95)</f>
        <v>497.95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IFERROR(__xludf.DUMMYFUNCTION("""COMPUTED_VALUE"""),509.65)</f>
        <v>509.65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IFERROR(__xludf.DUMMYFUNCTION("""COMPUTED_VALUE"""),503.35)</f>
        <v>503.35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IFERROR(__xludf.DUMMYFUNCTION("""COMPUTED_VALUE"""),503.5)</f>
        <v>503.5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IFERROR(__xludf.DUMMYFUNCTION("""COMPUTED_VALUE"""),513.2)</f>
        <v>513.2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IFERROR(__xludf.DUMMYFUNCTION("""COMPUTED_VALUE"""),522.4)</f>
        <v>522.4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IFERROR(__xludf.DUMMYFUNCTION("""COMPUTED_VALUE"""),524.4)</f>
        <v>524.4</v>
      </c>
    </row>
    <row r="879" ht="15.75" customHeight="1"/>
    <row r="880" ht="15.75" customHeight="1"/>
    <row r="881" ht="15.75" customHeight="1">
      <c r="B881" s="2" t="str">
        <f>IFERROR(__xludf.DUMMYFUNCTION("GOOGLEFINANCE(""NSE:INFY"",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IFERROR(__xludf.DUMMYFUNCTION("""COMPUTED_VALUE"""),522.25)</f>
        <v>522.25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IFERROR(__xludf.DUMMYFUNCTION("""COMPUTED_VALUE"""),542.95)</f>
        <v>542.95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IFERROR(__xludf.DUMMYFUNCTION("""COMPUTED_VALUE"""),582.45)</f>
        <v>582.45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IFERROR(__xludf.DUMMYFUNCTION("""COMPUTED_VALUE"""),610.53)</f>
        <v>610.53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IFERROR(__xludf.DUMMYFUNCTION("""COMPUTED_VALUE"""),598.13)</f>
        <v>598.13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IFERROR(__xludf.DUMMYFUNCTION("""COMPUTED_VALUE"""),577.42)</f>
        <v>577.42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IFERROR(__xludf.DUMMYFUNCTION("""COMPUTED_VALUE"""),570.83)</f>
        <v>570.83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IFERROR(__xludf.DUMMYFUNCTION("""COMPUTED_VALUE"""),583.0)</f>
        <v>583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IFERROR(__xludf.DUMMYFUNCTION("""COMPUTED_VALUE"""),594.75)</f>
        <v>594.75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IFERROR(__xludf.DUMMYFUNCTION("""COMPUTED_VALUE"""),585.4)</f>
        <v>585.4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IFERROR(__xludf.DUMMYFUNCTION("""COMPUTED_VALUE"""),598.5)</f>
        <v>598.5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IFERROR(__xludf.DUMMYFUNCTION("""COMPUTED_VALUE"""),590.25)</f>
        <v>590.25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IFERROR(__xludf.DUMMYFUNCTION("""COMPUTED_VALUE"""),583.45)</f>
        <v>583.45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IFERROR(__xludf.DUMMYFUNCTION("""COMPUTED_VALUE"""),575.65)</f>
        <v>575.65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IFERROR(__xludf.DUMMYFUNCTION("""COMPUTED_VALUE"""),592.95)</f>
        <v>592.95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IFERROR(__xludf.DUMMYFUNCTION("""COMPUTED_VALUE"""),596.85)</f>
        <v>596.85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IFERROR(__xludf.DUMMYFUNCTION("""COMPUTED_VALUE"""),607.2)</f>
        <v>607.2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IFERROR(__xludf.DUMMYFUNCTION("""COMPUTED_VALUE"""),603.98)</f>
        <v>603.98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IFERROR(__xludf.DUMMYFUNCTION("""COMPUTED_VALUE"""),595.0)</f>
        <v>595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IFERROR(__xludf.DUMMYFUNCTION("""COMPUTED_VALUE"""),604.0)</f>
        <v>604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IFERROR(__xludf.DUMMYFUNCTION("""COMPUTED_VALUE"""),624.33)</f>
        <v>624.33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IFERROR(__xludf.DUMMYFUNCTION("""COMPUTED_VALUE"""),623.13)</f>
        <v>623.13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IFERROR(__xludf.DUMMYFUNCTION("""COMPUTED_VALUE"""),631.0)</f>
        <v>631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IFERROR(__xludf.DUMMYFUNCTION("""COMPUTED_VALUE"""),645.75)</f>
        <v>645.75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IFERROR(__xludf.DUMMYFUNCTION("""COMPUTED_VALUE"""),645.63)</f>
        <v>645.63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IFERROR(__xludf.DUMMYFUNCTION("""COMPUTED_VALUE"""),657.5)</f>
        <v>657.5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IFERROR(__xludf.DUMMYFUNCTION("""COMPUTED_VALUE"""),678.95)</f>
        <v>678.95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IFERROR(__xludf.DUMMYFUNCTION("""COMPUTED_VALUE"""),671.05)</f>
        <v>671.05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IFERROR(__xludf.DUMMYFUNCTION("""COMPUTED_VALUE"""),692.2)</f>
        <v>692.2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IFERROR(__xludf.DUMMYFUNCTION("""COMPUTED_VALUE"""),696.9)</f>
        <v>696.9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IFERROR(__xludf.DUMMYFUNCTION("""COMPUTED_VALUE"""),686.5)</f>
        <v>686.5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IFERROR(__xludf.DUMMYFUNCTION("""COMPUTED_VALUE"""),694.73)</f>
        <v>694.73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IFERROR(__xludf.DUMMYFUNCTION("""COMPUTED_VALUE"""),718.83)</f>
        <v>718.83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IFERROR(__xludf.DUMMYFUNCTION("""COMPUTED_VALUE"""),703.98)</f>
        <v>703.98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IFERROR(__xludf.DUMMYFUNCTION("""COMPUTED_VALUE"""),727.15)</f>
        <v>727.15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IFERROR(__xludf.DUMMYFUNCTION("""COMPUTED_VALUE"""),748.5)</f>
        <v>748.5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IFERROR(__xludf.DUMMYFUNCTION("""COMPUTED_VALUE"""),747.0)</f>
        <v>747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IFERROR(__xludf.DUMMYFUNCTION("""COMPUTED_VALUE"""),740.0)</f>
        <v>740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IFERROR(__xludf.DUMMYFUNCTION("""COMPUTED_VALUE"""),736.0)</f>
        <v>736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IFERROR(__xludf.DUMMYFUNCTION("""COMPUTED_VALUE"""),754.9)</f>
        <v>754.9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IFERROR(__xludf.DUMMYFUNCTION("""COMPUTED_VALUE"""),728.7)</f>
        <v>728.7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IFERROR(__xludf.DUMMYFUNCTION("""COMPUTED_VALUE"""),721.8)</f>
        <v>721.8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IFERROR(__xludf.DUMMYFUNCTION("""COMPUTED_VALUE"""),695.05)</f>
        <v>695.05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IFERROR(__xludf.DUMMYFUNCTION("""COMPUTED_VALUE"""),692.95)</f>
        <v>692.95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IFERROR(__xludf.DUMMYFUNCTION("""COMPUTED_VALUE"""),679.0)</f>
        <v>679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IFERROR(__xludf.DUMMYFUNCTION("""COMPUTED_VALUE"""),676.4)</f>
        <v>676.4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IFERROR(__xludf.DUMMYFUNCTION("""COMPUTED_VALUE"""),662.0)</f>
        <v>662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IFERROR(__xludf.DUMMYFUNCTION("""COMPUTED_VALUE"""),674.9)</f>
        <v>674.9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IFERROR(__xludf.DUMMYFUNCTION("""COMPUTED_VALUE"""),688.25)</f>
        <v>688.25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IFERROR(__xludf.DUMMYFUNCTION("""COMPUTED_VALUE"""),713.7)</f>
        <v>713.7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IFERROR(__xludf.DUMMYFUNCTION("""COMPUTED_VALUE"""),711.85)</f>
        <v>711.85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IFERROR(__xludf.DUMMYFUNCTION("""COMPUTED_VALUE"""),663.5)</f>
        <v>663.5</v>
      </c>
    </row>
    <row r="934" ht="15.75" customHeight="1"/>
    <row r="935" ht="15.75" customHeight="1"/>
    <row r="936" ht="15.75" customHeight="1">
      <c r="B936" s="2" t="str">
        <f>IFERROR(__xludf.DUMMYFUNCTION("GOOGLEFINANCE(""NSE:INFY"",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IFERROR(__xludf.DUMMYFUNCTION("""COMPUTED_VALUE"""),677.0)</f>
        <v>677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IFERROR(__xludf.DUMMYFUNCTION("""COMPUTED_VALUE"""),689.8)</f>
        <v>689.8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IFERROR(__xludf.DUMMYFUNCTION("""COMPUTED_VALUE"""),739.0)</f>
        <v>739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IFERROR(__xludf.DUMMYFUNCTION("""COMPUTED_VALUE"""),751.0)</f>
        <v>751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IFERROR(__xludf.DUMMYFUNCTION("""COMPUTED_VALUE"""),762.5)</f>
        <v>762.5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IFERROR(__xludf.DUMMYFUNCTION("""COMPUTED_VALUE"""),772.25)</f>
        <v>772.25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IFERROR(__xludf.DUMMYFUNCTION("""COMPUTED_VALUE"""),768.75)</f>
        <v>768.75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IFERROR(__xludf.DUMMYFUNCTION("""COMPUTED_VALUE"""),743.0)</f>
        <v>743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IFERROR(__xludf.DUMMYFUNCTION("""COMPUTED_VALUE"""),758.0)</f>
        <v>758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IFERROR(__xludf.DUMMYFUNCTION("""COMPUTED_VALUE"""),742.5)</f>
        <v>742.5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IFERROR(__xludf.DUMMYFUNCTION("""COMPUTED_VALUE"""),723.75)</f>
        <v>723.75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IFERROR(__xludf.DUMMYFUNCTION("""COMPUTED_VALUE"""),746.35)</f>
        <v>746.35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IFERROR(__xludf.DUMMYFUNCTION("""COMPUTED_VALUE"""),747.95)</f>
        <v>747.95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IFERROR(__xludf.DUMMYFUNCTION("""COMPUTED_VALUE"""),765.8)</f>
        <v>765.8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IFERROR(__xludf.DUMMYFUNCTION("""COMPUTED_VALUE"""),773.0)</f>
        <v>773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IFERROR(__xludf.DUMMYFUNCTION("""COMPUTED_VALUE"""),731.35)</f>
        <v>731.35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IFERROR(__xludf.DUMMYFUNCTION("""COMPUTED_VALUE"""),739.8)</f>
        <v>739.8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IFERROR(__xludf.DUMMYFUNCTION("""COMPUTED_VALUE"""),753.8)</f>
        <v>753.8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IFERROR(__xludf.DUMMYFUNCTION("""COMPUTED_VALUE"""),730.3)</f>
        <v>730.3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IFERROR(__xludf.DUMMYFUNCTION("""COMPUTED_VALUE"""),737.0)</f>
        <v>737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IFERROR(__xludf.DUMMYFUNCTION("""COMPUTED_VALUE"""),726.4)</f>
        <v>726.4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IFERROR(__xludf.DUMMYFUNCTION("""COMPUTED_VALUE"""),742.95)</f>
        <v>742.95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IFERROR(__xludf.DUMMYFUNCTION("""COMPUTED_VALUE"""),750.9)</f>
        <v>750.9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IFERROR(__xludf.DUMMYFUNCTION("""COMPUTED_VALUE"""),759.0)</f>
        <v>759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IFERROR(__xludf.DUMMYFUNCTION("""COMPUTED_VALUE"""),756.9)</f>
        <v>756.9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IFERROR(__xludf.DUMMYFUNCTION("""COMPUTED_VALUE"""),751.9)</f>
        <v>751.9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IFERROR(__xludf.DUMMYFUNCTION("""COMPUTED_VALUE"""),743.2)</f>
        <v>743.2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IFERROR(__xludf.DUMMYFUNCTION("""COMPUTED_VALUE"""),730.6)</f>
        <v>730.6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IFERROR(__xludf.DUMMYFUNCTION("""COMPUTED_VALUE"""),798.5)</f>
        <v>798.5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IFERROR(__xludf.DUMMYFUNCTION("""COMPUTED_VALUE"""),804.0)</f>
        <v>804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IFERROR(__xludf.DUMMYFUNCTION("""COMPUTED_VALUE"""),799.8)</f>
        <v>799.8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IFERROR(__xludf.DUMMYFUNCTION("""COMPUTED_VALUE"""),796.75)</f>
        <v>796.75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IFERROR(__xludf.DUMMYFUNCTION("""COMPUTED_VALUE"""),786.0)</f>
        <v>786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IFERROR(__xludf.DUMMYFUNCTION("""COMPUTED_VALUE"""),809.95)</f>
        <v>809.95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IFERROR(__xludf.DUMMYFUNCTION("""COMPUTED_VALUE"""),817.35)</f>
        <v>817.35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IFERROR(__xludf.DUMMYFUNCTION("""COMPUTED_VALUE"""),847.0)</f>
        <v>847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IFERROR(__xludf.DUMMYFUNCTION("""COMPUTED_VALUE"""),840.3)</f>
        <v>840.3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IFERROR(__xludf.DUMMYFUNCTION("""COMPUTED_VALUE"""),837.95)</f>
        <v>837.95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IFERROR(__xludf.DUMMYFUNCTION("""COMPUTED_VALUE"""),806.9)</f>
        <v>806.9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IFERROR(__xludf.DUMMYFUNCTION("""COMPUTED_VALUE"""),808.0)</f>
        <v>808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IFERROR(__xludf.DUMMYFUNCTION("""COMPUTED_VALUE"""),823.8)</f>
        <v>823.8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IFERROR(__xludf.DUMMYFUNCTION("""COMPUTED_VALUE"""),797.0)</f>
        <v>797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IFERROR(__xludf.DUMMYFUNCTION("""COMPUTED_VALUE"""),691.1)</f>
        <v>691.1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IFERROR(__xludf.DUMMYFUNCTION("""COMPUTED_VALUE"""),695.45)</f>
        <v>695.45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IFERROR(__xludf.DUMMYFUNCTION("""COMPUTED_VALUE"""),732.5)</f>
        <v>732.5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IFERROR(__xludf.DUMMYFUNCTION("""COMPUTED_VALUE"""),712.95)</f>
        <v>712.95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IFERROR(__xludf.DUMMYFUNCTION("""COMPUTED_VALUE"""),721.45)</f>
        <v>721.45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IFERROR(__xludf.DUMMYFUNCTION("""COMPUTED_VALUE"""),707.25)</f>
        <v>707.25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IFERROR(__xludf.DUMMYFUNCTION("""COMPUTED_VALUE"""),720.0)</f>
        <v>720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IFERROR(__xludf.DUMMYFUNCTION("""COMPUTED_VALUE"""),722.7)</f>
        <v>722.7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IFERROR(__xludf.DUMMYFUNCTION("""COMPUTED_VALUE"""),737.3)</f>
        <v>737.3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IFERROR(__xludf.DUMMYFUNCTION("""COMPUTED_VALUE"""),737.5)</f>
        <v>737.5</v>
      </c>
    </row>
    <row r="989" ht="15.75" customHeight="1"/>
    <row r="990" ht="15.75" customHeight="1"/>
    <row r="991" ht="15.75" customHeight="1">
      <c r="B991" s="2" t="str">
        <f>IFERROR(__xludf.DUMMYFUNCTION("GOOGLEFINANCE(""NSE:INFY"",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IFERROR(__xludf.DUMMYFUNCTION("""COMPUTED_VALUE"""),748.0)</f>
        <v>748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IFERROR(__xludf.DUMMYFUNCTION("""COMPUTED_VALUE"""),753.8)</f>
        <v>753.8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IFERROR(__xludf.DUMMYFUNCTION("""COMPUTED_VALUE"""),777.5)</f>
        <v>777.5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IFERROR(__xludf.DUMMYFUNCTION("""COMPUTED_VALUE"""),786.5)</f>
        <v>786.5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IFERROR(__xludf.DUMMYFUNCTION("""COMPUTED_VALUE"""),792.8)</f>
        <v>792.8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IFERROR(__xludf.DUMMYFUNCTION("""COMPUTED_VALUE"""),790.95)</f>
        <v>790.95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IFERROR(__xludf.DUMMYFUNCTION("""COMPUTED_VALUE"""),799.2)</f>
        <v>799.2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IFERROR(__xludf.DUMMYFUNCTION("""COMPUTED_VALUE"""),806.1)</f>
        <v>806.1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IFERROR(__xludf.DUMMYFUNCTION("""COMPUTED_VALUE"""),811.6)</f>
        <v>811.6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IFERROR(__xludf.DUMMYFUNCTION("""COMPUTED_VALUE"""),773.55)</f>
        <v>773.55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IFERROR(__xludf.DUMMYFUNCTION("""COMPUTED_VALUE"""),725.85)</f>
        <v>725.85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IFERROR(__xludf.DUMMYFUNCTION("""COMPUTED_VALUE"""),622.15)</f>
        <v>622.15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IFERROR(__xludf.DUMMYFUNCTION("""COMPUTED_VALUE"""),674.9)</f>
        <v>674.9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IFERROR(__xludf.DUMMYFUNCTION("""COMPUTED_VALUE"""),663.5)</f>
        <v>663.5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IFERROR(__xludf.DUMMYFUNCTION("""COMPUTED_VALUE"""),655.65)</f>
        <v>655.65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IFERROR(__xludf.DUMMYFUNCTION("""COMPUTED_VALUE"""),653.3)</f>
        <v>653.3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IFERROR(__xludf.DUMMYFUNCTION("""COMPUTED_VALUE"""),683.65)</f>
        <v>683.65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IFERROR(__xludf.DUMMYFUNCTION("""COMPUTED_VALUE"""),720.0)</f>
        <v>720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IFERROR(__xludf.DUMMYFUNCTION("""COMPUTED_VALUE"""),701.2)</f>
        <v>701.2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IFERROR(__xludf.DUMMYFUNCTION("""COMPUTED_VALUE"""),699.9)</f>
        <v>699.9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IFERROR(__xludf.DUMMYFUNCTION("""COMPUTED_VALUE"""),695.85)</f>
        <v>695.85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IFERROR(__xludf.DUMMYFUNCTION("""COMPUTED_VALUE"""),710.0)</f>
        <v>710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IFERROR(__xludf.DUMMYFUNCTION("""COMPUTED_VALUE"""),711.9)</f>
        <v>711.9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IFERROR(__xludf.DUMMYFUNCTION("""COMPUTED_VALUE"""),729.6)</f>
        <v>729.6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IFERROR(__xludf.DUMMYFUNCTION("""COMPUTED_VALUE"""),716.6)</f>
        <v>716.6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IFERROR(__xludf.DUMMYFUNCTION("""COMPUTED_VALUE"""),751.6)</f>
        <v>751.6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IFERROR(__xludf.DUMMYFUNCTION("""COMPUTED_VALUE"""),765.45)</f>
        <v>765.45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IFERROR(__xludf.DUMMYFUNCTION("""COMPUTED_VALUE"""),796.95)</f>
        <v>796.95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IFERROR(__xludf.DUMMYFUNCTION("""COMPUTED_VALUE"""),955.5)</f>
        <v>955.5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IFERROR(__xludf.DUMMYFUNCTION("""COMPUTED_VALUE"""),949.7)</f>
        <v>949.7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IFERROR(__xludf.DUMMYFUNCTION("""COMPUTED_VALUE"""),986.45)</f>
        <v>986.45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IFERROR(__xludf.DUMMYFUNCTION("""COMPUTED_VALUE"""),974.4)</f>
        <v>974.4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IFERROR(__xludf.DUMMYFUNCTION("""COMPUTED_VALUE"""),968.5)</f>
        <v>968.5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IFERROR(__xludf.DUMMYFUNCTION("""COMPUTED_VALUE"""),972.45)</f>
        <v>972.45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IFERROR(__xludf.DUMMYFUNCTION("""COMPUTED_VALUE"""),960.95)</f>
        <v>960.95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IFERROR(__xludf.DUMMYFUNCTION("""COMPUTED_VALUE"""),950.5)</f>
        <v>950.5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IFERROR(__xludf.DUMMYFUNCTION("""COMPUTED_VALUE"""),954.15)</f>
        <v>954.15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IFERROR(__xludf.DUMMYFUNCTION("""COMPUTED_VALUE"""),1021.0)</f>
        <v>1021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IFERROR(__xludf.DUMMYFUNCTION("""COMPUTED_VALUE"""),1037.0)</f>
        <v>1037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IFERROR(__xludf.DUMMYFUNCTION("""COMPUTED_VALUE"""),1028.0)</f>
        <v>1028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IFERROR(__xludf.DUMMYFUNCTION("""COMPUTED_VALUE"""),1124.0)</f>
        <v>1124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IFERROR(__xludf.DUMMYFUNCTION("""COMPUTED_VALUE"""),1186.0)</f>
        <v>1186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IFERROR(__xludf.DUMMYFUNCTION("""COMPUTED_VALUE"""),1158.0)</f>
        <v>1158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IFERROR(__xludf.DUMMYFUNCTION("""COMPUTED_VALUE"""),1129.6)</f>
        <v>1129.6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IFERROR(__xludf.DUMMYFUNCTION("""COMPUTED_VALUE"""),1123.0)</f>
        <v>1123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IFERROR(__xludf.DUMMYFUNCTION("""COMPUTED_VALUE"""),1145.0)</f>
        <v>1145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IFERROR(__xludf.DUMMYFUNCTION("""COMPUTED_VALUE"""),1154.9)</f>
        <v>1154.9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IFERROR(__xludf.DUMMYFUNCTION("""COMPUTED_VALUE"""),1147.45)</f>
        <v>1147.45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IFERROR(__xludf.DUMMYFUNCTION("""COMPUTED_VALUE"""),1179.5)</f>
        <v>1179.5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IFERROR(__xludf.DUMMYFUNCTION("""COMPUTED_VALUE"""),1195.0)</f>
        <v>1195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IFERROR(__xludf.DUMMYFUNCTION("""COMPUTED_VALUE"""),1258.85)</f>
        <v>1258.85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IFERROR(__xludf.DUMMYFUNCTION("""COMPUTED_VALUE"""),1265.5)</f>
        <v>1265.5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IFERROR(__xludf.DUMMYFUNCTION("GOOGLEFINANCE(""NSE:NIITLTD"",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IFERROR(__xludf.DUMMYFUNCTION("""COMPUTED_VALUE"""),34.46)</f>
        <v>34.46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IFERROR(__xludf.DUMMYFUNCTION("""COMPUTED_VALUE"""),38.9)</f>
        <v>38.9</v>
      </c>
    </row>
    <row r="4">
      <c r="B4" s="3">
        <f>IFERROR(__xludf.DUMMYFUNCTION("""COMPUTED_VALUE"""),37274.645833333336)</f>
        <v>37274.64583</v>
      </c>
      <c r="C4" s="2">
        <f>IFERROR(__xludf.DUMMYFUNCTION("""COMPUTED_VALUE"""),36.53)</f>
        <v>36.53</v>
      </c>
    </row>
    <row r="5">
      <c r="B5" s="3">
        <f>IFERROR(__xludf.DUMMYFUNCTION("""COMPUTED_VALUE"""),37281.645833333336)</f>
        <v>37281.64583</v>
      </c>
      <c r="C5" s="2">
        <f>IFERROR(__xludf.DUMMYFUNCTION("""COMPUTED_VALUE"""),36.33)</f>
        <v>36.33</v>
      </c>
    </row>
    <row r="6">
      <c r="B6" s="3">
        <f>IFERROR(__xludf.DUMMYFUNCTION("""COMPUTED_VALUE"""),37288.645833333336)</f>
        <v>37288.64583</v>
      </c>
      <c r="C6" s="2">
        <f>IFERROR(__xludf.DUMMYFUNCTION("""COMPUTED_VALUE"""),32.79)</f>
        <v>32.79</v>
      </c>
    </row>
    <row r="7">
      <c r="B7" s="3">
        <f>IFERROR(__xludf.DUMMYFUNCTION("""COMPUTED_VALUE"""),37295.645833333336)</f>
        <v>37295.64583</v>
      </c>
      <c r="C7" s="2">
        <f>IFERROR(__xludf.DUMMYFUNCTION("""COMPUTED_VALUE"""),33.58)</f>
        <v>33.58</v>
      </c>
    </row>
    <row r="8">
      <c r="B8" s="3">
        <f>IFERROR(__xludf.DUMMYFUNCTION("""COMPUTED_VALUE"""),37302.645833333336)</f>
        <v>37302.64583</v>
      </c>
      <c r="C8" s="2">
        <f>IFERROR(__xludf.DUMMYFUNCTION("""COMPUTED_VALUE"""),32.63)</f>
        <v>32.63</v>
      </c>
    </row>
    <row r="9">
      <c r="B9" s="3">
        <f>IFERROR(__xludf.DUMMYFUNCTION("""COMPUTED_VALUE"""),37309.645833333336)</f>
        <v>37309.64583</v>
      </c>
      <c r="C9" s="2">
        <f>IFERROR(__xludf.DUMMYFUNCTION("""COMPUTED_VALUE"""),33.03)</f>
        <v>33.03</v>
      </c>
    </row>
    <row r="10">
      <c r="B10" s="3">
        <f>IFERROR(__xludf.DUMMYFUNCTION("""COMPUTED_VALUE"""),37316.645833333336)</f>
        <v>37316.64583</v>
      </c>
      <c r="C10" s="2">
        <f>IFERROR(__xludf.DUMMYFUNCTION("""COMPUTED_VALUE"""),31.45)</f>
        <v>31.45</v>
      </c>
    </row>
    <row r="11">
      <c r="B11" s="3">
        <f>IFERROR(__xludf.DUMMYFUNCTION("""COMPUTED_VALUE"""),37323.645833333336)</f>
        <v>37323.64583</v>
      </c>
      <c r="C11" s="2">
        <f>IFERROR(__xludf.DUMMYFUNCTION("""COMPUTED_VALUE"""),31.33)</f>
        <v>31.33</v>
      </c>
    </row>
    <row r="12">
      <c r="B12" s="3">
        <f>IFERROR(__xludf.DUMMYFUNCTION("""COMPUTED_VALUE"""),37330.645833333336)</f>
        <v>37330.64583</v>
      </c>
      <c r="C12" s="2">
        <f>IFERROR(__xludf.DUMMYFUNCTION("""COMPUTED_VALUE"""),32.4)</f>
        <v>32.4</v>
      </c>
    </row>
    <row r="13">
      <c r="B13" s="3">
        <f>IFERROR(__xludf.DUMMYFUNCTION("""COMPUTED_VALUE"""),37337.645833333336)</f>
        <v>37337.64583</v>
      </c>
      <c r="C13" s="2">
        <f>IFERROR(__xludf.DUMMYFUNCTION("""COMPUTED_VALUE"""),32.53)</f>
        <v>32.53</v>
      </c>
    </row>
    <row r="14">
      <c r="B14" s="3">
        <f>IFERROR(__xludf.DUMMYFUNCTION("""COMPUTED_VALUE"""),37343.645833333336)</f>
        <v>37343.64583</v>
      </c>
      <c r="C14" s="2">
        <f>IFERROR(__xludf.DUMMYFUNCTION("""COMPUTED_VALUE"""),31.33)</f>
        <v>31.33</v>
      </c>
    </row>
    <row r="15">
      <c r="B15" s="3">
        <f>IFERROR(__xludf.DUMMYFUNCTION("""COMPUTED_VALUE"""),37351.645833333336)</f>
        <v>37351.64583</v>
      </c>
      <c r="C15" s="2">
        <f>IFERROR(__xludf.DUMMYFUNCTION("""COMPUTED_VALUE"""),33.45)</f>
        <v>33.45</v>
      </c>
    </row>
    <row r="16">
      <c r="B16" s="3">
        <f>IFERROR(__xludf.DUMMYFUNCTION("""COMPUTED_VALUE"""),37358.645833333336)</f>
        <v>37358.64583</v>
      </c>
      <c r="C16" s="2">
        <f>IFERROR(__xludf.DUMMYFUNCTION("""COMPUTED_VALUE"""),41.59)</f>
        <v>41.59</v>
      </c>
    </row>
    <row r="17">
      <c r="B17" s="3">
        <f>IFERROR(__xludf.DUMMYFUNCTION("""COMPUTED_VALUE"""),37365.645833333336)</f>
        <v>37365.64583</v>
      </c>
      <c r="C17" s="2">
        <f>IFERROR(__xludf.DUMMYFUNCTION("""COMPUTED_VALUE"""),46.25)</f>
        <v>46.25</v>
      </c>
    </row>
    <row r="18">
      <c r="B18" s="3">
        <f>IFERROR(__xludf.DUMMYFUNCTION("""COMPUTED_VALUE"""),37372.645833333336)</f>
        <v>37372.64583</v>
      </c>
      <c r="C18" s="2">
        <f>IFERROR(__xludf.DUMMYFUNCTION("""COMPUTED_VALUE"""),42.51)</f>
        <v>42.51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IFERROR(__xludf.DUMMYFUNCTION("""COMPUTED_VALUE"""),38.85)</f>
        <v>38.85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IFERROR(__xludf.DUMMYFUNCTION("""COMPUTED_VALUE"""),36.86)</f>
        <v>36.86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IFERROR(__xludf.DUMMYFUNCTION("""COMPUTED_VALUE"""),37.19)</f>
        <v>37.19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IFERROR(__xludf.DUMMYFUNCTION("""COMPUTED_VALUE"""),33.78)</f>
        <v>33.78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IFERROR(__xludf.DUMMYFUNCTION("""COMPUTED_VALUE"""),35.64)</f>
        <v>35.64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IFERROR(__xludf.DUMMYFUNCTION("""COMPUTED_VALUE"""),36.33)</f>
        <v>36.33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IFERROR(__xludf.DUMMYFUNCTION("""COMPUTED_VALUE"""),36.93)</f>
        <v>36.93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IFERROR(__xludf.DUMMYFUNCTION("""COMPUTED_VALUE"""),37.17)</f>
        <v>37.17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IFERROR(__xludf.DUMMYFUNCTION("""COMPUTED_VALUE"""),34.83)</f>
        <v>34.83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IFERROR(__xludf.DUMMYFUNCTION("""COMPUTED_VALUE"""),33.66)</f>
        <v>33.66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IFERROR(__xludf.DUMMYFUNCTION("""COMPUTED_VALUE"""),35.52)</f>
        <v>35.52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IFERROR(__xludf.DUMMYFUNCTION("""COMPUTED_VALUE"""),32.79)</f>
        <v>32.79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IFERROR(__xludf.DUMMYFUNCTION("""COMPUTED_VALUE"""),28.91)</f>
        <v>28.91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IFERROR(__xludf.DUMMYFUNCTION("""COMPUTED_VALUE"""),22.81)</f>
        <v>22.81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IFERROR(__xludf.DUMMYFUNCTION("""COMPUTED_VALUE"""),19.99)</f>
        <v>19.99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IFERROR(__xludf.DUMMYFUNCTION("""COMPUTED_VALUE"""),18.99)</f>
        <v>18.99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IFERROR(__xludf.DUMMYFUNCTION("""COMPUTED_VALUE"""),21.55)</f>
        <v>21.55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IFERROR(__xludf.DUMMYFUNCTION("""COMPUTED_VALUE"""),20.23)</f>
        <v>20.23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IFERROR(__xludf.DUMMYFUNCTION("""COMPUTED_VALUE"""),21.17)</f>
        <v>21.17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IFERROR(__xludf.DUMMYFUNCTION("""COMPUTED_VALUE"""),20.65)</f>
        <v>20.65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IFERROR(__xludf.DUMMYFUNCTION("""COMPUTED_VALUE"""),19.78)</f>
        <v>19.78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IFERROR(__xludf.DUMMYFUNCTION("""COMPUTED_VALUE"""),18.76)</f>
        <v>18.76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IFERROR(__xludf.DUMMYFUNCTION("""COMPUTED_VALUE"""),18.05)</f>
        <v>18.05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IFERROR(__xludf.DUMMYFUNCTION("""COMPUTED_VALUE"""),18.72)</f>
        <v>18.72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IFERROR(__xludf.DUMMYFUNCTION("""COMPUTED_VALUE"""),19.39)</f>
        <v>19.39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IFERROR(__xludf.DUMMYFUNCTION("""COMPUTED_VALUE"""),19.13)</f>
        <v>19.13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IFERROR(__xludf.DUMMYFUNCTION("""COMPUTED_VALUE"""),17.07)</f>
        <v>17.07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IFERROR(__xludf.DUMMYFUNCTION("""COMPUTED_VALUE"""),16.95)</f>
        <v>16.95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IFERROR(__xludf.DUMMYFUNCTION("""COMPUTED_VALUE"""),17.89)</f>
        <v>17.89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IFERROR(__xludf.DUMMYFUNCTION("""COMPUTED_VALUE"""),19.94)</f>
        <v>19.94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IFERROR(__xludf.DUMMYFUNCTION("""COMPUTED_VALUE"""),22.36)</f>
        <v>22.36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IFERROR(__xludf.DUMMYFUNCTION("""COMPUTED_VALUE"""),22.99)</f>
        <v>22.99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IFERROR(__xludf.DUMMYFUNCTION("""COMPUTED_VALUE"""),25.19)</f>
        <v>25.19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IFERROR(__xludf.DUMMYFUNCTION("""COMPUTED_VALUE"""),26.2)</f>
        <v>26.2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IFERROR(__xludf.DUMMYFUNCTION("""COMPUTED_VALUE"""),25.91)</f>
        <v>25.91</v>
      </c>
    </row>
    <row r="54" ht="15.75" customHeight="1"/>
    <row r="55" ht="15.75" customHeight="1"/>
    <row r="56" ht="15.75" customHeight="1">
      <c r="B56" s="2" t="str">
        <f>IFERROR(__xludf.DUMMYFUNCTION("GOOGLEFINANCE(""NSE:NIITLTD"",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IFERROR(__xludf.DUMMYFUNCTION("""COMPUTED_VALUE"""),25.13)</f>
        <v>25.13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IFERROR(__xludf.DUMMYFUNCTION("""COMPUTED_VALUE"""),25.43)</f>
        <v>25.43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IFERROR(__xludf.DUMMYFUNCTION("""COMPUTED_VALUE"""),23.69)</f>
        <v>23.69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IFERROR(__xludf.DUMMYFUNCTION("""COMPUTED_VALUE"""),22.93)</f>
        <v>22.93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IFERROR(__xludf.DUMMYFUNCTION("""COMPUTED_VALUE"""),18.77)</f>
        <v>18.77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IFERROR(__xludf.DUMMYFUNCTION("""COMPUTED_VALUE"""),19.95)</f>
        <v>19.95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IFERROR(__xludf.DUMMYFUNCTION("""COMPUTED_VALUE"""),18.77)</f>
        <v>18.77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IFERROR(__xludf.DUMMYFUNCTION("""COMPUTED_VALUE"""),18.67)</f>
        <v>18.67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IFERROR(__xludf.DUMMYFUNCTION("""COMPUTED_VALUE"""),18.36)</f>
        <v>18.36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IFERROR(__xludf.DUMMYFUNCTION("""COMPUTED_VALUE"""),18.53)</f>
        <v>18.53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IFERROR(__xludf.DUMMYFUNCTION("""COMPUTED_VALUE"""),16.38)</f>
        <v>16.38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IFERROR(__xludf.DUMMYFUNCTION("""COMPUTED_VALUE"""),15.83)</f>
        <v>15.83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IFERROR(__xludf.DUMMYFUNCTION("""COMPUTED_VALUE"""),14.59)</f>
        <v>14.59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IFERROR(__xludf.DUMMYFUNCTION("""COMPUTED_VALUE"""),15.67)</f>
        <v>15.67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IFERROR(__xludf.DUMMYFUNCTION("""COMPUTED_VALUE"""),14.51)</f>
        <v>14.51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IFERROR(__xludf.DUMMYFUNCTION("""COMPUTED_VALUE"""),17.6)</f>
        <v>17.6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IFERROR(__xludf.DUMMYFUNCTION("""COMPUTED_VALUE"""),17.59)</f>
        <v>17.59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IFERROR(__xludf.DUMMYFUNCTION("""COMPUTED_VALUE"""),18.5)</f>
        <v>18.5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IFERROR(__xludf.DUMMYFUNCTION("""COMPUTED_VALUE"""),17.73)</f>
        <v>17.73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IFERROR(__xludf.DUMMYFUNCTION("""COMPUTED_VALUE"""),17.65)</f>
        <v>17.65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IFERROR(__xludf.DUMMYFUNCTION("""COMPUTED_VALUE"""),16.36)</f>
        <v>16.36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IFERROR(__xludf.DUMMYFUNCTION("""COMPUTED_VALUE"""),19.0)</f>
        <v>19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IFERROR(__xludf.DUMMYFUNCTION("""COMPUTED_VALUE"""),19.87)</f>
        <v>19.87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IFERROR(__xludf.DUMMYFUNCTION("""COMPUTED_VALUE"""),19.52)</f>
        <v>19.52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IFERROR(__xludf.DUMMYFUNCTION("""COMPUTED_VALUE"""),19.0)</f>
        <v>19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IFERROR(__xludf.DUMMYFUNCTION("""COMPUTED_VALUE"""),20.45)</f>
        <v>20.45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IFERROR(__xludf.DUMMYFUNCTION("""COMPUTED_VALUE"""),20.7)</f>
        <v>20.7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IFERROR(__xludf.DUMMYFUNCTION("""COMPUTED_VALUE"""),20.61)</f>
        <v>20.61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IFERROR(__xludf.DUMMYFUNCTION("""COMPUTED_VALUE"""),17.52)</f>
        <v>17.52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IFERROR(__xludf.DUMMYFUNCTION("""COMPUTED_VALUE"""),17.78)</f>
        <v>17.78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IFERROR(__xludf.DUMMYFUNCTION("""COMPUTED_VALUE"""),17.49)</f>
        <v>17.49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IFERROR(__xludf.DUMMYFUNCTION("""COMPUTED_VALUE"""),16.58)</f>
        <v>16.58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IFERROR(__xludf.DUMMYFUNCTION("""COMPUTED_VALUE"""),17.07)</f>
        <v>17.07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IFERROR(__xludf.DUMMYFUNCTION("""COMPUTED_VALUE"""),19.31)</f>
        <v>19.31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IFERROR(__xludf.DUMMYFUNCTION("""COMPUTED_VALUE"""),19.83)</f>
        <v>19.83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IFERROR(__xludf.DUMMYFUNCTION("""COMPUTED_VALUE"""),21.8)</f>
        <v>21.8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IFERROR(__xludf.DUMMYFUNCTION("""COMPUTED_VALUE"""),20.32)</f>
        <v>20.32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IFERROR(__xludf.DUMMYFUNCTION("""COMPUTED_VALUE"""),19.73)</f>
        <v>19.73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IFERROR(__xludf.DUMMYFUNCTION("""COMPUTED_VALUE"""),20.65)</f>
        <v>20.65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IFERROR(__xludf.DUMMYFUNCTION("""COMPUTED_VALUE"""),21.32)</f>
        <v>21.32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IFERROR(__xludf.DUMMYFUNCTION("""COMPUTED_VALUE"""),22.0)</f>
        <v>22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IFERROR(__xludf.DUMMYFUNCTION("""COMPUTED_VALUE"""),23.65)</f>
        <v>23.65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IFERROR(__xludf.DUMMYFUNCTION("""COMPUTED_VALUE"""),26.39)</f>
        <v>26.39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IFERROR(__xludf.DUMMYFUNCTION("""COMPUTED_VALUE"""),27.8)</f>
        <v>27.8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IFERROR(__xludf.DUMMYFUNCTION("""COMPUTED_VALUE"""),29.05)</f>
        <v>29.05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IFERROR(__xludf.DUMMYFUNCTION("""COMPUTED_VALUE"""),32.67)</f>
        <v>32.67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IFERROR(__xludf.DUMMYFUNCTION("""COMPUTED_VALUE"""),33.04)</f>
        <v>33.04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IFERROR(__xludf.DUMMYFUNCTION("""COMPUTED_VALUE"""),34.2)</f>
        <v>34.2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IFERROR(__xludf.DUMMYFUNCTION("""COMPUTED_VALUE"""),35.71)</f>
        <v>35.71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IFERROR(__xludf.DUMMYFUNCTION("GOOGLEFINANCE(""NSE:BRITANNIA"",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IFERROR(__xludf.DUMMYFUNCTION("""COMPUTED_VALUE"""),63.0)</f>
        <v>63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IFERROR(__xludf.DUMMYFUNCTION("""COMPUTED_VALUE"""),60.9)</f>
        <v>60.9</v>
      </c>
    </row>
    <row r="4">
      <c r="A4" s="2" t="s">
        <v>18</v>
      </c>
      <c r="B4" s="3">
        <f>IFERROR(__xludf.DUMMYFUNCTION("""COMPUTED_VALUE"""),37274.645833333336)</f>
        <v>37274.64583</v>
      </c>
      <c r="C4" s="2">
        <f>IFERROR(__xludf.DUMMYFUNCTION("""COMPUTED_VALUE"""),60.5)</f>
        <v>60.5</v>
      </c>
    </row>
    <row r="5">
      <c r="A5" s="2" t="s">
        <v>19</v>
      </c>
      <c r="B5" s="3">
        <f>IFERROR(__xludf.DUMMYFUNCTION("""COMPUTED_VALUE"""),37281.645833333336)</f>
        <v>37281.64583</v>
      </c>
      <c r="C5" s="2">
        <f>IFERROR(__xludf.DUMMYFUNCTION("""COMPUTED_VALUE"""),59.9)</f>
        <v>59.9</v>
      </c>
    </row>
    <row r="6">
      <c r="B6" s="3">
        <f>IFERROR(__xludf.DUMMYFUNCTION("""COMPUTED_VALUE"""),37288.645833333336)</f>
        <v>37288.64583</v>
      </c>
      <c r="C6" s="2">
        <f>IFERROR(__xludf.DUMMYFUNCTION("""COMPUTED_VALUE"""),61.0)</f>
        <v>61</v>
      </c>
    </row>
    <row r="7">
      <c r="B7" s="3">
        <f>IFERROR(__xludf.DUMMYFUNCTION("""COMPUTED_VALUE"""),37295.645833333336)</f>
        <v>37295.64583</v>
      </c>
      <c r="C7" s="2">
        <f>IFERROR(__xludf.DUMMYFUNCTION("""COMPUTED_VALUE"""),58.99)</f>
        <v>58.99</v>
      </c>
    </row>
    <row r="8">
      <c r="B8" s="3">
        <f>IFERROR(__xludf.DUMMYFUNCTION("""COMPUTED_VALUE"""),37302.645833333336)</f>
        <v>37302.64583</v>
      </c>
      <c r="C8" s="2">
        <f>IFERROR(__xludf.DUMMYFUNCTION("""COMPUTED_VALUE"""),58.83)</f>
        <v>58.83</v>
      </c>
    </row>
    <row r="9">
      <c r="B9" s="3">
        <f>IFERROR(__xludf.DUMMYFUNCTION("""COMPUTED_VALUE"""),37309.645833333336)</f>
        <v>37309.64583</v>
      </c>
      <c r="C9" s="2">
        <f>IFERROR(__xludf.DUMMYFUNCTION("""COMPUTED_VALUE"""),59.0)</f>
        <v>59</v>
      </c>
    </row>
    <row r="10">
      <c r="B10" s="3">
        <f>IFERROR(__xludf.DUMMYFUNCTION("""COMPUTED_VALUE"""),37316.645833333336)</f>
        <v>37316.64583</v>
      </c>
      <c r="C10" s="2">
        <f>IFERROR(__xludf.DUMMYFUNCTION("""COMPUTED_VALUE"""),59.75)</f>
        <v>59.75</v>
      </c>
    </row>
    <row r="11">
      <c r="B11" s="3">
        <f>IFERROR(__xludf.DUMMYFUNCTION("""COMPUTED_VALUE"""),37323.645833333336)</f>
        <v>37323.64583</v>
      </c>
      <c r="C11" s="2">
        <f>IFERROR(__xludf.DUMMYFUNCTION("""COMPUTED_VALUE"""),58.39)</f>
        <v>58.39</v>
      </c>
    </row>
    <row r="12">
      <c r="B12" s="3">
        <f>IFERROR(__xludf.DUMMYFUNCTION("""COMPUTED_VALUE"""),37330.645833333336)</f>
        <v>37330.64583</v>
      </c>
      <c r="C12" s="2">
        <f>IFERROR(__xludf.DUMMYFUNCTION("""COMPUTED_VALUE"""),56.0)</f>
        <v>56</v>
      </c>
    </row>
    <row r="13">
      <c r="B13" s="3">
        <f>IFERROR(__xludf.DUMMYFUNCTION("""COMPUTED_VALUE"""),37337.645833333336)</f>
        <v>37337.64583</v>
      </c>
      <c r="C13" s="2">
        <f>IFERROR(__xludf.DUMMYFUNCTION("""COMPUTED_VALUE"""),55.8)</f>
        <v>55.8</v>
      </c>
    </row>
    <row r="14">
      <c r="B14" s="3">
        <f>IFERROR(__xludf.DUMMYFUNCTION("""COMPUTED_VALUE"""),37343.645833333336)</f>
        <v>37343.64583</v>
      </c>
      <c r="C14" s="2">
        <f>IFERROR(__xludf.DUMMYFUNCTION("""COMPUTED_VALUE"""),54.99)</f>
        <v>54.99</v>
      </c>
    </row>
    <row r="15">
      <c r="B15" s="3">
        <f>IFERROR(__xludf.DUMMYFUNCTION("""COMPUTED_VALUE"""),37351.645833333336)</f>
        <v>37351.64583</v>
      </c>
      <c r="C15" s="2">
        <f>IFERROR(__xludf.DUMMYFUNCTION("""COMPUTED_VALUE"""),55.5)</f>
        <v>55.5</v>
      </c>
    </row>
    <row r="16">
      <c r="B16" s="3">
        <f>IFERROR(__xludf.DUMMYFUNCTION("""COMPUTED_VALUE"""),37358.645833333336)</f>
        <v>37358.64583</v>
      </c>
      <c r="C16" s="2">
        <f>IFERROR(__xludf.DUMMYFUNCTION("""COMPUTED_VALUE"""),54.5)</f>
        <v>54.5</v>
      </c>
    </row>
    <row r="17">
      <c r="B17" s="3">
        <f>IFERROR(__xludf.DUMMYFUNCTION("""COMPUTED_VALUE"""),37365.645833333336)</f>
        <v>37365.64583</v>
      </c>
      <c r="C17" s="2">
        <f>IFERROR(__xludf.DUMMYFUNCTION("""COMPUTED_VALUE"""),54.5)</f>
        <v>54.5</v>
      </c>
    </row>
    <row r="18">
      <c r="B18" s="3">
        <f>IFERROR(__xludf.DUMMYFUNCTION("""COMPUTED_VALUE"""),37372.645833333336)</f>
        <v>37372.64583</v>
      </c>
      <c r="C18" s="2">
        <f>IFERROR(__xludf.DUMMYFUNCTION("""COMPUTED_VALUE"""),54.9)</f>
        <v>54.9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IFERROR(__xludf.DUMMYFUNCTION("""COMPUTED_VALUE"""),55.28)</f>
        <v>55.28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IFERROR(__xludf.DUMMYFUNCTION("""COMPUTED_VALUE"""),55.0)</f>
        <v>55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IFERROR(__xludf.DUMMYFUNCTION("""COMPUTED_VALUE"""),54.3)</f>
        <v>54.3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IFERROR(__xludf.DUMMYFUNCTION("""COMPUTED_VALUE"""),57.5)</f>
        <v>57.5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IFERROR(__xludf.DUMMYFUNCTION("""COMPUTED_VALUE"""),57.6)</f>
        <v>57.6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IFERROR(__xludf.DUMMYFUNCTION("""COMPUTED_VALUE"""),55.5)</f>
        <v>55.5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IFERROR(__xludf.DUMMYFUNCTION("""COMPUTED_VALUE"""),55.44)</f>
        <v>55.44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IFERROR(__xludf.DUMMYFUNCTION("""COMPUTED_VALUE"""),53.68)</f>
        <v>53.68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IFERROR(__xludf.DUMMYFUNCTION("""COMPUTED_VALUE"""),52.2)</f>
        <v>52.2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IFERROR(__xludf.DUMMYFUNCTION("""COMPUTED_VALUE"""),52.01)</f>
        <v>52.01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IFERROR(__xludf.DUMMYFUNCTION("""COMPUTED_VALUE"""),52.9)</f>
        <v>52.9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IFERROR(__xludf.DUMMYFUNCTION("""COMPUTED_VALUE"""),55.8)</f>
        <v>55.8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IFERROR(__xludf.DUMMYFUNCTION("""COMPUTED_VALUE"""),54.6)</f>
        <v>54.6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IFERROR(__xludf.DUMMYFUNCTION("""COMPUTED_VALUE"""),55.4)</f>
        <v>55.4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IFERROR(__xludf.DUMMYFUNCTION("""COMPUTED_VALUE"""),52.0)</f>
        <v>52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IFERROR(__xludf.DUMMYFUNCTION("""COMPUTED_VALUE"""),52.5)</f>
        <v>52.5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IFERROR(__xludf.DUMMYFUNCTION("""COMPUTED_VALUE"""),52.49)</f>
        <v>52.49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IFERROR(__xludf.DUMMYFUNCTION("""COMPUTED_VALUE"""),53.0)</f>
        <v>53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IFERROR(__xludf.DUMMYFUNCTION("""COMPUTED_VALUE"""),57.5)</f>
        <v>57.5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IFERROR(__xludf.DUMMYFUNCTION("""COMPUTED_VALUE"""),53.99)</f>
        <v>53.99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IFERROR(__xludf.DUMMYFUNCTION("""COMPUTED_VALUE"""),54.8)</f>
        <v>54.8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IFERROR(__xludf.DUMMYFUNCTION("""COMPUTED_VALUE"""),53.5)</f>
        <v>53.5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IFERROR(__xludf.DUMMYFUNCTION("""COMPUTED_VALUE"""),54.9)</f>
        <v>54.9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IFERROR(__xludf.DUMMYFUNCTION("""COMPUTED_VALUE"""),53.2)</f>
        <v>53.2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IFERROR(__xludf.DUMMYFUNCTION("""COMPUTED_VALUE"""),56.62)</f>
        <v>56.62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IFERROR(__xludf.DUMMYFUNCTION("""COMPUTED_VALUE"""),54.4)</f>
        <v>54.4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IFERROR(__xludf.DUMMYFUNCTION("""COMPUTED_VALUE"""),53.0)</f>
        <v>53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IFERROR(__xludf.DUMMYFUNCTION("""COMPUTED_VALUE"""),52.69)</f>
        <v>52.69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IFERROR(__xludf.DUMMYFUNCTION("""COMPUTED_VALUE"""),52.8)</f>
        <v>52.8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IFERROR(__xludf.DUMMYFUNCTION("""COMPUTED_VALUE"""),52.4)</f>
        <v>52.4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IFERROR(__xludf.DUMMYFUNCTION("""COMPUTED_VALUE"""),59.85)</f>
        <v>59.85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IFERROR(__xludf.DUMMYFUNCTION("""COMPUTED_VALUE"""),53.5)</f>
        <v>53.5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IFERROR(__xludf.DUMMYFUNCTION("""COMPUTED_VALUE"""),52.23)</f>
        <v>52.23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IFERROR(__xludf.DUMMYFUNCTION("""COMPUTED_VALUE"""),52.4)</f>
        <v>52.4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IFERROR(__xludf.DUMMYFUNCTION("""COMPUTED_VALUE"""),52.49)</f>
        <v>52.49</v>
      </c>
    </row>
    <row r="54" ht="15.75" customHeight="1"/>
    <row r="55" ht="15.75" customHeight="1"/>
    <row r="56" ht="15.75" customHeight="1">
      <c r="B56" s="2" t="str">
        <f>IFERROR(__xludf.DUMMYFUNCTION("GOOGLEFINANCE(""NSE:BRITANNIA"",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IFERROR(__xludf.DUMMYFUNCTION("""COMPUTED_VALUE"""),52.0)</f>
        <v>52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IFERROR(__xludf.DUMMYFUNCTION("""COMPUTED_VALUE"""),52.0)</f>
        <v>52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IFERROR(__xludf.DUMMYFUNCTION("""COMPUTED_VALUE"""),56.0)</f>
        <v>56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IFERROR(__xludf.DUMMYFUNCTION("""COMPUTED_VALUE"""),51.73)</f>
        <v>51.73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IFERROR(__xludf.DUMMYFUNCTION("""COMPUTED_VALUE"""),52.0)</f>
        <v>52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IFERROR(__xludf.DUMMYFUNCTION("""COMPUTED_VALUE"""),51.9)</f>
        <v>51.9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IFERROR(__xludf.DUMMYFUNCTION("""COMPUTED_VALUE"""),50.6)</f>
        <v>50.6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IFERROR(__xludf.DUMMYFUNCTION("""COMPUTED_VALUE"""),51.29)</f>
        <v>51.29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IFERROR(__xludf.DUMMYFUNCTION("""COMPUTED_VALUE"""),53.5)</f>
        <v>53.5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IFERROR(__xludf.DUMMYFUNCTION("""COMPUTED_VALUE"""),54.18)</f>
        <v>54.18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IFERROR(__xludf.DUMMYFUNCTION("""COMPUTED_VALUE"""),51.0)</f>
        <v>51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IFERROR(__xludf.DUMMYFUNCTION("""COMPUTED_VALUE"""),50.4)</f>
        <v>50.4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IFERROR(__xludf.DUMMYFUNCTION("""COMPUTED_VALUE"""),50.7)</f>
        <v>50.7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IFERROR(__xludf.DUMMYFUNCTION("""COMPUTED_VALUE"""),53.0)</f>
        <v>53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IFERROR(__xludf.DUMMYFUNCTION("""COMPUTED_VALUE"""),53.1)</f>
        <v>53.1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IFERROR(__xludf.DUMMYFUNCTION("""COMPUTED_VALUE"""),51.86)</f>
        <v>51.86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IFERROR(__xludf.DUMMYFUNCTION("""COMPUTED_VALUE"""),54.4)</f>
        <v>54.4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IFERROR(__xludf.DUMMYFUNCTION("""COMPUTED_VALUE"""),55.0)</f>
        <v>55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IFERROR(__xludf.DUMMYFUNCTION("""COMPUTED_VALUE"""),58.9)</f>
        <v>58.9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IFERROR(__xludf.DUMMYFUNCTION("""COMPUTED_VALUE"""),53.9)</f>
        <v>53.9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IFERROR(__xludf.DUMMYFUNCTION("""COMPUTED_VALUE"""),54.0)</f>
        <v>54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IFERROR(__xludf.DUMMYFUNCTION("""COMPUTED_VALUE"""),53.85)</f>
        <v>53.85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IFERROR(__xludf.DUMMYFUNCTION("""COMPUTED_VALUE"""),58.5)</f>
        <v>58.5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IFERROR(__xludf.DUMMYFUNCTION("""COMPUTED_VALUE"""),55.7)</f>
        <v>55.7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IFERROR(__xludf.DUMMYFUNCTION("""COMPUTED_VALUE"""),53.5)</f>
        <v>53.5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IFERROR(__xludf.DUMMYFUNCTION("""COMPUTED_VALUE"""),54.2)</f>
        <v>54.2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IFERROR(__xludf.DUMMYFUNCTION("""COMPUTED_VALUE"""),55.4)</f>
        <v>55.4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IFERROR(__xludf.DUMMYFUNCTION("""COMPUTED_VALUE"""),55.56)</f>
        <v>55.56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IFERROR(__xludf.DUMMYFUNCTION("""COMPUTED_VALUE"""),55.7)</f>
        <v>55.7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IFERROR(__xludf.DUMMYFUNCTION("""COMPUTED_VALUE"""),56.8)</f>
        <v>56.8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IFERROR(__xludf.DUMMYFUNCTION("""COMPUTED_VALUE"""),55.8)</f>
        <v>55.8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IFERROR(__xludf.DUMMYFUNCTION("""COMPUTED_VALUE"""),56.2)</f>
        <v>56.2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IFERROR(__xludf.DUMMYFUNCTION("""COMPUTED_VALUE"""),57.0)</f>
        <v>57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IFERROR(__xludf.DUMMYFUNCTION("""COMPUTED_VALUE"""),56.49)</f>
        <v>56.49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IFERROR(__xludf.DUMMYFUNCTION("""COMPUTED_VALUE"""),57.15)</f>
        <v>57.15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IFERROR(__xludf.DUMMYFUNCTION("""COMPUTED_VALUE"""),57.42)</f>
        <v>57.42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IFERROR(__xludf.DUMMYFUNCTION("""COMPUTED_VALUE"""),58.8)</f>
        <v>58.8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IFERROR(__xludf.DUMMYFUNCTION("""COMPUTED_VALUE"""),57.3)</f>
        <v>57.3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IFERROR(__xludf.DUMMYFUNCTION("""COMPUTED_VALUE"""),56.75)</f>
        <v>56.75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IFERROR(__xludf.DUMMYFUNCTION("""COMPUTED_VALUE"""),57.6)</f>
        <v>57.6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IFERROR(__xludf.DUMMYFUNCTION("""COMPUTED_VALUE"""),57.4)</f>
        <v>57.4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IFERROR(__xludf.DUMMYFUNCTION("""COMPUTED_VALUE"""),57.65)</f>
        <v>57.65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IFERROR(__xludf.DUMMYFUNCTION("""COMPUTED_VALUE"""),57.36)</f>
        <v>57.36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IFERROR(__xludf.DUMMYFUNCTION("""COMPUTED_VALUE"""),56.27)</f>
        <v>56.27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IFERROR(__xludf.DUMMYFUNCTION("""COMPUTED_VALUE"""),55.0)</f>
        <v>55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IFERROR(__xludf.DUMMYFUNCTION("""COMPUTED_VALUE"""),59.9)</f>
        <v>59.9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IFERROR(__xludf.DUMMYFUNCTION("""COMPUTED_VALUE"""),63.9)</f>
        <v>63.9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IFERROR(__xludf.DUMMYFUNCTION("""COMPUTED_VALUE"""),67.4)</f>
        <v>67.4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IFERROR(__xludf.DUMMYFUNCTION("""COMPUTED_VALUE"""),67.0)</f>
        <v>67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IFERROR(__xludf.DUMMYFUNCTION("GOOGLEFINANCE(""NSE:BRITANNIA"", ""high"",DATE(2019,1,1),DATE(2020,1,1),""weekly"")"),"Date")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IFERROR(__xludf.DUMMYFUNCTION("""COMPUTED_VALUE"""),43469.64583333333)</f>
        <v>43469.64583</v>
      </c>
      <c r="C112" s="2">
        <f>IFERROR(__xludf.DUMMYFUNCTION("""COMPUTED_VALUE"""),3177.0)</f>
        <v>3177</v>
      </c>
    </row>
    <row r="113" ht="15.75" customHeight="1">
      <c r="B113" s="3">
        <f>IFERROR(__xludf.DUMMYFUNCTION("""COMPUTED_VALUE"""),43476.64583333333)</f>
        <v>43476.64583</v>
      </c>
      <c r="C113" s="2">
        <f>IFERROR(__xludf.DUMMYFUNCTION("""COMPUTED_VALUE"""),3155.0)</f>
        <v>3155</v>
      </c>
    </row>
    <row r="114" ht="15.75" customHeight="1">
      <c r="B114" s="3">
        <f>IFERROR(__xludf.DUMMYFUNCTION("""COMPUTED_VALUE"""),43483.64583333333)</f>
        <v>43483.64583</v>
      </c>
      <c r="C114" s="2">
        <f>IFERROR(__xludf.DUMMYFUNCTION("""COMPUTED_VALUE"""),3217.35)</f>
        <v>3217.35</v>
      </c>
    </row>
    <row r="115" ht="15.75" customHeight="1">
      <c r="B115" s="3">
        <f>IFERROR(__xludf.DUMMYFUNCTION("""COMPUTED_VALUE"""),43490.64583333333)</f>
        <v>43490.64583</v>
      </c>
      <c r="C115" s="2">
        <f>IFERROR(__xludf.DUMMYFUNCTION("""COMPUTED_VALUE"""),3270.0)</f>
        <v>3270</v>
      </c>
    </row>
    <row r="116" ht="15.75" customHeight="1">
      <c r="B116" s="3">
        <f>IFERROR(__xludf.DUMMYFUNCTION("""COMPUTED_VALUE"""),43497.64583333333)</f>
        <v>43497.64583</v>
      </c>
      <c r="C116" s="2">
        <f>IFERROR(__xludf.DUMMYFUNCTION("""COMPUTED_VALUE"""),3286.0)</f>
        <v>3286</v>
      </c>
    </row>
    <row r="117" ht="15.75" customHeight="1">
      <c r="B117" s="3">
        <f>IFERROR(__xludf.DUMMYFUNCTION("""COMPUTED_VALUE"""),43504.64583333333)</f>
        <v>43504.64583</v>
      </c>
      <c r="C117" s="2">
        <f>IFERROR(__xludf.DUMMYFUNCTION("""COMPUTED_VALUE"""),3316.0)</f>
        <v>3316</v>
      </c>
    </row>
    <row r="118" ht="15.75" customHeight="1">
      <c r="B118" s="3">
        <f>IFERROR(__xludf.DUMMYFUNCTION("""COMPUTED_VALUE"""),43511.64583333333)</f>
        <v>43511.64583</v>
      </c>
      <c r="C118" s="2">
        <f>IFERROR(__xludf.DUMMYFUNCTION("""COMPUTED_VALUE"""),3132.3)</f>
        <v>3132.3</v>
      </c>
    </row>
    <row r="119" ht="15.75" customHeight="1">
      <c r="B119" s="3">
        <f>IFERROR(__xludf.DUMMYFUNCTION("""COMPUTED_VALUE"""),43518.64583333333)</f>
        <v>43518.64583</v>
      </c>
      <c r="C119" s="2">
        <f>IFERROR(__xludf.DUMMYFUNCTION("""COMPUTED_VALUE"""),3057.3)</f>
        <v>3057.3</v>
      </c>
    </row>
    <row r="120" ht="15.75" customHeight="1">
      <c r="B120" s="3">
        <f>IFERROR(__xludf.DUMMYFUNCTION("""COMPUTED_VALUE"""),43525.64583333333)</f>
        <v>43525.64583</v>
      </c>
      <c r="C120" s="2">
        <f>IFERROR(__xludf.DUMMYFUNCTION("""COMPUTED_VALUE"""),3108.95)</f>
        <v>3108.95</v>
      </c>
    </row>
    <row r="121" ht="15.75" customHeight="1">
      <c r="B121" s="3">
        <f>IFERROR(__xludf.DUMMYFUNCTION("""COMPUTED_VALUE"""),43532.64583333333)</f>
        <v>43532.64583</v>
      </c>
      <c r="C121" s="2">
        <f>IFERROR(__xludf.DUMMYFUNCTION("""COMPUTED_VALUE"""),3100.25)</f>
        <v>3100.25</v>
      </c>
    </row>
    <row r="122" ht="15.75" customHeight="1">
      <c r="B122" s="3">
        <f>IFERROR(__xludf.DUMMYFUNCTION("""COMPUTED_VALUE"""),43539.64583333333)</f>
        <v>43539.64583</v>
      </c>
      <c r="C122" s="2">
        <f>IFERROR(__xludf.DUMMYFUNCTION("""COMPUTED_VALUE"""),3178.8)</f>
        <v>3178.8</v>
      </c>
    </row>
    <row r="123" ht="15.75" customHeight="1">
      <c r="B123" s="3">
        <f>IFERROR(__xludf.DUMMYFUNCTION("""COMPUTED_VALUE"""),43546.64583333333)</f>
        <v>43546.64583</v>
      </c>
      <c r="C123" s="2">
        <f>IFERROR(__xludf.DUMMYFUNCTION("""COMPUTED_VALUE"""),3138.85)</f>
        <v>3138.85</v>
      </c>
    </row>
    <row r="124" ht="15.75" customHeight="1">
      <c r="B124" s="3">
        <f>IFERROR(__xludf.DUMMYFUNCTION("""COMPUTED_VALUE"""),43553.64583333333)</f>
        <v>43553.64583</v>
      </c>
      <c r="C124" s="2">
        <f>IFERROR(__xludf.DUMMYFUNCTION("""COMPUTED_VALUE"""),3139.0)</f>
        <v>3139</v>
      </c>
    </row>
    <row r="125" ht="15.75" customHeight="1">
      <c r="B125" s="3">
        <f>IFERROR(__xludf.DUMMYFUNCTION("""COMPUTED_VALUE"""),43560.64583333333)</f>
        <v>43560.64583</v>
      </c>
      <c r="C125" s="2">
        <f>IFERROR(__xludf.DUMMYFUNCTION("""COMPUTED_VALUE"""),3109.0)</f>
        <v>3109</v>
      </c>
    </row>
    <row r="126" ht="15.75" customHeight="1">
      <c r="B126" s="3">
        <f>IFERROR(__xludf.DUMMYFUNCTION("""COMPUTED_VALUE"""),43567.64583333333)</f>
        <v>43567.64583</v>
      </c>
      <c r="C126" s="2">
        <f>IFERROR(__xludf.DUMMYFUNCTION("""COMPUTED_VALUE"""),3013.95)</f>
        <v>3013.95</v>
      </c>
    </row>
    <row r="127" ht="15.75" customHeight="1">
      <c r="B127" s="3">
        <f>IFERROR(__xludf.DUMMYFUNCTION("""COMPUTED_VALUE"""),43573.64583333333)</f>
        <v>43573.64583</v>
      </c>
      <c r="C127" s="2">
        <f>IFERROR(__xludf.DUMMYFUNCTION("""COMPUTED_VALUE"""),3030.0)</f>
        <v>3030</v>
      </c>
    </row>
    <row r="128" ht="15.75" customHeight="1">
      <c r="B128" s="3">
        <f>IFERROR(__xludf.DUMMYFUNCTION("""COMPUTED_VALUE"""),43581.64583333333)</f>
        <v>43581.64583</v>
      </c>
      <c r="C128" s="2">
        <f>IFERROR(__xludf.DUMMYFUNCTION("""COMPUTED_VALUE"""),3014.0)</f>
        <v>3014</v>
      </c>
    </row>
    <row r="129" ht="15.75" customHeight="1">
      <c r="B129" s="3">
        <f>IFERROR(__xludf.DUMMYFUNCTION("""COMPUTED_VALUE"""),43588.64583333333)</f>
        <v>43588.64583</v>
      </c>
      <c r="C129" s="2">
        <f>IFERROR(__xludf.DUMMYFUNCTION("""COMPUTED_VALUE"""),2974.9)</f>
        <v>2974.9</v>
      </c>
    </row>
    <row r="130" ht="15.75" customHeight="1">
      <c r="B130" s="3">
        <f>IFERROR(__xludf.DUMMYFUNCTION("""COMPUTED_VALUE"""),43595.64583333333)</f>
        <v>43595.64583</v>
      </c>
      <c r="C130" s="2">
        <f>IFERROR(__xludf.DUMMYFUNCTION("""COMPUTED_VALUE"""),2725.0)</f>
        <v>2725</v>
      </c>
    </row>
    <row r="131" ht="15.75" customHeight="1">
      <c r="B131" s="3">
        <f>IFERROR(__xludf.DUMMYFUNCTION("""COMPUTED_VALUE"""),43602.64583333333)</f>
        <v>43602.64583</v>
      </c>
      <c r="C131" s="2">
        <f>IFERROR(__xludf.DUMMYFUNCTION("""COMPUTED_VALUE"""),2785.1)</f>
        <v>2785.1</v>
      </c>
    </row>
    <row r="132" ht="15.75" customHeight="1">
      <c r="B132" s="3">
        <f>IFERROR(__xludf.DUMMYFUNCTION("""COMPUTED_VALUE"""),43609.64583333333)</f>
        <v>43609.64583</v>
      </c>
      <c r="C132" s="2">
        <f>IFERROR(__xludf.DUMMYFUNCTION("""COMPUTED_VALUE"""),2890.0)</f>
        <v>2890</v>
      </c>
    </row>
    <row r="133" ht="15.75" customHeight="1">
      <c r="B133" s="3">
        <f>IFERROR(__xludf.DUMMYFUNCTION("""COMPUTED_VALUE"""),43616.64583333333)</f>
        <v>43616.64583</v>
      </c>
      <c r="C133" s="2">
        <f>IFERROR(__xludf.DUMMYFUNCTION("""COMPUTED_VALUE"""),2970.0)</f>
        <v>2970</v>
      </c>
    </row>
    <row r="134" ht="15.75" customHeight="1">
      <c r="B134" s="3">
        <f>IFERROR(__xludf.DUMMYFUNCTION("""COMPUTED_VALUE"""),43623.64583333333)</f>
        <v>43623.64583</v>
      </c>
      <c r="C134" s="2">
        <f>IFERROR(__xludf.DUMMYFUNCTION("""COMPUTED_VALUE"""),3000.0)</f>
        <v>3000</v>
      </c>
    </row>
    <row r="135" ht="15.75" customHeight="1">
      <c r="B135" s="3">
        <f>IFERROR(__xludf.DUMMYFUNCTION("""COMPUTED_VALUE"""),43630.64583333333)</f>
        <v>43630.64583</v>
      </c>
      <c r="C135" s="2">
        <f>IFERROR(__xludf.DUMMYFUNCTION("""COMPUTED_VALUE"""),3010.0)</f>
        <v>3010</v>
      </c>
    </row>
    <row r="136" ht="15.75" customHeight="1">
      <c r="B136" s="3">
        <f>IFERROR(__xludf.DUMMYFUNCTION("""COMPUTED_VALUE"""),43637.64583333333)</f>
        <v>43637.64583</v>
      </c>
      <c r="C136" s="2">
        <f>IFERROR(__xludf.DUMMYFUNCTION("""COMPUTED_VALUE"""),2977.9)</f>
        <v>2977.9</v>
      </c>
    </row>
    <row r="137" ht="15.75" customHeight="1">
      <c r="B137" s="3">
        <f>IFERROR(__xludf.DUMMYFUNCTION("""COMPUTED_VALUE"""),43644.64583333333)</f>
        <v>43644.64583</v>
      </c>
      <c r="C137" s="2">
        <f>IFERROR(__xludf.DUMMYFUNCTION("""COMPUTED_VALUE"""),2865.0)</f>
        <v>2865</v>
      </c>
    </row>
    <row r="138" ht="15.75" customHeight="1">
      <c r="B138" s="3">
        <f>IFERROR(__xludf.DUMMYFUNCTION("""COMPUTED_VALUE"""),43651.64583333333)</f>
        <v>43651.64583</v>
      </c>
      <c r="C138" s="2">
        <f>IFERROR(__xludf.DUMMYFUNCTION("""COMPUTED_VALUE"""),2862.9)</f>
        <v>2862.9</v>
      </c>
    </row>
    <row r="139" ht="15.75" customHeight="1">
      <c r="B139" s="3">
        <f>IFERROR(__xludf.DUMMYFUNCTION("""COMPUTED_VALUE"""),43658.64583333333)</f>
        <v>43658.64583</v>
      </c>
      <c r="C139" s="2">
        <f>IFERROR(__xludf.DUMMYFUNCTION("""COMPUTED_VALUE"""),2834.95)</f>
        <v>2834.95</v>
      </c>
    </row>
    <row r="140" ht="15.75" customHeight="1">
      <c r="B140" s="3">
        <f>IFERROR(__xludf.DUMMYFUNCTION("""COMPUTED_VALUE"""),43665.64583333333)</f>
        <v>43665.64583</v>
      </c>
      <c r="C140" s="2">
        <f>IFERROR(__xludf.DUMMYFUNCTION("""COMPUTED_VALUE"""),2844.0)</f>
        <v>2844</v>
      </c>
    </row>
    <row r="141" ht="15.75" customHeight="1">
      <c r="B141" s="3">
        <f>IFERROR(__xludf.DUMMYFUNCTION("""COMPUTED_VALUE"""),43672.64583333333)</f>
        <v>43672.64583</v>
      </c>
      <c r="C141" s="2">
        <f>IFERROR(__xludf.DUMMYFUNCTION("""COMPUTED_VALUE"""),2773.3)</f>
        <v>2773.3</v>
      </c>
    </row>
    <row r="142" ht="15.75" customHeight="1">
      <c r="B142" s="3">
        <f>IFERROR(__xludf.DUMMYFUNCTION("""COMPUTED_VALUE"""),43679.64583333333)</f>
        <v>43679.64583</v>
      </c>
      <c r="C142" s="2">
        <f>IFERROR(__xludf.DUMMYFUNCTION("""COMPUTED_VALUE"""),2696.95)</f>
        <v>2696.95</v>
      </c>
    </row>
    <row r="143" ht="15.75" customHeight="1">
      <c r="B143" s="3">
        <f>IFERROR(__xludf.DUMMYFUNCTION("""COMPUTED_VALUE"""),43686.64583333333)</f>
        <v>43686.64583</v>
      </c>
      <c r="C143" s="2">
        <f>IFERROR(__xludf.DUMMYFUNCTION("""COMPUTED_VALUE"""),2644.35)</f>
        <v>2644.35</v>
      </c>
    </row>
    <row r="144" ht="15.75" customHeight="1">
      <c r="B144" s="3">
        <f>IFERROR(__xludf.DUMMYFUNCTION("""COMPUTED_VALUE"""),43693.64583333333)</f>
        <v>43693.64583</v>
      </c>
      <c r="C144" s="2">
        <f>IFERROR(__xludf.DUMMYFUNCTION("""COMPUTED_VALUE"""),2565.0)</f>
        <v>2565</v>
      </c>
    </row>
    <row r="145" ht="15.75" customHeight="1">
      <c r="B145" s="3">
        <f>IFERROR(__xludf.DUMMYFUNCTION("""COMPUTED_VALUE"""),43700.64583333333)</f>
        <v>43700.64583</v>
      </c>
      <c r="C145" s="2">
        <f>IFERROR(__xludf.DUMMYFUNCTION("""COMPUTED_VALUE"""),2520.0)</f>
        <v>2520</v>
      </c>
    </row>
    <row r="146" ht="15.75" customHeight="1">
      <c r="B146" s="3">
        <f>IFERROR(__xludf.DUMMYFUNCTION("""COMPUTED_VALUE"""),43707.64583333333)</f>
        <v>43707.64583</v>
      </c>
      <c r="C146" s="2">
        <f>IFERROR(__xludf.DUMMYFUNCTION("""COMPUTED_VALUE"""),2743.25)</f>
        <v>2743.25</v>
      </c>
    </row>
    <row r="147" ht="15.75" customHeight="1">
      <c r="B147" s="3">
        <f>IFERROR(__xludf.DUMMYFUNCTION("""COMPUTED_VALUE"""),43714.64583333333)</f>
        <v>43714.64583</v>
      </c>
      <c r="C147" s="2">
        <f>IFERROR(__xludf.DUMMYFUNCTION("""COMPUTED_VALUE"""),2763.15)</f>
        <v>2763.15</v>
      </c>
    </row>
    <row r="148" ht="15.75" customHeight="1">
      <c r="B148" s="3">
        <f>IFERROR(__xludf.DUMMYFUNCTION("""COMPUTED_VALUE"""),43721.64583333333)</f>
        <v>43721.64583</v>
      </c>
      <c r="C148" s="2">
        <f>IFERROR(__xludf.DUMMYFUNCTION("""COMPUTED_VALUE"""),2704.0)</f>
        <v>2704</v>
      </c>
    </row>
    <row r="149" ht="15.75" customHeight="1">
      <c r="B149" s="3">
        <f>IFERROR(__xludf.DUMMYFUNCTION("""COMPUTED_VALUE"""),43728.64583333333)</f>
        <v>43728.64583</v>
      </c>
      <c r="C149" s="2">
        <f>IFERROR(__xludf.DUMMYFUNCTION("""COMPUTED_VALUE"""),2883.0)</f>
        <v>2883</v>
      </c>
    </row>
    <row r="150" ht="15.75" customHeight="1">
      <c r="B150" s="3">
        <f>IFERROR(__xludf.DUMMYFUNCTION("""COMPUTED_VALUE"""),43735.64583333333)</f>
        <v>43735.64583</v>
      </c>
      <c r="C150" s="2">
        <f>IFERROR(__xludf.DUMMYFUNCTION("""COMPUTED_VALUE"""),3583.75)</f>
        <v>3583.75</v>
      </c>
    </row>
    <row r="151" ht="15.75" customHeight="1">
      <c r="B151" s="3">
        <f>IFERROR(__xludf.DUMMYFUNCTION("""COMPUTED_VALUE"""),43742.64583333333)</f>
        <v>43742.64583</v>
      </c>
      <c r="C151" s="2">
        <f>IFERROR(__xludf.DUMMYFUNCTION("""COMPUTED_VALUE"""),3023.95)</f>
        <v>3023.95</v>
      </c>
    </row>
    <row r="152" ht="15.75" customHeight="1">
      <c r="B152" s="3">
        <f>IFERROR(__xludf.DUMMYFUNCTION("""COMPUTED_VALUE"""),43749.64583333333)</f>
        <v>43749.64583</v>
      </c>
      <c r="C152" s="2">
        <f>IFERROR(__xludf.DUMMYFUNCTION("""COMPUTED_VALUE"""),3096.95)</f>
        <v>3096.95</v>
      </c>
    </row>
    <row r="153" ht="15.75" customHeight="1">
      <c r="B153" s="3">
        <f>IFERROR(__xludf.DUMMYFUNCTION("""COMPUTED_VALUE"""),43756.64583333333)</f>
        <v>43756.64583</v>
      </c>
      <c r="C153" s="2">
        <f>IFERROR(__xludf.DUMMYFUNCTION("""COMPUTED_VALUE"""),3266.35)</f>
        <v>3266.35</v>
      </c>
    </row>
    <row r="154" ht="15.75" customHeight="1">
      <c r="B154" s="3">
        <f>IFERROR(__xludf.DUMMYFUNCTION("""COMPUTED_VALUE"""),43763.79166666667)</f>
        <v>43763.79167</v>
      </c>
      <c r="C154" s="2">
        <f>IFERROR(__xludf.DUMMYFUNCTION("""COMPUTED_VALUE"""),3344.5)</f>
        <v>3344.5</v>
      </c>
    </row>
    <row r="155" ht="15.75" customHeight="1">
      <c r="B155" s="3">
        <f>IFERROR(__xludf.DUMMYFUNCTION("""COMPUTED_VALUE"""),43770.64583333333)</f>
        <v>43770.64583</v>
      </c>
      <c r="C155" s="2">
        <f>IFERROR(__xludf.DUMMYFUNCTION("""COMPUTED_VALUE"""),3399.0)</f>
        <v>3399</v>
      </c>
    </row>
    <row r="156" ht="15.75" customHeight="1">
      <c r="B156" s="3">
        <f>IFERROR(__xludf.DUMMYFUNCTION("""COMPUTED_VALUE"""),43777.64583333333)</f>
        <v>43777.64583</v>
      </c>
      <c r="C156" s="2">
        <f>IFERROR(__xludf.DUMMYFUNCTION("""COMPUTED_VALUE"""),3299.0)</f>
        <v>3299</v>
      </c>
    </row>
    <row r="157" ht="15.75" customHeight="1">
      <c r="B157" s="3">
        <f>IFERROR(__xludf.DUMMYFUNCTION("""COMPUTED_VALUE"""),43784.64583333333)</f>
        <v>43784.64583</v>
      </c>
      <c r="C157" s="2">
        <f>IFERROR(__xludf.DUMMYFUNCTION("""COMPUTED_VALUE"""),3299.0)</f>
        <v>3299</v>
      </c>
    </row>
    <row r="158" ht="15.75" customHeight="1">
      <c r="B158" s="3">
        <f>IFERROR(__xludf.DUMMYFUNCTION("""COMPUTED_VALUE"""),43791.64583333333)</f>
        <v>43791.64583</v>
      </c>
      <c r="C158" s="2">
        <f>IFERROR(__xludf.DUMMYFUNCTION("""COMPUTED_VALUE"""),3217.15)</f>
        <v>3217.15</v>
      </c>
    </row>
    <row r="159" ht="15.75" customHeight="1">
      <c r="B159" s="3">
        <f>IFERROR(__xludf.DUMMYFUNCTION("""COMPUTED_VALUE"""),43798.64583333333)</f>
        <v>43798.64583</v>
      </c>
      <c r="C159" s="2">
        <f>IFERROR(__xludf.DUMMYFUNCTION("""COMPUTED_VALUE"""),3110.4)</f>
        <v>3110.4</v>
      </c>
    </row>
    <row r="160" ht="15.75" customHeight="1">
      <c r="B160" s="3">
        <f>IFERROR(__xludf.DUMMYFUNCTION("""COMPUTED_VALUE"""),43805.64583333333)</f>
        <v>43805.64583</v>
      </c>
      <c r="C160" s="2">
        <f>IFERROR(__xludf.DUMMYFUNCTION("""COMPUTED_VALUE"""),3116.0)</f>
        <v>3116</v>
      </c>
    </row>
    <row r="161" ht="15.75" customHeight="1">
      <c r="B161" s="3">
        <f>IFERROR(__xludf.DUMMYFUNCTION("""COMPUTED_VALUE"""),43812.64583333333)</f>
        <v>43812.64583</v>
      </c>
      <c r="C161" s="2">
        <f>IFERROR(__xludf.DUMMYFUNCTION("""COMPUTED_VALUE"""),3096.0)</f>
        <v>3096</v>
      </c>
    </row>
    <row r="162" ht="15.75" customHeight="1">
      <c r="B162" s="3">
        <f>IFERROR(__xludf.DUMMYFUNCTION("""COMPUTED_VALUE"""),43819.64583333333)</f>
        <v>43819.64583</v>
      </c>
      <c r="C162" s="2">
        <f>IFERROR(__xludf.DUMMYFUNCTION("""COMPUTED_VALUE"""),3155.95)</f>
        <v>3155.95</v>
      </c>
    </row>
    <row r="163" ht="15.75" customHeight="1">
      <c r="B163" s="3">
        <f>IFERROR(__xludf.DUMMYFUNCTION("""COMPUTED_VALUE"""),43826.64583333333)</f>
        <v>43826.64583</v>
      </c>
      <c r="C163" s="2">
        <f>IFERROR(__xludf.DUMMYFUNCTION("""COMPUTED_VALUE"""),3129.7)</f>
        <v>3129.7</v>
      </c>
    </row>
    <row r="164" ht="15.75" customHeight="1"/>
    <row r="165" ht="15.75" customHeight="1"/>
    <row r="166" ht="15.75" customHeight="1">
      <c r="B166" s="2" t="str">
        <f>IFERROR(__xludf.DUMMYFUNCTION("GOOGLEFINANCE(""NSE:BRITANNIA"", ""high"",DATE(2020,1,1),DATE(2021,1,1),""weekly"")"),"Date")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IFERROR(__xludf.DUMMYFUNCTION("""COMPUTED_VALUE"""),43833.64583333333)</f>
        <v>43833.64583</v>
      </c>
      <c r="C167" s="2">
        <f>IFERROR(__xludf.DUMMYFUNCTION("""COMPUTED_VALUE"""),3066.8)</f>
        <v>3066.8</v>
      </c>
    </row>
    <row r="168" ht="15.75" customHeight="1">
      <c r="B168" s="3">
        <f>IFERROR(__xludf.DUMMYFUNCTION("""COMPUTED_VALUE"""),43840.64583333333)</f>
        <v>43840.64583</v>
      </c>
      <c r="C168" s="2">
        <f>IFERROR(__xludf.DUMMYFUNCTION("""COMPUTED_VALUE"""),3054.0)</f>
        <v>3054</v>
      </c>
    </row>
    <row r="169" ht="15.75" customHeight="1">
      <c r="B169" s="3">
        <f>IFERROR(__xludf.DUMMYFUNCTION("""COMPUTED_VALUE"""),43847.64583333333)</f>
        <v>43847.64583</v>
      </c>
      <c r="C169" s="2">
        <f>IFERROR(__xludf.DUMMYFUNCTION("""COMPUTED_VALUE"""),3169.0)</f>
        <v>3169</v>
      </c>
    </row>
    <row r="170" ht="15.75" customHeight="1">
      <c r="B170" s="3">
        <f>IFERROR(__xludf.DUMMYFUNCTION("""COMPUTED_VALUE"""),43854.64583333333)</f>
        <v>43854.64583</v>
      </c>
      <c r="C170" s="2">
        <f>IFERROR(__xludf.DUMMYFUNCTION("""COMPUTED_VALUE"""),3212.95)</f>
        <v>3212.95</v>
      </c>
    </row>
    <row r="171" ht="15.75" customHeight="1">
      <c r="B171" s="3">
        <f>IFERROR(__xludf.DUMMYFUNCTION("""COMPUTED_VALUE"""),43862.70833333333)</f>
        <v>43862.70833</v>
      </c>
      <c r="C171" s="2">
        <f>IFERROR(__xludf.DUMMYFUNCTION("""COMPUTED_VALUE"""),3274.6)</f>
        <v>3274.6</v>
      </c>
    </row>
    <row r="172" ht="15.75" customHeight="1">
      <c r="B172" s="3">
        <f>IFERROR(__xludf.DUMMYFUNCTION("""COMPUTED_VALUE"""),43868.64583333333)</f>
        <v>43868.64583</v>
      </c>
      <c r="C172" s="2">
        <f>IFERROR(__xludf.DUMMYFUNCTION("""COMPUTED_VALUE"""),3318.0)</f>
        <v>3318</v>
      </c>
    </row>
    <row r="173" ht="15.75" customHeight="1">
      <c r="B173" s="3">
        <f>IFERROR(__xludf.DUMMYFUNCTION("""COMPUTED_VALUE"""),43875.64583333333)</f>
        <v>43875.64583</v>
      </c>
      <c r="C173" s="2">
        <f>IFERROR(__xludf.DUMMYFUNCTION("""COMPUTED_VALUE"""),3280.0)</f>
        <v>3280</v>
      </c>
    </row>
    <row r="174" ht="15.75" customHeight="1">
      <c r="B174" s="3">
        <f>IFERROR(__xludf.DUMMYFUNCTION("""COMPUTED_VALUE"""),43881.64583333333)</f>
        <v>43881.64583</v>
      </c>
      <c r="C174" s="2">
        <f>IFERROR(__xludf.DUMMYFUNCTION("""COMPUTED_VALUE"""),3123.45)</f>
        <v>3123.45</v>
      </c>
    </row>
    <row r="175" ht="15.75" customHeight="1">
      <c r="B175" s="3">
        <f>IFERROR(__xludf.DUMMYFUNCTION("""COMPUTED_VALUE"""),43889.64583333333)</f>
        <v>43889.64583</v>
      </c>
      <c r="C175" s="2">
        <f>IFERROR(__xludf.DUMMYFUNCTION("""COMPUTED_VALUE"""),3100.0)</f>
        <v>3100</v>
      </c>
    </row>
    <row r="176" ht="15.75" customHeight="1">
      <c r="B176" s="3">
        <f>IFERROR(__xludf.DUMMYFUNCTION("""COMPUTED_VALUE"""),43896.64583333333)</f>
        <v>43896.64583</v>
      </c>
      <c r="C176" s="2">
        <f>IFERROR(__xludf.DUMMYFUNCTION("""COMPUTED_VALUE"""),3165.0)</f>
        <v>3165</v>
      </c>
    </row>
    <row r="177" ht="15.75" customHeight="1">
      <c r="B177" s="3">
        <f>IFERROR(__xludf.DUMMYFUNCTION("""COMPUTED_VALUE"""),43903.64583333333)</f>
        <v>43903.64583</v>
      </c>
      <c r="C177" s="2">
        <f>IFERROR(__xludf.DUMMYFUNCTION("""COMPUTED_VALUE"""),3065.9)</f>
        <v>3065.9</v>
      </c>
    </row>
    <row r="178" ht="15.75" customHeight="1">
      <c r="B178" s="3">
        <f>IFERROR(__xludf.DUMMYFUNCTION("""COMPUTED_VALUE"""),43910.64583333333)</f>
        <v>43910.64583</v>
      </c>
      <c r="C178" s="2">
        <f>IFERROR(__xludf.DUMMYFUNCTION("""COMPUTED_VALUE"""),2795.75)</f>
        <v>2795.75</v>
      </c>
    </row>
    <row r="179" ht="15.75" customHeight="1">
      <c r="B179" s="3">
        <f>IFERROR(__xludf.DUMMYFUNCTION("""COMPUTED_VALUE"""),43917.64583333333)</f>
        <v>43917.64583</v>
      </c>
      <c r="C179" s="2">
        <f>IFERROR(__xludf.DUMMYFUNCTION("""COMPUTED_VALUE"""),2708.95)</f>
        <v>2708.95</v>
      </c>
    </row>
    <row r="180" ht="15.75" customHeight="1">
      <c r="B180" s="3">
        <f>IFERROR(__xludf.DUMMYFUNCTION("""COMPUTED_VALUE"""),43924.64583333333)</f>
        <v>43924.64583</v>
      </c>
      <c r="C180" s="2">
        <f>IFERROR(__xludf.DUMMYFUNCTION("""COMPUTED_VALUE"""),2780.0)</f>
        <v>2780</v>
      </c>
    </row>
    <row r="181" ht="15.75" customHeight="1">
      <c r="B181" s="3">
        <f>IFERROR(__xludf.DUMMYFUNCTION("""COMPUTED_VALUE"""),43930.64583333333)</f>
        <v>43930.64583</v>
      </c>
      <c r="C181" s="2">
        <f>IFERROR(__xludf.DUMMYFUNCTION("""COMPUTED_VALUE"""),2990.0)</f>
        <v>2990</v>
      </c>
    </row>
    <row r="182" ht="15.75" customHeight="1">
      <c r="B182" s="3">
        <f>IFERROR(__xludf.DUMMYFUNCTION("""COMPUTED_VALUE"""),43938.64583333333)</f>
        <v>43938.64583</v>
      </c>
      <c r="C182" s="2">
        <f>IFERROR(__xludf.DUMMYFUNCTION("""COMPUTED_VALUE"""),2908.5)</f>
        <v>2908.5</v>
      </c>
    </row>
    <row r="183" ht="15.75" customHeight="1">
      <c r="B183" s="3">
        <f>IFERROR(__xludf.DUMMYFUNCTION("""COMPUTED_VALUE"""),43945.64583333333)</f>
        <v>43945.64583</v>
      </c>
      <c r="C183" s="2">
        <f>IFERROR(__xludf.DUMMYFUNCTION("""COMPUTED_VALUE"""),3245.0)</f>
        <v>3245</v>
      </c>
    </row>
    <row r="184" ht="15.75" customHeight="1">
      <c r="B184" s="3">
        <f>IFERROR(__xludf.DUMMYFUNCTION("""COMPUTED_VALUE"""),43951.64583333333)</f>
        <v>43951.64583</v>
      </c>
      <c r="C184" s="2">
        <f>IFERROR(__xludf.DUMMYFUNCTION("""COMPUTED_VALUE"""),3290.0)</f>
        <v>3290</v>
      </c>
    </row>
    <row r="185" ht="15.75" customHeight="1">
      <c r="B185" s="3">
        <f>IFERROR(__xludf.DUMMYFUNCTION("""COMPUTED_VALUE"""),43959.64583333333)</f>
        <v>43959.64583</v>
      </c>
      <c r="C185" s="2">
        <f>IFERROR(__xludf.DUMMYFUNCTION("""COMPUTED_VALUE"""),3160.0)</f>
        <v>3160</v>
      </c>
    </row>
    <row r="186" ht="15.75" customHeight="1">
      <c r="B186" s="3">
        <f>IFERROR(__xludf.DUMMYFUNCTION("""COMPUTED_VALUE"""),43966.64583333333)</f>
        <v>43966.64583</v>
      </c>
      <c r="C186" s="2">
        <f>IFERROR(__xludf.DUMMYFUNCTION("""COMPUTED_VALUE"""),3196.0)</f>
        <v>3196</v>
      </c>
    </row>
    <row r="187" ht="15.75" customHeight="1">
      <c r="B187" s="3">
        <f>IFERROR(__xludf.DUMMYFUNCTION("""COMPUTED_VALUE"""),43973.64583333333)</f>
        <v>43973.64583</v>
      </c>
      <c r="C187" s="2">
        <f>IFERROR(__xludf.DUMMYFUNCTION("""COMPUTED_VALUE"""),3184.2)</f>
        <v>3184.2</v>
      </c>
    </row>
    <row r="188" ht="15.75" customHeight="1">
      <c r="B188" s="3">
        <f>IFERROR(__xludf.DUMMYFUNCTION("""COMPUTED_VALUE"""),43980.64583333333)</f>
        <v>43980.64583</v>
      </c>
      <c r="C188" s="2">
        <f>IFERROR(__xludf.DUMMYFUNCTION("""COMPUTED_VALUE"""),3417.0)</f>
        <v>3417</v>
      </c>
    </row>
    <row r="189" ht="15.75" customHeight="1">
      <c r="B189" s="3">
        <f>IFERROR(__xludf.DUMMYFUNCTION("""COMPUTED_VALUE"""),43987.64583333333)</f>
        <v>43987.64583</v>
      </c>
      <c r="C189" s="2">
        <f>IFERROR(__xludf.DUMMYFUNCTION("""COMPUTED_VALUE"""),3708.0)</f>
        <v>3708</v>
      </c>
    </row>
    <row r="190" ht="15.75" customHeight="1">
      <c r="B190" s="3">
        <f>IFERROR(__xludf.DUMMYFUNCTION("""COMPUTED_VALUE"""),43994.64583333333)</f>
        <v>43994.64583</v>
      </c>
      <c r="C190" s="2">
        <f>IFERROR(__xludf.DUMMYFUNCTION("""COMPUTED_VALUE"""),3513.25)</f>
        <v>3513.25</v>
      </c>
    </row>
    <row r="191" ht="15.75" customHeight="1">
      <c r="B191" s="3">
        <f>IFERROR(__xludf.DUMMYFUNCTION("""COMPUTED_VALUE"""),44001.64583333333)</f>
        <v>44001.64583</v>
      </c>
      <c r="C191" s="2">
        <f>IFERROR(__xludf.DUMMYFUNCTION("""COMPUTED_VALUE"""),3457.0)</f>
        <v>3457</v>
      </c>
    </row>
    <row r="192" ht="15.75" customHeight="1">
      <c r="B192" s="3">
        <f>IFERROR(__xludf.DUMMYFUNCTION("""COMPUTED_VALUE"""),44008.64583333333)</f>
        <v>44008.64583</v>
      </c>
      <c r="C192" s="2">
        <f>IFERROR(__xludf.DUMMYFUNCTION("""COMPUTED_VALUE"""),3504.9)</f>
        <v>3504.9</v>
      </c>
    </row>
    <row r="193" ht="15.75" customHeight="1">
      <c r="B193" s="3">
        <f>IFERROR(__xludf.DUMMYFUNCTION("""COMPUTED_VALUE"""),44015.64583333333)</f>
        <v>44015.64583</v>
      </c>
      <c r="C193" s="2">
        <f>IFERROR(__xludf.DUMMYFUNCTION("""COMPUTED_VALUE"""),3615.0)</f>
        <v>3615</v>
      </c>
    </row>
    <row r="194" ht="15.75" customHeight="1">
      <c r="B194" s="3">
        <f>IFERROR(__xludf.DUMMYFUNCTION("""COMPUTED_VALUE"""),44022.64583333333)</f>
        <v>44022.64583</v>
      </c>
      <c r="C194" s="2">
        <f>IFERROR(__xludf.DUMMYFUNCTION("""COMPUTED_VALUE"""),3753.6)</f>
        <v>3753.6</v>
      </c>
    </row>
    <row r="195" ht="15.75" customHeight="1">
      <c r="B195" s="3">
        <f>IFERROR(__xludf.DUMMYFUNCTION("""COMPUTED_VALUE"""),44029.64583333333)</f>
        <v>44029.64583</v>
      </c>
      <c r="C195" s="2">
        <f>IFERROR(__xludf.DUMMYFUNCTION("""COMPUTED_VALUE"""),3938.0)</f>
        <v>3938</v>
      </c>
    </row>
    <row r="196" ht="15.75" customHeight="1">
      <c r="B196" s="3">
        <f>IFERROR(__xludf.DUMMYFUNCTION("""COMPUTED_VALUE"""),44036.64583333333)</f>
        <v>44036.64583</v>
      </c>
      <c r="C196" s="2">
        <f>IFERROR(__xludf.DUMMYFUNCTION("""COMPUTED_VALUE"""),4010.0)</f>
        <v>4010</v>
      </c>
    </row>
    <row r="197" ht="15.75" customHeight="1">
      <c r="B197" s="3">
        <f>IFERROR(__xludf.DUMMYFUNCTION("""COMPUTED_VALUE"""),44043.64583333333)</f>
        <v>44043.64583</v>
      </c>
      <c r="C197" s="2">
        <f>IFERROR(__xludf.DUMMYFUNCTION("""COMPUTED_VALUE"""),3874.4)</f>
        <v>3874.4</v>
      </c>
    </row>
    <row r="198" ht="15.75" customHeight="1">
      <c r="B198" s="3">
        <f>IFERROR(__xludf.DUMMYFUNCTION("""COMPUTED_VALUE"""),44050.64583333333)</f>
        <v>44050.64583</v>
      </c>
      <c r="C198" s="2">
        <f>IFERROR(__xludf.DUMMYFUNCTION("""COMPUTED_VALUE"""),3945.0)</f>
        <v>3945</v>
      </c>
    </row>
    <row r="199" ht="15.75" customHeight="1">
      <c r="B199" s="3">
        <f>IFERROR(__xludf.DUMMYFUNCTION("""COMPUTED_VALUE"""),44057.64583333333)</f>
        <v>44057.64583</v>
      </c>
      <c r="C199" s="2">
        <f>IFERROR(__xludf.DUMMYFUNCTION("""COMPUTED_VALUE"""),4005.0)</f>
        <v>4005</v>
      </c>
    </row>
    <row r="200" ht="15.75" customHeight="1">
      <c r="B200" s="3">
        <f>IFERROR(__xludf.DUMMYFUNCTION("""COMPUTED_VALUE"""),44064.64583333333)</f>
        <v>44064.64583</v>
      </c>
      <c r="C200" s="2">
        <f>IFERROR(__xludf.DUMMYFUNCTION("""COMPUTED_VALUE"""),3949.0)</f>
        <v>3949</v>
      </c>
    </row>
    <row r="201" ht="15.75" customHeight="1">
      <c r="B201" s="3">
        <f>IFERROR(__xludf.DUMMYFUNCTION("""COMPUTED_VALUE"""),44071.64583333333)</f>
        <v>44071.64583</v>
      </c>
      <c r="C201" s="2">
        <f>IFERROR(__xludf.DUMMYFUNCTION("""COMPUTED_VALUE"""),3929.95)</f>
        <v>3929.95</v>
      </c>
    </row>
    <row r="202" ht="15.75" customHeight="1">
      <c r="B202" s="3">
        <f>IFERROR(__xludf.DUMMYFUNCTION("""COMPUTED_VALUE"""),44078.64583333333)</f>
        <v>44078.64583</v>
      </c>
      <c r="C202" s="2">
        <f>IFERROR(__xludf.DUMMYFUNCTION("""COMPUTED_VALUE"""),3813.6)</f>
        <v>3813.6</v>
      </c>
    </row>
    <row r="203" ht="15.75" customHeight="1">
      <c r="B203" s="3">
        <f>IFERROR(__xludf.DUMMYFUNCTION("""COMPUTED_VALUE"""),44085.64583333333)</f>
        <v>44085.64583</v>
      </c>
      <c r="C203" s="2">
        <f>IFERROR(__xludf.DUMMYFUNCTION("""COMPUTED_VALUE"""),3828.0)</f>
        <v>3828</v>
      </c>
    </row>
    <row r="204" ht="15.75" customHeight="1">
      <c r="B204" s="3">
        <f>IFERROR(__xludf.DUMMYFUNCTION("""COMPUTED_VALUE"""),44092.64583333333)</f>
        <v>44092.64583</v>
      </c>
      <c r="C204" s="2">
        <f>IFERROR(__xludf.DUMMYFUNCTION("""COMPUTED_VALUE"""),3890.95)</f>
        <v>3890.95</v>
      </c>
    </row>
    <row r="205" ht="15.75" customHeight="1">
      <c r="B205" s="3">
        <f>IFERROR(__xludf.DUMMYFUNCTION("""COMPUTED_VALUE"""),44099.64583333333)</f>
        <v>44099.64583</v>
      </c>
      <c r="C205" s="2">
        <f>IFERROR(__xludf.DUMMYFUNCTION("""COMPUTED_VALUE"""),3795.0)</f>
        <v>3795</v>
      </c>
    </row>
    <row r="206" ht="15.75" customHeight="1">
      <c r="B206" s="3">
        <f>IFERROR(__xludf.DUMMYFUNCTION("""COMPUTED_VALUE"""),44105.64583333333)</f>
        <v>44105.64583</v>
      </c>
      <c r="C206" s="2">
        <f>IFERROR(__xludf.DUMMYFUNCTION("""COMPUTED_VALUE"""),3827.95)</f>
        <v>3827.95</v>
      </c>
    </row>
    <row r="207" ht="15.75" customHeight="1">
      <c r="B207" s="3">
        <f>IFERROR(__xludf.DUMMYFUNCTION("""COMPUTED_VALUE"""),44113.64583333333)</f>
        <v>44113.64583</v>
      </c>
      <c r="C207" s="2">
        <f>IFERROR(__xludf.DUMMYFUNCTION("""COMPUTED_VALUE"""),3879.95)</f>
        <v>3879.95</v>
      </c>
    </row>
    <row r="208" ht="15.75" customHeight="1">
      <c r="B208" s="3">
        <f>IFERROR(__xludf.DUMMYFUNCTION("""COMPUTED_VALUE"""),44120.64583333333)</f>
        <v>44120.64583</v>
      </c>
      <c r="C208" s="2">
        <f>IFERROR(__xludf.DUMMYFUNCTION("""COMPUTED_VALUE"""),3835.95)</f>
        <v>3835.95</v>
      </c>
    </row>
    <row r="209" ht="15.75" customHeight="1">
      <c r="B209" s="3">
        <f>IFERROR(__xludf.DUMMYFUNCTION("""COMPUTED_VALUE"""),44127.64583333333)</f>
        <v>44127.64583</v>
      </c>
      <c r="C209" s="2">
        <f>IFERROR(__xludf.DUMMYFUNCTION("""COMPUTED_VALUE"""),3795.0)</f>
        <v>3795</v>
      </c>
    </row>
    <row r="210" ht="15.75" customHeight="1">
      <c r="B210" s="3">
        <f>IFERROR(__xludf.DUMMYFUNCTION("""COMPUTED_VALUE"""),44134.64583333333)</f>
        <v>44134.64583</v>
      </c>
      <c r="C210" s="2">
        <f>IFERROR(__xludf.DUMMYFUNCTION("""COMPUTED_VALUE"""),3599.8)</f>
        <v>3599.8</v>
      </c>
    </row>
    <row r="211" ht="15.75" customHeight="1">
      <c r="B211" s="3">
        <f>IFERROR(__xludf.DUMMYFUNCTION("""COMPUTED_VALUE"""),44141.64583333333)</f>
        <v>44141.64583</v>
      </c>
      <c r="C211" s="2">
        <f>IFERROR(__xludf.DUMMYFUNCTION("""COMPUTED_VALUE"""),3555.0)</f>
        <v>3555</v>
      </c>
    </row>
    <row r="212" ht="15.75" customHeight="1">
      <c r="B212" s="3">
        <f>IFERROR(__xludf.DUMMYFUNCTION("""COMPUTED_VALUE"""),44155.64583333333)</f>
        <v>44155.64583</v>
      </c>
      <c r="C212" s="2">
        <f>IFERROR(__xludf.DUMMYFUNCTION("""COMPUTED_VALUE"""),3577.75)</f>
        <v>3577.75</v>
      </c>
    </row>
    <row r="213" ht="15.75" customHeight="1">
      <c r="B213" s="3">
        <f>IFERROR(__xludf.DUMMYFUNCTION("""COMPUTED_VALUE"""),44162.64583333333)</f>
        <v>44162.64583</v>
      </c>
      <c r="C213" s="2">
        <f>IFERROR(__xludf.DUMMYFUNCTION("""COMPUTED_VALUE"""),3684.9)</f>
        <v>3684.9</v>
      </c>
    </row>
    <row r="214" ht="15.75" customHeight="1">
      <c r="B214" s="3">
        <f>IFERROR(__xludf.DUMMYFUNCTION("""COMPUTED_VALUE"""),44169.64583333333)</f>
        <v>44169.64583</v>
      </c>
      <c r="C214" s="2">
        <f>IFERROR(__xludf.DUMMYFUNCTION("""COMPUTED_VALUE"""),3702.5)</f>
        <v>3702.5</v>
      </c>
    </row>
    <row r="215" ht="15.75" customHeight="1">
      <c r="B215" s="3">
        <f>IFERROR(__xludf.DUMMYFUNCTION("""COMPUTED_VALUE"""),44176.64583333333)</f>
        <v>44176.64583</v>
      </c>
      <c r="C215" s="2">
        <f>IFERROR(__xludf.DUMMYFUNCTION("""COMPUTED_VALUE"""),3777.0)</f>
        <v>3777</v>
      </c>
    </row>
    <row r="216" ht="15.75" customHeight="1">
      <c r="B216" s="3">
        <f>IFERROR(__xludf.DUMMYFUNCTION("""COMPUTED_VALUE"""),44183.64583333333)</f>
        <v>44183.64583</v>
      </c>
      <c r="C216" s="2">
        <f>IFERROR(__xludf.DUMMYFUNCTION("""COMPUTED_VALUE"""),3797.7)</f>
        <v>3797.7</v>
      </c>
    </row>
    <row r="217" ht="15.75" customHeight="1">
      <c r="B217" s="3">
        <f>IFERROR(__xludf.DUMMYFUNCTION("""COMPUTED_VALUE"""),44189.64583333333)</f>
        <v>44189.64583</v>
      </c>
      <c r="C217" s="2">
        <f>IFERROR(__xludf.DUMMYFUNCTION("""COMPUTED_VALUE"""),3727.05)</f>
        <v>3727.05</v>
      </c>
    </row>
    <row r="218" ht="15.75" customHeight="1">
      <c r="B218" s="3">
        <f>IFERROR(__xludf.DUMMYFUNCTION("""COMPUTED_VALUE"""),44197.64583333333)</f>
        <v>44197.64583</v>
      </c>
      <c r="C218" s="2">
        <f>IFERROR(__xludf.DUMMYFUNCTION("""COMPUTED_VALUE"""),3646.15)</f>
        <v>3646.15</v>
      </c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IFERROR(__xludf.DUMMYFUNCTION("GOOGLEFINANCE(""NSE:DRREDDY"",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IFERROR(__xludf.DUMMYFUNCTION("""COMPUTED_VALUE"""),485.0)</f>
        <v>485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IFERROR(__xludf.DUMMYFUNCTION("""COMPUTED_VALUE"""),495.0)</f>
        <v>495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IFERROR(__xludf.DUMMYFUNCTION("""COMPUTED_VALUE"""),490.5)</f>
        <v>490.5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IFERROR(__xludf.DUMMYFUNCTION("""COMPUTED_VALUE"""),522.48)</f>
        <v>522.48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IFERROR(__xludf.DUMMYFUNCTION("""COMPUTED_VALUE"""),505.0)</f>
        <v>505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IFERROR(__xludf.DUMMYFUNCTION("""COMPUTED_VALUE"""),493.25)</f>
        <v>493.25</v>
      </c>
    </row>
    <row r="8">
      <c r="A8" s="2" t="s">
        <v>9</v>
      </c>
      <c r="B8" s="3">
        <f>IFERROR(__xludf.DUMMYFUNCTION("""COMPUTED_VALUE"""),37302.645833333336)</f>
        <v>37302.64583</v>
      </c>
      <c r="C8" s="2">
        <f>IFERROR(__xludf.DUMMYFUNCTION("""COMPUTED_VALUE"""),491.0)</f>
        <v>491</v>
      </c>
    </row>
    <row r="9">
      <c r="A9" s="2" t="s">
        <v>10</v>
      </c>
      <c r="B9" s="3">
        <f>IFERROR(__xludf.DUMMYFUNCTION("""COMPUTED_VALUE"""),37309.645833333336)</f>
        <v>37309.64583</v>
      </c>
      <c r="C9" s="2">
        <f>IFERROR(__xludf.DUMMYFUNCTION("""COMPUTED_VALUE"""),502.45)</f>
        <v>502.45</v>
      </c>
    </row>
    <row r="10">
      <c r="A10" s="2" t="s">
        <v>11</v>
      </c>
      <c r="B10" s="3">
        <f>IFERROR(__xludf.DUMMYFUNCTION("""COMPUTED_VALUE"""),37316.645833333336)</f>
        <v>37316.64583</v>
      </c>
      <c r="C10" s="2">
        <f>IFERROR(__xludf.DUMMYFUNCTION("""COMPUTED_VALUE"""),560.0)</f>
        <v>560</v>
      </c>
    </row>
    <row r="11">
      <c r="A11" s="2" t="s">
        <v>12</v>
      </c>
      <c r="B11" s="3">
        <f>IFERROR(__xludf.DUMMYFUNCTION("""COMPUTED_VALUE"""),37323.645833333336)</f>
        <v>37323.64583</v>
      </c>
      <c r="C11" s="2">
        <f>IFERROR(__xludf.DUMMYFUNCTION("""COMPUTED_VALUE"""),544.0)</f>
        <v>544</v>
      </c>
    </row>
    <row r="12">
      <c r="A12" s="2" t="s">
        <v>13</v>
      </c>
      <c r="B12" s="3">
        <f>IFERROR(__xludf.DUMMYFUNCTION("""COMPUTED_VALUE"""),37330.645833333336)</f>
        <v>37330.64583</v>
      </c>
      <c r="C12" s="2">
        <f>IFERROR(__xludf.DUMMYFUNCTION("""COMPUTED_VALUE"""),550.15)</f>
        <v>550.15</v>
      </c>
    </row>
    <row r="13">
      <c r="A13" s="2" t="s">
        <v>14</v>
      </c>
      <c r="B13" s="3">
        <f>IFERROR(__xludf.DUMMYFUNCTION("""COMPUTED_VALUE"""),37337.645833333336)</f>
        <v>37337.64583</v>
      </c>
      <c r="C13" s="2">
        <f>IFERROR(__xludf.DUMMYFUNCTION("""COMPUTED_VALUE"""),539.95)</f>
        <v>539.95</v>
      </c>
    </row>
    <row r="14">
      <c r="A14" s="2" t="s">
        <v>15</v>
      </c>
      <c r="B14" s="3">
        <f>IFERROR(__xludf.DUMMYFUNCTION("""COMPUTED_VALUE"""),37343.645833333336)</f>
        <v>37343.64583</v>
      </c>
      <c r="C14" s="2">
        <f>IFERROR(__xludf.DUMMYFUNCTION("""COMPUTED_VALUE"""),556.0)</f>
        <v>556</v>
      </c>
    </row>
    <row r="15">
      <c r="A15" s="2" t="s">
        <v>16</v>
      </c>
      <c r="B15" s="3">
        <f>IFERROR(__xludf.DUMMYFUNCTION("""COMPUTED_VALUE"""),37351.645833333336)</f>
        <v>37351.64583</v>
      </c>
      <c r="C15" s="2">
        <f>IFERROR(__xludf.DUMMYFUNCTION("""COMPUTED_VALUE"""),574.5)</f>
        <v>574.5</v>
      </c>
    </row>
    <row r="16">
      <c r="A16" s="2" t="s">
        <v>17</v>
      </c>
      <c r="B16" s="3">
        <f>IFERROR(__xludf.DUMMYFUNCTION("""COMPUTED_VALUE"""),37358.645833333336)</f>
        <v>37358.64583</v>
      </c>
      <c r="C16" s="2">
        <f>IFERROR(__xludf.DUMMYFUNCTION("""COMPUTED_VALUE"""),569.5)</f>
        <v>569.5</v>
      </c>
    </row>
    <row r="17">
      <c r="A17" s="2" t="s">
        <v>18</v>
      </c>
      <c r="B17" s="3">
        <f>IFERROR(__xludf.DUMMYFUNCTION("""COMPUTED_VALUE"""),37365.645833333336)</f>
        <v>37365.64583</v>
      </c>
      <c r="C17" s="2">
        <f>IFERROR(__xludf.DUMMYFUNCTION("""COMPUTED_VALUE"""),551.0)</f>
        <v>551</v>
      </c>
    </row>
    <row r="18">
      <c r="A18" s="2" t="s">
        <v>19</v>
      </c>
      <c r="B18" s="3">
        <f>IFERROR(__xludf.DUMMYFUNCTION("""COMPUTED_VALUE"""),37372.645833333336)</f>
        <v>37372.64583</v>
      </c>
      <c r="C18" s="2">
        <f>IFERROR(__xludf.DUMMYFUNCTION("""COMPUTED_VALUE"""),527.0)</f>
        <v>527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IFERROR(__xludf.DUMMYFUNCTION("""COMPUTED_VALUE"""),512.0)</f>
        <v>512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IFERROR(__xludf.DUMMYFUNCTION("""COMPUTED_VALUE"""),507.5)</f>
        <v>507.5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IFERROR(__xludf.DUMMYFUNCTION("""COMPUTED_VALUE"""),549.5)</f>
        <v>549.5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IFERROR(__xludf.DUMMYFUNCTION("""COMPUTED_VALUE"""),500.0)</f>
        <v>500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IFERROR(__xludf.DUMMYFUNCTION("""COMPUTED_VALUE"""),491.5)</f>
        <v>491.5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IFERROR(__xludf.DUMMYFUNCTION("""COMPUTED_VALUE"""),493.0)</f>
        <v>493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IFERROR(__xludf.DUMMYFUNCTION("""COMPUTED_VALUE"""),500.0)</f>
        <v>500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IFERROR(__xludf.DUMMYFUNCTION("""COMPUTED_VALUE"""),505.0)</f>
        <v>505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IFERROR(__xludf.DUMMYFUNCTION("""COMPUTED_VALUE"""),487.0)</f>
        <v>487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IFERROR(__xludf.DUMMYFUNCTION("""COMPUTED_VALUE"""),505.0)</f>
        <v>505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IFERROR(__xludf.DUMMYFUNCTION("""COMPUTED_VALUE"""),502.5)</f>
        <v>502.5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IFERROR(__xludf.DUMMYFUNCTION("""COMPUTED_VALUE"""),508.45)</f>
        <v>508.45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IFERROR(__xludf.DUMMYFUNCTION("""COMPUTED_VALUE"""),507.5)</f>
        <v>507.5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IFERROR(__xludf.DUMMYFUNCTION("""COMPUTED_VALUE"""),449.5)</f>
        <v>449.5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IFERROR(__xludf.DUMMYFUNCTION("""COMPUTED_VALUE"""),455.0)</f>
        <v>455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IFERROR(__xludf.DUMMYFUNCTION("""COMPUTED_VALUE"""),440.25)</f>
        <v>440.25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IFERROR(__xludf.DUMMYFUNCTION("""COMPUTED_VALUE"""),437.5)</f>
        <v>437.5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IFERROR(__xludf.DUMMYFUNCTION("""COMPUTED_VALUE"""),449.98)</f>
        <v>449.98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IFERROR(__xludf.DUMMYFUNCTION("""COMPUTED_VALUE"""),452.5)</f>
        <v>452.5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IFERROR(__xludf.DUMMYFUNCTION("""COMPUTED_VALUE"""),444.83)</f>
        <v>444.83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IFERROR(__xludf.DUMMYFUNCTION("""COMPUTED_VALUE"""),440.0)</f>
        <v>440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IFERROR(__xludf.DUMMYFUNCTION("""COMPUTED_VALUE"""),437.5)</f>
        <v>437.5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IFERROR(__xludf.DUMMYFUNCTION("""COMPUTED_VALUE"""),420.13)</f>
        <v>420.13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IFERROR(__xludf.DUMMYFUNCTION("""COMPUTED_VALUE"""),417.45)</f>
        <v>417.45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IFERROR(__xludf.DUMMYFUNCTION("""COMPUTED_VALUE"""),405.0)</f>
        <v>405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IFERROR(__xludf.DUMMYFUNCTION("""COMPUTED_VALUE"""),379.13)</f>
        <v>379.13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IFERROR(__xludf.DUMMYFUNCTION("""COMPUTED_VALUE"""),357.45)</f>
        <v>357.45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IFERROR(__xludf.DUMMYFUNCTION("""COMPUTED_VALUE"""),352.0)</f>
        <v>352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IFERROR(__xludf.DUMMYFUNCTION("""COMPUTED_VALUE"""),367.5)</f>
        <v>367.5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IFERROR(__xludf.DUMMYFUNCTION("""COMPUTED_VALUE"""),369.93)</f>
        <v>369.93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IFERROR(__xludf.DUMMYFUNCTION("""COMPUTED_VALUE"""),386.95)</f>
        <v>386.95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IFERROR(__xludf.DUMMYFUNCTION("""COMPUTED_VALUE"""),397.48)</f>
        <v>397.48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IFERROR(__xludf.DUMMYFUNCTION("""COMPUTED_VALUE"""),402.5)</f>
        <v>402.5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IFERROR(__xludf.DUMMYFUNCTION("""COMPUTED_VALUE"""),464.05)</f>
        <v>464.05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IFERROR(__xludf.DUMMYFUNCTION("""COMPUTED_VALUE"""),466.0)</f>
        <v>466</v>
      </c>
    </row>
    <row r="54" ht="15.75" customHeight="1"/>
    <row r="55" ht="15.75" customHeight="1"/>
    <row r="56" ht="15.75" customHeight="1">
      <c r="B56" s="2" t="str">
        <f>IFERROR(__xludf.DUMMYFUNCTION("GOOGLEFINANCE(""NSE:DRREDDY"",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IFERROR(__xludf.DUMMYFUNCTION("""COMPUTED_VALUE"""),464.0)</f>
        <v>464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IFERROR(__xludf.DUMMYFUNCTION("""COMPUTED_VALUE"""),495.0)</f>
        <v>495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IFERROR(__xludf.DUMMYFUNCTION("""COMPUTED_VALUE"""),501.45)</f>
        <v>501.45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IFERROR(__xludf.DUMMYFUNCTION("""COMPUTED_VALUE"""),487.5)</f>
        <v>487.5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IFERROR(__xludf.DUMMYFUNCTION("""COMPUTED_VALUE"""),461.23)</f>
        <v>461.23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IFERROR(__xludf.DUMMYFUNCTION("""COMPUTED_VALUE"""),467.5)</f>
        <v>467.5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IFERROR(__xludf.DUMMYFUNCTION("""COMPUTED_VALUE"""),464.0)</f>
        <v>464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IFERROR(__xludf.DUMMYFUNCTION("""COMPUTED_VALUE"""),475.0)</f>
        <v>475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IFERROR(__xludf.DUMMYFUNCTION("""COMPUTED_VALUE"""),444.5)</f>
        <v>444.5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IFERROR(__xludf.DUMMYFUNCTION("""COMPUTED_VALUE"""),450.0)</f>
        <v>450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IFERROR(__xludf.DUMMYFUNCTION("""COMPUTED_VALUE"""),447.45)</f>
        <v>447.45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IFERROR(__xludf.DUMMYFUNCTION("""COMPUTED_VALUE"""),495.0)</f>
        <v>495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IFERROR(__xludf.DUMMYFUNCTION("""COMPUTED_VALUE"""),470.4)</f>
        <v>470.4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IFERROR(__xludf.DUMMYFUNCTION("""COMPUTED_VALUE"""),472.0)</f>
        <v>472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IFERROR(__xludf.DUMMYFUNCTION("""COMPUTED_VALUE"""),466.0)</f>
        <v>466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IFERROR(__xludf.DUMMYFUNCTION("""COMPUTED_VALUE"""),454.4)</f>
        <v>454.4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IFERROR(__xludf.DUMMYFUNCTION("""COMPUTED_VALUE"""),450.0)</f>
        <v>450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IFERROR(__xludf.DUMMYFUNCTION("""COMPUTED_VALUE"""),440.0)</f>
        <v>440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IFERROR(__xludf.DUMMYFUNCTION("""COMPUTED_VALUE"""),432.5)</f>
        <v>432.5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IFERROR(__xludf.DUMMYFUNCTION("""COMPUTED_VALUE"""),462.5)</f>
        <v>462.5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IFERROR(__xludf.DUMMYFUNCTION("""COMPUTED_VALUE"""),447.75)</f>
        <v>447.75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IFERROR(__xludf.DUMMYFUNCTION("""COMPUTED_VALUE"""),489.43)</f>
        <v>489.43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IFERROR(__xludf.DUMMYFUNCTION("""COMPUTED_VALUE"""),489.45)</f>
        <v>489.45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IFERROR(__xludf.DUMMYFUNCTION("""COMPUTED_VALUE"""),549.5)</f>
        <v>549.5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IFERROR(__xludf.DUMMYFUNCTION("""COMPUTED_VALUE"""),538.03)</f>
        <v>538.03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IFERROR(__xludf.DUMMYFUNCTION("""COMPUTED_VALUE"""),603.43)</f>
        <v>603.43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IFERROR(__xludf.DUMMYFUNCTION("""COMPUTED_VALUE"""),591.75)</f>
        <v>591.75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IFERROR(__xludf.DUMMYFUNCTION("""COMPUTED_VALUE"""),624.5)</f>
        <v>624.5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IFERROR(__xludf.DUMMYFUNCTION("""COMPUTED_VALUE"""),589.98)</f>
        <v>589.98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IFERROR(__xludf.DUMMYFUNCTION("""COMPUTED_VALUE"""),580.95)</f>
        <v>580.95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IFERROR(__xludf.DUMMYFUNCTION("""COMPUTED_VALUE"""),534.45)</f>
        <v>534.45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IFERROR(__xludf.DUMMYFUNCTION("""COMPUTED_VALUE"""),536.0)</f>
        <v>536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IFERROR(__xludf.DUMMYFUNCTION("""COMPUTED_VALUE"""),557.0)</f>
        <v>557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IFERROR(__xludf.DUMMYFUNCTION("""COMPUTED_VALUE"""),582.75)</f>
        <v>582.75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IFERROR(__xludf.DUMMYFUNCTION("""COMPUTED_VALUE"""),589.88)</f>
        <v>589.88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IFERROR(__xludf.DUMMYFUNCTION("""COMPUTED_VALUE"""),612.7)</f>
        <v>612.7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IFERROR(__xludf.DUMMYFUNCTION("""COMPUTED_VALUE"""),580.03)</f>
        <v>580.03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IFERROR(__xludf.DUMMYFUNCTION("""COMPUTED_VALUE"""),555.0)</f>
        <v>555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IFERROR(__xludf.DUMMYFUNCTION("""COMPUTED_VALUE"""),559.5)</f>
        <v>559.5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IFERROR(__xludf.DUMMYFUNCTION("""COMPUTED_VALUE"""),609.0)</f>
        <v>609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IFERROR(__xludf.DUMMYFUNCTION("""COMPUTED_VALUE"""),650.0)</f>
        <v>650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IFERROR(__xludf.DUMMYFUNCTION("""COMPUTED_VALUE"""),602.5)</f>
        <v>602.5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IFERROR(__xludf.DUMMYFUNCTION("""COMPUTED_VALUE"""),732.35)</f>
        <v>732.35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IFERROR(__xludf.DUMMYFUNCTION("""COMPUTED_VALUE"""),647.5)</f>
        <v>647.5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IFERROR(__xludf.DUMMYFUNCTION("""COMPUTED_VALUE"""),638.5)</f>
        <v>638.5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IFERROR(__xludf.DUMMYFUNCTION("""COMPUTED_VALUE"""),678.95)</f>
        <v>678.95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IFERROR(__xludf.DUMMYFUNCTION("""COMPUTED_VALUE"""),707.5)</f>
        <v>707.5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IFERROR(__xludf.DUMMYFUNCTION("""COMPUTED_VALUE"""),689.95)</f>
        <v>689.95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IFERROR(__xludf.DUMMYFUNCTION("""COMPUTED_VALUE"""),725.0)</f>
        <v>725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IFERROR(__xludf.DUMMYFUNCTION("GOOGLEFINANCE(""NSE:DRREDDY"",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IFERROR(__xludf.DUMMYFUNCTION("""COMPUTED_VALUE"""),734.5)</f>
        <v>734.5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IFERROR(__xludf.DUMMYFUNCTION("""COMPUTED_VALUE"""),735.55)</f>
        <v>735.55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IFERROR(__xludf.DUMMYFUNCTION("""COMPUTED_VALUE"""),712.0)</f>
        <v>712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IFERROR(__xludf.DUMMYFUNCTION("""COMPUTED_VALUE"""),696.0)</f>
        <v>696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IFERROR(__xludf.DUMMYFUNCTION("""COMPUTED_VALUE"""),731.0)</f>
        <v>731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IFERROR(__xludf.DUMMYFUNCTION("""COMPUTED_VALUE"""),674.5)</f>
        <v>674.5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IFERROR(__xludf.DUMMYFUNCTION("""COMPUTED_VALUE"""),649.5)</f>
        <v>649.5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IFERROR(__xludf.DUMMYFUNCTION("""COMPUTED_VALUE"""),637.0)</f>
        <v>637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IFERROR(__xludf.DUMMYFUNCTION("""COMPUTED_VALUE"""),639.4)</f>
        <v>639.4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IFERROR(__xludf.DUMMYFUNCTION("""COMPUTED_VALUE"""),575.1)</f>
        <v>575.1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IFERROR(__xludf.DUMMYFUNCTION("""COMPUTED_VALUE"""),539.45)</f>
        <v>539.45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IFERROR(__xludf.DUMMYFUNCTION("""COMPUTED_VALUE"""),522.45)</f>
        <v>522.45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IFERROR(__xludf.DUMMYFUNCTION("""COMPUTED_VALUE"""),538.8)</f>
        <v>538.8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IFERROR(__xludf.DUMMYFUNCTION("""COMPUTED_VALUE"""),501.45)</f>
        <v>501.45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IFERROR(__xludf.DUMMYFUNCTION("""COMPUTED_VALUE"""),502.23)</f>
        <v>502.23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IFERROR(__xludf.DUMMYFUNCTION("""COMPUTED_VALUE"""),471.15)</f>
        <v>471.15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IFERROR(__xludf.DUMMYFUNCTION("""COMPUTED_VALUE"""),471.0)</f>
        <v>471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IFERROR(__xludf.DUMMYFUNCTION("""COMPUTED_VALUE"""),458.0)</f>
        <v>458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IFERROR(__xludf.DUMMYFUNCTION("""COMPUTED_VALUE"""),454.5)</f>
        <v>454.5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IFERROR(__xludf.DUMMYFUNCTION("""COMPUTED_VALUE"""),469.9)</f>
        <v>469.9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IFERROR(__xludf.DUMMYFUNCTION("""COMPUTED_VALUE"""),457.8)</f>
        <v>457.8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IFERROR(__xludf.DUMMYFUNCTION("""COMPUTED_VALUE"""),412.5)</f>
        <v>412.5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IFERROR(__xludf.DUMMYFUNCTION("""COMPUTED_VALUE"""),410.5)</f>
        <v>410.5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IFERROR(__xludf.DUMMYFUNCTION("""COMPUTED_VALUE"""),402.35)</f>
        <v>402.35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IFERROR(__xludf.DUMMYFUNCTION("""COMPUTED_VALUE"""),377.5)</f>
        <v>377.5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IFERROR(__xludf.DUMMYFUNCTION("""COMPUTED_VALUE"""),380.5)</f>
        <v>380.5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IFERROR(__xludf.DUMMYFUNCTION("""COMPUTED_VALUE"""),394.95)</f>
        <v>394.95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IFERROR(__xludf.DUMMYFUNCTION("""COMPUTED_VALUE"""),388.88)</f>
        <v>388.88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IFERROR(__xludf.DUMMYFUNCTION("""COMPUTED_VALUE"""),394.5)</f>
        <v>394.5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IFERROR(__xludf.DUMMYFUNCTION("""COMPUTED_VALUE"""),391.0)</f>
        <v>391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IFERROR(__xludf.DUMMYFUNCTION("""COMPUTED_VALUE"""),395.0)</f>
        <v>395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IFERROR(__xludf.DUMMYFUNCTION("""COMPUTED_VALUE"""),397.5)</f>
        <v>397.5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IFERROR(__xludf.DUMMYFUNCTION("""COMPUTED_VALUE"""),371.75)</f>
        <v>371.75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IFERROR(__xludf.DUMMYFUNCTION("""COMPUTED_VALUE"""),354.85)</f>
        <v>354.85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IFERROR(__xludf.DUMMYFUNCTION("""COMPUTED_VALUE"""),357.0)</f>
        <v>357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IFERROR(__xludf.DUMMYFUNCTION("""COMPUTED_VALUE"""),365.9)</f>
        <v>365.9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IFERROR(__xludf.DUMMYFUNCTION("""COMPUTED_VALUE"""),382.5)</f>
        <v>382.5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IFERROR(__xludf.DUMMYFUNCTION("""COMPUTED_VALUE"""),389.88)</f>
        <v>389.88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IFERROR(__xludf.DUMMYFUNCTION("""COMPUTED_VALUE"""),381.75)</f>
        <v>381.75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IFERROR(__xludf.DUMMYFUNCTION("""COMPUTED_VALUE"""),389.98)</f>
        <v>389.98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IFERROR(__xludf.DUMMYFUNCTION("""COMPUTED_VALUE"""),383.25)</f>
        <v>383.25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IFERROR(__xludf.DUMMYFUNCTION("""COMPUTED_VALUE"""),389.95)</f>
        <v>389.95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IFERROR(__xludf.DUMMYFUNCTION("""COMPUTED_VALUE"""),396.85)</f>
        <v>396.85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IFERROR(__xludf.DUMMYFUNCTION("""COMPUTED_VALUE"""),393.45)</f>
        <v>393.45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IFERROR(__xludf.DUMMYFUNCTION("""COMPUTED_VALUE"""),401.5)</f>
        <v>401.5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IFERROR(__xludf.DUMMYFUNCTION("""COMPUTED_VALUE"""),407.0)</f>
        <v>407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IFERROR(__xludf.DUMMYFUNCTION("""COMPUTED_VALUE"""),409.5)</f>
        <v>409.5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IFERROR(__xludf.DUMMYFUNCTION("""COMPUTED_VALUE"""),422.5)</f>
        <v>422.5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IFERROR(__xludf.DUMMYFUNCTION("""COMPUTED_VALUE"""),424.95)</f>
        <v>424.95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IFERROR(__xludf.DUMMYFUNCTION("""COMPUTED_VALUE"""),438.5)</f>
        <v>438.5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IFERROR(__xludf.DUMMYFUNCTION("""COMPUTED_VALUE"""),437.0)</f>
        <v>437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IFERROR(__xludf.DUMMYFUNCTION("GOOGLEFINANCE(""NSE:DRREDDY"",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IFERROR(__xludf.DUMMYFUNCTION("""COMPUTED_VALUE"""),436.73)</f>
        <v>436.73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IFERROR(__xludf.DUMMYFUNCTION("""COMPUTED_VALUE"""),416.45)</f>
        <v>416.45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IFERROR(__xludf.DUMMYFUNCTION("""COMPUTED_VALUE"""),375.25)</f>
        <v>375.25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IFERROR(__xludf.DUMMYFUNCTION("""COMPUTED_VALUE"""),373.5)</f>
        <v>373.5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IFERROR(__xludf.DUMMYFUNCTION("""COMPUTED_VALUE"""),384.38)</f>
        <v>384.38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IFERROR(__xludf.DUMMYFUNCTION("""COMPUTED_VALUE"""),374.5)</f>
        <v>374.5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IFERROR(__xludf.DUMMYFUNCTION("""COMPUTED_VALUE"""),379.9)</f>
        <v>379.9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IFERROR(__xludf.DUMMYFUNCTION("""COMPUTED_VALUE"""),366.5)</f>
        <v>366.5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IFERROR(__xludf.DUMMYFUNCTION("""COMPUTED_VALUE"""),366.9)</f>
        <v>366.9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IFERROR(__xludf.DUMMYFUNCTION("""COMPUTED_VALUE"""),383.5)</f>
        <v>383.5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IFERROR(__xludf.DUMMYFUNCTION("""COMPUTED_VALUE"""),382.7)</f>
        <v>382.7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IFERROR(__xludf.DUMMYFUNCTION("""COMPUTED_VALUE"""),385.0)</f>
        <v>385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IFERROR(__xludf.DUMMYFUNCTION("""COMPUTED_VALUE"""),389.0)</f>
        <v>389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IFERROR(__xludf.DUMMYFUNCTION("""COMPUTED_VALUE"""),379.0)</f>
        <v>379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IFERROR(__xludf.DUMMYFUNCTION("""COMPUTED_VALUE"""),376.98)</f>
        <v>376.98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IFERROR(__xludf.DUMMYFUNCTION("""COMPUTED_VALUE"""),350.5)</f>
        <v>350.5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IFERROR(__xludf.DUMMYFUNCTION("""COMPUTED_VALUE"""),375.0)</f>
        <v>375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IFERROR(__xludf.DUMMYFUNCTION("""COMPUTED_VALUE"""),349.5)</f>
        <v>349.5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IFERROR(__xludf.DUMMYFUNCTION("""COMPUTED_VALUE"""),345.0)</f>
        <v>345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IFERROR(__xludf.DUMMYFUNCTION("""COMPUTED_VALUE"""),347.0)</f>
        <v>347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IFERROR(__xludf.DUMMYFUNCTION("""COMPUTED_VALUE"""),367.5)</f>
        <v>367.5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IFERROR(__xludf.DUMMYFUNCTION("""COMPUTED_VALUE"""),368.0)</f>
        <v>368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IFERROR(__xludf.DUMMYFUNCTION("""COMPUTED_VALUE"""),370.5)</f>
        <v>370.5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IFERROR(__xludf.DUMMYFUNCTION("""COMPUTED_VALUE"""),368.5)</f>
        <v>368.5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IFERROR(__xludf.DUMMYFUNCTION("""COMPUTED_VALUE"""),385.2)</f>
        <v>385.2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IFERROR(__xludf.DUMMYFUNCTION("""COMPUTED_VALUE"""),399.0)</f>
        <v>399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IFERROR(__xludf.DUMMYFUNCTION("""COMPUTED_VALUE"""),391.88)</f>
        <v>391.88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IFERROR(__xludf.DUMMYFUNCTION("""COMPUTED_VALUE"""),386.0)</f>
        <v>386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IFERROR(__xludf.DUMMYFUNCTION("""COMPUTED_VALUE"""),422.38)</f>
        <v>422.38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IFERROR(__xludf.DUMMYFUNCTION("""COMPUTED_VALUE"""),431.0)</f>
        <v>431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IFERROR(__xludf.DUMMYFUNCTION("""COMPUTED_VALUE"""),427.93)</f>
        <v>427.93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IFERROR(__xludf.DUMMYFUNCTION("""COMPUTED_VALUE"""),421.95)</f>
        <v>421.95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IFERROR(__xludf.DUMMYFUNCTION("""COMPUTED_VALUE"""),420.0)</f>
        <v>420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IFERROR(__xludf.DUMMYFUNCTION("""COMPUTED_VALUE"""),407.0)</f>
        <v>407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IFERROR(__xludf.DUMMYFUNCTION("""COMPUTED_VALUE"""),396.73)</f>
        <v>396.73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IFERROR(__xludf.DUMMYFUNCTION("""COMPUTED_VALUE"""),409.4)</f>
        <v>409.4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IFERROR(__xludf.DUMMYFUNCTION("""COMPUTED_VALUE"""),413.25)</f>
        <v>413.25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IFERROR(__xludf.DUMMYFUNCTION("""COMPUTED_VALUE"""),431.2)</f>
        <v>431.2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IFERROR(__xludf.DUMMYFUNCTION("""COMPUTED_VALUE"""),473.1)</f>
        <v>473.1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IFERROR(__xludf.DUMMYFUNCTION("""COMPUTED_VALUE"""),487.5)</f>
        <v>487.5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IFERROR(__xludf.DUMMYFUNCTION("""COMPUTED_VALUE"""),456.95)</f>
        <v>456.95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IFERROR(__xludf.DUMMYFUNCTION("""COMPUTED_VALUE"""),432.5)</f>
        <v>432.5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IFERROR(__xludf.DUMMYFUNCTION("""COMPUTED_VALUE"""),428.5)</f>
        <v>428.5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IFERROR(__xludf.DUMMYFUNCTION("""COMPUTED_VALUE"""),474.25)</f>
        <v>474.25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IFERROR(__xludf.DUMMYFUNCTION("""COMPUTED_VALUE"""),479.5)</f>
        <v>479.5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IFERROR(__xludf.DUMMYFUNCTION("""COMPUTED_VALUE"""),483.73)</f>
        <v>483.73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IFERROR(__xludf.DUMMYFUNCTION("""COMPUTED_VALUE"""),471.0)</f>
        <v>471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IFERROR(__xludf.DUMMYFUNCTION("""COMPUTED_VALUE"""),479.2)</f>
        <v>479.2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IFERROR(__xludf.DUMMYFUNCTION("""COMPUTED_VALUE"""),499.95)</f>
        <v>499.95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IFERROR(__xludf.DUMMYFUNCTION("""COMPUTED_VALUE"""),494.5)</f>
        <v>494.5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IFERROR(__xludf.DUMMYFUNCTION("GOOGLEFINANCE(""NSE:DRREDDY"",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IFERROR(__xludf.DUMMYFUNCTION("""COMPUTED_VALUE"""),519.95)</f>
        <v>519.95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IFERROR(__xludf.DUMMYFUNCTION("""COMPUTED_VALUE"""),537.38)</f>
        <v>537.38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IFERROR(__xludf.DUMMYFUNCTION("""COMPUTED_VALUE"""),524.03)</f>
        <v>524.03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IFERROR(__xludf.DUMMYFUNCTION("""COMPUTED_VALUE"""),550.0)</f>
        <v>550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IFERROR(__xludf.DUMMYFUNCTION("""COMPUTED_VALUE"""),608.0)</f>
        <v>608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IFERROR(__xludf.DUMMYFUNCTION("""COMPUTED_VALUE"""),615.0)</f>
        <v>615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IFERROR(__xludf.DUMMYFUNCTION("""COMPUTED_VALUE"""),647.95)</f>
        <v>647.95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IFERROR(__xludf.DUMMYFUNCTION("""COMPUTED_VALUE"""),705.0)</f>
        <v>705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IFERROR(__xludf.DUMMYFUNCTION("""COMPUTED_VALUE"""),688.98)</f>
        <v>688.98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IFERROR(__xludf.DUMMYFUNCTION("""COMPUTED_VALUE"""),678.38)</f>
        <v>678.38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IFERROR(__xludf.DUMMYFUNCTION("""COMPUTED_VALUE"""),687.5)</f>
        <v>687.5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IFERROR(__xludf.DUMMYFUNCTION("""COMPUTED_VALUE"""),758.5)</f>
        <v>758.5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IFERROR(__xludf.DUMMYFUNCTION("""COMPUTED_VALUE"""),742.4)</f>
        <v>742.4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IFERROR(__xludf.DUMMYFUNCTION("""COMPUTED_VALUE"""),749.0)</f>
        <v>749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IFERROR(__xludf.DUMMYFUNCTION("""COMPUTED_VALUE"""),752.4)</f>
        <v>752.4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IFERROR(__xludf.DUMMYFUNCTION("""COMPUTED_VALUE"""),768.95)</f>
        <v>768.95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IFERROR(__xludf.DUMMYFUNCTION("""COMPUTED_VALUE"""),862.4)</f>
        <v>862.4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IFERROR(__xludf.DUMMYFUNCTION("""COMPUTED_VALUE"""),877.0)</f>
        <v>877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IFERROR(__xludf.DUMMYFUNCTION("""COMPUTED_VALUE"""),838.5)</f>
        <v>838.5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IFERROR(__xludf.DUMMYFUNCTION("""COMPUTED_VALUE"""),774.5)</f>
        <v>774.5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IFERROR(__xludf.DUMMYFUNCTION("""COMPUTED_VALUE"""),724.4)</f>
        <v>724.4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IFERROR(__xludf.DUMMYFUNCTION("""COMPUTED_VALUE"""),694.9)</f>
        <v>694.9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IFERROR(__xludf.DUMMYFUNCTION("""COMPUTED_VALUE"""),672.5)</f>
        <v>672.5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IFERROR(__xludf.DUMMYFUNCTION("""COMPUTED_VALUE"""),685.0)</f>
        <v>685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IFERROR(__xludf.DUMMYFUNCTION("""COMPUTED_VALUE"""),658.0)</f>
        <v>658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IFERROR(__xludf.DUMMYFUNCTION("""COMPUTED_VALUE"""),697.4)</f>
        <v>697.4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IFERROR(__xludf.DUMMYFUNCTION("""COMPUTED_VALUE"""),675.5)</f>
        <v>675.5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IFERROR(__xludf.DUMMYFUNCTION("""COMPUTED_VALUE"""),649.85)</f>
        <v>649.85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IFERROR(__xludf.DUMMYFUNCTION("""COMPUTED_VALUE"""),727.4)</f>
        <v>727.4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IFERROR(__xludf.DUMMYFUNCTION("""COMPUTED_VALUE"""),717.5)</f>
        <v>717.5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IFERROR(__xludf.DUMMYFUNCTION("""COMPUTED_VALUE"""),731.5)</f>
        <v>731.5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IFERROR(__xludf.DUMMYFUNCTION("""COMPUTED_VALUE"""),759.5)</f>
        <v>759.5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IFERROR(__xludf.DUMMYFUNCTION("""COMPUTED_VALUE"""),850.3)</f>
        <v>850.3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IFERROR(__xludf.DUMMYFUNCTION("""COMPUTED_VALUE"""),745.9)</f>
        <v>745.9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IFERROR(__xludf.DUMMYFUNCTION("""COMPUTED_VALUE"""),749.0)</f>
        <v>749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IFERROR(__xludf.DUMMYFUNCTION("""COMPUTED_VALUE"""),764.9)</f>
        <v>764.9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IFERROR(__xludf.DUMMYFUNCTION("""COMPUTED_VALUE"""),774.0)</f>
        <v>774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IFERROR(__xludf.DUMMYFUNCTION("""COMPUTED_VALUE"""),751.0)</f>
        <v>751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IFERROR(__xludf.DUMMYFUNCTION("""COMPUTED_VALUE"""),729.7)</f>
        <v>729.7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IFERROR(__xludf.DUMMYFUNCTION("""COMPUTED_VALUE"""),728.3)</f>
        <v>728.3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IFERROR(__xludf.DUMMYFUNCTION("""COMPUTED_VALUE"""),733.7)</f>
        <v>733.7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IFERROR(__xludf.DUMMYFUNCTION("""COMPUTED_VALUE"""),783.0)</f>
        <v>783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IFERROR(__xludf.DUMMYFUNCTION("""COMPUTED_VALUE"""),800.0)</f>
        <v>800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IFERROR(__xludf.DUMMYFUNCTION("""COMPUTED_VALUE"""),807.0)</f>
        <v>807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IFERROR(__xludf.DUMMYFUNCTION("""COMPUTED_VALUE"""),759.95)</f>
        <v>759.95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IFERROR(__xludf.DUMMYFUNCTION("""COMPUTED_VALUE"""),775.0)</f>
        <v>775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IFERROR(__xludf.DUMMYFUNCTION("""COMPUTED_VALUE"""),783.0)</f>
        <v>783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IFERROR(__xludf.DUMMYFUNCTION("""COMPUTED_VALUE"""),819.45)</f>
        <v>819.45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IFERROR(__xludf.DUMMYFUNCTION("""COMPUTED_VALUE"""),813.9)</f>
        <v>813.9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IFERROR(__xludf.DUMMYFUNCTION("""COMPUTED_VALUE"""),889.0)</f>
        <v>889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IFERROR(__xludf.DUMMYFUNCTION("GOOGLEFINANCE(""NSE:DRREDDY"",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IFERROR(__xludf.DUMMYFUNCTION("""COMPUTED_VALUE"""),834.9)</f>
        <v>834.9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IFERROR(__xludf.DUMMYFUNCTION("""COMPUTED_VALUE"""),818.9)</f>
        <v>818.9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IFERROR(__xludf.DUMMYFUNCTION("""COMPUTED_VALUE"""),824.9)</f>
        <v>824.9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IFERROR(__xludf.DUMMYFUNCTION("""COMPUTED_VALUE"""),830.0)</f>
        <v>830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IFERROR(__xludf.DUMMYFUNCTION("""COMPUTED_VALUE"""),775.0)</f>
        <v>775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IFERROR(__xludf.DUMMYFUNCTION("""COMPUTED_VALUE"""),757.75)</f>
        <v>757.75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IFERROR(__xludf.DUMMYFUNCTION("""COMPUTED_VALUE"""),748.0)</f>
        <v>748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IFERROR(__xludf.DUMMYFUNCTION("""COMPUTED_VALUE"""),748.0)</f>
        <v>748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IFERROR(__xludf.DUMMYFUNCTION("""COMPUTED_VALUE"""),706.0)</f>
        <v>706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IFERROR(__xludf.DUMMYFUNCTION("""COMPUTED_VALUE"""),682.0)</f>
        <v>682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IFERROR(__xludf.DUMMYFUNCTION("""COMPUTED_VALUE"""),690.0)</f>
        <v>690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IFERROR(__xludf.DUMMYFUNCTION("""COMPUTED_VALUE"""),693.6)</f>
        <v>693.6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IFERROR(__xludf.DUMMYFUNCTION("""COMPUTED_VALUE"""),734.4)</f>
        <v>734.4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IFERROR(__xludf.DUMMYFUNCTION("""COMPUTED_VALUE"""),752.0)</f>
        <v>752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IFERROR(__xludf.DUMMYFUNCTION("""COMPUTED_VALUE"""),736.0)</f>
        <v>736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IFERROR(__xludf.DUMMYFUNCTION("""COMPUTED_VALUE"""),724.0)</f>
        <v>724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IFERROR(__xludf.DUMMYFUNCTION("""COMPUTED_VALUE"""),732.2)</f>
        <v>732.2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IFERROR(__xludf.DUMMYFUNCTION("""COMPUTED_VALUE"""),727.9)</f>
        <v>727.9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IFERROR(__xludf.DUMMYFUNCTION("""COMPUTED_VALUE"""),721.0)</f>
        <v>721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IFERROR(__xludf.DUMMYFUNCTION("""COMPUTED_VALUE"""),684.9)</f>
        <v>684.9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IFERROR(__xludf.DUMMYFUNCTION("""COMPUTED_VALUE"""),685.0)</f>
        <v>685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IFERROR(__xludf.DUMMYFUNCTION("""COMPUTED_VALUE"""),663.95)</f>
        <v>663.95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IFERROR(__xludf.DUMMYFUNCTION("""COMPUTED_VALUE"""),663.9)</f>
        <v>663.9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IFERROR(__xludf.DUMMYFUNCTION("""COMPUTED_VALUE"""),649.5)</f>
        <v>649.5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IFERROR(__xludf.DUMMYFUNCTION("""COMPUTED_VALUE"""),654.0)</f>
        <v>654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IFERROR(__xludf.DUMMYFUNCTION("""COMPUTED_VALUE"""),665.0)</f>
        <v>665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IFERROR(__xludf.DUMMYFUNCTION("""COMPUTED_VALUE"""),676.95)</f>
        <v>676.95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IFERROR(__xludf.DUMMYFUNCTION("""COMPUTED_VALUE"""),688.0)</f>
        <v>688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IFERROR(__xludf.DUMMYFUNCTION("""COMPUTED_VALUE"""),680.0)</f>
        <v>680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IFERROR(__xludf.DUMMYFUNCTION("""COMPUTED_VALUE"""),693.0)</f>
        <v>693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IFERROR(__xludf.DUMMYFUNCTION("""COMPUTED_VALUE"""),649.5)</f>
        <v>649.5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IFERROR(__xludf.DUMMYFUNCTION("""COMPUTED_VALUE"""),644.0)</f>
        <v>644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IFERROR(__xludf.DUMMYFUNCTION("""COMPUTED_VALUE"""),641.9)</f>
        <v>641.9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IFERROR(__xludf.DUMMYFUNCTION("""COMPUTED_VALUE"""),638.0)</f>
        <v>638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IFERROR(__xludf.DUMMYFUNCTION("""COMPUTED_VALUE"""),646.0)</f>
        <v>646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IFERROR(__xludf.DUMMYFUNCTION("""COMPUTED_VALUE"""),674.95)</f>
        <v>674.95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IFERROR(__xludf.DUMMYFUNCTION("""COMPUTED_VALUE"""),669.0)</f>
        <v>669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IFERROR(__xludf.DUMMYFUNCTION("""COMPUTED_VALUE"""),653.9)</f>
        <v>653.9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IFERROR(__xludf.DUMMYFUNCTION("""COMPUTED_VALUE"""),654.75)</f>
        <v>654.75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IFERROR(__xludf.DUMMYFUNCTION("""COMPUTED_VALUE"""),665.5)</f>
        <v>665.5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IFERROR(__xludf.DUMMYFUNCTION("""COMPUTED_VALUE"""),660.0)</f>
        <v>660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IFERROR(__xludf.DUMMYFUNCTION("""COMPUTED_VALUE"""),630.1)</f>
        <v>630.1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IFERROR(__xludf.DUMMYFUNCTION("""COMPUTED_VALUE"""),640.0)</f>
        <v>640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IFERROR(__xludf.DUMMYFUNCTION("""COMPUTED_VALUE"""),625.0)</f>
        <v>625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IFERROR(__xludf.DUMMYFUNCTION("""COMPUTED_VALUE"""),622.0)</f>
        <v>622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IFERROR(__xludf.DUMMYFUNCTION("""COMPUTED_VALUE"""),626.0)</f>
        <v>626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IFERROR(__xludf.DUMMYFUNCTION("""COMPUTED_VALUE"""),633.0)</f>
        <v>633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IFERROR(__xludf.DUMMYFUNCTION("""COMPUTED_VALUE"""),730.0)</f>
        <v>730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IFERROR(__xludf.DUMMYFUNCTION("""COMPUTED_VALUE"""),730.0)</f>
        <v>730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IFERROR(__xludf.DUMMYFUNCTION("""COMPUTED_VALUE"""),738.7)</f>
        <v>738.7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IFERROR(__xludf.DUMMYFUNCTION("""COMPUTED_VALUE"""),738.0)</f>
        <v>738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IFERROR(__xludf.DUMMYFUNCTION("GOOGLEFINANCE(""NSE:DRREDDY"", ""high"",DATE(2010,1,1),DATE(2011,1,1),""weekly"")"),"Date")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IFERROR(__xludf.DUMMYFUNCTION("""COMPUTED_VALUE"""),40186.645833333336)</f>
        <v>40186.64583</v>
      </c>
      <c r="C332" s="2">
        <f>IFERROR(__xludf.DUMMYFUNCTION("""COMPUTED_VALUE"""),1232.5)</f>
        <v>1232.5</v>
      </c>
    </row>
    <row r="333" ht="15.75" customHeight="1">
      <c r="B333" s="3">
        <f>IFERROR(__xludf.DUMMYFUNCTION("""COMPUTED_VALUE"""),40193.645833333336)</f>
        <v>40193.64583</v>
      </c>
      <c r="C333" s="2">
        <f>IFERROR(__xludf.DUMMYFUNCTION("""COMPUTED_VALUE"""),1257.0)</f>
        <v>1257</v>
      </c>
    </row>
    <row r="334" ht="15.75" customHeight="1">
      <c r="B334" s="3">
        <f>IFERROR(__xludf.DUMMYFUNCTION("""COMPUTED_VALUE"""),40200.645833333336)</f>
        <v>40200.64583</v>
      </c>
      <c r="C334" s="2">
        <f>IFERROR(__xludf.DUMMYFUNCTION("""COMPUTED_VALUE"""),1249.5)</f>
        <v>1249.5</v>
      </c>
    </row>
    <row r="335" ht="15.75" customHeight="1">
      <c r="B335" s="3">
        <f>IFERROR(__xludf.DUMMYFUNCTION("""COMPUTED_VALUE"""),40207.645833333336)</f>
        <v>40207.64583</v>
      </c>
      <c r="C335" s="2">
        <f>IFERROR(__xludf.DUMMYFUNCTION("""COMPUTED_VALUE"""),1172.0)</f>
        <v>1172</v>
      </c>
    </row>
    <row r="336" ht="15.75" customHeight="1">
      <c r="B336" s="3">
        <f>IFERROR(__xludf.DUMMYFUNCTION("""COMPUTED_VALUE"""),40220.645833333336)</f>
        <v>40220.64583</v>
      </c>
      <c r="C336" s="2">
        <f>IFERROR(__xludf.DUMMYFUNCTION("""COMPUTED_VALUE"""),1140.0)</f>
        <v>1140</v>
      </c>
    </row>
    <row r="337" ht="15.75" customHeight="1">
      <c r="B337" s="3">
        <f>IFERROR(__xludf.DUMMYFUNCTION("""COMPUTED_VALUE"""),40228.645833333336)</f>
        <v>40228.64583</v>
      </c>
      <c r="C337" s="2">
        <f>IFERROR(__xludf.DUMMYFUNCTION("""COMPUTED_VALUE"""),1129.9)</f>
        <v>1129.9</v>
      </c>
    </row>
    <row r="338" ht="15.75" customHeight="1">
      <c r="B338" s="3">
        <f>IFERROR(__xludf.DUMMYFUNCTION("""COMPUTED_VALUE"""),40235.645833333336)</f>
        <v>40235.64583</v>
      </c>
      <c r="C338" s="2">
        <f>IFERROR(__xludf.DUMMYFUNCTION("""COMPUTED_VALUE"""),1165.0)</f>
        <v>1165</v>
      </c>
    </row>
    <row r="339" ht="15.75" customHeight="1">
      <c r="B339" s="3">
        <f>IFERROR(__xludf.DUMMYFUNCTION("""COMPUTED_VALUE"""),40242.645833333336)</f>
        <v>40242.64583</v>
      </c>
      <c r="C339" s="2">
        <f>IFERROR(__xludf.DUMMYFUNCTION("""COMPUTED_VALUE"""),1181.9)</f>
        <v>1181.9</v>
      </c>
    </row>
    <row r="340" ht="15.75" customHeight="1">
      <c r="B340" s="3">
        <f>IFERROR(__xludf.DUMMYFUNCTION("""COMPUTED_VALUE"""),40249.645833333336)</f>
        <v>40249.64583</v>
      </c>
      <c r="C340" s="2">
        <f>IFERROR(__xludf.DUMMYFUNCTION("""COMPUTED_VALUE"""),1185.0)</f>
        <v>1185</v>
      </c>
    </row>
    <row r="341" ht="15.75" customHeight="1">
      <c r="B341" s="3">
        <f>IFERROR(__xludf.DUMMYFUNCTION("""COMPUTED_VALUE"""),40256.645833333336)</f>
        <v>40256.64583</v>
      </c>
      <c r="C341" s="2">
        <f>IFERROR(__xludf.DUMMYFUNCTION("""COMPUTED_VALUE"""),1266.5)</f>
        <v>1266.5</v>
      </c>
    </row>
    <row r="342" ht="15.75" customHeight="1">
      <c r="B342" s="3">
        <f>IFERROR(__xludf.DUMMYFUNCTION("""COMPUTED_VALUE"""),40263.645833333336)</f>
        <v>40263.64583</v>
      </c>
      <c r="C342" s="2">
        <f>IFERROR(__xludf.DUMMYFUNCTION("""COMPUTED_VALUE"""),1318.2)</f>
        <v>1318.2</v>
      </c>
    </row>
    <row r="343" ht="15.75" customHeight="1">
      <c r="B343" s="3">
        <f>IFERROR(__xludf.DUMMYFUNCTION("""COMPUTED_VALUE"""),40269.645833333336)</f>
        <v>40269.64583</v>
      </c>
      <c r="C343" s="2">
        <f>IFERROR(__xludf.DUMMYFUNCTION("""COMPUTED_VALUE"""),1296.65)</f>
        <v>1296.65</v>
      </c>
    </row>
    <row r="344" ht="15.75" customHeight="1">
      <c r="B344" s="3">
        <f>IFERROR(__xludf.DUMMYFUNCTION("""COMPUTED_VALUE"""),40277.645833333336)</f>
        <v>40277.64583</v>
      </c>
      <c r="C344" s="2">
        <f>IFERROR(__xludf.DUMMYFUNCTION("""COMPUTED_VALUE"""),1298.4)</f>
        <v>1298.4</v>
      </c>
    </row>
    <row r="345" ht="15.75" customHeight="1">
      <c r="B345" s="3">
        <f>IFERROR(__xludf.DUMMYFUNCTION("""COMPUTED_VALUE"""),40284.645833333336)</f>
        <v>40284.64583</v>
      </c>
      <c r="C345" s="2">
        <f>IFERROR(__xludf.DUMMYFUNCTION("""COMPUTED_VALUE"""),1254.8)</f>
        <v>1254.8</v>
      </c>
    </row>
    <row r="346" ht="15.75" customHeight="1">
      <c r="B346" s="3">
        <f>IFERROR(__xludf.DUMMYFUNCTION("""COMPUTED_VALUE"""),40291.645833333336)</f>
        <v>40291.64583</v>
      </c>
      <c r="C346" s="2">
        <f>IFERROR(__xludf.DUMMYFUNCTION("""COMPUTED_VALUE"""),1220.0)</f>
        <v>1220</v>
      </c>
    </row>
    <row r="347" ht="15.75" customHeight="1">
      <c r="B347" s="3">
        <f>IFERROR(__xludf.DUMMYFUNCTION("""COMPUTED_VALUE"""),40298.645833333336)</f>
        <v>40298.64583</v>
      </c>
      <c r="C347" s="2">
        <f>IFERROR(__xludf.DUMMYFUNCTION("""COMPUTED_VALUE"""),1318.0)</f>
        <v>1318</v>
      </c>
    </row>
    <row r="348" ht="15.75" customHeight="1">
      <c r="B348" s="3">
        <f>IFERROR(__xludf.DUMMYFUNCTION("""COMPUTED_VALUE"""),40305.645833333336)</f>
        <v>40305.64583</v>
      </c>
      <c r="C348" s="2">
        <f>IFERROR(__xludf.DUMMYFUNCTION("""COMPUTED_VALUE"""),1269.9)</f>
        <v>1269.9</v>
      </c>
    </row>
    <row r="349" ht="15.75" customHeight="1">
      <c r="B349" s="3">
        <f>IFERROR(__xludf.DUMMYFUNCTION("""COMPUTED_VALUE"""),40312.645833333336)</f>
        <v>40312.64583</v>
      </c>
      <c r="C349" s="2">
        <f>IFERROR(__xludf.DUMMYFUNCTION("""COMPUTED_VALUE"""),1313.0)</f>
        <v>1313</v>
      </c>
    </row>
    <row r="350" ht="15.75" customHeight="1">
      <c r="B350" s="3">
        <f>IFERROR(__xludf.DUMMYFUNCTION("""COMPUTED_VALUE"""),40319.645833333336)</f>
        <v>40319.64583</v>
      </c>
      <c r="C350" s="2">
        <f>IFERROR(__xludf.DUMMYFUNCTION("""COMPUTED_VALUE"""),1334.75)</f>
        <v>1334.75</v>
      </c>
    </row>
    <row r="351" ht="15.75" customHeight="1">
      <c r="B351" s="3">
        <f>IFERROR(__xludf.DUMMYFUNCTION("""COMPUTED_VALUE"""),40326.645833333336)</f>
        <v>40326.64583</v>
      </c>
      <c r="C351" s="2">
        <f>IFERROR(__xludf.DUMMYFUNCTION("""COMPUTED_VALUE"""),1389.9)</f>
        <v>1389.9</v>
      </c>
    </row>
    <row r="352" ht="15.75" customHeight="1">
      <c r="B352" s="3">
        <f>IFERROR(__xludf.DUMMYFUNCTION("""COMPUTED_VALUE"""),40333.645833333336)</f>
        <v>40333.64583</v>
      </c>
      <c r="C352" s="2">
        <f>IFERROR(__xludf.DUMMYFUNCTION("""COMPUTED_VALUE"""),1433.9)</f>
        <v>1433.9</v>
      </c>
    </row>
    <row r="353" ht="15.75" customHeight="1">
      <c r="B353" s="3">
        <f>IFERROR(__xludf.DUMMYFUNCTION("""COMPUTED_VALUE"""),40340.645833333336)</f>
        <v>40340.64583</v>
      </c>
      <c r="C353" s="2">
        <f>IFERROR(__xludf.DUMMYFUNCTION("""COMPUTED_VALUE"""),1517.0)</f>
        <v>1517</v>
      </c>
    </row>
    <row r="354" ht="15.75" customHeight="1">
      <c r="B354" s="3">
        <f>IFERROR(__xludf.DUMMYFUNCTION("""COMPUTED_VALUE"""),40347.645833333336)</f>
        <v>40347.64583</v>
      </c>
      <c r="C354" s="2">
        <f>IFERROR(__xludf.DUMMYFUNCTION("""COMPUTED_VALUE"""),1439.0)</f>
        <v>1439</v>
      </c>
    </row>
    <row r="355" ht="15.75" customHeight="1">
      <c r="B355" s="3">
        <f>IFERROR(__xludf.DUMMYFUNCTION("""COMPUTED_VALUE"""),40354.645833333336)</f>
        <v>40354.64583</v>
      </c>
      <c r="C355" s="2">
        <f>IFERROR(__xludf.DUMMYFUNCTION("""COMPUTED_VALUE"""),1496.0)</f>
        <v>1496</v>
      </c>
    </row>
    <row r="356" ht="15.75" customHeight="1">
      <c r="B356" s="3">
        <f>IFERROR(__xludf.DUMMYFUNCTION("""COMPUTED_VALUE"""),40361.645833333336)</f>
        <v>40361.64583</v>
      </c>
      <c r="C356" s="2">
        <f>IFERROR(__xludf.DUMMYFUNCTION("""COMPUTED_VALUE"""),1506.0)</f>
        <v>1506</v>
      </c>
    </row>
    <row r="357" ht="15.75" customHeight="1">
      <c r="B357" s="3">
        <f>IFERROR(__xludf.DUMMYFUNCTION("""COMPUTED_VALUE"""),40368.645833333336)</f>
        <v>40368.64583</v>
      </c>
      <c r="C357" s="2">
        <f>IFERROR(__xludf.DUMMYFUNCTION("""COMPUTED_VALUE"""),1479.9)</f>
        <v>1479.9</v>
      </c>
    </row>
    <row r="358" ht="15.75" customHeight="1">
      <c r="B358" s="3">
        <f>IFERROR(__xludf.DUMMYFUNCTION("""COMPUTED_VALUE"""),40375.645833333336)</f>
        <v>40375.64583</v>
      </c>
      <c r="C358" s="2">
        <f>IFERROR(__xludf.DUMMYFUNCTION("""COMPUTED_VALUE"""),1515.0)</f>
        <v>1515</v>
      </c>
    </row>
    <row r="359" ht="15.75" customHeight="1">
      <c r="B359" s="3">
        <f>IFERROR(__xludf.DUMMYFUNCTION("""COMPUTED_VALUE"""),40382.645833333336)</f>
        <v>40382.64583</v>
      </c>
      <c r="C359" s="2">
        <f>IFERROR(__xludf.DUMMYFUNCTION("""COMPUTED_VALUE"""),1485.6)</f>
        <v>1485.6</v>
      </c>
    </row>
    <row r="360" ht="15.75" customHeight="1">
      <c r="B360" s="3">
        <f>IFERROR(__xludf.DUMMYFUNCTION("""COMPUTED_VALUE"""),40389.645833333336)</f>
        <v>40389.64583</v>
      </c>
      <c r="C360" s="2">
        <f>IFERROR(__xludf.DUMMYFUNCTION("""COMPUTED_VALUE"""),1385.55)</f>
        <v>1385.55</v>
      </c>
    </row>
    <row r="361" ht="15.75" customHeight="1">
      <c r="B361" s="3">
        <f>IFERROR(__xludf.DUMMYFUNCTION("""COMPUTED_VALUE"""),40396.645833333336)</f>
        <v>40396.64583</v>
      </c>
      <c r="C361" s="2">
        <f>IFERROR(__xludf.DUMMYFUNCTION("""COMPUTED_VALUE"""),1387.0)</f>
        <v>1387</v>
      </c>
    </row>
    <row r="362" ht="15.75" customHeight="1">
      <c r="B362" s="3">
        <f>IFERROR(__xludf.DUMMYFUNCTION("""COMPUTED_VALUE"""),40403.645833333336)</f>
        <v>40403.64583</v>
      </c>
      <c r="C362" s="2">
        <f>IFERROR(__xludf.DUMMYFUNCTION("""COMPUTED_VALUE"""),1359.8)</f>
        <v>1359.8</v>
      </c>
    </row>
    <row r="363" ht="15.75" customHeight="1">
      <c r="B363" s="3">
        <f>IFERROR(__xludf.DUMMYFUNCTION("""COMPUTED_VALUE"""),40410.645833333336)</f>
        <v>40410.64583</v>
      </c>
      <c r="C363" s="2">
        <f>IFERROR(__xludf.DUMMYFUNCTION("""COMPUTED_VALUE"""),1395.0)</f>
        <v>1395</v>
      </c>
    </row>
    <row r="364" ht="15.75" customHeight="1">
      <c r="B364" s="3">
        <f>IFERROR(__xludf.DUMMYFUNCTION("""COMPUTED_VALUE"""),40417.645833333336)</f>
        <v>40417.64583</v>
      </c>
      <c r="C364" s="2">
        <f>IFERROR(__xludf.DUMMYFUNCTION("""COMPUTED_VALUE"""),1349.0)</f>
        <v>1349</v>
      </c>
    </row>
    <row r="365" ht="15.75" customHeight="1">
      <c r="B365" s="3">
        <f>IFERROR(__xludf.DUMMYFUNCTION("""COMPUTED_VALUE"""),40424.645833333336)</f>
        <v>40424.64583</v>
      </c>
      <c r="C365" s="2">
        <f>IFERROR(__xludf.DUMMYFUNCTION("""COMPUTED_VALUE"""),1406.2)</f>
        <v>1406.2</v>
      </c>
    </row>
    <row r="366" ht="15.75" customHeight="1">
      <c r="B366" s="3">
        <f>IFERROR(__xludf.DUMMYFUNCTION("""COMPUTED_VALUE"""),40430.645833333336)</f>
        <v>40430.64583</v>
      </c>
      <c r="C366" s="2">
        <f>IFERROR(__xludf.DUMMYFUNCTION("""COMPUTED_VALUE"""),1445.7)</f>
        <v>1445.7</v>
      </c>
    </row>
    <row r="367" ht="15.75" customHeight="1">
      <c r="B367" s="3">
        <f>IFERROR(__xludf.DUMMYFUNCTION("""COMPUTED_VALUE"""),40438.645833333336)</f>
        <v>40438.64583</v>
      </c>
      <c r="C367" s="2">
        <f>IFERROR(__xludf.DUMMYFUNCTION("""COMPUTED_VALUE"""),1485.0)</f>
        <v>1485</v>
      </c>
    </row>
    <row r="368" ht="15.75" customHeight="1">
      <c r="B368" s="3">
        <f>IFERROR(__xludf.DUMMYFUNCTION("""COMPUTED_VALUE"""),40445.645833333336)</f>
        <v>40445.64583</v>
      </c>
      <c r="C368" s="2">
        <f>IFERROR(__xludf.DUMMYFUNCTION("""COMPUTED_VALUE"""),1559.9)</f>
        <v>1559.9</v>
      </c>
    </row>
    <row r="369" ht="15.75" customHeight="1">
      <c r="B369" s="3">
        <f>IFERROR(__xludf.DUMMYFUNCTION("""COMPUTED_VALUE"""),40452.645833333336)</f>
        <v>40452.64583</v>
      </c>
      <c r="C369" s="2">
        <f>IFERROR(__xludf.DUMMYFUNCTION("""COMPUTED_VALUE"""),1511.7)</f>
        <v>1511.7</v>
      </c>
    </row>
    <row r="370" ht="15.75" customHeight="1">
      <c r="B370" s="3">
        <f>IFERROR(__xludf.DUMMYFUNCTION("""COMPUTED_VALUE"""),40459.645833333336)</f>
        <v>40459.64583</v>
      </c>
      <c r="C370" s="2">
        <f>IFERROR(__xludf.DUMMYFUNCTION("""COMPUTED_VALUE"""),1586.1)</f>
        <v>1586.1</v>
      </c>
    </row>
    <row r="371" ht="15.75" customHeight="1">
      <c r="B371" s="3">
        <f>IFERROR(__xludf.DUMMYFUNCTION("""COMPUTED_VALUE"""),40466.645833333336)</f>
        <v>40466.64583</v>
      </c>
      <c r="C371" s="2">
        <f>IFERROR(__xludf.DUMMYFUNCTION("""COMPUTED_VALUE"""),1644.65)</f>
        <v>1644.65</v>
      </c>
    </row>
    <row r="372" ht="15.75" customHeight="1">
      <c r="B372" s="3">
        <f>IFERROR(__xludf.DUMMYFUNCTION("""COMPUTED_VALUE"""),40473.645833333336)</f>
        <v>40473.64583</v>
      </c>
      <c r="C372" s="2">
        <f>IFERROR(__xludf.DUMMYFUNCTION("""COMPUTED_VALUE"""),1645.0)</f>
        <v>1645</v>
      </c>
    </row>
    <row r="373" ht="15.75" customHeight="1">
      <c r="B373" s="3">
        <f>IFERROR(__xludf.DUMMYFUNCTION("""COMPUTED_VALUE"""),40480.645833333336)</f>
        <v>40480.64583</v>
      </c>
      <c r="C373" s="2">
        <f>IFERROR(__xludf.DUMMYFUNCTION("""COMPUTED_VALUE"""),1674.0)</f>
        <v>1674</v>
      </c>
    </row>
    <row r="374" ht="15.75" customHeight="1">
      <c r="B374" s="3">
        <f>IFERROR(__xludf.DUMMYFUNCTION("""COMPUTED_VALUE"""),40487.645833333336)</f>
        <v>40487.64583</v>
      </c>
      <c r="C374" s="2">
        <f>IFERROR(__xludf.DUMMYFUNCTION("""COMPUTED_VALUE"""),1765.0)</f>
        <v>1765</v>
      </c>
    </row>
    <row r="375" ht="15.75" customHeight="1">
      <c r="B375" s="3">
        <f>IFERROR(__xludf.DUMMYFUNCTION("""COMPUTED_VALUE"""),40494.645833333336)</f>
        <v>40494.64583</v>
      </c>
      <c r="C375" s="2">
        <f>IFERROR(__xludf.DUMMYFUNCTION("""COMPUTED_VALUE"""),1784.9)</f>
        <v>1784.9</v>
      </c>
    </row>
    <row r="376" ht="15.75" customHeight="1">
      <c r="B376" s="3">
        <f>IFERROR(__xludf.DUMMYFUNCTION("""COMPUTED_VALUE"""),40501.645833333336)</f>
        <v>40501.64583</v>
      </c>
      <c r="C376" s="2">
        <f>IFERROR(__xludf.DUMMYFUNCTION("""COMPUTED_VALUE"""),1794.7)</f>
        <v>1794.7</v>
      </c>
    </row>
    <row r="377" ht="15.75" customHeight="1">
      <c r="B377" s="3">
        <f>IFERROR(__xludf.DUMMYFUNCTION("""COMPUTED_VALUE"""),40508.645833333336)</f>
        <v>40508.64583</v>
      </c>
      <c r="C377" s="2">
        <f>IFERROR(__xludf.DUMMYFUNCTION("""COMPUTED_VALUE"""),1813.5)</f>
        <v>1813.5</v>
      </c>
    </row>
    <row r="378" ht="15.75" customHeight="1">
      <c r="B378" s="3">
        <f>IFERROR(__xludf.DUMMYFUNCTION("""COMPUTED_VALUE"""),40515.645833333336)</f>
        <v>40515.64583</v>
      </c>
      <c r="C378" s="2">
        <f>IFERROR(__xludf.DUMMYFUNCTION("""COMPUTED_VALUE"""),1834.9)</f>
        <v>1834.9</v>
      </c>
    </row>
    <row r="379" ht="15.75" customHeight="1">
      <c r="B379" s="3">
        <f>IFERROR(__xludf.DUMMYFUNCTION("""COMPUTED_VALUE"""),40522.645833333336)</f>
        <v>40522.64583</v>
      </c>
      <c r="C379" s="2">
        <f>IFERROR(__xludf.DUMMYFUNCTION("""COMPUTED_VALUE"""),1854.0)</f>
        <v>1854</v>
      </c>
    </row>
    <row r="380" ht="15.75" customHeight="1">
      <c r="B380" s="3">
        <f>IFERROR(__xludf.DUMMYFUNCTION("""COMPUTED_VALUE"""),40528.645833333336)</f>
        <v>40528.64583</v>
      </c>
      <c r="C380" s="2">
        <f>IFERROR(__xludf.DUMMYFUNCTION("""COMPUTED_VALUE"""),1838.65)</f>
        <v>1838.65</v>
      </c>
    </row>
    <row r="381" ht="15.75" customHeight="1">
      <c r="B381" s="3">
        <f>IFERROR(__xludf.DUMMYFUNCTION("""COMPUTED_VALUE"""),40536.645833333336)</f>
        <v>40536.64583</v>
      </c>
      <c r="C381" s="2">
        <f>IFERROR(__xludf.DUMMYFUNCTION("""COMPUTED_VALUE"""),1780.0)</f>
        <v>1780</v>
      </c>
    </row>
    <row r="382" ht="15.75" customHeight="1">
      <c r="B382" s="3">
        <f>IFERROR(__xludf.DUMMYFUNCTION("""COMPUTED_VALUE"""),40543.645833333336)</f>
        <v>40543.64583</v>
      </c>
      <c r="C382" s="2">
        <f>IFERROR(__xludf.DUMMYFUNCTION("""COMPUTED_VALUE"""),1733.5)</f>
        <v>1733.5</v>
      </c>
    </row>
    <row r="383" ht="15.75" customHeight="1"/>
    <row r="384" ht="15.75" customHeight="1"/>
    <row r="385" ht="15.75" customHeight="1"/>
    <row r="386" ht="15.75" customHeight="1">
      <c r="B386" s="2" t="str">
        <f>IFERROR(__xludf.DUMMYFUNCTION("GOOGLEFINANCE(""NSE:DRREDDY"", ""high"",DATE(2011,1,1),DATE(2012,1,1),""weekly"")"),"Date")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IFERROR(__xludf.DUMMYFUNCTION("""COMPUTED_VALUE"""),40550.645833333336)</f>
        <v>40550.64583</v>
      </c>
      <c r="C387" s="2">
        <f>IFERROR(__xludf.DUMMYFUNCTION("""COMPUTED_VALUE"""),1728.0)</f>
        <v>1728</v>
      </c>
    </row>
    <row r="388" ht="15.75" customHeight="1">
      <c r="B388" s="3">
        <f>IFERROR(__xludf.DUMMYFUNCTION("""COMPUTED_VALUE"""),40557.645833333336)</f>
        <v>40557.64583</v>
      </c>
      <c r="C388" s="2">
        <f>IFERROR(__xludf.DUMMYFUNCTION("""COMPUTED_VALUE"""),1704.0)</f>
        <v>1704</v>
      </c>
    </row>
    <row r="389" ht="15.75" customHeight="1">
      <c r="B389" s="3">
        <f>IFERROR(__xludf.DUMMYFUNCTION("""COMPUTED_VALUE"""),40564.645833333336)</f>
        <v>40564.64583</v>
      </c>
      <c r="C389" s="2">
        <f>IFERROR(__xludf.DUMMYFUNCTION("""COMPUTED_VALUE"""),1689.0)</f>
        <v>1689</v>
      </c>
    </row>
    <row r="390" ht="15.75" customHeight="1">
      <c r="B390" s="3">
        <f>IFERROR(__xludf.DUMMYFUNCTION("""COMPUTED_VALUE"""),40571.645833333336)</f>
        <v>40571.64583</v>
      </c>
      <c r="C390" s="2">
        <f>IFERROR(__xludf.DUMMYFUNCTION("""COMPUTED_VALUE"""),1668.8)</f>
        <v>1668.8</v>
      </c>
    </row>
    <row r="391" ht="15.75" customHeight="1">
      <c r="B391" s="3">
        <f>IFERROR(__xludf.DUMMYFUNCTION("""COMPUTED_VALUE"""),40578.645833333336)</f>
        <v>40578.64583</v>
      </c>
      <c r="C391" s="2">
        <f>IFERROR(__xludf.DUMMYFUNCTION("""COMPUTED_VALUE"""),1639.5)</f>
        <v>1639.5</v>
      </c>
    </row>
    <row r="392" ht="15.75" customHeight="1">
      <c r="B392" s="3">
        <f>IFERROR(__xludf.DUMMYFUNCTION("""COMPUTED_VALUE"""),40585.645833333336)</f>
        <v>40585.64583</v>
      </c>
      <c r="C392" s="2">
        <f>IFERROR(__xludf.DUMMYFUNCTION("""COMPUTED_VALUE"""),1588.0)</f>
        <v>1588</v>
      </c>
    </row>
    <row r="393" ht="15.75" customHeight="1">
      <c r="B393" s="3">
        <f>IFERROR(__xludf.DUMMYFUNCTION("""COMPUTED_VALUE"""),40592.645833333336)</f>
        <v>40592.64583</v>
      </c>
      <c r="C393" s="2">
        <f>IFERROR(__xludf.DUMMYFUNCTION("""COMPUTED_VALUE"""),1658.8)</f>
        <v>1658.8</v>
      </c>
    </row>
    <row r="394" ht="15.75" customHeight="1">
      <c r="B394" s="3">
        <f>IFERROR(__xludf.DUMMYFUNCTION("""COMPUTED_VALUE"""),40599.645833333336)</f>
        <v>40599.64583</v>
      </c>
      <c r="C394" s="2">
        <f>IFERROR(__xludf.DUMMYFUNCTION("""COMPUTED_VALUE"""),1595.0)</f>
        <v>1595</v>
      </c>
    </row>
    <row r="395" ht="15.75" customHeight="1">
      <c r="B395" s="3">
        <f>IFERROR(__xludf.DUMMYFUNCTION("""COMPUTED_VALUE"""),40606.645833333336)</f>
        <v>40606.64583</v>
      </c>
      <c r="C395" s="2">
        <f>IFERROR(__xludf.DUMMYFUNCTION("""COMPUTED_VALUE"""),1601.0)</f>
        <v>1601</v>
      </c>
    </row>
    <row r="396" ht="15.75" customHeight="1">
      <c r="B396" s="3">
        <f>IFERROR(__xludf.DUMMYFUNCTION("""COMPUTED_VALUE"""),40613.645833333336)</f>
        <v>40613.64583</v>
      </c>
      <c r="C396" s="2">
        <f>IFERROR(__xludf.DUMMYFUNCTION("""COMPUTED_VALUE"""),1626.0)</f>
        <v>1626</v>
      </c>
    </row>
    <row r="397" ht="15.75" customHeight="1">
      <c r="B397" s="3">
        <f>IFERROR(__xludf.DUMMYFUNCTION("""COMPUTED_VALUE"""),40620.645833333336)</f>
        <v>40620.64583</v>
      </c>
      <c r="C397" s="2">
        <f>IFERROR(__xludf.DUMMYFUNCTION("""COMPUTED_VALUE"""),1608.5)</f>
        <v>1608.5</v>
      </c>
    </row>
    <row r="398" ht="15.75" customHeight="1">
      <c r="B398" s="3">
        <f>IFERROR(__xludf.DUMMYFUNCTION("""COMPUTED_VALUE"""),40627.645833333336)</f>
        <v>40627.64583</v>
      </c>
      <c r="C398" s="2">
        <f>IFERROR(__xludf.DUMMYFUNCTION("""COMPUTED_VALUE"""),1569.0)</f>
        <v>1569</v>
      </c>
    </row>
    <row r="399" ht="15.75" customHeight="1">
      <c r="B399" s="3">
        <f>IFERROR(__xludf.DUMMYFUNCTION("""COMPUTED_VALUE"""),40634.645833333336)</f>
        <v>40634.64583</v>
      </c>
      <c r="C399" s="2">
        <f>IFERROR(__xludf.DUMMYFUNCTION("""COMPUTED_VALUE"""),1677.9)</f>
        <v>1677.9</v>
      </c>
    </row>
    <row r="400" ht="15.75" customHeight="1">
      <c r="B400" s="3">
        <f>IFERROR(__xludf.DUMMYFUNCTION("""COMPUTED_VALUE"""),40641.645833333336)</f>
        <v>40641.64583</v>
      </c>
      <c r="C400" s="2">
        <f>IFERROR(__xludf.DUMMYFUNCTION("""COMPUTED_VALUE"""),1658.0)</f>
        <v>1658</v>
      </c>
    </row>
    <row r="401" ht="15.75" customHeight="1">
      <c r="B401" s="3">
        <f>IFERROR(__xludf.DUMMYFUNCTION("""COMPUTED_VALUE"""),40648.645833333336)</f>
        <v>40648.64583</v>
      </c>
      <c r="C401" s="2">
        <f>IFERROR(__xludf.DUMMYFUNCTION("""COMPUTED_VALUE"""),1659.9)</f>
        <v>1659.9</v>
      </c>
    </row>
    <row r="402" ht="15.75" customHeight="1">
      <c r="B402" s="3">
        <f>IFERROR(__xludf.DUMMYFUNCTION("""COMPUTED_VALUE"""),40654.645833333336)</f>
        <v>40654.64583</v>
      </c>
      <c r="C402" s="2">
        <f>IFERROR(__xludf.DUMMYFUNCTION("""COMPUTED_VALUE"""),1692.2)</f>
        <v>1692.2</v>
      </c>
    </row>
    <row r="403" ht="15.75" customHeight="1">
      <c r="B403" s="3">
        <f>IFERROR(__xludf.DUMMYFUNCTION("""COMPUTED_VALUE"""),40662.645833333336)</f>
        <v>40662.64583</v>
      </c>
      <c r="C403" s="2">
        <f>IFERROR(__xludf.DUMMYFUNCTION("""COMPUTED_VALUE"""),1694.0)</f>
        <v>1694</v>
      </c>
    </row>
    <row r="404" ht="15.75" customHeight="1">
      <c r="B404" s="3">
        <f>IFERROR(__xludf.DUMMYFUNCTION("""COMPUTED_VALUE"""),40669.645833333336)</f>
        <v>40669.64583</v>
      </c>
      <c r="C404" s="2">
        <f>IFERROR(__xludf.DUMMYFUNCTION("""COMPUTED_VALUE"""),1717.65)</f>
        <v>1717.65</v>
      </c>
    </row>
    <row r="405" ht="15.75" customHeight="1">
      <c r="B405" s="3">
        <f>IFERROR(__xludf.DUMMYFUNCTION("""COMPUTED_VALUE"""),40676.645833333336)</f>
        <v>40676.64583</v>
      </c>
      <c r="C405" s="2">
        <f>IFERROR(__xludf.DUMMYFUNCTION("""COMPUTED_VALUE"""),1678.2)</f>
        <v>1678.2</v>
      </c>
    </row>
    <row r="406" ht="15.75" customHeight="1">
      <c r="B406" s="3">
        <f>IFERROR(__xludf.DUMMYFUNCTION("""COMPUTED_VALUE"""),40683.645833333336)</f>
        <v>40683.64583</v>
      </c>
      <c r="C406" s="2">
        <f>IFERROR(__xludf.DUMMYFUNCTION("""COMPUTED_VALUE"""),1675.0)</f>
        <v>1675</v>
      </c>
    </row>
    <row r="407" ht="15.75" customHeight="1">
      <c r="B407" s="3">
        <f>IFERROR(__xludf.DUMMYFUNCTION("""COMPUTED_VALUE"""),40690.645833333336)</f>
        <v>40690.64583</v>
      </c>
      <c r="C407" s="2">
        <f>IFERROR(__xludf.DUMMYFUNCTION("""COMPUTED_VALUE"""),1600.9)</f>
        <v>1600.9</v>
      </c>
    </row>
    <row r="408" ht="15.75" customHeight="1">
      <c r="B408" s="3">
        <f>IFERROR(__xludf.DUMMYFUNCTION("""COMPUTED_VALUE"""),40697.645833333336)</f>
        <v>40697.64583</v>
      </c>
      <c r="C408" s="2">
        <f>IFERROR(__xludf.DUMMYFUNCTION("""COMPUTED_VALUE"""),1631.0)</f>
        <v>1631</v>
      </c>
    </row>
    <row r="409" ht="15.75" customHeight="1">
      <c r="B409" s="3">
        <f>IFERROR(__xludf.DUMMYFUNCTION("""COMPUTED_VALUE"""),40704.645833333336)</f>
        <v>40704.64583</v>
      </c>
      <c r="C409" s="2">
        <f>IFERROR(__xludf.DUMMYFUNCTION("""COMPUTED_VALUE"""),1619.0)</f>
        <v>1619</v>
      </c>
    </row>
    <row r="410" ht="15.75" customHeight="1">
      <c r="B410" s="3">
        <f>IFERROR(__xludf.DUMMYFUNCTION("""COMPUTED_VALUE"""),40711.645833333336)</f>
        <v>40711.64583</v>
      </c>
      <c r="C410" s="2">
        <f>IFERROR(__xludf.DUMMYFUNCTION("""COMPUTED_VALUE"""),1579.9)</f>
        <v>1579.9</v>
      </c>
    </row>
    <row r="411" ht="15.75" customHeight="1">
      <c r="B411" s="3">
        <f>IFERROR(__xludf.DUMMYFUNCTION("""COMPUTED_VALUE"""),40718.645833333336)</f>
        <v>40718.64583</v>
      </c>
      <c r="C411" s="2">
        <f>IFERROR(__xludf.DUMMYFUNCTION("""COMPUTED_VALUE"""),1555.5)</f>
        <v>1555.5</v>
      </c>
    </row>
    <row r="412" ht="15.75" customHeight="1">
      <c r="B412" s="3">
        <f>IFERROR(__xludf.DUMMYFUNCTION("""COMPUTED_VALUE"""),40725.645833333336)</f>
        <v>40725.64583</v>
      </c>
      <c r="C412" s="2">
        <f>IFERROR(__xludf.DUMMYFUNCTION("""COMPUTED_VALUE"""),1569.9)</f>
        <v>1569.9</v>
      </c>
    </row>
    <row r="413" ht="15.75" customHeight="1">
      <c r="B413" s="3">
        <f>IFERROR(__xludf.DUMMYFUNCTION("""COMPUTED_VALUE"""),40732.645833333336)</f>
        <v>40732.64583</v>
      </c>
      <c r="C413" s="2">
        <f>IFERROR(__xludf.DUMMYFUNCTION("""COMPUTED_VALUE"""),1586.9)</f>
        <v>1586.9</v>
      </c>
    </row>
    <row r="414" ht="15.75" customHeight="1">
      <c r="B414" s="3">
        <f>IFERROR(__xludf.DUMMYFUNCTION("""COMPUTED_VALUE"""),40739.645833333336)</f>
        <v>40739.64583</v>
      </c>
      <c r="C414" s="2">
        <f>IFERROR(__xludf.DUMMYFUNCTION("""COMPUTED_VALUE"""),1622.95)</f>
        <v>1622.95</v>
      </c>
    </row>
    <row r="415" ht="15.75" customHeight="1">
      <c r="B415" s="3">
        <f>IFERROR(__xludf.DUMMYFUNCTION("""COMPUTED_VALUE"""),40746.645833333336)</f>
        <v>40746.64583</v>
      </c>
      <c r="C415" s="2">
        <f>IFERROR(__xludf.DUMMYFUNCTION("""COMPUTED_VALUE"""),1620.9)</f>
        <v>1620.9</v>
      </c>
    </row>
    <row r="416" ht="15.75" customHeight="1">
      <c r="B416" s="3">
        <f>IFERROR(__xludf.DUMMYFUNCTION("""COMPUTED_VALUE"""),40753.645833333336)</f>
        <v>40753.64583</v>
      </c>
      <c r="C416" s="2">
        <f>IFERROR(__xludf.DUMMYFUNCTION("""COMPUTED_VALUE"""),1618.8)</f>
        <v>1618.8</v>
      </c>
    </row>
    <row r="417" ht="15.75" customHeight="1">
      <c r="B417" s="3">
        <f>IFERROR(__xludf.DUMMYFUNCTION("""COMPUTED_VALUE"""),40760.645833333336)</f>
        <v>40760.64583</v>
      </c>
      <c r="C417" s="2">
        <f>IFERROR(__xludf.DUMMYFUNCTION("""COMPUTED_VALUE"""),1614.0)</f>
        <v>1614</v>
      </c>
    </row>
    <row r="418" ht="15.75" customHeight="1">
      <c r="B418" s="3">
        <f>IFERROR(__xludf.DUMMYFUNCTION("""COMPUTED_VALUE"""),40767.645833333336)</f>
        <v>40767.64583</v>
      </c>
      <c r="C418" s="2">
        <f>IFERROR(__xludf.DUMMYFUNCTION("""COMPUTED_VALUE"""),1569.9)</f>
        <v>1569.9</v>
      </c>
    </row>
    <row r="419" ht="15.75" customHeight="1">
      <c r="B419" s="3">
        <f>IFERROR(__xludf.DUMMYFUNCTION("""COMPUTED_VALUE"""),40774.645833333336)</f>
        <v>40774.64583</v>
      </c>
      <c r="C419" s="2">
        <f>IFERROR(__xludf.DUMMYFUNCTION("""COMPUTED_VALUE"""),1519.95)</f>
        <v>1519.95</v>
      </c>
    </row>
    <row r="420" ht="15.75" customHeight="1">
      <c r="B420" s="3">
        <f>IFERROR(__xludf.DUMMYFUNCTION("""COMPUTED_VALUE"""),40781.645833333336)</f>
        <v>40781.64583</v>
      </c>
      <c r="C420" s="2">
        <f>IFERROR(__xludf.DUMMYFUNCTION("""COMPUTED_VALUE"""),1490.0)</f>
        <v>1490</v>
      </c>
    </row>
    <row r="421" ht="15.75" customHeight="1">
      <c r="B421" s="3">
        <f>IFERROR(__xludf.DUMMYFUNCTION("""COMPUTED_VALUE"""),40788.645833333336)</f>
        <v>40788.64583</v>
      </c>
      <c r="C421" s="2">
        <f>IFERROR(__xludf.DUMMYFUNCTION("""COMPUTED_VALUE"""),1556.7)</f>
        <v>1556.7</v>
      </c>
    </row>
    <row r="422" ht="15.75" customHeight="1">
      <c r="B422" s="3">
        <f>IFERROR(__xludf.DUMMYFUNCTION("""COMPUTED_VALUE"""),40795.645833333336)</f>
        <v>40795.64583</v>
      </c>
      <c r="C422" s="2">
        <f>IFERROR(__xludf.DUMMYFUNCTION("""COMPUTED_VALUE"""),1509.0)</f>
        <v>1509</v>
      </c>
    </row>
    <row r="423" ht="15.75" customHeight="1">
      <c r="B423" s="3">
        <f>IFERROR(__xludf.DUMMYFUNCTION("""COMPUTED_VALUE"""),40802.645833333336)</f>
        <v>40802.64583</v>
      </c>
      <c r="C423" s="2">
        <f>IFERROR(__xludf.DUMMYFUNCTION("""COMPUTED_VALUE"""),1534.8)</f>
        <v>1534.8</v>
      </c>
    </row>
    <row r="424" ht="15.75" customHeight="1">
      <c r="B424" s="3">
        <f>IFERROR(__xludf.DUMMYFUNCTION("""COMPUTED_VALUE"""),40809.645833333336)</f>
        <v>40809.64583</v>
      </c>
      <c r="C424" s="2">
        <f>IFERROR(__xludf.DUMMYFUNCTION("""COMPUTED_VALUE"""),1545.9)</f>
        <v>1545.9</v>
      </c>
    </row>
    <row r="425" ht="15.75" customHeight="1">
      <c r="B425" s="3">
        <f>IFERROR(__xludf.DUMMYFUNCTION("""COMPUTED_VALUE"""),40816.645833333336)</f>
        <v>40816.64583</v>
      </c>
      <c r="C425" s="2">
        <f>IFERROR(__xludf.DUMMYFUNCTION("""COMPUTED_VALUE"""),1511.3)</f>
        <v>1511.3</v>
      </c>
    </row>
    <row r="426" ht="15.75" customHeight="1">
      <c r="B426" s="3">
        <f>IFERROR(__xludf.DUMMYFUNCTION("""COMPUTED_VALUE"""),40823.645833333336)</f>
        <v>40823.64583</v>
      </c>
      <c r="C426" s="2">
        <f>IFERROR(__xludf.DUMMYFUNCTION("""COMPUTED_VALUE"""),1525.0)</f>
        <v>1525</v>
      </c>
    </row>
    <row r="427" ht="15.75" customHeight="1">
      <c r="B427" s="3">
        <f>IFERROR(__xludf.DUMMYFUNCTION("""COMPUTED_VALUE"""),40830.645833333336)</f>
        <v>40830.64583</v>
      </c>
      <c r="C427" s="2">
        <f>IFERROR(__xludf.DUMMYFUNCTION("""COMPUTED_VALUE"""),1535.0)</f>
        <v>1535</v>
      </c>
    </row>
    <row r="428" ht="15.75" customHeight="1">
      <c r="B428" s="3">
        <f>IFERROR(__xludf.DUMMYFUNCTION("""COMPUTED_VALUE"""),40837.645833333336)</f>
        <v>40837.64583</v>
      </c>
      <c r="C428" s="2">
        <f>IFERROR(__xludf.DUMMYFUNCTION("""COMPUTED_VALUE"""),1555.0)</f>
        <v>1555</v>
      </c>
    </row>
    <row r="429" ht="15.75" customHeight="1">
      <c r="B429" s="3">
        <f>IFERROR(__xludf.DUMMYFUNCTION("""COMPUTED_VALUE"""),40844.645833333336)</f>
        <v>40844.64583</v>
      </c>
      <c r="C429" s="2">
        <f>IFERROR(__xludf.DUMMYFUNCTION("""COMPUTED_VALUE"""),1684.7)</f>
        <v>1684.7</v>
      </c>
    </row>
    <row r="430" ht="15.75" customHeight="1">
      <c r="B430" s="3">
        <f>IFERROR(__xludf.DUMMYFUNCTION("""COMPUTED_VALUE"""),40851.645833333336)</f>
        <v>40851.64583</v>
      </c>
      <c r="C430" s="2">
        <f>IFERROR(__xludf.DUMMYFUNCTION("""COMPUTED_VALUE"""),1675.0)</f>
        <v>1675</v>
      </c>
    </row>
    <row r="431" ht="15.75" customHeight="1">
      <c r="B431" s="3">
        <f>IFERROR(__xludf.DUMMYFUNCTION("""COMPUTED_VALUE"""),40858.645833333336)</f>
        <v>40858.64583</v>
      </c>
      <c r="C431" s="2">
        <f>IFERROR(__xludf.DUMMYFUNCTION("""COMPUTED_VALUE"""),1632.0)</f>
        <v>1632</v>
      </c>
    </row>
    <row r="432" ht="15.75" customHeight="1">
      <c r="B432" s="3">
        <f>IFERROR(__xludf.DUMMYFUNCTION("""COMPUTED_VALUE"""),40865.645833333336)</f>
        <v>40865.64583</v>
      </c>
      <c r="C432" s="2">
        <f>IFERROR(__xludf.DUMMYFUNCTION("""COMPUTED_VALUE"""),1654.0)</f>
        <v>1654</v>
      </c>
    </row>
    <row r="433" ht="15.75" customHeight="1">
      <c r="B433" s="3">
        <f>IFERROR(__xludf.DUMMYFUNCTION("""COMPUTED_VALUE"""),40872.645833333336)</f>
        <v>40872.64583</v>
      </c>
      <c r="C433" s="2">
        <f>IFERROR(__xludf.DUMMYFUNCTION("""COMPUTED_VALUE"""),1605.0)</f>
        <v>1605</v>
      </c>
    </row>
    <row r="434" ht="15.75" customHeight="1">
      <c r="B434" s="3">
        <f>IFERROR(__xludf.DUMMYFUNCTION("""COMPUTED_VALUE"""),40879.645833333336)</f>
        <v>40879.64583</v>
      </c>
      <c r="C434" s="2">
        <f>IFERROR(__xludf.DUMMYFUNCTION("""COMPUTED_VALUE"""),1603.7)</f>
        <v>1603.7</v>
      </c>
    </row>
    <row r="435" ht="15.75" customHeight="1">
      <c r="B435" s="3">
        <f>IFERROR(__xludf.DUMMYFUNCTION("""COMPUTED_VALUE"""),40886.645833333336)</f>
        <v>40886.64583</v>
      </c>
      <c r="C435" s="2">
        <f>IFERROR(__xludf.DUMMYFUNCTION("""COMPUTED_VALUE"""),1604.2)</f>
        <v>1604.2</v>
      </c>
    </row>
    <row r="436" ht="15.75" customHeight="1">
      <c r="B436" s="3">
        <f>IFERROR(__xludf.DUMMYFUNCTION("""COMPUTED_VALUE"""),40893.645833333336)</f>
        <v>40893.64583</v>
      </c>
      <c r="C436" s="2">
        <f>IFERROR(__xludf.DUMMYFUNCTION("""COMPUTED_VALUE"""),1639.0)</f>
        <v>1639</v>
      </c>
    </row>
    <row r="437" ht="15.75" customHeight="1">
      <c r="B437" s="3">
        <f>IFERROR(__xludf.DUMMYFUNCTION("""COMPUTED_VALUE"""),40900.645833333336)</f>
        <v>40900.64583</v>
      </c>
      <c r="C437" s="2">
        <f>IFERROR(__xludf.DUMMYFUNCTION("""COMPUTED_VALUE"""),1605.3)</f>
        <v>1605.3</v>
      </c>
    </row>
    <row r="438" ht="15.75" customHeight="1">
      <c r="B438" s="3">
        <f>IFERROR(__xludf.DUMMYFUNCTION("""COMPUTED_VALUE"""),40907.645833333336)</f>
        <v>40907.64583</v>
      </c>
      <c r="C438" s="2">
        <f>IFERROR(__xludf.DUMMYFUNCTION("""COMPUTED_VALUE"""),1606.8)</f>
        <v>1606.8</v>
      </c>
    </row>
    <row r="439" ht="15.75" customHeight="1"/>
    <row r="440" ht="15.75" customHeight="1"/>
    <row r="441" ht="15.75" customHeight="1">
      <c r="B441" s="2" t="str">
        <f>IFERROR(__xludf.DUMMYFUNCTION("GOOGLEFINANCE(""NSE:DRREDDY"", ""high"",DATE(2012,1,1),DATE(2013,1,1),""weekly"")"),"Date")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IFERROR(__xludf.DUMMYFUNCTION("""COMPUTED_VALUE"""),40921.645833333336)</f>
        <v>40921.64583</v>
      </c>
      <c r="C442" s="2">
        <f>IFERROR(__xludf.DUMMYFUNCTION("""COMPUTED_VALUE"""),1669.75)</f>
        <v>1669.75</v>
      </c>
    </row>
    <row r="443" ht="15.75" customHeight="1">
      <c r="B443" s="3">
        <f>IFERROR(__xludf.DUMMYFUNCTION("""COMPUTED_VALUE"""),40928.645833333336)</f>
        <v>40928.64583</v>
      </c>
      <c r="C443" s="2">
        <f>IFERROR(__xludf.DUMMYFUNCTION("""COMPUTED_VALUE"""),1703.85)</f>
        <v>1703.85</v>
      </c>
    </row>
    <row r="444" ht="15.75" customHeight="1">
      <c r="B444" s="3">
        <f>IFERROR(__xludf.DUMMYFUNCTION("""COMPUTED_VALUE"""),40935.645833333336)</f>
        <v>40935.64583</v>
      </c>
      <c r="C444" s="2">
        <f>IFERROR(__xludf.DUMMYFUNCTION("""COMPUTED_VALUE"""),1667.0)</f>
        <v>1667</v>
      </c>
    </row>
    <row r="445" ht="15.75" customHeight="1">
      <c r="B445" s="3">
        <f>IFERROR(__xludf.DUMMYFUNCTION("""COMPUTED_VALUE"""),40942.645833333336)</f>
        <v>40942.64583</v>
      </c>
      <c r="C445" s="2">
        <f>IFERROR(__xludf.DUMMYFUNCTION("""COMPUTED_VALUE"""),1705.0)</f>
        <v>1705</v>
      </c>
    </row>
    <row r="446" ht="15.75" customHeight="1">
      <c r="B446" s="3">
        <f>IFERROR(__xludf.DUMMYFUNCTION("""COMPUTED_VALUE"""),40949.645833333336)</f>
        <v>40949.64583</v>
      </c>
      <c r="C446" s="2">
        <f>IFERROR(__xludf.DUMMYFUNCTION("""COMPUTED_VALUE"""),1695.0)</f>
        <v>1695</v>
      </c>
    </row>
    <row r="447" ht="15.75" customHeight="1">
      <c r="B447" s="3">
        <f>IFERROR(__xludf.DUMMYFUNCTION("""COMPUTED_VALUE"""),40956.645833333336)</f>
        <v>40956.64583</v>
      </c>
      <c r="C447" s="2">
        <f>IFERROR(__xludf.DUMMYFUNCTION("""COMPUTED_VALUE"""),1651.8)</f>
        <v>1651.8</v>
      </c>
    </row>
    <row r="448" ht="15.75" customHeight="1">
      <c r="B448" s="3">
        <f>IFERROR(__xludf.DUMMYFUNCTION("""COMPUTED_VALUE"""),40963.645833333336)</f>
        <v>40963.64583</v>
      </c>
      <c r="C448" s="2">
        <f>IFERROR(__xludf.DUMMYFUNCTION("""COMPUTED_VALUE"""),1665.0)</f>
        <v>1665</v>
      </c>
    </row>
    <row r="449" ht="15.75" customHeight="1">
      <c r="B449" s="3">
        <f>IFERROR(__xludf.DUMMYFUNCTION("""COMPUTED_VALUE"""),40977.645833333336)</f>
        <v>40977.64583</v>
      </c>
      <c r="C449" s="2">
        <f>IFERROR(__xludf.DUMMYFUNCTION("""COMPUTED_VALUE"""),1710.0)</f>
        <v>1710</v>
      </c>
    </row>
    <row r="450" ht="15.75" customHeight="1">
      <c r="B450" s="3">
        <f>IFERROR(__xludf.DUMMYFUNCTION("""COMPUTED_VALUE"""),40984.645833333336)</f>
        <v>40984.64583</v>
      </c>
      <c r="C450" s="2">
        <f>IFERROR(__xludf.DUMMYFUNCTION("""COMPUTED_VALUE"""),1719.1)</f>
        <v>1719.1</v>
      </c>
    </row>
    <row r="451" ht="15.75" customHeight="1">
      <c r="B451" s="3">
        <f>IFERROR(__xludf.DUMMYFUNCTION("""COMPUTED_VALUE"""),40991.645833333336)</f>
        <v>40991.64583</v>
      </c>
      <c r="C451" s="2">
        <f>IFERROR(__xludf.DUMMYFUNCTION("""COMPUTED_VALUE"""),1686.0)</f>
        <v>1686</v>
      </c>
    </row>
    <row r="452" ht="15.75" customHeight="1">
      <c r="B452" s="3">
        <f>IFERROR(__xludf.DUMMYFUNCTION("""COMPUTED_VALUE"""),40998.645833333336)</f>
        <v>40998.64583</v>
      </c>
      <c r="C452" s="2">
        <f>IFERROR(__xludf.DUMMYFUNCTION("""COMPUTED_VALUE"""),1779.0)</f>
        <v>1779</v>
      </c>
    </row>
    <row r="453" ht="15.75" customHeight="1">
      <c r="B453" s="3">
        <f>IFERROR(__xludf.DUMMYFUNCTION("""COMPUTED_VALUE"""),41003.645833333336)</f>
        <v>41003.64583</v>
      </c>
      <c r="C453" s="2">
        <f>IFERROR(__xludf.DUMMYFUNCTION("""COMPUTED_VALUE"""),1774.0)</f>
        <v>1774</v>
      </c>
    </row>
    <row r="454" ht="15.75" customHeight="1">
      <c r="B454" s="3">
        <f>IFERROR(__xludf.DUMMYFUNCTION("""COMPUTED_VALUE"""),41012.645833333336)</f>
        <v>41012.64583</v>
      </c>
      <c r="C454" s="2">
        <f>IFERROR(__xludf.DUMMYFUNCTION("""COMPUTED_VALUE"""),1758.0)</f>
        <v>1758</v>
      </c>
    </row>
    <row r="455" ht="15.75" customHeight="1">
      <c r="B455" s="3">
        <f>IFERROR(__xludf.DUMMYFUNCTION("""COMPUTED_VALUE"""),41019.645833333336)</f>
        <v>41019.64583</v>
      </c>
      <c r="C455" s="2">
        <f>IFERROR(__xludf.DUMMYFUNCTION("""COMPUTED_VALUE"""),1815.85)</f>
        <v>1815.85</v>
      </c>
    </row>
    <row r="456" ht="15.75" customHeight="1">
      <c r="B456" s="3">
        <f>IFERROR(__xludf.DUMMYFUNCTION("""COMPUTED_VALUE"""),41033.645833333336)</f>
        <v>41033.64583</v>
      </c>
      <c r="C456" s="2">
        <f>IFERROR(__xludf.DUMMYFUNCTION("""COMPUTED_VALUE"""),1790.0)</f>
        <v>1790</v>
      </c>
    </row>
    <row r="457" ht="15.75" customHeight="1">
      <c r="B457" s="3">
        <f>IFERROR(__xludf.DUMMYFUNCTION("""COMPUTED_VALUE"""),41040.645833333336)</f>
        <v>41040.64583</v>
      </c>
      <c r="C457" s="2">
        <f>IFERROR(__xludf.DUMMYFUNCTION("""COMPUTED_VALUE"""),1746.0)</f>
        <v>1746</v>
      </c>
    </row>
    <row r="458" ht="15.75" customHeight="1">
      <c r="B458" s="3">
        <f>IFERROR(__xludf.DUMMYFUNCTION("""COMPUTED_VALUE"""),41047.645833333336)</f>
        <v>41047.64583</v>
      </c>
      <c r="C458" s="2">
        <f>IFERROR(__xludf.DUMMYFUNCTION("""COMPUTED_VALUE"""),1694.9)</f>
        <v>1694.9</v>
      </c>
    </row>
    <row r="459" ht="15.75" customHeight="1">
      <c r="B459" s="3">
        <f>IFERROR(__xludf.DUMMYFUNCTION("""COMPUTED_VALUE"""),41054.645833333336)</f>
        <v>41054.64583</v>
      </c>
      <c r="C459" s="2">
        <f>IFERROR(__xludf.DUMMYFUNCTION("""COMPUTED_VALUE"""),1717.1)</f>
        <v>1717.1</v>
      </c>
    </row>
    <row r="460" ht="15.75" customHeight="1">
      <c r="B460" s="3">
        <f>IFERROR(__xludf.DUMMYFUNCTION("""COMPUTED_VALUE"""),41061.645833333336)</f>
        <v>41061.64583</v>
      </c>
      <c r="C460" s="2">
        <f>IFERROR(__xludf.DUMMYFUNCTION("""COMPUTED_VALUE"""),1707.9)</f>
        <v>1707.9</v>
      </c>
    </row>
    <row r="461" ht="15.75" customHeight="1">
      <c r="B461" s="3">
        <f>IFERROR(__xludf.DUMMYFUNCTION("""COMPUTED_VALUE"""),41068.645833333336)</f>
        <v>41068.64583</v>
      </c>
      <c r="C461" s="2">
        <f>IFERROR(__xludf.DUMMYFUNCTION("""COMPUTED_VALUE"""),1645.5)</f>
        <v>1645.5</v>
      </c>
    </row>
    <row r="462" ht="15.75" customHeight="1">
      <c r="B462" s="3">
        <f>IFERROR(__xludf.DUMMYFUNCTION("""COMPUTED_VALUE"""),41075.645833333336)</f>
        <v>41075.64583</v>
      </c>
      <c r="C462" s="2">
        <f>IFERROR(__xludf.DUMMYFUNCTION("""COMPUTED_VALUE"""),1638.4)</f>
        <v>1638.4</v>
      </c>
    </row>
    <row r="463" ht="15.75" customHeight="1">
      <c r="B463" s="3">
        <f>IFERROR(__xludf.DUMMYFUNCTION("""COMPUTED_VALUE"""),41082.645833333336)</f>
        <v>41082.64583</v>
      </c>
      <c r="C463" s="2">
        <f>IFERROR(__xludf.DUMMYFUNCTION("""COMPUTED_VALUE"""),1603.9)</f>
        <v>1603.9</v>
      </c>
    </row>
    <row r="464" ht="15.75" customHeight="1">
      <c r="B464" s="3">
        <f>IFERROR(__xludf.DUMMYFUNCTION("""COMPUTED_VALUE"""),41089.645833333336)</f>
        <v>41089.64583</v>
      </c>
      <c r="C464" s="2">
        <f>IFERROR(__xludf.DUMMYFUNCTION("""COMPUTED_VALUE"""),1653.6)</f>
        <v>1653.6</v>
      </c>
    </row>
    <row r="465" ht="15.75" customHeight="1">
      <c r="B465" s="3">
        <f>IFERROR(__xludf.DUMMYFUNCTION("""COMPUTED_VALUE"""),41096.645833333336)</f>
        <v>41096.64583</v>
      </c>
      <c r="C465" s="2">
        <f>IFERROR(__xludf.DUMMYFUNCTION("""COMPUTED_VALUE"""),1683.4)</f>
        <v>1683.4</v>
      </c>
    </row>
    <row r="466" ht="15.75" customHeight="1">
      <c r="B466" s="3">
        <f>IFERROR(__xludf.DUMMYFUNCTION("""COMPUTED_VALUE"""),41103.645833333336)</f>
        <v>41103.64583</v>
      </c>
      <c r="C466" s="2">
        <f>IFERROR(__xludf.DUMMYFUNCTION("""COMPUTED_VALUE"""),1669.0)</f>
        <v>1669</v>
      </c>
    </row>
    <row r="467" ht="15.75" customHeight="1">
      <c r="B467" s="3">
        <f>IFERROR(__xludf.DUMMYFUNCTION("""COMPUTED_VALUE"""),41110.645833333336)</f>
        <v>41110.64583</v>
      </c>
      <c r="C467" s="2">
        <f>IFERROR(__xludf.DUMMYFUNCTION("""COMPUTED_VALUE"""),1719.8)</f>
        <v>1719.8</v>
      </c>
    </row>
    <row r="468" ht="15.75" customHeight="1">
      <c r="B468" s="3">
        <f>IFERROR(__xludf.DUMMYFUNCTION("""COMPUTED_VALUE"""),41117.645833333336)</f>
        <v>41117.64583</v>
      </c>
      <c r="C468" s="2">
        <f>IFERROR(__xludf.DUMMYFUNCTION("""COMPUTED_VALUE"""),1648.5)</f>
        <v>1648.5</v>
      </c>
    </row>
    <row r="469" ht="15.75" customHeight="1">
      <c r="B469" s="3">
        <f>IFERROR(__xludf.DUMMYFUNCTION("""COMPUTED_VALUE"""),41124.645833333336)</f>
        <v>41124.64583</v>
      </c>
      <c r="C469" s="2">
        <f>IFERROR(__xludf.DUMMYFUNCTION("""COMPUTED_VALUE"""),1678.0)</f>
        <v>1678</v>
      </c>
    </row>
    <row r="470" ht="15.75" customHeight="1">
      <c r="B470" s="3">
        <f>IFERROR(__xludf.DUMMYFUNCTION("""COMPUTED_VALUE"""),41131.645833333336)</f>
        <v>41131.64583</v>
      </c>
      <c r="C470" s="2">
        <f>IFERROR(__xludf.DUMMYFUNCTION("""COMPUTED_VALUE"""),1684.8)</f>
        <v>1684.8</v>
      </c>
    </row>
    <row r="471" ht="15.75" customHeight="1">
      <c r="B471" s="3">
        <f>IFERROR(__xludf.DUMMYFUNCTION("""COMPUTED_VALUE"""),41138.645833333336)</f>
        <v>41138.64583</v>
      </c>
      <c r="C471" s="2">
        <f>IFERROR(__xludf.DUMMYFUNCTION("""COMPUTED_VALUE"""),1680.0)</f>
        <v>1680</v>
      </c>
    </row>
    <row r="472" ht="15.75" customHeight="1">
      <c r="B472" s="3">
        <f>IFERROR(__xludf.DUMMYFUNCTION("""COMPUTED_VALUE"""),41145.645833333336)</f>
        <v>41145.64583</v>
      </c>
      <c r="C472" s="2">
        <f>IFERROR(__xludf.DUMMYFUNCTION("""COMPUTED_VALUE"""),1707.25)</f>
        <v>1707.25</v>
      </c>
    </row>
    <row r="473" ht="15.75" customHeight="1">
      <c r="B473" s="3">
        <f>IFERROR(__xludf.DUMMYFUNCTION("""COMPUTED_VALUE"""),41152.645833333336)</f>
        <v>41152.64583</v>
      </c>
      <c r="C473" s="2">
        <f>IFERROR(__xludf.DUMMYFUNCTION("""COMPUTED_VALUE"""),1708.0)</f>
        <v>1708</v>
      </c>
    </row>
    <row r="474" ht="15.75" customHeight="1">
      <c r="B474" s="3">
        <f>IFERROR(__xludf.DUMMYFUNCTION("""COMPUTED_VALUE"""),41166.645833333336)</f>
        <v>41166.64583</v>
      </c>
      <c r="C474" s="2">
        <f>IFERROR(__xludf.DUMMYFUNCTION("""COMPUTED_VALUE"""),1815.0)</f>
        <v>1815</v>
      </c>
    </row>
    <row r="475" ht="15.75" customHeight="1">
      <c r="B475" s="3">
        <f>IFERROR(__xludf.DUMMYFUNCTION("""COMPUTED_VALUE"""),41173.645833333336)</f>
        <v>41173.64583</v>
      </c>
      <c r="C475" s="2">
        <f>IFERROR(__xludf.DUMMYFUNCTION("""COMPUTED_VALUE"""),1759.0)</f>
        <v>1759</v>
      </c>
    </row>
    <row r="476" ht="15.75" customHeight="1">
      <c r="B476" s="3">
        <f>IFERROR(__xludf.DUMMYFUNCTION("""COMPUTED_VALUE"""),41180.645833333336)</f>
        <v>41180.64583</v>
      </c>
      <c r="C476" s="2">
        <f>IFERROR(__xludf.DUMMYFUNCTION("""COMPUTED_VALUE"""),1675.0)</f>
        <v>1675</v>
      </c>
    </row>
    <row r="477" ht="15.75" customHeight="1">
      <c r="B477" s="3">
        <f>IFERROR(__xludf.DUMMYFUNCTION("""COMPUTED_VALUE"""),41187.645833333336)</f>
        <v>41187.64583</v>
      </c>
      <c r="C477" s="2">
        <f>IFERROR(__xludf.DUMMYFUNCTION("""COMPUTED_VALUE"""),1733.05)</f>
        <v>1733.05</v>
      </c>
    </row>
    <row r="478" ht="15.75" customHeight="1">
      <c r="B478" s="3">
        <f>IFERROR(__xludf.DUMMYFUNCTION("""COMPUTED_VALUE"""),41194.645833333336)</f>
        <v>41194.64583</v>
      </c>
      <c r="C478" s="2">
        <f>IFERROR(__xludf.DUMMYFUNCTION("""COMPUTED_VALUE"""),1734.9)</f>
        <v>1734.9</v>
      </c>
    </row>
    <row r="479" ht="15.75" customHeight="1">
      <c r="B479" s="3">
        <f>IFERROR(__xludf.DUMMYFUNCTION("""COMPUTED_VALUE"""),41201.645833333336)</f>
        <v>41201.64583</v>
      </c>
      <c r="C479" s="2">
        <f>IFERROR(__xludf.DUMMYFUNCTION("""COMPUTED_VALUE"""),1718.0)</f>
        <v>1718</v>
      </c>
    </row>
    <row r="480" ht="15.75" customHeight="1">
      <c r="B480" s="3">
        <f>IFERROR(__xludf.DUMMYFUNCTION("""COMPUTED_VALUE"""),41208.645833333336)</f>
        <v>41208.64583</v>
      </c>
      <c r="C480" s="2">
        <f>IFERROR(__xludf.DUMMYFUNCTION("""COMPUTED_VALUE"""),1750.8)</f>
        <v>1750.8</v>
      </c>
    </row>
    <row r="481" ht="15.75" customHeight="1">
      <c r="B481" s="3">
        <f>IFERROR(__xludf.DUMMYFUNCTION("""COMPUTED_VALUE"""),41215.645833333336)</f>
        <v>41215.64583</v>
      </c>
      <c r="C481" s="2">
        <f>IFERROR(__xludf.DUMMYFUNCTION("""COMPUTED_VALUE"""),1782.5)</f>
        <v>1782.5</v>
      </c>
    </row>
    <row r="482" ht="15.75" customHeight="1">
      <c r="B482" s="3">
        <f>IFERROR(__xludf.DUMMYFUNCTION("""COMPUTED_VALUE"""),41222.645833333336)</f>
        <v>41222.64583</v>
      </c>
      <c r="C482" s="2">
        <f>IFERROR(__xludf.DUMMYFUNCTION("""COMPUTED_VALUE"""),1812.9)</f>
        <v>1812.9</v>
      </c>
    </row>
    <row r="483" ht="15.75" customHeight="1">
      <c r="B483" s="3">
        <f>IFERROR(__xludf.DUMMYFUNCTION("""COMPUTED_VALUE"""),41229.645833333336)</f>
        <v>41229.64583</v>
      </c>
      <c r="C483" s="2">
        <f>IFERROR(__xludf.DUMMYFUNCTION("""COMPUTED_VALUE"""),1788.0)</f>
        <v>1788</v>
      </c>
    </row>
    <row r="484" ht="15.75" customHeight="1">
      <c r="B484" s="3">
        <f>IFERROR(__xludf.DUMMYFUNCTION("""COMPUTED_VALUE"""),41236.645833333336)</f>
        <v>41236.64583</v>
      </c>
      <c r="C484" s="2">
        <f>IFERROR(__xludf.DUMMYFUNCTION("""COMPUTED_VALUE"""),1774.8)</f>
        <v>1774.8</v>
      </c>
    </row>
    <row r="485" ht="15.75" customHeight="1">
      <c r="B485" s="3">
        <f>IFERROR(__xludf.DUMMYFUNCTION("""COMPUTED_VALUE"""),41243.645833333336)</f>
        <v>41243.64583</v>
      </c>
      <c r="C485" s="2">
        <f>IFERROR(__xludf.DUMMYFUNCTION("""COMPUTED_VALUE"""),1830.0)</f>
        <v>1830</v>
      </c>
    </row>
    <row r="486" ht="15.75" customHeight="1">
      <c r="B486" s="3">
        <f>IFERROR(__xludf.DUMMYFUNCTION("""COMPUTED_VALUE"""),41250.645833333336)</f>
        <v>41250.64583</v>
      </c>
      <c r="C486" s="2">
        <f>IFERROR(__xludf.DUMMYFUNCTION("""COMPUTED_VALUE"""),1850.0)</f>
        <v>1850</v>
      </c>
    </row>
    <row r="487" ht="15.75" customHeight="1">
      <c r="B487" s="3">
        <f>IFERROR(__xludf.DUMMYFUNCTION("""COMPUTED_VALUE"""),41257.645833333336)</f>
        <v>41257.64583</v>
      </c>
      <c r="C487" s="2">
        <f>IFERROR(__xludf.DUMMYFUNCTION("""COMPUTED_VALUE"""),1915.5)</f>
        <v>1915.5</v>
      </c>
    </row>
    <row r="488" ht="15.75" customHeight="1">
      <c r="B488" s="3">
        <f>IFERROR(__xludf.DUMMYFUNCTION("""COMPUTED_VALUE"""),41264.645833333336)</f>
        <v>41264.64583</v>
      </c>
      <c r="C488" s="2">
        <f>IFERROR(__xludf.DUMMYFUNCTION("""COMPUTED_VALUE"""),1860.25)</f>
        <v>1860.25</v>
      </c>
    </row>
    <row r="489" ht="15.75" customHeight="1">
      <c r="B489" s="3">
        <f>IFERROR(__xludf.DUMMYFUNCTION("""COMPUTED_VALUE"""),41271.645833333336)</f>
        <v>41271.64583</v>
      </c>
      <c r="C489" s="2">
        <f>IFERROR(__xludf.DUMMYFUNCTION("""COMPUTED_VALUE"""),1854.4)</f>
        <v>1854.4</v>
      </c>
    </row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IFERROR(__xludf.DUMMYFUNCTION("GOOGLEFINANCE(""NSE:DRREDDY"", ""high"",DATE(2013,1,1),DATE(2014,1,1),""weekly"")"),"Date")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IFERROR(__xludf.DUMMYFUNCTION("""COMPUTED_VALUE"""),41278.645833333336)</f>
        <v>41278.64583</v>
      </c>
      <c r="C497" s="2">
        <f>IFERROR(__xludf.DUMMYFUNCTION("""COMPUTED_VALUE"""),1895.0)</f>
        <v>1895</v>
      </c>
    </row>
    <row r="498" ht="15.75" customHeight="1">
      <c r="B498" s="3">
        <f>IFERROR(__xludf.DUMMYFUNCTION("""COMPUTED_VALUE"""),41285.645833333336)</f>
        <v>41285.64583</v>
      </c>
      <c r="C498" s="2">
        <f>IFERROR(__xludf.DUMMYFUNCTION("""COMPUTED_VALUE"""),1927.0)</f>
        <v>1927</v>
      </c>
    </row>
    <row r="499" ht="15.75" customHeight="1">
      <c r="B499" s="3">
        <f>IFERROR(__xludf.DUMMYFUNCTION("""COMPUTED_VALUE"""),41292.645833333336)</f>
        <v>41292.64583</v>
      </c>
      <c r="C499" s="2">
        <f>IFERROR(__xludf.DUMMYFUNCTION("""COMPUTED_VALUE"""),1954.1)</f>
        <v>1954.1</v>
      </c>
    </row>
    <row r="500" ht="15.75" customHeight="1">
      <c r="B500" s="3">
        <f>IFERROR(__xludf.DUMMYFUNCTION("""COMPUTED_VALUE"""),41299.645833333336)</f>
        <v>41299.64583</v>
      </c>
      <c r="C500" s="2">
        <f>IFERROR(__xludf.DUMMYFUNCTION("""COMPUTED_VALUE"""),1970.0)</f>
        <v>1970</v>
      </c>
    </row>
    <row r="501" ht="15.75" customHeight="1">
      <c r="B501" s="3">
        <f>IFERROR(__xludf.DUMMYFUNCTION("""COMPUTED_VALUE"""),41306.645833333336)</f>
        <v>41306.64583</v>
      </c>
      <c r="C501" s="2">
        <f>IFERROR(__xludf.DUMMYFUNCTION("""COMPUTED_VALUE"""),1959.0)</f>
        <v>1959</v>
      </c>
    </row>
    <row r="502" ht="15.75" customHeight="1">
      <c r="B502" s="3">
        <f>IFERROR(__xludf.DUMMYFUNCTION("""COMPUTED_VALUE"""),41313.645833333336)</f>
        <v>41313.64583</v>
      </c>
      <c r="C502" s="2">
        <f>IFERROR(__xludf.DUMMYFUNCTION("""COMPUTED_VALUE"""),1961.0)</f>
        <v>1961</v>
      </c>
    </row>
    <row r="503" ht="15.75" customHeight="1">
      <c r="B503" s="3">
        <f>IFERROR(__xludf.DUMMYFUNCTION("""COMPUTED_VALUE"""),41320.645833333336)</f>
        <v>41320.64583</v>
      </c>
      <c r="C503" s="2">
        <f>IFERROR(__xludf.DUMMYFUNCTION("""COMPUTED_VALUE"""),1921.2)</f>
        <v>1921.2</v>
      </c>
    </row>
    <row r="504" ht="15.75" customHeight="1">
      <c r="B504" s="3">
        <f>IFERROR(__xludf.DUMMYFUNCTION("""COMPUTED_VALUE"""),41327.645833333336)</f>
        <v>41327.64583</v>
      </c>
      <c r="C504" s="2">
        <f>IFERROR(__xludf.DUMMYFUNCTION("""COMPUTED_VALUE"""),1836.9)</f>
        <v>1836.9</v>
      </c>
    </row>
    <row r="505" ht="15.75" customHeight="1">
      <c r="B505" s="3">
        <f>IFERROR(__xludf.DUMMYFUNCTION("""COMPUTED_VALUE"""),41334.645833333336)</f>
        <v>41334.64583</v>
      </c>
      <c r="C505" s="2">
        <f>IFERROR(__xludf.DUMMYFUNCTION("""COMPUTED_VALUE"""),1814.0)</f>
        <v>1814</v>
      </c>
    </row>
    <row r="506" ht="15.75" customHeight="1">
      <c r="B506" s="3">
        <f>IFERROR(__xludf.DUMMYFUNCTION("""COMPUTED_VALUE"""),41341.645833333336)</f>
        <v>41341.64583</v>
      </c>
      <c r="C506" s="2">
        <f>IFERROR(__xludf.DUMMYFUNCTION("""COMPUTED_VALUE"""),1829.4)</f>
        <v>1829.4</v>
      </c>
    </row>
    <row r="507" ht="15.75" customHeight="1">
      <c r="B507" s="3">
        <f>IFERROR(__xludf.DUMMYFUNCTION("""COMPUTED_VALUE"""),41348.645833333336)</f>
        <v>41348.64583</v>
      </c>
      <c r="C507" s="2">
        <f>IFERROR(__xludf.DUMMYFUNCTION("""COMPUTED_VALUE"""),1834.0)</f>
        <v>1834</v>
      </c>
    </row>
    <row r="508" ht="15.75" customHeight="1">
      <c r="B508" s="3">
        <f>IFERROR(__xludf.DUMMYFUNCTION("""COMPUTED_VALUE"""),41355.645833333336)</f>
        <v>41355.64583</v>
      </c>
      <c r="C508" s="2">
        <f>IFERROR(__xludf.DUMMYFUNCTION("""COMPUTED_VALUE"""),1822.75)</f>
        <v>1822.75</v>
      </c>
    </row>
    <row r="509" ht="15.75" customHeight="1">
      <c r="B509" s="3">
        <f>IFERROR(__xludf.DUMMYFUNCTION("""COMPUTED_VALUE"""),41361.645833333336)</f>
        <v>41361.64583</v>
      </c>
      <c r="C509" s="2">
        <f>IFERROR(__xludf.DUMMYFUNCTION("""COMPUTED_VALUE"""),1796.0)</f>
        <v>1796</v>
      </c>
    </row>
    <row r="510" ht="15.75" customHeight="1">
      <c r="B510" s="3">
        <f>IFERROR(__xludf.DUMMYFUNCTION("""COMPUTED_VALUE"""),41369.645833333336)</f>
        <v>41369.64583</v>
      </c>
      <c r="C510" s="2">
        <f>IFERROR(__xludf.DUMMYFUNCTION("""COMPUTED_VALUE"""),1930.0)</f>
        <v>1930</v>
      </c>
    </row>
    <row r="511" ht="15.75" customHeight="1">
      <c r="B511" s="3">
        <f>IFERROR(__xludf.DUMMYFUNCTION("""COMPUTED_VALUE"""),41376.645833333336)</f>
        <v>41376.64583</v>
      </c>
      <c r="C511" s="2">
        <f>IFERROR(__xludf.DUMMYFUNCTION("""COMPUTED_VALUE"""),1949.0)</f>
        <v>1949</v>
      </c>
    </row>
    <row r="512" ht="15.75" customHeight="1">
      <c r="B512" s="3">
        <f>IFERROR(__xludf.DUMMYFUNCTION("""COMPUTED_VALUE"""),41382.645833333336)</f>
        <v>41382.64583</v>
      </c>
      <c r="C512" s="2">
        <f>IFERROR(__xludf.DUMMYFUNCTION("""COMPUTED_VALUE"""),1936.45)</f>
        <v>1936.45</v>
      </c>
    </row>
    <row r="513" ht="15.75" customHeight="1">
      <c r="B513" s="3">
        <f>IFERROR(__xludf.DUMMYFUNCTION("""COMPUTED_VALUE"""),41390.645833333336)</f>
        <v>41390.64583</v>
      </c>
      <c r="C513" s="2">
        <f>IFERROR(__xludf.DUMMYFUNCTION("""COMPUTED_VALUE"""),2010.0)</f>
        <v>2010</v>
      </c>
    </row>
    <row r="514" ht="15.75" customHeight="1">
      <c r="B514" s="3">
        <f>IFERROR(__xludf.DUMMYFUNCTION("""COMPUTED_VALUE"""),41397.645833333336)</f>
        <v>41397.64583</v>
      </c>
      <c r="C514" s="2">
        <f>IFERROR(__xludf.DUMMYFUNCTION("""COMPUTED_VALUE"""),2038.65)</f>
        <v>2038.65</v>
      </c>
    </row>
    <row r="515" ht="15.75" customHeight="1">
      <c r="B515" s="3">
        <f>IFERROR(__xludf.DUMMYFUNCTION("""COMPUTED_VALUE"""),41411.645833333336)</f>
        <v>41411.64583</v>
      </c>
      <c r="C515" s="2">
        <f>IFERROR(__xludf.DUMMYFUNCTION("""COMPUTED_VALUE"""),2152.0)</f>
        <v>2152</v>
      </c>
    </row>
    <row r="516" ht="15.75" customHeight="1">
      <c r="B516" s="3">
        <f>IFERROR(__xludf.DUMMYFUNCTION("""COMPUTED_VALUE"""),41418.645833333336)</f>
        <v>41418.64583</v>
      </c>
      <c r="C516" s="2">
        <f>IFERROR(__xludf.DUMMYFUNCTION("""COMPUTED_VALUE"""),2103.1)</f>
        <v>2103.1</v>
      </c>
    </row>
    <row r="517" ht="15.75" customHeight="1">
      <c r="B517" s="3">
        <f>IFERROR(__xludf.DUMMYFUNCTION("""COMPUTED_VALUE"""),41425.645833333336)</f>
        <v>41425.64583</v>
      </c>
      <c r="C517" s="2">
        <f>IFERROR(__xludf.DUMMYFUNCTION("""COMPUTED_VALUE"""),2142.5)</f>
        <v>2142.5</v>
      </c>
    </row>
    <row r="518" ht="15.75" customHeight="1">
      <c r="B518" s="3">
        <f>IFERROR(__xludf.DUMMYFUNCTION("""COMPUTED_VALUE"""),41432.645833333336)</f>
        <v>41432.64583</v>
      </c>
      <c r="C518" s="2">
        <f>IFERROR(__xludf.DUMMYFUNCTION("""COMPUTED_VALUE"""),2199.0)</f>
        <v>2199</v>
      </c>
    </row>
    <row r="519" ht="15.75" customHeight="1">
      <c r="B519" s="3">
        <f>IFERROR(__xludf.DUMMYFUNCTION("""COMPUTED_VALUE"""),41439.645833333336)</f>
        <v>41439.64583</v>
      </c>
      <c r="C519" s="2">
        <f>IFERROR(__xludf.DUMMYFUNCTION("""COMPUTED_VALUE"""),2207.15)</f>
        <v>2207.15</v>
      </c>
    </row>
    <row r="520" ht="15.75" customHeight="1">
      <c r="B520" s="3">
        <f>IFERROR(__xludf.DUMMYFUNCTION("""COMPUTED_VALUE"""),41446.645833333336)</f>
        <v>41446.64583</v>
      </c>
      <c r="C520" s="2">
        <f>IFERROR(__xludf.DUMMYFUNCTION("""COMPUTED_VALUE"""),2204.9)</f>
        <v>2204.9</v>
      </c>
    </row>
    <row r="521" ht="15.75" customHeight="1">
      <c r="B521" s="3">
        <f>IFERROR(__xludf.DUMMYFUNCTION("""COMPUTED_VALUE"""),41453.645833333336)</f>
        <v>41453.64583</v>
      </c>
      <c r="C521" s="2">
        <f>IFERROR(__xludf.DUMMYFUNCTION("""COMPUTED_VALUE"""),2233.9)</f>
        <v>2233.9</v>
      </c>
    </row>
    <row r="522" ht="15.75" customHeight="1">
      <c r="B522" s="3">
        <f>IFERROR(__xludf.DUMMYFUNCTION("""COMPUTED_VALUE"""),41460.645833333336)</f>
        <v>41460.64583</v>
      </c>
      <c r="C522" s="2">
        <f>IFERROR(__xludf.DUMMYFUNCTION("""COMPUTED_VALUE"""),2288.55)</f>
        <v>2288.55</v>
      </c>
    </row>
    <row r="523" ht="15.75" customHeight="1">
      <c r="B523" s="3">
        <f>IFERROR(__xludf.DUMMYFUNCTION("""COMPUTED_VALUE"""),41467.645833333336)</f>
        <v>41467.64583</v>
      </c>
      <c r="C523" s="2">
        <f>IFERROR(__xludf.DUMMYFUNCTION("""COMPUTED_VALUE"""),2358.7)</f>
        <v>2358.7</v>
      </c>
    </row>
    <row r="524" ht="15.75" customHeight="1">
      <c r="B524" s="3">
        <f>IFERROR(__xludf.DUMMYFUNCTION("""COMPUTED_VALUE"""),41474.645833333336)</f>
        <v>41474.64583</v>
      </c>
      <c r="C524" s="2">
        <f>IFERROR(__xludf.DUMMYFUNCTION("""COMPUTED_VALUE"""),2404.8)</f>
        <v>2404.8</v>
      </c>
    </row>
    <row r="525" ht="15.75" customHeight="1">
      <c r="B525" s="3">
        <f>IFERROR(__xludf.DUMMYFUNCTION("""COMPUTED_VALUE"""),41481.645833333336)</f>
        <v>41481.64583</v>
      </c>
      <c r="C525" s="2">
        <f>IFERROR(__xludf.DUMMYFUNCTION("""COMPUTED_VALUE"""),2393.95)</f>
        <v>2393.95</v>
      </c>
    </row>
    <row r="526" ht="15.75" customHeight="1">
      <c r="B526" s="3">
        <f>IFERROR(__xludf.DUMMYFUNCTION("""COMPUTED_VALUE"""),41488.645833333336)</f>
        <v>41488.64583</v>
      </c>
      <c r="C526" s="2">
        <f>IFERROR(__xludf.DUMMYFUNCTION("""COMPUTED_VALUE"""),2329.0)</f>
        <v>2329</v>
      </c>
    </row>
    <row r="527" ht="15.75" customHeight="1">
      <c r="B527" s="3">
        <f>IFERROR(__xludf.DUMMYFUNCTION("""COMPUTED_VALUE"""),41494.645833333336)</f>
        <v>41494.64583</v>
      </c>
      <c r="C527" s="2">
        <f>IFERROR(__xludf.DUMMYFUNCTION("""COMPUTED_VALUE"""),2264.0)</f>
        <v>2264</v>
      </c>
    </row>
    <row r="528" ht="15.75" customHeight="1">
      <c r="B528" s="3">
        <f>IFERROR(__xludf.DUMMYFUNCTION("""COMPUTED_VALUE"""),41502.645833333336)</f>
        <v>41502.64583</v>
      </c>
      <c r="C528" s="2">
        <f>IFERROR(__xludf.DUMMYFUNCTION("""COMPUTED_VALUE"""),2246.0)</f>
        <v>2246</v>
      </c>
    </row>
    <row r="529" ht="15.75" customHeight="1">
      <c r="B529" s="3">
        <f>IFERROR(__xludf.DUMMYFUNCTION("""COMPUTED_VALUE"""),41509.645833333336)</f>
        <v>41509.64583</v>
      </c>
      <c r="C529" s="2">
        <f>IFERROR(__xludf.DUMMYFUNCTION("""COMPUTED_VALUE"""),2187.9)</f>
        <v>2187.9</v>
      </c>
    </row>
    <row r="530" ht="15.75" customHeight="1">
      <c r="B530" s="3">
        <f>IFERROR(__xludf.DUMMYFUNCTION("""COMPUTED_VALUE"""),41516.645833333336)</f>
        <v>41516.64583</v>
      </c>
      <c r="C530" s="2">
        <f>IFERROR(__xludf.DUMMYFUNCTION("""COMPUTED_VALUE"""),2367.0)</f>
        <v>2367</v>
      </c>
    </row>
    <row r="531" ht="15.75" customHeight="1">
      <c r="B531" s="3">
        <f>IFERROR(__xludf.DUMMYFUNCTION("""COMPUTED_VALUE"""),41523.645833333336)</f>
        <v>41523.64583</v>
      </c>
      <c r="C531" s="2">
        <f>IFERROR(__xludf.DUMMYFUNCTION("""COMPUTED_VALUE"""),2345.0)</f>
        <v>2345</v>
      </c>
    </row>
    <row r="532" ht="15.75" customHeight="1">
      <c r="B532" s="3">
        <f>IFERROR(__xludf.DUMMYFUNCTION("""COMPUTED_VALUE"""),41530.645833333336)</f>
        <v>41530.64583</v>
      </c>
      <c r="C532" s="2">
        <f>IFERROR(__xludf.DUMMYFUNCTION("""COMPUTED_VALUE"""),2306.85)</f>
        <v>2306.85</v>
      </c>
    </row>
    <row r="533" ht="15.75" customHeight="1">
      <c r="B533" s="3">
        <f>IFERROR(__xludf.DUMMYFUNCTION("""COMPUTED_VALUE"""),41537.645833333336)</f>
        <v>41537.64583</v>
      </c>
      <c r="C533" s="2">
        <f>IFERROR(__xludf.DUMMYFUNCTION("""COMPUTED_VALUE"""),2405.0)</f>
        <v>2405</v>
      </c>
    </row>
    <row r="534" ht="15.75" customHeight="1">
      <c r="B534" s="3">
        <f>IFERROR(__xludf.DUMMYFUNCTION("""COMPUTED_VALUE"""),41544.645833333336)</f>
        <v>41544.64583</v>
      </c>
      <c r="C534" s="2">
        <f>IFERROR(__xludf.DUMMYFUNCTION("""COMPUTED_VALUE"""),2474.4)</f>
        <v>2474.4</v>
      </c>
    </row>
    <row r="535" ht="15.75" customHeight="1">
      <c r="B535" s="3">
        <f>IFERROR(__xludf.DUMMYFUNCTION("""COMPUTED_VALUE"""),41551.645833333336)</f>
        <v>41551.64583</v>
      </c>
      <c r="C535" s="2">
        <f>IFERROR(__xludf.DUMMYFUNCTION("""COMPUTED_VALUE"""),2449.9)</f>
        <v>2449.9</v>
      </c>
    </row>
    <row r="536" ht="15.75" customHeight="1">
      <c r="B536" s="3">
        <f>IFERROR(__xludf.DUMMYFUNCTION("""COMPUTED_VALUE"""),41558.645833333336)</f>
        <v>41558.64583</v>
      </c>
      <c r="C536" s="2">
        <f>IFERROR(__xludf.DUMMYFUNCTION("""COMPUTED_VALUE"""),2435.25)</f>
        <v>2435.25</v>
      </c>
    </row>
    <row r="537" ht="15.75" customHeight="1">
      <c r="B537" s="3">
        <f>IFERROR(__xludf.DUMMYFUNCTION("""COMPUTED_VALUE"""),41565.645833333336)</f>
        <v>41565.64583</v>
      </c>
      <c r="C537" s="2">
        <f>IFERROR(__xludf.DUMMYFUNCTION("""COMPUTED_VALUE"""),2473.0)</f>
        <v>2473</v>
      </c>
    </row>
    <row r="538" ht="15.75" customHeight="1">
      <c r="B538" s="3">
        <f>IFERROR(__xludf.DUMMYFUNCTION("""COMPUTED_VALUE"""),41572.645833333336)</f>
        <v>41572.64583</v>
      </c>
      <c r="C538" s="2">
        <f>IFERROR(__xludf.DUMMYFUNCTION("""COMPUTED_VALUE"""),2484.0)</f>
        <v>2484</v>
      </c>
    </row>
    <row r="539" ht="15.75" customHeight="1">
      <c r="B539" s="3">
        <f>IFERROR(__xludf.DUMMYFUNCTION("""COMPUTED_VALUE"""),41579.645833333336)</f>
        <v>41579.64583</v>
      </c>
      <c r="C539" s="2">
        <f>IFERROR(__xludf.DUMMYFUNCTION("""COMPUTED_VALUE"""),2545.15)</f>
        <v>2545.15</v>
      </c>
    </row>
    <row r="540" ht="15.75" customHeight="1">
      <c r="B540" s="3">
        <f>IFERROR(__xludf.DUMMYFUNCTION("""COMPUTED_VALUE"""),41586.645833333336)</f>
        <v>41586.64583</v>
      </c>
      <c r="C540" s="2">
        <f>IFERROR(__xludf.DUMMYFUNCTION("""COMPUTED_VALUE"""),2492.5)</f>
        <v>2492.5</v>
      </c>
    </row>
    <row r="541" ht="15.75" customHeight="1">
      <c r="B541" s="3">
        <f>IFERROR(__xludf.DUMMYFUNCTION("""COMPUTED_VALUE"""),41592.645833333336)</f>
        <v>41592.64583</v>
      </c>
      <c r="C541" s="2">
        <f>IFERROR(__xludf.DUMMYFUNCTION("""COMPUTED_VALUE"""),2490.0)</f>
        <v>2490</v>
      </c>
    </row>
    <row r="542" ht="15.75" customHeight="1">
      <c r="B542" s="3">
        <f>IFERROR(__xludf.DUMMYFUNCTION("""COMPUTED_VALUE"""),41600.645833333336)</f>
        <v>41600.64583</v>
      </c>
      <c r="C542" s="2">
        <f>IFERROR(__xludf.DUMMYFUNCTION("""COMPUTED_VALUE"""),2487.15)</f>
        <v>2487.15</v>
      </c>
    </row>
    <row r="543" ht="15.75" customHeight="1">
      <c r="B543" s="3">
        <f>IFERROR(__xludf.DUMMYFUNCTION("""COMPUTED_VALUE"""),41607.645833333336)</f>
        <v>41607.64583</v>
      </c>
      <c r="C543" s="2">
        <f>IFERROR(__xludf.DUMMYFUNCTION("""COMPUTED_VALUE"""),2500.0)</f>
        <v>2500</v>
      </c>
    </row>
    <row r="544" ht="15.75" customHeight="1">
      <c r="B544" s="3">
        <f>IFERROR(__xludf.DUMMYFUNCTION("""COMPUTED_VALUE"""),41614.645833333336)</f>
        <v>41614.64583</v>
      </c>
      <c r="C544" s="2">
        <f>IFERROR(__xludf.DUMMYFUNCTION("""COMPUTED_VALUE"""),2506.4)</f>
        <v>2506.4</v>
      </c>
    </row>
    <row r="545" ht="15.75" customHeight="1">
      <c r="B545" s="3">
        <f>IFERROR(__xludf.DUMMYFUNCTION("""COMPUTED_VALUE"""),41621.645833333336)</f>
        <v>41621.64583</v>
      </c>
      <c r="C545" s="2">
        <f>IFERROR(__xludf.DUMMYFUNCTION("""COMPUTED_VALUE"""),2468.9)</f>
        <v>2468.9</v>
      </c>
    </row>
    <row r="546" ht="15.75" customHeight="1">
      <c r="B546" s="3">
        <f>IFERROR(__xludf.DUMMYFUNCTION("""COMPUTED_VALUE"""),41628.645833333336)</f>
        <v>41628.64583</v>
      </c>
      <c r="C546" s="2">
        <f>IFERROR(__xludf.DUMMYFUNCTION("""COMPUTED_VALUE"""),2517.05)</f>
        <v>2517.05</v>
      </c>
    </row>
    <row r="547" ht="15.75" customHeight="1">
      <c r="B547" s="3">
        <f>IFERROR(__xludf.DUMMYFUNCTION("""COMPUTED_VALUE"""),41635.645833333336)</f>
        <v>41635.64583</v>
      </c>
      <c r="C547" s="2">
        <f>IFERROR(__xludf.DUMMYFUNCTION("""COMPUTED_VALUE"""),2557.55)</f>
        <v>2557.55</v>
      </c>
    </row>
    <row r="548" ht="15.75" customHeight="1"/>
    <row r="549" ht="15.75" customHeight="1"/>
    <row r="550" ht="15.75" customHeight="1"/>
    <row r="551" ht="15.75" customHeight="1">
      <c r="B551" s="2" t="str">
        <f>IFERROR(__xludf.DUMMYFUNCTION("GOOGLEFINANCE(""NSE:DRREDDY"", ""high"",DATE(2014,1,1),DATE(2015,1,1),""weekly"")"),"Date")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IFERROR(__xludf.DUMMYFUNCTION("""COMPUTED_VALUE"""),41642.645833333336)</f>
        <v>41642.64583</v>
      </c>
      <c r="C552" s="2">
        <f>IFERROR(__xludf.DUMMYFUNCTION("""COMPUTED_VALUE"""),2550.0)</f>
        <v>2550</v>
      </c>
    </row>
    <row r="553" ht="15.75" customHeight="1">
      <c r="B553" s="3">
        <f>IFERROR(__xludf.DUMMYFUNCTION("""COMPUTED_VALUE"""),41649.645833333336)</f>
        <v>41649.64583</v>
      </c>
      <c r="C553" s="2">
        <f>IFERROR(__xludf.DUMMYFUNCTION("""COMPUTED_VALUE"""),2631.0)</f>
        <v>2631</v>
      </c>
    </row>
    <row r="554" ht="15.75" customHeight="1">
      <c r="B554" s="3">
        <f>IFERROR(__xludf.DUMMYFUNCTION("""COMPUTED_VALUE"""),41656.645833333336)</f>
        <v>41656.64583</v>
      </c>
      <c r="C554" s="2">
        <f>IFERROR(__xludf.DUMMYFUNCTION("""COMPUTED_VALUE"""),2665.7)</f>
        <v>2665.7</v>
      </c>
    </row>
    <row r="555" ht="15.75" customHeight="1">
      <c r="B555" s="3">
        <f>IFERROR(__xludf.DUMMYFUNCTION("""COMPUTED_VALUE"""),41663.645833333336)</f>
        <v>41663.64583</v>
      </c>
      <c r="C555" s="2">
        <f>IFERROR(__xludf.DUMMYFUNCTION("""COMPUTED_VALUE"""),2691.95)</f>
        <v>2691.95</v>
      </c>
    </row>
    <row r="556" ht="15.75" customHeight="1">
      <c r="B556" s="3">
        <f>IFERROR(__xludf.DUMMYFUNCTION("""COMPUTED_VALUE"""),41670.645833333336)</f>
        <v>41670.64583</v>
      </c>
      <c r="C556" s="2">
        <f>IFERROR(__xludf.DUMMYFUNCTION("""COMPUTED_VALUE"""),2686.8)</f>
        <v>2686.8</v>
      </c>
    </row>
    <row r="557" ht="15.75" customHeight="1">
      <c r="B557" s="3">
        <f>IFERROR(__xludf.DUMMYFUNCTION("""COMPUTED_VALUE"""),41677.645833333336)</f>
        <v>41677.64583</v>
      </c>
      <c r="C557" s="2">
        <f>IFERROR(__xludf.DUMMYFUNCTION("""COMPUTED_VALUE"""),2673.6)</f>
        <v>2673.6</v>
      </c>
    </row>
    <row r="558" ht="15.75" customHeight="1">
      <c r="B558" s="3">
        <f>IFERROR(__xludf.DUMMYFUNCTION("""COMPUTED_VALUE"""),41684.645833333336)</f>
        <v>41684.64583</v>
      </c>
      <c r="C558" s="2">
        <f>IFERROR(__xludf.DUMMYFUNCTION("""COMPUTED_VALUE"""),2699.0)</f>
        <v>2699</v>
      </c>
    </row>
    <row r="559" ht="15.75" customHeight="1">
      <c r="B559" s="3">
        <f>IFERROR(__xludf.DUMMYFUNCTION("""COMPUTED_VALUE"""),41691.645833333336)</f>
        <v>41691.64583</v>
      </c>
      <c r="C559" s="2">
        <f>IFERROR(__xludf.DUMMYFUNCTION("""COMPUTED_VALUE"""),2748.0)</f>
        <v>2748</v>
      </c>
    </row>
    <row r="560" ht="15.75" customHeight="1">
      <c r="B560" s="3">
        <f>IFERROR(__xludf.DUMMYFUNCTION("""COMPUTED_VALUE"""),41698.645833333336)</f>
        <v>41698.64583</v>
      </c>
      <c r="C560" s="2">
        <f>IFERROR(__xludf.DUMMYFUNCTION("""COMPUTED_VALUE"""),2939.4)</f>
        <v>2939.4</v>
      </c>
    </row>
    <row r="561" ht="15.75" customHeight="1">
      <c r="B561" s="3">
        <f>IFERROR(__xludf.DUMMYFUNCTION("""COMPUTED_VALUE"""),41705.645833333336)</f>
        <v>41705.64583</v>
      </c>
      <c r="C561" s="2">
        <f>IFERROR(__xludf.DUMMYFUNCTION("""COMPUTED_VALUE"""),2878.0)</f>
        <v>2878</v>
      </c>
    </row>
    <row r="562" ht="15.75" customHeight="1">
      <c r="B562" s="3">
        <f>IFERROR(__xludf.DUMMYFUNCTION("""COMPUTED_VALUE"""),41712.645833333336)</f>
        <v>41712.64583</v>
      </c>
      <c r="C562" s="2">
        <f>IFERROR(__xludf.DUMMYFUNCTION("""COMPUTED_VALUE"""),2795.8)</f>
        <v>2795.8</v>
      </c>
    </row>
    <row r="563" ht="15.75" customHeight="1">
      <c r="B563" s="3">
        <f>IFERROR(__xludf.DUMMYFUNCTION("""COMPUTED_VALUE"""),41726.645833333336)</f>
        <v>41726.64583</v>
      </c>
      <c r="C563" s="2">
        <f>IFERROR(__xludf.DUMMYFUNCTION("""COMPUTED_VALUE"""),2785.0)</f>
        <v>2785</v>
      </c>
    </row>
    <row r="564" ht="15.75" customHeight="1">
      <c r="B564" s="3">
        <f>IFERROR(__xludf.DUMMYFUNCTION("""COMPUTED_VALUE"""),41733.645833333336)</f>
        <v>41733.64583</v>
      </c>
      <c r="C564" s="2">
        <f>IFERROR(__xludf.DUMMYFUNCTION("""COMPUTED_VALUE"""),2680.0)</f>
        <v>2680</v>
      </c>
    </row>
    <row r="565" ht="15.75" customHeight="1">
      <c r="B565" s="3">
        <f>IFERROR(__xludf.DUMMYFUNCTION("""COMPUTED_VALUE"""),41740.645833333336)</f>
        <v>41740.64583</v>
      </c>
      <c r="C565" s="2">
        <f>IFERROR(__xludf.DUMMYFUNCTION("""COMPUTED_VALUE"""),2644.0)</f>
        <v>2644</v>
      </c>
    </row>
    <row r="566" ht="15.75" customHeight="1">
      <c r="B566" s="3">
        <f>IFERROR(__xludf.DUMMYFUNCTION("""COMPUTED_VALUE"""),41746.645833333336)</f>
        <v>41746.64583</v>
      </c>
      <c r="C566" s="2">
        <f>IFERROR(__xludf.DUMMYFUNCTION("""COMPUTED_VALUE"""),2608.5)</f>
        <v>2608.5</v>
      </c>
    </row>
    <row r="567" ht="15.75" customHeight="1">
      <c r="B567" s="3">
        <f>IFERROR(__xludf.DUMMYFUNCTION("""COMPUTED_VALUE"""),41754.645833333336)</f>
        <v>41754.64583</v>
      </c>
      <c r="C567" s="2">
        <f>IFERROR(__xludf.DUMMYFUNCTION("""COMPUTED_VALUE"""),2638.8)</f>
        <v>2638.8</v>
      </c>
    </row>
    <row r="568" ht="15.75" customHeight="1">
      <c r="B568" s="3">
        <f>IFERROR(__xludf.DUMMYFUNCTION("""COMPUTED_VALUE"""),41761.645833333336)</f>
        <v>41761.64583</v>
      </c>
      <c r="C568" s="2">
        <f>IFERROR(__xludf.DUMMYFUNCTION("""COMPUTED_VALUE"""),2781.75)</f>
        <v>2781.75</v>
      </c>
    </row>
    <row r="569" ht="15.75" customHeight="1">
      <c r="B569" s="3">
        <f>IFERROR(__xludf.DUMMYFUNCTION("""COMPUTED_VALUE"""),41768.645833333336)</f>
        <v>41768.64583</v>
      </c>
      <c r="C569" s="2">
        <f>IFERROR(__xludf.DUMMYFUNCTION("""COMPUTED_VALUE"""),2755.0)</f>
        <v>2755</v>
      </c>
    </row>
    <row r="570" ht="15.75" customHeight="1">
      <c r="B570" s="3">
        <f>IFERROR(__xludf.DUMMYFUNCTION("""COMPUTED_VALUE"""),41775.645833333336)</f>
        <v>41775.64583</v>
      </c>
      <c r="C570" s="2">
        <f>IFERROR(__xludf.DUMMYFUNCTION("""COMPUTED_VALUE"""),2742.0)</f>
        <v>2742</v>
      </c>
    </row>
    <row r="571" ht="15.75" customHeight="1">
      <c r="B571" s="3">
        <f>IFERROR(__xludf.DUMMYFUNCTION("""COMPUTED_VALUE"""),41782.645833333336)</f>
        <v>41782.64583</v>
      </c>
      <c r="C571" s="2">
        <f>IFERROR(__xludf.DUMMYFUNCTION("""COMPUTED_VALUE"""),2421.0)</f>
        <v>2421</v>
      </c>
    </row>
    <row r="572" ht="15.75" customHeight="1">
      <c r="B572" s="3">
        <f>IFERROR(__xludf.DUMMYFUNCTION("""COMPUTED_VALUE"""),41789.645833333336)</f>
        <v>41789.64583</v>
      </c>
      <c r="C572" s="2">
        <f>IFERROR(__xludf.DUMMYFUNCTION("""COMPUTED_VALUE"""),2484.4)</f>
        <v>2484.4</v>
      </c>
    </row>
    <row r="573" ht="15.75" customHeight="1">
      <c r="B573" s="3">
        <f>IFERROR(__xludf.DUMMYFUNCTION("""COMPUTED_VALUE"""),41796.645833333336)</f>
        <v>41796.64583</v>
      </c>
      <c r="C573" s="2">
        <f>IFERROR(__xludf.DUMMYFUNCTION("""COMPUTED_VALUE"""),2471.85)</f>
        <v>2471.85</v>
      </c>
    </row>
    <row r="574" ht="15.75" customHeight="1">
      <c r="B574" s="3">
        <f>IFERROR(__xludf.DUMMYFUNCTION("""COMPUTED_VALUE"""),41803.645833333336)</f>
        <v>41803.64583</v>
      </c>
      <c r="C574" s="2">
        <f>IFERROR(__xludf.DUMMYFUNCTION("""COMPUTED_VALUE"""),2455.5)</f>
        <v>2455.5</v>
      </c>
    </row>
    <row r="575" ht="15.75" customHeight="1">
      <c r="B575" s="3">
        <f>IFERROR(__xludf.DUMMYFUNCTION("""COMPUTED_VALUE"""),41810.645833333336)</f>
        <v>41810.64583</v>
      </c>
      <c r="C575" s="2">
        <f>IFERROR(__xludf.DUMMYFUNCTION("""COMPUTED_VALUE"""),2474.0)</f>
        <v>2474</v>
      </c>
    </row>
    <row r="576" ht="15.75" customHeight="1">
      <c r="B576" s="3">
        <f>IFERROR(__xludf.DUMMYFUNCTION("""COMPUTED_VALUE"""),41817.645833333336)</f>
        <v>41817.64583</v>
      </c>
      <c r="C576" s="2">
        <f>IFERROR(__xludf.DUMMYFUNCTION("""COMPUTED_VALUE"""),2575.65)</f>
        <v>2575.65</v>
      </c>
    </row>
    <row r="577" ht="15.75" customHeight="1">
      <c r="B577" s="3">
        <f>IFERROR(__xludf.DUMMYFUNCTION("""COMPUTED_VALUE"""),41824.645833333336)</f>
        <v>41824.64583</v>
      </c>
      <c r="C577" s="2">
        <f>IFERROR(__xludf.DUMMYFUNCTION("""COMPUTED_VALUE"""),2695.0)</f>
        <v>2695</v>
      </c>
    </row>
    <row r="578" ht="15.75" customHeight="1">
      <c r="B578" s="3">
        <f>IFERROR(__xludf.DUMMYFUNCTION("""COMPUTED_VALUE"""),41831.645833333336)</f>
        <v>41831.64583</v>
      </c>
      <c r="C578" s="2">
        <f>IFERROR(__xludf.DUMMYFUNCTION("""COMPUTED_VALUE"""),2759.7)</f>
        <v>2759.7</v>
      </c>
    </row>
    <row r="579" ht="15.75" customHeight="1">
      <c r="B579" s="3">
        <f>IFERROR(__xludf.DUMMYFUNCTION("""COMPUTED_VALUE"""),41838.645833333336)</f>
        <v>41838.64583</v>
      </c>
      <c r="C579" s="2">
        <f>IFERROR(__xludf.DUMMYFUNCTION("""COMPUTED_VALUE"""),2709.0)</f>
        <v>2709</v>
      </c>
    </row>
    <row r="580" ht="15.75" customHeight="1">
      <c r="B580" s="3">
        <f>IFERROR(__xludf.DUMMYFUNCTION("""COMPUTED_VALUE"""),41845.645833333336)</f>
        <v>41845.64583</v>
      </c>
      <c r="C580" s="2">
        <f>IFERROR(__xludf.DUMMYFUNCTION("""COMPUTED_VALUE"""),2771.75)</f>
        <v>2771.75</v>
      </c>
    </row>
    <row r="581" ht="15.75" customHeight="1">
      <c r="B581" s="3">
        <f>IFERROR(__xludf.DUMMYFUNCTION("""COMPUTED_VALUE"""),41852.645833333336)</f>
        <v>41852.64583</v>
      </c>
      <c r="C581" s="2">
        <f>IFERROR(__xludf.DUMMYFUNCTION("""COMPUTED_VALUE"""),2849.95)</f>
        <v>2849.95</v>
      </c>
    </row>
    <row r="582" ht="15.75" customHeight="1">
      <c r="B582" s="3">
        <f>IFERROR(__xludf.DUMMYFUNCTION("""COMPUTED_VALUE"""),41859.645833333336)</f>
        <v>41859.64583</v>
      </c>
      <c r="C582" s="2">
        <f>IFERROR(__xludf.DUMMYFUNCTION("""COMPUTED_VALUE"""),2811.8)</f>
        <v>2811.8</v>
      </c>
    </row>
    <row r="583" ht="15.75" customHeight="1">
      <c r="B583" s="3">
        <f>IFERROR(__xludf.DUMMYFUNCTION("""COMPUTED_VALUE"""),41865.645833333336)</f>
        <v>41865.64583</v>
      </c>
      <c r="C583" s="2">
        <f>IFERROR(__xludf.DUMMYFUNCTION("""COMPUTED_VALUE"""),2785.0)</f>
        <v>2785</v>
      </c>
    </row>
    <row r="584" ht="15.75" customHeight="1">
      <c r="B584" s="3">
        <f>IFERROR(__xludf.DUMMYFUNCTION("""COMPUTED_VALUE"""),41873.645833333336)</f>
        <v>41873.64583</v>
      </c>
      <c r="C584" s="2">
        <f>IFERROR(__xludf.DUMMYFUNCTION("""COMPUTED_VALUE"""),2900.0)</f>
        <v>2900</v>
      </c>
    </row>
    <row r="585" ht="15.75" customHeight="1">
      <c r="B585" s="3">
        <f>IFERROR(__xludf.DUMMYFUNCTION("""COMPUTED_VALUE"""),41879.645833333336)</f>
        <v>41879.64583</v>
      </c>
      <c r="C585" s="2">
        <f>IFERROR(__xludf.DUMMYFUNCTION("""COMPUTED_VALUE"""),2975.0)</f>
        <v>2975</v>
      </c>
    </row>
    <row r="586" ht="15.75" customHeight="1">
      <c r="B586" s="3">
        <f>IFERROR(__xludf.DUMMYFUNCTION("""COMPUTED_VALUE"""),41887.645833333336)</f>
        <v>41887.64583</v>
      </c>
      <c r="C586" s="2">
        <f>IFERROR(__xludf.DUMMYFUNCTION("""COMPUTED_VALUE"""),3010.15)</f>
        <v>3010.15</v>
      </c>
    </row>
    <row r="587" ht="15.75" customHeight="1">
      <c r="B587" s="3">
        <f>IFERROR(__xludf.DUMMYFUNCTION("""COMPUTED_VALUE"""),41894.645833333336)</f>
        <v>41894.64583</v>
      </c>
      <c r="C587" s="2">
        <f>IFERROR(__xludf.DUMMYFUNCTION("""COMPUTED_VALUE"""),3027.85)</f>
        <v>3027.85</v>
      </c>
    </row>
    <row r="588" ht="15.75" customHeight="1">
      <c r="B588" s="3">
        <f>IFERROR(__xludf.DUMMYFUNCTION("""COMPUTED_VALUE"""),41901.645833333336)</f>
        <v>41901.64583</v>
      </c>
      <c r="C588" s="2">
        <f>IFERROR(__xludf.DUMMYFUNCTION("""COMPUTED_VALUE"""),3240.0)</f>
        <v>3240</v>
      </c>
    </row>
    <row r="589" ht="15.75" customHeight="1">
      <c r="B589" s="3">
        <f>IFERROR(__xludf.DUMMYFUNCTION("""COMPUTED_VALUE"""),41908.645833333336)</f>
        <v>41908.64583</v>
      </c>
      <c r="C589" s="2">
        <f>IFERROR(__xludf.DUMMYFUNCTION("""COMPUTED_VALUE"""),3356.5)</f>
        <v>3356.5</v>
      </c>
    </row>
    <row r="590" ht="15.75" customHeight="1">
      <c r="B590" s="3">
        <f>IFERROR(__xludf.DUMMYFUNCTION("""COMPUTED_VALUE"""),41913.645833333336)</f>
        <v>41913.64583</v>
      </c>
      <c r="C590" s="2">
        <f>IFERROR(__xludf.DUMMYFUNCTION("""COMPUTED_VALUE"""),3277.9)</f>
        <v>3277.9</v>
      </c>
    </row>
    <row r="591" ht="15.75" customHeight="1">
      <c r="B591" s="3">
        <f>IFERROR(__xludf.DUMMYFUNCTION("""COMPUTED_VALUE"""),41922.645833333336)</f>
        <v>41922.64583</v>
      </c>
      <c r="C591" s="2">
        <f>IFERROR(__xludf.DUMMYFUNCTION("""COMPUTED_VALUE"""),3215.0)</f>
        <v>3215</v>
      </c>
    </row>
    <row r="592" ht="15.75" customHeight="1">
      <c r="B592" s="3">
        <f>IFERROR(__xludf.DUMMYFUNCTION("""COMPUTED_VALUE"""),41929.645833333336)</f>
        <v>41929.64583</v>
      </c>
      <c r="C592" s="2">
        <f>IFERROR(__xludf.DUMMYFUNCTION("""COMPUTED_VALUE"""),2995.0)</f>
        <v>2995</v>
      </c>
    </row>
    <row r="593" ht="15.75" customHeight="1">
      <c r="B593" s="3">
        <f>IFERROR(__xludf.DUMMYFUNCTION("""COMPUTED_VALUE"""),41935.645833333336)</f>
        <v>41935.64583</v>
      </c>
      <c r="C593" s="2">
        <f>IFERROR(__xludf.DUMMYFUNCTION("""COMPUTED_VALUE"""),3061.0)</f>
        <v>3061</v>
      </c>
    </row>
    <row r="594" ht="15.75" customHeight="1">
      <c r="B594" s="3">
        <f>IFERROR(__xludf.DUMMYFUNCTION("""COMPUTED_VALUE"""),41943.645833333336)</f>
        <v>41943.64583</v>
      </c>
      <c r="C594" s="2">
        <f>IFERROR(__xludf.DUMMYFUNCTION("""COMPUTED_VALUE"""),3201.95)</f>
        <v>3201.95</v>
      </c>
    </row>
    <row r="595" ht="15.75" customHeight="1">
      <c r="B595" s="3">
        <f>IFERROR(__xludf.DUMMYFUNCTION("""COMPUTED_VALUE"""),41950.645833333336)</f>
        <v>41950.64583</v>
      </c>
      <c r="C595" s="2">
        <f>IFERROR(__xludf.DUMMYFUNCTION("""COMPUTED_VALUE"""),3458.0)</f>
        <v>3458</v>
      </c>
    </row>
    <row r="596" ht="15.75" customHeight="1">
      <c r="B596" s="3">
        <f>IFERROR(__xludf.DUMMYFUNCTION("""COMPUTED_VALUE"""),41957.64583333333)</f>
        <v>41957.64583</v>
      </c>
      <c r="C596" s="2">
        <f>IFERROR(__xludf.DUMMYFUNCTION("""COMPUTED_VALUE"""),3503.0)</f>
        <v>3503</v>
      </c>
    </row>
    <row r="597" ht="15.75" customHeight="1">
      <c r="B597" s="3">
        <f>IFERROR(__xludf.DUMMYFUNCTION("""COMPUTED_VALUE"""),41964.64583333333)</f>
        <v>41964.64583</v>
      </c>
      <c r="C597" s="2">
        <f>IFERROR(__xludf.DUMMYFUNCTION("""COMPUTED_VALUE"""),3569.6)</f>
        <v>3569.6</v>
      </c>
    </row>
    <row r="598" ht="15.75" customHeight="1">
      <c r="B598" s="3">
        <f>IFERROR(__xludf.DUMMYFUNCTION("""COMPUTED_VALUE"""),41971.64583333333)</f>
        <v>41971.64583</v>
      </c>
      <c r="C598" s="2">
        <f>IFERROR(__xludf.DUMMYFUNCTION("""COMPUTED_VALUE"""),3639.0)</f>
        <v>3639</v>
      </c>
    </row>
    <row r="599" ht="15.75" customHeight="1">
      <c r="B599" s="3">
        <f>IFERROR(__xludf.DUMMYFUNCTION("""COMPUTED_VALUE"""),41978.64583333333)</f>
        <v>41978.64583</v>
      </c>
      <c r="C599" s="2">
        <f>IFERROR(__xludf.DUMMYFUNCTION("""COMPUTED_VALUE"""),3666.25)</f>
        <v>3666.25</v>
      </c>
    </row>
    <row r="600" ht="15.75" customHeight="1">
      <c r="B600" s="3">
        <f>IFERROR(__xludf.DUMMYFUNCTION("""COMPUTED_VALUE"""),41985.64583333333)</f>
        <v>41985.64583</v>
      </c>
      <c r="C600" s="2">
        <f>IFERROR(__xludf.DUMMYFUNCTION("""COMPUTED_VALUE"""),3448.0)</f>
        <v>3448</v>
      </c>
    </row>
    <row r="601" ht="15.75" customHeight="1">
      <c r="B601" s="3">
        <f>IFERROR(__xludf.DUMMYFUNCTION("""COMPUTED_VALUE"""),41992.64583333333)</f>
        <v>41992.64583</v>
      </c>
      <c r="C601" s="2">
        <f>IFERROR(__xludf.DUMMYFUNCTION("""COMPUTED_VALUE"""),3375.7)</f>
        <v>3375.7</v>
      </c>
    </row>
    <row r="602" ht="15.75" customHeight="1">
      <c r="B602" s="3">
        <f>IFERROR(__xludf.DUMMYFUNCTION("""COMPUTED_VALUE"""),41999.64583333333)</f>
        <v>41999.64583</v>
      </c>
      <c r="C602" s="2">
        <f>IFERROR(__xludf.DUMMYFUNCTION("""COMPUTED_VALUE"""),3255.0)</f>
        <v>3255</v>
      </c>
    </row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IFERROR(__xludf.DUMMYFUNCTION("GOOGLEFINANCE(""NSE:DRREDDY"", ""high"",DATE(2015,1,1),DATE(2016,1,1),""weekly"")"),"Date")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IFERROR(__xludf.DUMMYFUNCTION("""COMPUTED_VALUE"""),42006.64583333333)</f>
        <v>42006.64583</v>
      </c>
      <c r="C607" s="2">
        <f>IFERROR(__xludf.DUMMYFUNCTION("""COMPUTED_VALUE"""),3261.0)</f>
        <v>3261</v>
      </c>
    </row>
    <row r="608" ht="15.75" customHeight="1">
      <c r="B608" s="3">
        <f>IFERROR(__xludf.DUMMYFUNCTION("""COMPUTED_VALUE"""),42013.64583333333)</f>
        <v>42013.64583</v>
      </c>
      <c r="C608" s="2">
        <f>IFERROR(__xludf.DUMMYFUNCTION("""COMPUTED_VALUE"""),3221.4)</f>
        <v>3221.4</v>
      </c>
    </row>
    <row r="609" ht="15.75" customHeight="1">
      <c r="B609" s="3">
        <f>IFERROR(__xludf.DUMMYFUNCTION("""COMPUTED_VALUE"""),42020.64583333333)</f>
        <v>42020.64583</v>
      </c>
      <c r="C609" s="2">
        <f>IFERROR(__xludf.DUMMYFUNCTION("""COMPUTED_VALUE"""),3295.0)</f>
        <v>3295</v>
      </c>
    </row>
    <row r="610" ht="15.75" customHeight="1">
      <c r="B610" s="3">
        <f>IFERROR(__xludf.DUMMYFUNCTION("""COMPUTED_VALUE"""),42027.64583333333)</f>
        <v>42027.64583</v>
      </c>
      <c r="C610" s="2">
        <f>IFERROR(__xludf.DUMMYFUNCTION("""COMPUTED_VALUE"""),3389.75)</f>
        <v>3389.75</v>
      </c>
    </row>
    <row r="611" ht="15.75" customHeight="1">
      <c r="B611" s="3">
        <f>IFERROR(__xludf.DUMMYFUNCTION("""COMPUTED_VALUE"""),42034.64583333333)</f>
        <v>42034.64583</v>
      </c>
      <c r="C611" s="2">
        <f>IFERROR(__xludf.DUMMYFUNCTION("""COMPUTED_VALUE"""),3380.0)</f>
        <v>3380</v>
      </c>
    </row>
    <row r="612" ht="15.75" customHeight="1">
      <c r="B612" s="3">
        <f>IFERROR(__xludf.DUMMYFUNCTION("""COMPUTED_VALUE"""),42041.64583333333)</f>
        <v>42041.64583</v>
      </c>
      <c r="C612" s="2">
        <f>IFERROR(__xludf.DUMMYFUNCTION("""COMPUTED_VALUE"""),3184.0)</f>
        <v>3184</v>
      </c>
    </row>
    <row r="613" ht="15.75" customHeight="1">
      <c r="B613" s="3">
        <f>IFERROR(__xludf.DUMMYFUNCTION("""COMPUTED_VALUE"""),42048.64583333333)</f>
        <v>42048.64583</v>
      </c>
      <c r="C613" s="2">
        <f>IFERROR(__xludf.DUMMYFUNCTION("""COMPUTED_VALUE"""),3369.0)</f>
        <v>3369</v>
      </c>
    </row>
    <row r="614" ht="15.75" customHeight="1">
      <c r="B614" s="3">
        <f>IFERROR(__xludf.DUMMYFUNCTION("""COMPUTED_VALUE"""),42055.64583333333)</f>
        <v>42055.64583</v>
      </c>
      <c r="C614" s="2">
        <f>IFERROR(__xludf.DUMMYFUNCTION("""COMPUTED_VALUE"""),3424.95)</f>
        <v>3424.95</v>
      </c>
    </row>
    <row r="615" ht="15.75" customHeight="1">
      <c r="B615" s="3">
        <f>IFERROR(__xludf.DUMMYFUNCTION("""COMPUTED_VALUE"""),42068.64583333333)</f>
        <v>42068.64583</v>
      </c>
      <c r="C615" s="2">
        <f>IFERROR(__xludf.DUMMYFUNCTION("""COMPUTED_VALUE"""),3482.8)</f>
        <v>3482.8</v>
      </c>
    </row>
    <row r="616" ht="15.75" customHeight="1">
      <c r="B616" s="3">
        <f>IFERROR(__xludf.DUMMYFUNCTION("""COMPUTED_VALUE"""),42076.64583333333)</f>
        <v>42076.64583</v>
      </c>
      <c r="C616" s="2">
        <f>IFERROR(__xludf.DUMMYFUNCTION("""COMPUTED_VALUE"""),3531.95)</f>
        <v>3531.95</v>
      </c>
    </row>
    <row r="617" ht="15.75" customHeight="1">
      <c r="B617" s="3">
        <f>IFERROR(__xludf.DUMMYFUNCTION("""COMPUTED_VALUE"""),42083.64583333333)</f>
        <v>42083.64583</v>
      </c>
      <c r="C617" s="2">
        <f>IFERROR(__xludf.DUMMYFUNCTION("""COMPUTED_VALUE"""),3480.0)</f>
        <v>3480</v>
      </c>
    </row>
    <row r="618" ht="15.75" customHeight="1">
      <c r="B618" s="3">
        <f>IFERROR(__xludf.DUMMYFUNCTION("""COMPUTED_VALUE"""),42090.64583333333)</f>
        <v>42090.64583</v>
      </c>
      <c r="C618" s="2">
        <f>IFERROR(__xludf.DUMMYFUNCTION("""COMPUTED_VALUE"""),3575.0)</f>
        <v>3575</v>
      </c>
    </row>
    <row r="619" ht="15.75" customHeight="1">
      <c r="B619" s="3">
        <f>IFERROR(__xludf.DUMMYFUNCTION("""COMPUTED_VALUE"""),42095.64583333333)</f>
        <v>42095.64583</v>
      </c>
      <c r="C619" s="2">
        <f>IFERROR(__xludf.DUMMYFUNCTION("""COMPUTED_VALUE"""),3566.8)</f>
        <v>3566.8</v>
      </c>
    </row>
    <row r="620" ht="15.75" customHeight="1">
      <c r="B620" s="3">
        <f>IFERROR(__xludf.DUMMYFUNCTION("""COMPUTED_VALUE"""),42104.64583333333)</f>
        <v>42104.64583</v>
      </c>
      <c r="C620" s="2">
        <f>IFERROR(__xludf.DUMMYFUNCTION("""COMPUTED_VALUE"""),3807.8)</f>
        <v>3807.8</v>
      </c>
    </row>
    <row r="621" ht="15.75" customHeight="1">
      <c r="B621" s="3">
        <f>IFERROR(__xludf.DUMMYFUNCTION("""COMPUTED_VALUE"""),42111.64583333333)</f>
        <v>42111.64583</v>
      </c>
      <c r="C621" s="2">
        <f>IFERROR(__xludf.DUMMYFUNCTION("""COMPUTED_VALUE"""),3807.7)</f>
        <v>3807.7</v>
      </c>
    </row>
    <row r="622" ht="15.75" customHeight="1">
      <c r="B622" s="3">
        <f>IFERROR(__xludf.DUMMYFUNCTION("""COMPUTED_VALUE"""),42118.64583333333)</f>
        <v>42118.64583</v>
      </c>
      <c r="C622" s="2">
        <f>IFERROR(__xludf.DUMMYFUNCTION("""COMPUTED_VALUE"""),3715.95)</f>
        <v>3715.95</v>
      </c>
    </row>
    <row r="623" ht="15.75" customHeight="1">
      <c r="B623" s="3">
        <f>IFERROR(__xludf.DUMMYFUNCTION("""COMPUTED_VALUE"""),42124.64583333333)</f>
        <v>42124.64583</v>
      </c>
      <c r="C623" s="2">
        <f>IFERROR(__xludf.DUMMYFUNCTION("""COMPUTED_VALUE"""),3514.85)</f>
        <v>3514.85</v>
      </c>
    </row>
    <row r="624" ht="15.75" customHeight="1">
      <c r="B624" s="3">
        <f>IFERROR(__xludf.DUMMYFUNCTION("""COMPUTED_VALUE"""),42132.64583333333)</f>
        <v>42132.64583</v>
      </c>
      <c r="C624" s="2">
        <f>IFERROR(__xludf.DUMMYFUNCTION("""COMPUTED_VALUE"""),3420.0)</f>
        <v>3420</v>
      </c>
    </row>
    <row r="625" ht="15.75" customHeight="1">
      <c r="B625" s="3">
        <f>IFERROR(__xludf.DUMMYFUNCTION("""COMPUTED_VALUE"""),42139.64583333333)</f>
        <v>42139.64583</v>
      </c>
      <c r="C625" s="2">
        <f>IFERROR(__xludf.DUMMYFUNCTION("""COMPUTED_VALUE"""),3539.9)</f>
        <v>3539.9</v>
      </c>
    </row>
    <row r="626" ht="15.75" customHeight="1">
      <c r="B626" s="3">
        <f>IFERROR(__xludf.DUMMYFUNCTION("""COMPUTED_VALUE"""),42146.64583333333)</f>
        <v>42146.64583</v>
      </c>
      <c r="C626" s="2">
        <f>IFERROR(__xludf.DUMMYFUNCTION("""COMPUTED_VALUE"""),3692.65)</f>
        <v>3692.65</v>
      </c>
    </row>
    <row r="627" ht="15.75" customHeight="1">
      <c r="B627" s="3">
        <f>IFERROR(__xludf.DUMMYFUNCTION("""COMPUTED_VALUE"""),42153.64583333333)</f>
        <v>42153.64583</v>
      </c>
      <c r="C627" s="2">
        <f>IFERROR(__xludf.DUMMYFUNCTION("""COMPUTED_VALUE"""),3663.8)</f>
        <v>3663.8</v>
      </c>
    </row>
    <row r="628" ht="15.75" customHeight="1">
      <c r="B628" s="3">
        <f>IFERROR(__xludf.DUMMYFUNCTION("""COMPUTED_VALUE"""),42160.64583333333)</f>
        <v>42160.64583</v>
      </c>
      <c r="C628" s="2">
        <f>IFERROR(__xludf.DUMMYFUNCTION("""COMPUTED_VALUE"""),3572.0)</f>
        <v>3572</v>
      </c>
    </row>
    <row r="629" ht="15.75" customHeight="1">
      <c r="B629" s="3">
        <f>IFERROR(__xludf.DUMMYFUNCTION("""COMPUTED_VALUE"""),42167.64583333333)</f>
        <v>42167.64583</v>
      </c>
      <c r="C629" s="2">
        <f>IFERROR(__xludf.DUMMYFUNCTION("""COMPUTED_VALUE"""),3448.0)</f>
        <v>3448</v>
      </c>
    </row>
    <row r="630" ht="15.75" customHeight="1">
      <c r="B630" s="3">
        <f>IFERROR(__xludf.DUMMYFUNCTION("""COMPUTED_VALUE"""),42174.64583333333)</f>
        <v>42174.64583</v>
      </c>
      <c r="C630" s="2">
        <f>IFERROR(__xludf.DUMMYFUNCTION("""COMPUTED_VALUE"""),3426.7)</f>
        <v>3426.7</v>
      </c>
    </row>
    <row r="631" ht="15.75" customHeight="1">
      <c r="B631" s="3">
        <f>IFERROR(__xludf.DUMMYFUNCTION("""COMPUTED_VALUE"""),42181.64583333333)</f>
        <v>42181.64583</v>
      </c>
      <c r="C631" s="2">
        <f>IFERROR(__xludf.DUMMYFUNCTION("""COMPUTED_VALUE"""),3540.0)</f>
        <v>3540</v>
      </c>
    </row>
    <row r="632" ht="15.75" customHeight="1">
      <c r="B632" s="3">
        <f>IFERROR(__xludf.DUMMYFUNCTION("""COMPUTED_VALUE"""),42188.64583333333)</f>
        <v>42188.64583</v>
      </c>
      <c r="C632" s="2">
        <f>IFERROR(__xludf.DUMMYFUNCTION("""COMPUTED_VALUE"""),3608.1)</f>
        <v>3608.1</v>
      </c>
    </row>
    <row r="633" ht="15.75" customHeight="1">
      <c r="B633" s="3">
        <f>IFERROR(__xludf.DUMMYFUNCTION("""COMPUTED_VALUE"""),42195.64583333333)</f>
        <v>42195.64583</v>
      </c>
      <c r="C633" s="2">
        <f>IFERROR(__xludf.DUMMYFUNCTION("""COMPUTED_VALUE"""),3770.35)</f>
        <v>3770.35</v>
      </c>
    </row>
    <row r="634" ht="15.75" customHeight="1">
      <c r="B634" s="3">
        <f>IFERROR(__xludf.DUMMYFUNCTION("""COMPUTED_VALUE"""),42202.64583333333)</f>
        <v>42202.64583</v>
      </c>
      <c r="C634" s="2">
        <f>IFERROR(__xludf.DUMMYFUNCTION("""COMPUTED_VALUE"""),3888.4)</f>
        <v>3888.4</v>
      </c>
    </row>
    <row r="635" ht="15.75" customHeight="1">
      <c r="B635" s="3">
        <f>IFERROR(__xludf.DUMMYFUNCTION("""COMPUTED_VALUE"""),42209.64583333333)</f>
        <v>42209.64583</v>
      </c>
      <c r="C635" s="2">
        <f>IFERROR(__xludf.DUMMYFUNCTION("""COMPUTED_VALUE"""),3964.9)</f>
        <v>3964.9</v>
      </c>
    </row>
    <row r="636" ht="15.75" customHeight="1">
      <c r="B636" s="3">
        <f>IFERROR(__xludf.DUMMYFUNCTION("""COMPUTED_VALUE"""),42216.64583333333)</f>
        <v>42216.64583</v>
      </c>
      <c r="C636" s="2">
        <f>IFERROR(__xludf.DUMMYFUNCTION("""COMPUTED_VALUE"""),4093.5)</f>
        <v>4093.5</v>
      </c>
    </row>
    <row r="637" ht="15.75" customHeight="1">
      <c r="B637" s="3">
        <f>IFERROR(__xludf.DUMMYFUNCTION("""COMPUTED_VALUE"""),42223.64583333333)</f>
        <v>42223.64583</v>
      </c>
      <c r="C637" s="2">
        <f>IFERROR(__xludf.DUMMYFUNCTION("""COMPUTED_VALUE"""),4326.5)</f>
        <v>4326.5</v>
      </c>
    </row>
    <row r="638" ht="15.75" customHeight="1">
      <c r="B638" s="3">
        <f>IFERROR(__xludf.DUMMYFUNCTION("""COMPUTED_VALUE"""),42230.64583333333)</f>
        <v>42230.64583</v>
      </c>
      <c r="C638" s="2">
        <f>IFERROR(__xludf.DUMMYFUNCTION("""COMPUTED_VALUE"""),4337.95)</f>
        <v>4337.95</v>
      </c>
    </row>
    <row r="639" ht="15.75" customHeight="1">
      <c r="B639" s="3">
        <f>IFERROR(__xludf.DUMMYFUNCTION("""COMPUTED_VALUE"""),42237.64583333333)</f>
        <v>42237.64583</v>
      </c>
      <c r="C639" s="2">
        <f>IFERROR(__xludf.DUMMYFUNCTION("""COMPUTED_VALUE"""),4327.7)</f>
        <v>4327.7</v>
      </c>
    </row>
    <row r="640" ht="15.75" customHeight="1">
      <c r="B640" s="3">
        <f>IFERROR(__xludf.DUMMYFUNCTION("""COMPUTED_VALUE"""),42244.64583333333)</f>
        <v>42244.64583</v>
      </c>
      <c r="C640" s="2">
        <f>IFERROR(__xludf.DUMMYFUNCTION("""COMPUTED_VALUE"""),4239.1)</f>
        <v>4239.1</v>
      </c>
    </row>
    <row r="641" ht="15.75" customHeight="1">
      <c r="B641" s="3">
        <f>IFERROR(__xludf.DUMMYFUNCTION("""COMPUTED_VALUE"""),42251.64583333333)</f>
        <v>42251.64583</v>
      </c>
      <c r="C641" s="2">
        <f>IFERROR(__xludf.DUMMYFUNCTION("""COMPUTED_VALUE"""),4319.75)</f>
        <v>4319.75</v>
      </c>
    </row>
    <row r="642" ht="15.75" customHeight="1">
      <c r="B642" s="3">
        <f>IFERROR(__xludf.DUMMYFUNCTION("""COMPUTED_VALUE"""),42258.64583333333)</f>
        <v>42258.64583</v>
      </c>
      <c r="C642" s="2">
        <f>IFERROR(__xludf.DUMMYFUNCTION("""COMPUTED_VALUE"""),4095.0)</f>
        <v>4095</v>
      </c>
    </row>
    <row r="643" ht="15.75" customHeight="1">
      <c r="B643" s="3">
        <f>IFERROR(__xludf.DUMMYFUNCTION("""COMPUTED_VALUE"""),42265.64583333333)</f>
        <v>42265.64583</v>
      </c>
      <c r="C643" s="2">
        <f>IFERROR(__xludf.DUMMYFUNCTION("""COMPUTED_VALUE"""),4050.0)</f>
        <v>4050</v>
      </c>
    </row>
    <row r="644" ht="15.75" customHeight="1">
      <c r="B644" s="3">
        <f>IFERROR(__xludf.DUMMYFUNCTION("""COMPUTED_VALUE"""),42271.64583333333)</f>
        <v>42271.64583</v>
      </c>
      <c r="C644" s="2">
        <f>IFERROR(__xludf.DUMMYFUNCTION("""COMPUTED_VALUE"""),3999.95)</f>
        <v>3999.95</v>
      </c>
    </row>
    <row r="645" ht="15.75" customHeight="1">
      <c r="B645" s="3">
        <f>IFERROR(__xludf.DUMMYFUNCTION("""COMPUTED_VALUE"""),42278.64583333333)</f>
        <v>42278.64583</v>
      </c>
      <c r="C645" s="2">
        <f>IFERROR(__xludf.DUMMYFUNCTION("""COMPUTED_VALUE"""),4250.0)</f>
        <v>4250</v>
      </c>
    </row>
    <row r="646" ht="15.75" customHeight="1">
      <c r="B646" s="3">
        <f>IFERROR(__xludf.DUMMYFUNCTION("""COMPUTED_VALUE"""),42286.64583333333)</f>
        <v>42286.64583</v>
      </c>
      <c r="C646" s="2">
        <f>IFERROR(__xludf.DUMMYFUNCTION("""COMPUTED_VALUE"""),4304.5)</f>
        <v>4304.5</v>
      </c>
    </row>
    <row r="647" ht="15.75" customHeight="1">
      <c r="B647" s="3">
        <f>IFERROR(__xludf.DUMMYFUNCTION("""COMPUTED_VALUE"""),42293.64583333333)</f>
        <v>42293.64583</v>
      </c>
      <c r="C647" s="2">
        <f>IFERROR(__xludf.DUMMYFUNCTION("""COMPUTED_VALUE"""),4283.6)</f>
        <v>4283.6</v>
      </c>
    </row>
    <row r="648" ht="15.75" customHeight="1">
      <c r="B648" s="3">
        <f>IFERROR(__xludf.DUMMYFUNCTION("""COMPUTED_VALUE"""),42300.64583333333)</f>
        <v>42300.64583</v>
      </c>
      <c r="C648" s="2">
        <f>IFERROR(__xludf.DUMMYFUNCTION("""COMPUTED_VALUE"""),4386.6)</f>
        <v>4386.6</v>
      </c>
    </row>
    <row r="649" ht="15.75" customHeight="1">
      <c r="B649" s="3">
        <f>IFERROR(__xludf.DUMMYFUNCTION("""COMPUTED_VALUE"""),42307.64583333333)</f>
        <v>42307.64583</v>
      </c>
      <c r="C649" s="2">
        <f>IFERROR(__xludf.DUMMYFUNCTION("""COMPUTED_VALUE"""),4365.35)</f>
        <v>4365.35</v>
      </c>
    </row>
    <row r="650" ht="15.75" customHeight="1">
      <c r="B650" s="3">
        <f>IFERROR(__xludf.DUMMYFUNCTION("""COMPUTED_VALUE"""),42314.64583333333)</f>
        <v>42314.64583</v>
      </c>
      <c r="C650" s="2">
        <f>IFERROR(__xludf.DUMMYFUNCTION("""COMPUTED_VALUE"""),4379.2)</f>
        <v>4379.2</v>
      </c>
    </row>
    <row r="651" ht="15.75" customHeight="1">
      <c r="B651" s="3">
        <f>IFERROR(__xludf.DUMMYFUNCTION("""COMPUTED_VALUE"""),42321.64583333333)</f>
        <v>42321.64583</v>
      </c>
      <c r="C651" s="2">
        <f>IFERROR(__xludf.DUMMYFUNCTION("""COMPUTED_VALUE"""),3575.0)</f>
        <v>3575</v>
      </c>
    </row>
    <row r="652" ht="15.75" customHeight="1">
      <c r="B652" s="3">
        <f>IFERROR(__xludf.DUMMYFUNCTION("""COMPUTED_VALUE"""),42328.64583333333)</f>
        <v>42328.64583</v>
      </c>
      <c r="C652" s="2">
        <f>IFERROR(__xludf.DUMMYFUNCTION("""COMPUTED_VALUE"""),3525.0)</f>
        <v>3525</v>
      </c>
    </row>
    <row r="653" ht="15.75" customHeight="1">
      <c r="B653" s="3">
        <f>IFERROR(__xludf.DUMMYFUNCTION("""COMPUTED_VALUE"""),42335.64583333333)</f>
        <v>42335.64583</v>
      </c>
      <c r="C653" s="2">
        <f>IFERROR(__xludf.DUMMYFUNCTION("""COMPUTED_VALUE"""),3423.8)</f>
        <v>3423.8</v>
      </c>
    </row>
    <row r="654" ht="15.75" customHeight="1">
      <c r="B654" s="3">
        <f>IFERROR(__xludf.DUMMYFUNCTION("""COMPUTED_VALUE"""),42342.64583333333)</f>
        <v>42342.64583</v>
      </c>
      <c r="C654" s="2">
        <f>IFERROR(__xludf.DUMMYFUNCTION("""COMPUTED_VALUE"""),3265.0)</f>
        <v>3265</v>
      </c>
    </row>
    <row r="655" ht="15.75" customHeight="1">
      <c r="B655" s="3">
        <f>IFERROR(__xludf.DUMMYFUNCTION("""COMPUTED_VALUE"""),42349.64583333333)</f>
        <v>42349.64583</v>
      </c>
      <c r="C655" s="2">
        <f>IFERROR(__xludf.DUMMYFUNCTION("""COMPUTED_VALUE"""),3205.3)</f>
        <v>3205.3</v>
      </c>
    </row>
    <row r="656" ht="15.75" customHeight="1">
      <c r="B656" s="3">
        <f>IFERROR(__xludf.DUMMYFUNCTION("""COMPUTED_VALUE"""),42356.64583333333)</f>
        <v>42356.64583</v>
      </c>
      <c r="C656" s="2">
        <f>IFERROR(__xludf.DUMMYFUNCTION("""COMPUTED_VALUE"""),3063.95)</f>
        <v>3063.95</v>
      </c>
    </row>
    <row r="657" ht="15.75" customHeight="1">
      <c r="B657" s="3">
        <f>IFERROR(__xludf.DUMMYFUNCTION("""COMPUTED_VALUE"""),42362.64583333333)</f>
        <v>42362.64583</v>
      </c>
      <c r="C657" s="2">
        <f>IFERROR(__xludf.DUMMYFUNCTION("""COMPUTED_VALUE"""),3049.05)</f>
        <v>3049.05</v>
      </c>
    </row>
    <row r="658" ht="15.75" customHeight="1">
      <c r="B658" s="3">
        <f>IFERROR(__xludf.DUMMYFUNCTION("""COMPUTED_VALUE"""),42370.64583333333)</f>
        <v>42370.64583</v>
      </c>
      <c r="C658" s="2">
        <f>IFERROR(__xludf.DUMMYFUNCTION("""COMPUTED_VALUE"""),3172.0)</f>
        <v>3172</v>
      </c>
    </row>
    <row r="659" ht="15.75" customHeight="1"/>
    <row r="660" ht="15.75" customHeight="1"/>
    <row r="661" ht="15.75" customHeight="1">
      <c r="B661" s="2" t="str">
        <f>IFERROR(__xludf.DUMMYFUNCTION("GOOGLEFINANCE(""NSE:DRREDDY"", ""high"",DATE(2016,1,1),DATE(2017,1,1),""weekly"")"),"Date")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IFERROR(__xludf.DUMMYFUNCTION("""COMPUTED_VALUE"""),42377.64583333333)</f>
        <v>42377.64583</v>
      </c>
      <c r="C662" s="2">
        <f>IFERROR(__xludf.DUMMYFUNCTION("""COMPUTED_VALUE"""),3120.0)</f>
        <v>3120</v>
      </c>
    </row>
    <row r="663" ht="15.75" customHeight="1">
      <c r="B663" s="3">
        <f>IFERROR(__xludf.DUMMYFUNCTION("""COMPUTED_VALUE"""),42384.64583333333)</f>
        <v>42384.64583</v>
      </c>
      <c r="C663" s="2">
        <f>IFERROR(__xludf.DUMMYFUNCTION("""COMPUTED_VALUE"""),2994.0)</f>
        <v>2994</v>
      </c>
    </row>
    <row r="664" ht="15.75" customHeight="1">
      <c r="B664" s="3">
        <f>IFERROR(__xludf.DUMMYFUNCTION("""COMPUTED_VALUE"""),42391.64583333333)</f>
        <v>42391.64583</v>
      </c>
      <c r="C664" s="2">
        <f>IFERROR(__xludf.DUMMYFUNCTION("""COMPUTED_VALUE"""),2950.7)</f>
        <v>2950.7</v>
      </c>
    </row>
    <row r="665" ht="15.75" customHeight="1">
      <c r="B665" s="3">
        <f>IFERROR(__xludf.DUMMYFUNCTION("""COMPUTED_VALUE"""),42398.64583333333)</f>
        <v>42398.64583</v>
      </c>
      <c r="C665" s="2">
        <f>IFERROR(__xludf.DUMMYFUNCTION("""COMPUTED_VALUE"""),3119.95)</f>
        <v>3119.95</v>
      </c>
    </row>
    <row r="666" ht="15.75" customHeight="1">
      <c r="B666" s="3">
        <f>IFERROR(__xludf.DUMMYFUNCTION("""COMPUTED_VALUE"""),42405.64583333333)</f>
        <v>42405.64583</v>
      </c>
      <c r="C666" s="2">
        <f>IFERROR(__xludf.DUMMYFUNCTION("""COMPUTED_VALUE"""),3138.0)</f>
        <v>3138</v>
      </c>
    </row>
    <row r="667" ht="15.75" customHeight="1">
      <c r="B667" s="3">
        <f>IFERROR(__xludf.DUMMYFUNCTION("""COMPUTED_VALUE"""),42412.64583333333)</f>
        <v>42412.64583</v>
      </c>
      <c r="C667" s="2">
        <f>IFERROR(__xludf.DUMMYFUNCTION("""COMPUTED_VALUE"""),3124.0)</f>
        <v>3124</v>
      </c>
    </row>
    <row r="668" ht="15.75" customHeight="1">
      <c r="B668" s="3">
        <f>IFERROR(__xludf.DUMMYFUNCTION("""COMPUTED_VALUE"""),42419.64583333333)</f>
        <v>42419.64583</v>
      </c>
      <c r="C668" s="2">
        <f>IFERROR(__xludf.DUMMYFUNCTION("""COMPUTED_VALUE"""),3154.4)</f>
        <v>3154.4</v>
      </c>
    </row>
    <row r="669" ht="15.75" customHeight="1">
      <c r="B669" s="3">
        <f>IFERROR(__xludf.DUMMYFUNCTION("""COMPUTED_VALUE"""),42426.64583333333)</f>
        <v>42426.64583</v>
      </c>
      <c r="C669" s="2">
        <f>IFERROR(__xludf.DUMMYFUNCTION("""COMPUTED_VALUE"""),3149.0)</f>
        <v>3149</v>
      </c>
    </row>
    <row r="670" ht="15.75" customHeight="1">
      <c r="B670" s="3">
        <f>IFERROR(__xludf.DUMMYFUNCTION("""COMPUTED_VALUE"""),42433.64583333333)</f>
        <v>42433.64583</v>
      </c>
      <c r="C670" s="2">
        <f>IFERROR(__xludf.DUMMYFUNCTION("""COMPUTED_VALUE"""),3283.0)</f>
        <v>3283</v>
      </c>
    </row>
    <row r="671" ht="15.75" customHeight="1">
      <c r="B671" s="3">
        <f>IFERROR(__xludf.DUMMYFUNCTION("""COMPUTED_VALUE"""),42440.64583333333)</f>
        <v>42440.64583</v>
      </c>
      <c r="C671" s="2">
        <f>IFERROR(__xludf.DUMMYFUNCTION("""COMPUTED_VALUE"""),3270.0)</f>
        <v>3270</v>
      </c>
    </row>
    <row r="672" ht="15.75" customHeight="1">
      <c r="B672" s="3">
        <f>IFERROR(__xludf.DUMMYFUNCTION("""COMPUTED_VALUE"""),42447.64583333333)</f>
        <v>42447.64583</v>
      </c>
      <c r="C672" s="2">
        <f>IFERROR(__xludf.DUMMYFUNCTION("""COMPUTED_VALUE"""),3247.0)</f>
        <v>3247</v>
      </c>
    </row>
    <row r="673" ht="15.75" customHeight="1">
      <c r="B673" s="3">
        <f>IFERROR(__xludf.DUMMYFUNCTION("""COMPUTED_VALUE"""),42452.64583333333)</f>
        <v>42452.64583</v>
      </c>
      <c r="C673" s="2">
        <f>IFERROR(__xludf.DUMMYFUNCTION("""COMPUTED_VALUE"""),3199.9)</f>
        <v>3199.9</v>
      </c>
    </row>
    <row r="674" ht="15.75" customHeight="1">
      <c r="B674" s="3">
        <f>IFERROR(__xludf.DUMMYFUNCTION("""COMPUTED_VALUE"""),42461.64583333333)</f>
        <v>42461.64583</v>
      </c>
      <c r="C674" s="2">
        <f>IFERROR(__xludf.DUMMYFUNCTION("""COMPUTED_VALUE"""),3074.55)</f>
        <v>3074.55</v>
      </c>
    </row>
    <row r="675" ht="15.75" customHeight="1">
      <c r="B675" s="3">
        <f>IFERROR(__xludf.DUMMYFUNCTION("""COMPUTED_VALUE"""),42468.64583333333)</f>
        <v>42468.64583</v>
      </c>
      <c r="C675" s="2">
        <f>IFERROR(__xludf.DUMMYFUNCTION("""COMPUTED_VALUE"""),3089.45)</f>
        <v>3089.45</v>
      </c>
    </row>
    <row r="676" ht="15.75" customHeight="1">
      <c r="B676" s="3">
        <f>IFERROR(__xludf.DUMMYFUNCTION("""COMPUTED_VALUE"""),42473.64583333333)</f>
        <v>42473.64583</v>
      </c>
      <c r="C676" s="2">
        <f>IFERROR(__xludf.DUMMYFUNCTION("""COMPUTED_VALUE"""),3122.7)</f>
        <v>3122.7</v>
      </c>
    </row>
    <row r="677" ht="15.75" customHeight="1">
      <c r="B677" s="3">
        <f>IFERROR(__xludf.DUMMYFUNCTION("""COMPUTED_VALUE"""),42482.64583333333)</f>
        <v>42482.64583</v>
      </c>
      <c r="C677" s="2">
        <f>IFERROR(__xludf.DUMMYFUNCTION("""COMPUTED_VALUE"""),3160.0)</f>
        <v>3160</v>
      </c>
    </row>
    <row r="678" ht="15.75" customHeight="1">
      <c r="B678" s="3">
        <f>IFERROR(__xludf.DUMMYFUNCTION("""COMPUTED_VALUE"""),42489.64583333333)</f>
        <v>42489.64583</v>
      </c>
      <c r="C678" s="2">
        <f>IFERROR(__xludf.DUMMYFUNCTION("""COMPUTED_VALUE"""),3168.9)</f>
        <v>3168.9</v>
      </c>
    </row>
    <row r="679" ht="15.75" customHeight="1">
      <c r="B679" s="3">
        <f>IFERROR(__xludf.DUMMYFUNCTION("""COMPUTED_VALUE"""),42496.64583333333)</f>
        <v>42496.64583</v>
      </c>
      <c r="C679" s="2">
        <f>IFERROR(__xludf.DUMMYFUNCTION("""COMPUTED_VALUE"""),3080.95)</f>
        <v>3080.95</v>
      </c>
    </row>
    <row r="680" ht="15.75" customHeight="1">
      <c r="B680" s="3">
        <f>IFERROR(__xludf.DUMMYFUNCTION("""COMPUTED_VALUE"""),42503.64583333333)</f>
        <v>42503.64583</v>
      </c>
      <c r="C680" s="2">
        <f>IFERROR(__xludf.DUMMYFUNCTION("""COMPUTED_VALUE"""),2988.0)</f>
        <v>2988</v>
      </c>
    </row>
    <row r="681" ht="15.75" customHeight="1">
      <c r="B681" s="3">
        <f>IFERROR(__xludf.DUMMYFUNCTION("""COMPUTED_VALUE"""),42510.64583333333)</f>
        <v>42510.64583</v>
      </c>
      <c r="C681" s="2">
        <f>IFERROR(__xludf.DUMMYFUNCTION("""COMPUTED_VALUE"""),3049.5)</f>
        <v>3049.5</v>
      </c>
    </row>
    <row r="682" ht="15.75" customHeight="1">
      <c r="B682" s="3">
        <f>IFERROR(__xludf.DUMMYFUNCTION("""COMPUTED_VALUE"""),42517.64583333333)</f>
        <v>42517.64583</v>
      </c>
      <c r="C682" s="2">
        <f>IFERROR(__xludf.DUMMYFUNCTION("""COMPUTED_VALUE"""),3138.0)</f>
        <v>3138</v>
      </c>
    </row>
    <row r="683" ht="15.75" customHeight="1">
      <c r="B683" s="3">
        <f>IFERROR(__xludf.DUMMYFUNCTION("""COMPUTED_VALUE"""),42524.64583333333)</f>
        <v>42524.64583</v>
      </c>
      <c r="C683" s="2">
        <f>IFERROR(__xludf.DUMMYFUNCTION("""COMPUTED_VALUE"""),3219.9)</f>
        <v>3219.9</v>
      </c>
    </row>
    <row r="684" ht="15.75" customHeight="1">
      <c r="B684" s="3">
        <f>IFERROR(__xludf.DUMMYFUNCTION("""COMPUTED_VALUE"""),42531.64583333333)</f>
        <v>42531.64583</v>
      </c>
      <c r="C684" s="2">
        <f>IFERROR(__xludf.DUMMYFUNCTION("""COMPUTED_VALUE"""),3183.0)</f>
        <v>3183</v>
      </c>
    </row>
    <row r="685" ht="15.75" customHeight="1">
      <c r="B685" s="3">
        <f>IFERROR(__xludf.DUMMYFUNCTION("""COMPUTED_VALUE"""),42538.64583333333)</f>
        <v>42538.64583</v>
      </c>
      <c r="C685" s="2">
        <f>IFERROR(__xludf.DUMMYFUNCTION("""COMPUTED_VALUE"""),3109.2)</f>
        <v>3109.2</v>
      </c>
    </row>
    <row r="686" ht="15.75" customHeight="1">
      <c r="B686" s="3">
        <f>IFERROR(__xludf.DUMMYFUNCTION("""COMPUTED_VALUE"""),42545.64583333333)</f>
        <v>42545.64583</v>
      </c>
      <c r="C686" s="2">
        <f>IFERROR(__xludf.DUMMYFUNCTION("""COMPUTED_VALUE"""),3178.95)</f>
        <v>3178.95</v>
      </c>
    </row>
    <row r="687" ht="15.75" customHeight="1">
      <c r="B687" s="3">
        <f>IFERROR(__xludf.DUMMYFUNCTION("""COMPUTED_VALUE"""),42552.64583333333)</f>
        <v>42552.64583</v>
      </c>
      <c r="C687" s="2">
        <f>IFERROR(__xludf.DUMMYFUNCTION("""COMPUTED_VALUE"""),3505.75)</f>
        <v>3505.75</v>
      </c>
    </row>
    <row r="688" ht="15.75" customHeight="1">
      <c r="B688" s="3">
        <f>IFERROR(__xludf.DUMMYFUNCTION("""COMPUTED_VALUE"""),42559.64583333333)</f>
        <v>42559.64583</v>
      </c>
      <c r="C688" s="2">
        <f>IFERROR(__xludf.DUMMYFUNCTION("""COMPUTED_VALUE"""),3572.0)</f>
        <v>3572</v>
      </c>
    </row>
    <row r="689" ht="15.75" customHeight="1">
      <c r="B689" s="3">
        <f>IFERROR(__xludf.DUMMYFUNCTION("""COMPUTED_VALUE"""),42566.64583333333)</f>
        <v>42566.64583</v>
      </c>
      <c r="C689" s="2">
        <f>IFERROR(__xludf.DUMMYFUNCTION("""COMPUTED_VALUE"""),3639.0)</f>
        <v>3639</v>
      </c>
    </row>
    <row r="690" ht="15.75" customHeight="1">
      <c r="B690" s="3">
        <f>IFERROR(__xludf.DUMMYFUNCTION("""COMPUTED_VALUE"""),42573.64583333333)</f>
        <v>42573.64583</v>
      </c>
      <c r="C690" s="2">
        <f>IFERROR(__xludf.DUMMYFUNCTION("""COMPUTED_VALUE"""),3689.85)</f>
        <v>3689.85</v>
      </c>
    </row>
    <row r="691" ht="15.75" customHeight="1">
      <c r="B691" s="3">
        <f>IFERROR(__xludf.DUMMYFUNCTION("""COMPUTED_VALUE"""),42580.64583333333)</f>
        <v>42580.64583</v>
      </c>
      <c r="C691" s="2">
        <f>IFERROR(__xludf.DUMMYFUNCTION("""COMPUTED_VALUE"""),3579.15)</f>
        <v>3579.15</v>
      </c>
    </row>
    <row r="692" ht="15.75" customHeight="1">
      <c r="B692" s="3">
        <f>IFERROR(__xludf.DUMMYFUNCTION("""COMPUTED_VALUE"""),42587.64583333333)</f>
        <v>42587.64583</v>
      </c>
      <c r="C692" s="2">
        <f>IFERROR(__xludf.DUMMYFUNCTION("""COMPUTED_VALUE"""),3015.0)</f>
        <v>3015</v>
      </c>
    </row>
    <row r="693" ht="15.75" customHeight="1">
      <c r="B693" s="3">
        <f>IFERROR(__xludf.DUMMYFUNCTION("""COMPUTED_VALUE"""),42594.64583333333)</f>
        <v>42594.64583</v>
      </c>
      <c r="C693" s="2">
        <f>IFERROR(__xludf.DUMMYFUNCTION("""COMPUTED_VALUE"""),3058.3)</f>
        <v>3058.3</v>
      </c>
    </row>
    <row r="694" ht="15.75" customHeight="1">
      <c r="B694" s="3">
        <f>IFERROR(__xludf.DUMMYFUNCTION("""COMPUTED_VALUE"""),42601.64583333333)</f>
        <v>42601.64583</v>
      </c>
      <c r="C694" s="2">
        <f>IFERROR(__xludf.DUMMYFUNCTION("""COMPUTED_VALUE"""),3043.0)</f>
        <v>3043</v>
      </c>
    </row>
    <row r="695" ht="15.75" customHeight="1">
      <c r="B695" s="3">
        <f>IFERROR(__xludf.DUMMYFUNCTION("""COMPUTED_VALUE"""),42608.64583333333)</f>
        <v>42608.64583</v>
      </c>
      <c r="C695" s="2">
        <f>IFERROR(__xludf.DUMMYFUNCTION("""COMPUTED_VALUE"""),3078.0)</f>
        <v>3078</v>
      </c>
    </row>
    <row r="696" ht="15.75" customHeight="1">
      <c r="B696" s="3">
        <f>IFERROR(__xludf.DUMMYFUNCTION("""COMPUTED_VALUE"""),42615.64583333333)</f>
        <v>42615.64583</v>
      </c>
      <c r="C696" s="2">
        <f>IFERROR(__xludf.DUMMYFUNCTION("""COMPUTED_VALUE"""),3139.0)</f>
        <v>3139</v>
      </c>
    </row>
    <row r="697" ht="15.75" customHeight="1">
      <c r="B697" s="3">
        <f>IFERROR(__xludf.DUMMYFUNCTION("""COMPUTED_VALUE"""),42622.64583333333)</f>
        <v>42622.64583</v>
      </c>
      <c r="C697" s="2">
        <f>IFERROR(__xludf.DUMMYFUNCTION("""COMPUTED_VALUE"""),3225.0)</f>
        <v>3225</v>
      </c>
    </row>
    <row r="698" ht="15.75" customHeight="1">
      <c r="B698" s="3">
        <f>IFERROR(__xludf.DUMMYFUNCTION("""COMPUTED_VALUE"""),42629.64583333333)</f>
        <v>42629.64583</v>
      </c>
      <c r="C698" s="2">
        <f>IFERROR(__xludf.DUMMYFUNCTION("""COMPUTED_VALUE"""),3185.0)</f>
        <v>3185</v>
      </c>
    </row>
    <row r="699" ht="15.75" customHeight="1">
      <c r="B699" s="3">
        <f>IFERROR(__xludf.DUMMYFUNCTION("""COMPUTED_VALUE"""),42636.64583333333)</f>
        <v>42636.64583</v>
      </c>
      <c r="C699" s="2">
        <f>IFERROR(__xludf.DUMMYFUNCTION("""COMPUTED_VALUE"""),3200.0)</f>
        <v>3200</v>
      </c>
    </row>
    <row r="700" ht="15.75" customHeight="1">
      <c r="B700" s="3">
        <f>IFERROR(__xludf.DUMMYFUNCTION("""COMPUTED_VALUE"""),42643.64583333333)</f>
        <v>42643.64583</v>
      </c>
      <c r="C700" s="2">
        <f>IFERROR(__xludf.DUMMYFUNCTION("""COMPUTED_VALUE"""),3227.7)</f>
        <v>3227.7</v>
      </c>
    </row>
    <row r="701" ht="15.75" customHeight="1">
      <c r="B701" s="3">
        <f>IFERROR(__xludf.DUMMYFUNCTION("""COMPUTED_VALUE"""),42650.64583333333)</f>
        <v>42650.64583</v>
      </c>
      <c r="C701" s="2">
        <f>IFERROR(__xludf.DUMMYFUNCTION("""COMPUTED_VALUE"""),3185.0)</f>
        <v>3185</v>
      </c>
    </row>
    <row r="702" ht="15.75" customHeight="1">
      <c r="B702" s="3">
        <f>IFERROR(__xludf.DUMMYFUNCTION("""COMPUTED_VALUE"""),42657.64583333333)</f>
        <v>42657.64583</v>
      </c>
      <c r="C702" s="2">
        <f>IFERROR(__xludf.DUMMYFUNCTION("""COMPUTED_VALUE"""),3098.8)</f>
        <v>3098.8</v>
      </c>
    </row>
    <row r="703" ht="15.75" customHeight="1">
      <c r="B703" s="3">
        <f>IFERROR(__xludf.DUMMYFUNCTION("""COMPUTED_VALUE"""),42664.64583333333)</f>
        <v>42664.64583</v>
      </c>
      <c r="C703" s="2">
        <f>IFERROR(__xludf.DUMMYFUNCTION("""COMPUTED_VALUE"""),3143.0)</f>
        <v>3143</v>
      </c>
    </row>
    <row r="704" ht="15.75" customHeight="1">
      <c r="B704" s="3">
        <f>IFERROR(__xludf.DUMMYFUNCTION("""COMPUTED_VALUE"""),42671.64583333333)</f>
        <v>42671.64583</v>
      </c>
      <c r="C704" s="2">
        <f>IFERROR(__xludf.DUMMYFUNCTION("""COMPUTED_VALUE"""),3399.9)</f>
        <v>3399.9</v>
      </c>
    </row>
    <row r="705" ht="15.75" customHeight="1">
      <c r="B705" s="3">
        <f>IFERROR(__xludf.DUMMYFUNCTION("""COMPUTED_VALUE"""),42678.64583333333)</f>
        <v>42678.64583</v>
      </c>
      <c r="C705" s="2">
        <f>IFERROR(__xludf.DUMMYFUNCTION("""COMPUTED_VALUE"""),3372.75)</f>
        <v>3372.75</v>
      </c>
    </row>
    <row r="706" ht="15.75" customHeight="1">
      <c r="B706" s="3">
        <f>IFERROR(__xludf.DUMMYFUNCTION("""COMPUTED_VALUE"""),42685.64583333333)</f>
        <v>42685.64583</v>
      </c>
      <c r="C706" s="2">
        <f>IFERROR(__xludf.DUMMYFUNCTION("""COMPUTED_VALUE"""),3341.0)</f>
        <v>3341</v>
      </c>
    </row>
    <row r="707" ht="15.75" customHeight="1">
      <c r="B707" s="3">
        <f>IFERROR(__xludf.DUMMYFUNCTION("""COMPUTED_VALUE"""),42692.64583333333)</f>
        <v>42692.64583</v>
      </c>
      <c r="C707" s="2">
        <f>IFERROR(__xludf.DUMMYFUNCTION("""COMPUTED_VALUE"""),3354.95)</f>
        <v>3354.95</v>
      </c>
    </row>
    <row r="708" ht="15.75" customHeight="1">
      <c r="B708" s="3">
        <f>IFERROR(__xludf.DUMMYFUNCTION("""COMPUTED_VALUE"""),42699.64583333333)</f>
        <v>42699.64583</v>
      </c>
      <c r="C708" s="2">
        <f>IFERROR(__xludf.DUMMYFUNCTION("""COMPUTED_VALUE"""),3203.65)</f>
        <v>3203.65</v>
      </c>
    </row>
    <row r="709" ht="15.75" customHeight="1">
      <c r="B709" s="3">
        <f>IFERROR(__xludf.DUMMYFUNCTION("""COMPUTED_VALUE"""),42706.64583333333)</f>
        <v>42706.64583</v>
      </c>
      <c r="C709" s="2">
        <f>IFERROR(__xludf.DUMMYFUNCTION("""COMPUTED_VALUE"""),3247.25)</f>
        <v>3247.25</v>
      </c>
    </row>
    <row r="710" ht="15.75" customHeight="1">
      <c r="B710" s="3">
        <f>IFERROR(__xludf.DUMMYFUNCTION("""COMPUTED_VALUE"""),42713.64583333333)</f>
        <v>42713.64583</v>
      </c>
      <c r="C710" s="2">
        <f>IFERROR(__xludf.DUMMYFUNCTION("""COMPUTED_VALUE"""),3241.55)</f>
        <v>3241.55</v>
      </c>
    </row>
    <row r="711" ht="15.75" customHeight="1">
      <c r="B711" s="3">
        <f>IFERROR(__xludf.DUMMYFUNCTION("""COMPUTED_VALUE"""),42720.64583333333)</f>
        <v>42720.64583</v>
      </c>
      <c r="C711" s="2">
        <f>IFERROR(__xludf.DUMMYFUNCTION("""COMPUTED_VALUE"""),3189.0)</f>
        <v>3189</v>
      </c>
    </row>
    <row r="712" ht="15.75" customHeight="1">
      <c r="B712" s="3">
        <f>IFERROR(__xludf.DUMMYFUNCTION("""COMPUTED_VALUE"""),42727.64583333333)</f>
        <v>42727.64583</v>
      </c>
      <c r="C712" s="2">
        <f>IFERROR(__xludf.DUMMYFUNCTION("""COMPUTED_VALUE"""),3115.0)</f>
        <v>3115</v>
      </c>
    </row>
    <row r="713" ht="15.75" customHeight="1">
      <c r="B713" s="3">
        <f>IFERROR(__xludf.DUMMYFUNCTION("""COMPUTED_VALUE"""),42734.64583333333)</f>
        <v>42734.64583</v>
      </c>
      <c r="C713" s="2">
        <f>IFERROR(__xludf.DUMMYFUNCTION("""COMPUTED_VALUE"""),3111.75)</f>
        <v>3111.75</v>
      </c>
    </row>
    <row r="714" ht="15.75" customHeight="1"/>
    <row r="715" ht="15.75" customHeight="1"/>
    <row r="716" ht="15.75" customHeight="1">
      <c r="B716" s="2" t="str">
        <f>IFERROR(__xludf.DUMMYFUNCTION("GOOGLEFINANCE(""NSE:DRREDDY"", ""high"",DATE(2017,1,1),DATE(2018,1,1),""weekly"")"),"Date")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IFERROR(__xludf.DUMMYFUNCTION("""COMPUTED_VALUE"""),42741.64583333333)</f>
        <v>42741.64583</v>
      </c>
      <c r="C717" s="2">
        <f>IFERROR(__xludf.DUMMYFUNCTION("""COMPUTED_VALUE"""),3203.85)</f>
        <v>3203.85</v>
      </c>
    </row>
    <row r="718" ht="15.75" customHeight="1">
      <c r="B718" s="3">
        <f>IFERROR(__xludf.DUMMYFUNCTION("""COMPUTED_VALUE"""),42748.64583333333)</f>
        <v>42748.64583</v>
      </c>
      <c r="C718" s="2">
        <f>IFERROR(__xludf.DUMMYFUNCTION("""COMPUTED_VALUE"""),3154.0)</f>
        <v>3154</v>
      </c>
    </row>
    <row r="719" ht="15.75" customHeight="1">
      <c r="B719" s="3">
        <f>IFERROR(__xludf.DUMMYFUNCTION("""COMPUTED_VALUE"""),42755.64583333333)</f>
        <v>42755.64583</v>
      </c>
      <c r="C719" s="2">
        <f>IFERROR(__xludf.DUMMYFUNCTION("""COMPUTED_VALUE"""),3007.0)</f>
        <v>3007</v>
      </c>
    </row>
    <row r="720" ht="15.75" customHeight="1">
      <c r="B720" s="3">
        <f>IFERROR(__xludf.DUMMYFUNCTION("""COMPUTED_VALUE"""),42762.64583333333)</f>
        <v>42762.64583</v>
      </c>
      <c r="C720" s="2">
        <f>IFERROR(__xludf.DUMMYFUNCTION("""COMPUTED_VALUE"""),3011.55)</f>
        <v>3011.55</v>
      </c>
    </row>
    <row r="721" ht="15.75" customHeight="1">
      <c r="B721" s="3">
        <f>IFERROR(__xludf.DUMMYFUNCTION("""COMPUTED_VALUE"""),42769.64583333333)</f>
        <v>42769.64583</v>
      </c>
      <c r="C721" s="2">
        <f>IFERROR(__xludf.DUMMYFUNCTION("""COMPUTED_VALUE"""),3159.0)</f>
        <v>3159</v>
      </c>
    </row>
    <row r="722" ht="15.75" customHeight="1">
      <c r="B722" s="3">
        <f>IFERROR(__xludf.DUMMYFUNCTION("""COMPUTED_VALUE"""),42776.64583333333)</f>
        <v>42776.64583</v>
      </c>
      <c r="C722" s="2">
        <f>IFERROR(__xludf.DUMMYFUNCTION("""COMPUTED_VALUE"""),3177.0)</f>
        <v>3177</v>
      </c>
    </row>
    <row r="723" ht="15.75" customHeight="1">
      <c r="B723" s="3">
        <f>IFERROR(__xludf.DUMMYFUNCTION("""COMPUTED_VALUE"""),42783.64583333333)</f>
        <v>42783.64583</v>
      </c>
      <c r="C723" s="2">
        <f>IFERROR(__xludf.DUMMYFUNCTION("""COMPUTED_VALUE"""),2988.25)</f>
        <v>2988.25</v>
      </c>
    </row>
    <row r="724" ht="15.75" customHeight="1">
      <c r="B724" s="3">
        <f>IFERROR(__xludf.DUMMYFUNCTION("""COMPUTED_VALUE"""),42789.64583333333)</f>
        <v>42789.64583</v>
      </c>
      <c r="C724" s="2">
        <f>IFERROR(__xludf.DUMMYFUNCTION("""COMPUTED_VALUE"""),2935.1)</f>
        <v>2935.1</v>
      </c>
    </row>
    <row r="725" ht="15.75" customHeight="1">
      <c r="B725" s="3">
        <f>IFERROR(__xludf.DUMMYFUNCTION("""COMPUTED_VALUE"""),42797.64583333333)</f>
        <v>42797.64583</v>
      </c>
      <c r="C725" s="2">
        <f>IFERROR(__xludf.DUMMYFUNCTION("""COMPUTED_VALUE"""),2948.8)</f>
        <v>2948.8</v>
      </c>
    </row>
    <row r="726" ht="15.75" customHeight="1">
      <c r="B726" s="3">
        <f>IFERROR(__xludf.DUMMYFUNCTION("""COMPUTED_VALUE"""),42804.64583333333)</f>
        <v>42804.64583</v>
      </c>
      <c r="C726" s="2">
        <f>IFERROR(__xludf.DUMMYFUNCTION("""COMPUTED_VALUE"""),2884.0)</f>
        <v>2884</v>
      </c>
    </row>
    <row r="727" ht="15.75" customHeight="1">
      <c r="B727" s="3">
        <f>IFERROR(__xludf.DUMMYFUNCTION("""COMPUTED_VALUE"""),42811.64583333333)</f>
        <v>42811.64583</v>
      </c>
      <c r="C727" s="2">
        <f>IFERROR(__xludf.DUMMYFUNCTION("""COMPUTED_VALUE"""),2765.0)</f>
        <v>2765</v>
      </c>
    </row>
    <row r="728" ht="15.75" customHeight="1">
      <c r="B728" s="3">
        <f>IFERROR(__xludf.DUMMYFUNCTION("""COMPUTED_VALUE"""),42818.64583333333)</f>
        <v>42818.64583</v>
      </c>
      <c r="C728" s="2">
        <f>IFERROR(__xludf.DUMMYFUNCTION("""COMPUTED_VALUE"""),2746.0)</f>
        <v>2746</v>
      </c>
    </row>
    <row r="729" ht="15.75" customHeight="1">
      <c r="B729" s="3">
        <f>IFERROR(__xludf.DUMMYFUNCTION("""COMPUTED_VALUE"""),42825.64583333333)</f>
        <v>42825.64583</v>
      </c>
      <c r="C729" s="2">
        <f>IFERROR(__xludf.DUMMYFUNCTION("""COMPUTED_VALUE"""),2649.05)</f>
        <v>2649.05</v>
      </c>
    </row>
    <row r="730" ht="15.75" customHeight="1">
      <c r="B730" s="3">
        <f>IFERROR(__xludf.DUMMYFUNCTION("""COMPUTED_VALUE"""),42832.64583333333)</f>
        <v>42832.64583</v>
      </c>
      <c r="C730" s="2">
        <f>IFERROR(__xludf.DUMMYFUNCTION("""COMPUTED_VALUE"""),2770.0)</f>
        <v>2770</v>
      </c>
    </row>
    <row r="731" ht="15.75" customHeight="1">
      <c r="B731" s="3">
        <f>IFERROR(__xludf.DUMMYFUNCTION("""COMPUTED_VALUE"""),42838.64583333333)</f>
        <v>42838.64583</v>
      </c>
      <c r="C731" s="2">
        <f>IFERROR(__xludf.DUMMYFUNCTION("""COMPUTED_VALUE"""),2670.75)</f>
        <v>2670.75</v>
      </c>
    </row>
    <row r="732" ht="15.75" customHeight="1">
      <c r="B732" s="3">
        <f>IFERROR(__xludf.DUMMYFUNCTION("""COMPUTED_VALUE"""),42846.64583333333)</f>
        <v>42846.64583</v>
      </c>
      <c r="C732" s="2">
        <f>IFERROR(__xludf.DUMMYFUNCTION("""COMPUTED_VALUE"""),2723.5)</f>
        <v>2723.5</v>
      </c>
    </row>
    <row r="733" ht="15.75" customHeight="1">
      <c r="B733" s="3">
        <f>IFERROR(__xludf.DUMMYFUNCTION("""COMPUTED_VALUE"""),42853.64583333333)</f>
        <v>42853.64583</v>
      </c>
      <c r="C733" s="2">
        <f>IFERROR(__xludf.DUMMYFUNCTION("""COMPUTED_VALUE"""),2651.6)</f>
        <v>2651.6</v>
      </c>
    </row>
    <row r="734" ht="15.75" customHeight="1">
      <c r="B734" s="3">
        <f>IFERROR(__xludf.DUMMYFUNCTION("""COMPUTED_VALUE"""),42860.64583333333)</f>
        <v>42860.64583</v>
      </c>
      <c r="C734" s="2">
        <f>IFERROR(__xludf.DUMMYFUNCTION("""COMPUTED_VALUE"""),2625.0)</f>
        <v>2625</v>
      </c>
    </row>
    <row r="735" ht="15.75" customHeight="1">
      <c r="B735" s="3">
        <f>IFERROR(__xludf.DUMMYFUNCTION("""COMPUTED_VALUE"""),42867.64583333333)</f>
        <v>42867.64583</v>
      </c>
      <c r="C735" s="2">
        <f>IFERROR(__xludf.DUMMYFUNCTION("""COMPUTED_VALUE"""),2622.9)</f>
        <v>2622.9</v>
      </c>
    </row>
    <row r="736" ht="15.75" customHeight="1">
      <c r="B736" s="3">
        <f>IFERROR(__xludf.DUMMYFUNCTION("""COMPUTED_VALUE"""),42874.64583333333)</f>
        <v>42874.64583</v>
      </c>
      <c r="C736" s="2">
        <f>IFERROR(__xludf.DUMMYFUNCTION("""COMPUTED_VALUE"""),2760.0)</f>
        <v>2760</v>
      </c>
    </row>
    <row r="737" ht="15.75" customHeight="1">
      <c r="B737" s="3">
        <f>IFERROR(__xludf.DUMMYFUNCTION("""COMPUTED_VALUE"""),42881.64583333333)</f>
        <v>42881.64583</v>
      </c>
      <c r="C737" s="2">
        <f>IFERROR(__xludf.DUMMYFUNCTION("""COMPUTED_VALUE"""),2681.95)</f>
        <v>2681.95</v>
      </c>
    </row>
    <row r="738" ht="15.75" customHeight="1">
      <c r="B738" s="3">
        <f>IFERROR(__xludf.DUMMYFUNCTION("""COMPUTED_VALUE"""),42888.64583333333)</f>
        <v>42888.64583</v>
      </c>
      <c r="C738" s="2">
        <f>IFERROR(__xludf.DUMMYFUNCTION("""COMPUTED_VALUE"""),2574.8)</f>
        <v>2574.8</v>
      </c>
    </row>
    <row r="739" ht="15.75" customHeight="1">
      <c r="B739" s="3">
        <f>IFERROR(__xludf.DUMMYFUNCTION("""COMPUTED_VALUE"""),42895.64583333333)</f>
        <v>42895.64583</v>
      </c>
      <c r="C739" s="2">
        <f>IFERROR(__xludf.DUMMYFUNCTION("""COMPUTED_VALUE"""),2666.25)</f>
        <v>2666.25</v>
      </c>
    </row>
    <row r="740" ht="15.75" customHeight="1">
      <c r="B740" s="3">
        <f>IFERROR(__xludf.DUMMYFUNCTION("""COMPUTED_VALUE"""),42902.64583333333)</f>
        <v>42902.64583</v>
      </c>
      <c r="C740" s="2">
        <f>IFERROR(__xludf.DUMMYFUNCTION("""COMPUTED_VALUE"""),2720.95)</f>
        <v>2720.95</v>
      </c>
    </row>
    <row r="741" ht="15.75" customHeight="1">
      <c r="B741" s="3">
        <f>IFERROR(__xludf.DUMMYFUNCTION("""COMPUTED_VALUE"""),42909.64583333333)</f>
        <v>42909.64583</v>
      </c>
      <c r="C741" s="2">
        <f>IFERROR(__xludf.DUMMYFUNCTION("""COMPUTED_VALUE"""),2699.9)</f>
        <v>2699.9</v>
      </c>
    </row>
    <row r="742" ht="15.75" customHeight="1">
      <c r="B742" s="3">
        <f>IFERROR(__xludf.DUMMYFUNCTION("""COMPUTED_VALUE"""),42916.64583333333)</f>
        <v>42916.64583</v>
      </c>
      <c r="C742" s="2">
        <f>IFERROR(__xludf.DUMMYFUNCTION("""COMPUTED_VALUE"""),2711.0)</f>
        <v>2711</v>
      </c>
    </row>
    <row r="743" ht="15.75" customHeight="1">
      <c r="B743" s="3">
        <f>IFERROR(__xludf.DUMMYFUNCTION("""COMPUTED_VALUE"""),42923.64583333333)</f>
        <v>42923.64583</v>
      </c>
      <c r="C743" s="2">
        <f>IFERROR(__xludf.DUMMYFUNCTION("""COMPUTED_VALUE"""),2729.5)</f>
        <v>2729.5</v>
      </c>
    </row>
    <row r="744" ht="15.75" customHeight="1">
      <c r="B744" s="3">
        <f>IFERROR(__xludf.DUMMYFUNCTION("""COMPUTED_VALUE"""),42930.64583333333)</f>
        <v>42930.64583</v>
      </c>
      <c r="C744" s="2">
        <f>IFERROR(__xludf.DUMMYFUNCTION("""COMPUTED_VALUE"""),2745.5)</f>
        <v>2745.5</v>
      </c>
    </row>
    <row r="745" ht="15.75" customHeight="1">
      <c r="B745" s="3">
        <f>IFERROR(__xludf.DUMMYFUNCTION("""COMPUTED_VALUE"""),42937.64583333333)</f>
        <v>42937.64583</v>
      </c>
      <c r="C745" s="2">
        <f>IFERROR(__xludf.DUMMYFUNCTION("""COMPUTED_VALUE"""),2784.8)</f>
        <v>2784.8</v>
      </c>
    </row>
    <row r="746" ht="15.75" customHeight="1">
      <c r="B746" s="3">
        <f>IFERROR(__xludf.DUMMYFUNCTION("""COMPUTED_VALUE"""),42944.64583333333)</f>
        <v>42944.64583</v>
      </c>
      <c r="C746" s="2">
        <f>IFERROR(__xludf.DUMMYFUNCTION("""COMPUTED_VALUE"""),2787.0)</f>
        <v>2787</v>
      </c>
    </row>
    <row r="747" ht="15.75" customHeight="1">
      <c r="B747" s="3">
        <f>IFERROR(__xludf.DUMMYFUNCTION("""COMPUTED_VALUE"""),42951.64583333333)</f>
        <v>42951.64583</v>
      </c>
      <c r="C747" s="2">
        <f>IFERROR(__xludf.DUMMYFUNCTION("""COMPUTED_VALUE"""),2458.0)</f>
        <v>2458</v>
      </c>
    </row>
    <row r="748" ht="15.75" customHeight="1">
      <c r="B748" s="3">
        <f>IFERROR(__xludf.DUMMYFUNCTION("""COMPUTED_VALUE"""),42958.64583333333)</f>
        <v>42958.64583</v>
      </c>
      <c r="C748" s="2">
        <f>IFERROR(__xludf.DUMMYFUNCTION("""COMPUTED_VALUE"""),2257.0)</f>
        <v>2257</v>
      </c>
    </row>
    <row r="749" ht="15.75" customHeight="1">
      <c r="B749" s="3">
        <f>IFERROR(__xludf.DUMMYFUNCTION("""COMPUTED_VALUE"""),42965.64583333333)</f>
        <v>42965.64583</v>
      </c>
      <c r="C749" s="2">
        <f>IFERROR(__xludf.DUMMYFUNCTION("""COMPUTED_VALUE"""),2039.9)</f>
        <v>2039.9</v>
      </c>
    </row>
    <row r="750" ht="15.75" customHeight="1">
      <c r="B750" s="3">
        <f>IFERROR(__xludf.DUMMYFUNCTION("""COMPUTED_VALUE"""),42971.64583333333)</f>
        <v>42971.64583</v>
      </c>
      <c r="C750" s="2">
        <f>IFERROR(__xludf.DUMMYFUNCTION("""COMPUTED_VALUE"""),2100.0)</f>
        <v>2100</v>
      </c>
    </row>
    <row r="751" ht="15.75" customHeight="1">
      <c r="B751" s="3">
        <f>IFERROR(__xludf.DUMMYFUNCTION("""COMPUTED_VALUE"""),42979.64583333333)</f>
        <v>42979.64583</v>
      </c>
      <c r="C751" s="2">
        <f>IFERROR(__xludf.DUMMYFUNCTION("""COMPUTED_VALUE"""),2233.0)</f>
        <v>2233</v>
      </c>
    </row>
    <row r="752" ht="15.75" customHeight="1">
      <c r="B752" s="3">
        <f>IFERROR(__xludf.DUMMYFUNCTION("""COMPUTED_VALUE"""),42986.64583333333)</f>
        <v>42986.64583</v>
      </c>
      <c r="C752" s="2">
        <f>IFERROR(__xludf.DUMMYFUNCTION("""COMPUTED_VALUE"""),2236.4)</f>
        <v>2236.4</v>
      </c>
    </row>
    <row r="753" ht="15.75" customHeight="1">
      <c r="B753" s="3">
        <f>IFERROR(__xludf.DUMMYFUNCTION("""COMPUTED_VALUE"""),42993.64583333333)</f>
        <v>42993.64583</v>
      </c>
      <c r="C753" s="2">
        <f>IFERROR(__xludf.DUMMYFUNCTION("""COMPUTED_VALUE"""),2264.95)</f>
        <v>2264.95</v>
      </c>
    </row>
    <row r="754" ht="15.75" customHeight="1">
      <c r="B754" s="3">
        <f>IFERROR(__xludf.DUMMYFUNCTION("""COMPUTED_VALUE"""),43000.64583333333)</f>
        <v>43000.64583</v>
      </c>
      <c r="C754" s="2">
        <f>IFERROR(__xludf.DUMMYFUNCTION("""COMPUTED_VALUE"""),2526.75)</f>
        <v>2526.75</v>
      </c>
    </row>
    <row r="755" ht="15.75" customHeight="1">
      <c r="B755" s="3">
        <f>IFERROR(__xludf.DUMMYFUNCTION("""COMPUTED_VALUE"""),43007.64583333333)</f>
        <v>43007.64583</v>
      </c>
      <c r="C755" s="2">
        <f>IFERROR(__xludf.DUMMYFUNCTION("""COMPUTED_VALUE"""),2475.0)</f>
        <v>2475</v>
      </c>
    </row>
    <row r="756" ht="15.75" customHeight="1">
      <c r="B756" s="3">
        <f>IFERROR(__xludf.DUMMYFUNCTION("""COMPUTED_VALUE"""),43014.64583333333)</f>
        <v>43014.64583</v>
      </c>
      <c r="C756" s="2">
        <f>IFERROR(__xludf.DUMMYFUNCTION("""COMPUTED_VALUE"""),2428.4)</f>
        <v>2428.4</v>
      </c>
    </row>
    <row r="757" ht="15.75" customHeight="1">
      <c r="B757" s="3">
        <f>IFERROR(__xludf.DUMMYFUNCTION("""COMPUTED_VALUE"""),43021.64583333333)</f>
        <v>43021.64583</v>
      </c>
      <c r="C757" s="2">
        <f>IFERROR(__xludf.DUMMYFUNCTION("""COMPUTED_VALUE"""),2433.0)</f>
        <v>2433</v>
      </c>
    </row>
    <row r="758" ht="15.75" customHeight="1">
      <c r="B758" s="3">
        <f>IFERROR(__xludf.DUMMYFUNCTION("""COMPUTED_VALUE"""),43027.83333333333)</f>
        <v>43027.83333</v>
      </c>
      <c r="C758" s="2">
        <f>IFERROR(__xludf.DUMMYFUNCTION("""COMPUTED_VALUE"""),2411.0)</f>
        <v>2411</v>
      </c>
    </row>
    <row r="759" ht="15.75" customHeight="1">
      <c r="B759" s="3">
        <f>IFERROR(__xludf.DUMMYFUNCTION("""COMPUTED_VALUE"""),43035.64583333333)</f>
        <v>43035.64583</v>
      </c>
      <c r="C759" s="2">
        <f>IFERROR(__xludf.DUMMYFUNCTION("""COMPUTED_VALUE"""),2415.0)</f>
        <v>2415</v>
      </c>
    </row>
    <row r="760" ht="15.75" customHeight="1">
      <c r="B760" s="3">
        <f>IFERROR(__xludf.DUMMYFUNCTION("""COMPUTED_VALUE"""),43042.64583333333)</f>
        <v>43042.64583</v>
      </c>
      <c r="C760" s="2">
        <f>IFERROR(__xludf.DUMMYFUNCTION("""COMPUTED_VALUE"""),2504.0)</f>
        <v>2504</v>
      </c>
    </row>
    <row r="761" ht="15.75" customHeight="1">
      <c r="B761" s="3">
        <f>IFERROR(__xludf.DUMMYFUNCTION("""COMPUTED_VALUE"""),43049.64583333333)</f>
        <v>43049.64583</v>
      </c>
      <c r="C761" s="2">
        <f>IFERROR(__xludf.DUMMYFUNCTION("""COMPUTED_VALUE"""),2420.0)</f>
        <v>2420</v>
      </c>
    </row>
    <row r="762" ht="15.75" customHeight="1">
      <c r="B762" s="3">
        <f>IFERROR(__xludf.DUMMYFUNCTION("""COMPUTED_VALUE"""),43056.64583333333)</f>
        <v>43056.64583</v>
      </c>
      <c r="C762" s="2">
        <f>IFERROR(__xludf.DUMMYFUNCTION("""COMPUTED_VALUE"""),2375.0)</f>
        <v>2375</v>
      </c>
    </row>
    <row r="763" ht="15.75" customHeight="1">
      <c r="B763" s="3">
        <f>IFERROR(__xludf.DUMMYFUNCTION("""COMPUTED_VALUE"""),43063.64583333333)</f>
        <v>43063.64583</v>
      </c>
      <c r="C763" s="2">
        <f>IFERROR(__xludf.DUMMYFUNCTION("""COMPUTED_VALUE"""),2494.0)</f>
        <v>2494</v>
      </c>
    </row>
    <row r="764" ht="15.75" customHeight="1">
      <c r="B764" s="3">
        <f>IFERROR(__xludf.DUMMYFUNCTION("""COMPUTED_VALUE"""),43070.64583333333)</f>
        <v>43070.64583</v>
      </c>
      <c r="C764" s="2">
        <f>IFERROR(__xludf.DUMMYFUNCTION("""COMPUTED_VALUE"""),2319.9)</f>
        <v>2319.9</v>
      </c>
    </row>
    <row r="765" ht="15.75" customHeight="1">
      <c r="B765" s="3">
        <f>IFERROR(__xludf.DUMMYFUNCTION("""COMPUTED_VALUE"""),43077.64583333333)</f>
        <v>43077.64583</v>
      </c>
      <c r="C765" s="2">
        <f>IFERROR(__xludf.DUMMYFUNCTION("""COMPUTED_VALUE"""),2275.0)</f>
        <v>2275</v>
      </c>
    </row>
    <row r="766" ht="15.75" customHeight="1">
      <c r="B766" s="3">
        <f>IFERROR(__xludf.DUMMYFUNCTION("""COMPUTED_VALUE"""),43084.64583333333)</f>
        <v>43084.64583</v>
      </c>
      <c r="C766" s="2">
        <f>IFERROR(__xludf.DUMMYFUNCTION("""COMPUTED_VALUE"""),2380.0)</f>
        <v>2380</v>
      </c>
    </row>
    <row r="767" ht="15.75" customHeight="1">
      <c r="B767" s="3">
        <f>IFERROR(__xludf.DUMMYFUNCTION("""COMPUTED_VALUE"""),43091.64583333333)</f>
        <v>43091.64583</v>
      </c>
      <c r="C767" s="2">
        <f>IFERROR(__xludf.DUMMYFUNCTION("""COMPUTED_VALUE"""),2428.0)</f>
        <v>2428</v>
      </c>
    </row>
    <row r="768" ht="15.75" customHeight="1">
      <c r="B768" s="3">
        <f>IFERROR(__xludf.DUMMYFUNCTION("""COMPUTED_VALUE"""),43098.64583333333)</f>
        <v>43098.64583</v>
      </c>
      <c r="C768" s="2">
        <f>IFERROR(__xludf.DUMMYFUNCTION("""COMPUTED_VALUE"""),2448.4)</f>
        <v>2448.4</v>
      </c>
    </row>
    <row r="769" ht="15.75" customHeight="1"/>
    <row r="770" ht="15.75" customHeight="1"/>
    <row r="771" ht="15.75" customHeight="1">
      <c r="B771" s="2" t="str">
        <f>IFERROR(__xludf.DUMMYFUNCTION("GOOGLEFINANCE(""NSE:DRREDDY"", ""high"",DATE(2018,1,1),DATE(2019,1,1),""weekly"")"),"Date")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IFERROR(__xludf.DUMMYFUNCTION("""COMPUTED_VALUE"""),43105.64583333333)</f>
        <v>43105.64583</v>
      </c>
      <c r="C772" s="2">
        <f>IFERROR(__xludf.DUMMYFUNCTION("""COMPUTED_VALUE"""),2479.0)</f>
        <v>2479</v>
      </c>
    </row>
    <row r="773" ht="15.75" customHeight="1">
      <c r="B773" s="3">
        <f>IFERROR(__xludf.DUMMYFUNCTION("""COMPUTED_VALUE"""),43112.64583333333)</f>
        <v>43112.64583</v>
      </c>
      <c r="C773" s="2">
        <f>IFERROR(__xludf.DUMMYFUNCTION("""COMPUTED_VALUE"""),2512.0)</f>
        <v>2512</v>
      </c>
    </row>
    <row r="774" ht="15.75" customHeight="1">
      <c r="B774" s="3">
        <f>IFERROR(__xludf.DUMMYFUNCTION("""COMPUTED_VALUE"""),43119.64583333333)</f>
        <v>43119.64583</v>
      </c>
      <c r="C774" s="2">
        <f>IFERROR(__xludf.DUMMYFUNCTION("""COMPUTED_VALUE"""),2534.0)</f>
        <v>2534</v>
      </c>
    </row>
    <row r="775" ht="15.75" customHeight="1">
      <c r="B775" s="3">
        <f>IFERROR(__xludf.DUMMYFUNCTION("""COMPUTED_VALUE"""),43125.64583333333)</f>
        <v>43125.64583</v>
      </c>
      <c r="C775" s="2">
        <f>IFERROR(__xludf.DUMMYFUNCTION("""COMPUTED_VALUE"""),2615.0)</f>
        <v>2615</v>
      </c>
    </row>
    <row r="776" ht="15.75" customHeight="1">
      <c r="B776" s="3">
        <f>IFERROR(__xludf.DUMMYFUNCTION("""COMPUTED_VALUE"""),43133.64583333333)</f>
        <v>43133.64583</v>
      </c>
      <c r="C776" s="2">
        <f>IFERROR(__xludf.DUMMYFUNCTION("""COMPUTED_VALUE"""),2452.0)</f>
        <v>2452</v>
      </c>
    </row>
    <row r="777" ht="15.75" customHeight="1">
      <c r="B777" s="3">
        <f>IFERROR(__xludf.DUMMYFUNCTION("""COMPUTED_VALUE"""),43140.64583333333)</f>
        <v>43140.64583</v>
      </c>
      <c r="C777" s="2">
        <f>IFERROR(__xludf.DUMMYFUNCTION("""COMPUTED_VALUE"""),2208.0)</f>
        <v>2208</v>
      </c>
    </row>
    <row r="778" ht="15.75" customHeight="1">
      <c r="B778" s="3">
        <f>IFERROR(__xludf.DUMMYFUNCTION("""COMPUTED_VALUE"""),43147.64583333333)</f>
        <v>43147.64583</v>
      </c>
      <c r="C778" s="2">
        <f>IFERROR(__xludf.DUMMYFUNCTION("""COMPUTED_VALUE"""),2240.0)</f>
        <v>2240</v>
      </c>
    </row>
    <row r="779" ht="15.75" customHeight="1">
      <c r="B779" s="3">
        <f>IFERROR(__xludf.DUMMYFUNCTION("""COMPUTED_VALUE"""),43154.64583333333)</f>
        <v>43154.64583</v>
      </c>
      <c r="C779" s="2">
        <f>IFERROR(__xludf.DUMMYFUNCTION("""COMPUTED_VALUE"""),2233.95)</f>
        <v>2233.95</v>
      </c>
    </row>
    <row r="780" ht="15.75" customHeight="1">
      <c r="B780" s="3">
        <f>IFERROR(__xludf.DUMMYFUNCTION("""COMPUTED_VALUE"""),43160.64583333333)</f>
        <v>43160.64583</v>
      </c>
      <c r="C780" s="2">
        <f>IFERROR(__xludf.DUMMYFUNCTION("""COMPUTED_VALUE"""),2266.95)</f>
        <v>2266.95</v>
      </c>
    </row>
    <row r="781" ht="15.75" customHeight="1">
      <c r="B781" s="3">
        <f>IFERROR(__xludf.DUMMYFUNCTION("""COMPUTED_VALUE"""),43168.64583333333)</f>
        <v>43168.64583</v>
      </c>
      <c r="C781" s="2">
        <f>IFERROR(__xludf.DUMMYFUNCTION("""COMPUTED_VALUE"""),2239.9)</f>
        <v>2239.9</v>
      </c>
    </row>
    <row r="782" ht="15.75" customHeight="1">
      <c r="B782" s="3">
        <f>IFERROR(__xludf.DUMMYFUNCTION("""COMPUTED_VALUE"""),43175.64583333333)</f>
        <v>43175.64583</v>
      </c>
      <c r="C782" s="2">
        <f>IFERROR(__xludf.DUMMYFUNCTION("""COMPUTED_VALUE"""),2218.4)</f>
        <v>2218.4</v>
      </c>
    </row>
    <row r="783" ht="15.75" customHeight="1">
      <c r="B783" s="3">
        <f>IFERROR(__xludf.DUMMYFUNCTION("""COMPUTED_VALUE"""),43182.64583333333)</f>
        <v>43182.64583</v>
      </c>
      <c r="C783" s="2">
        <f>IFERROR(__xludf.DUMMYFUNCTION("""COMPUTED_VALUE"""),2179.85)</f>
        <v>2179.85</v>
      </c>
    </row>
    <row r="784" ht="15.75" customHeight="1">
      <c r="B784" s="3">
        <f>IFERROR(__xludf.DUMMYFUNCTION("""COMPUTED_VALUE"""),43187.64583333333)</f>
        <v>43187.64583</v>
      </c>
      <c r="C784" s="2">
        <f>IFERROR(__xludf.DUMMYFUNCTION("""COMPUTED_VALUE"""),2119.0)</f>
        <v>2119</v>
      </c>
    </row>
    <row r="785" ht="15.75" customHeight="1">
      <c r="B785" s="3">
        <f>IFERROR(__xludf.DUMMYFUNCTION("""COMPUTED_VALUE"""),43196.64583333333)</f>
        <v>43196.64583</v>
      </c>
      <c r="C785" s="2">
        <f>IFERROR(__xludf.DUMMYFUNCTION("""COMPUTED_VALUE"""),2149.85)</f>
        <v>2149.85</v>
      </c>
    </row>
    <row r="786" ht="15.75" customHeight="1">
      <c r="B786" s="3">
        <f>IFERROR(__xludf.DUMMYFUNCTION("""COMPUTED_VALUE"""),43203.64583333333)</f>
        <v>43203.64583</v>
      </c>
      <c r="C786" s="2">
        <f>IFERROR(__xludf.DUMMYFUNCTION("""COMPUTED_VALUE"""),2135.4)</f>
        <v>2135.4</v>
      </c>
    </row>
    <row r="787" ht="15.75" customHeight="1">
      <c r="B787" s="3">
        <f>IFERROR(__xludf.DUMMYFUNCTION("""COMPUTED_VALUE"""),43210.64583333333)</f>
        <v>43210.64583</v>
      </c>
      <c r="C787" s="2">
        <f>IFERROR(__xludf.DUMMYFUNCTION("""COMPUTED_VALUE"""),2145.95)</f>
        <v>2145.95</v>
      </c>
    </row>
    <row r="788" ht="15.75" customHeight="1">
      <c r="B788" s="3">
        <f>IFERROR(__xludf.DUMMYFUNCTION("""COMPUTED_VALUE"""),43217.64583333333)</f>
        <v>43217.64583</v>
      </c>
      <c r="C788" s="2">
        <f>IFERROR(__xludf.DUMMYFUNCTION("""COMPUTED_VALUE"""),2180.0)</f>
        <v>2180</v>
      </c>
    </row>
    <row r="789" ht="15.75" customHeight="1">
      <c r="B789" s="3">
        <f>IFERROR(__xludf.DUMMYFUNCTION("""COMPUTED_VALUE"""),43224.64583333333)</f>
        <v>43224.64583</v>
      </c>
      <c r="C789" s="2">
        <f>IFERROR(__xludf.DUMMYFUNCTION("""COMPUTED_VALUE"""),2145.0)</f>
        <v>2145</v>
      </c>
    </row>
    <row r="790" ht="15.75" customHeight="1">
      <c r="B790" s="3">
        <f>IFERROR(__xludf.DUMMYFUNCTION("""COMPUTED_VALUE"""),43231.64583333333)</f>
        <v>43231.64583</v>
      </c>
      <c r="C790" s="2">
        <f>IFERROR(__xludf.DUMMYFUNCTION("""COMPUTED_VALUE"""),2110.75)</f>
        <v>2110.75</v>
      </c>
    </row>
    <row r="791" ht="15.75" customHeight="1">
      <c r="B791" s="3">
        <f>IFERROR(__xludf.DUMMYFUNCTION("""COMPUTED_VALUE"""),43238.64583333333)</f>
        <v>43238.64583</v>
      </c>
      <c r="C791" s="2">
        <f>IFERROR(__xludf.DUMMYFUNCTION("""COMPUTED_VALUE"""),2043.0)</f>
        <v>2043</v>
      </c>
    </row>
    <row r="792" ht="15.75" customHeight="1">
      <c r="B792" s="3">
        <f>IFERROR(__xludf.DUMMYFUNCTION("""COMPUTED_VALUE"""),43245.64583333333)</f>
        <v>43245.64583</v>
      </c>
      <c r="C792" s="2">
        <f>IFERROR(__xludf.DUMMYFUNCTION("""COMPUTED_VALUE"""),2036.0)</f>
        <v>2036</v>
      </c>
    </row>
    <row r="793" ht="15.75" customHeight="1">
      <c r="B793" s="3">
        <f>IFERROR(__xludf.DUMMYFUNCTION("""COMPUTED_VALUE"""),43252.64583333333)</f>
        <v>43252.64583</v>
      </c>
      <c r="C793" s="2">
        <f>IFERROR(__xludf.DUMMYFUNCTION("""COMPUTED_VALUE"""),2014.55)</f>
        <v>2014.55</v>
      </c>
    </row>
    <row r="794" ht="15.75" customHeight="1">
      <c r="B794" s="3">
        <f>IFERROR(__xludf.DUMMYFUNCTION("""COMPUTED_VALUE"""),43259.64583333333)</f>
        <v>43259.64583</v>
      </c>
      <c r="C794" s="2">
        <f>IFERROR(__xludf.DUMMYFUNCTION("""COMPUTED_VALUE"""),2072.6)</f>
        <v>2072.6</v>
      </c>
    </row>
    <row r="795" ht="15.75" customHeight="1">
      <c r="B795" s="3">
        <f>IFERROR(__xludf.DUMMYFUNCTION("""COMPUTED_VALUE"""),43266.64583333333)</f>
        <v>43266.64583</v>
      </c>
      <c r="C795" s="2">
        <f>IFERROR(__xludf.DUMMYFUNCTION("""COMPUTED_VALUE"""),2385.8)</f>
        <v>2385.8</v>
      </c>
    </row>
    <row r="796" ht="15.75" customHeight="1">
      <c r="B796" s="3">
        <f>IFERROR(__xludf.DUMMYFUNCTION("""COMPUTED_VALUE"""),43273.64583333333)</f>
        <v>43273.64583</v>
      </c>
      <c r="C796" s="2">
        <f>IFERROR(__xludf.DUMMYFUNCTION("""COMPUTED_VALUE"""),2429.6)</f>
        <v>2429.6</v>
      </c>
    </row>
    <row r="797" ht="15.75" customHeight="1">
      <c r="B797" s="3">
        <f>IFERROR(__xludf.DUMMYFUNCTION("""COMPUTED_VALUE"""),43280.64583333333)</f>
        <v>43280.64583</v>
      </c>
      <c r="C797" s="2">
        <f>IFERROR(__xludf.DUMMYFUNCTION("""COMPUTED_VALUE"""),2326.8)</f>
        <v>2326.8</v>
      </c>
    </row>
    <row r="798" ht="15.75" customHeight="1">
      <c r="B798" s="3">
        <f>IFERROR(__xludf.DUMMYFUNCTION("""COMPUTED_VALUE"""),43287.64583333333)</f>
        <v>43287.64583</v>
      </c>
      <c r="C798" s="2">
        <f>IFERROR(__xludf.DUMMYFUNCTION("""COMPUTED_VALUE"""),2348.7)</f>
        <v>2348.7</v>
      </c>
    </row>
    <row r="799" ht="15.75" customHeight="1">
      <c r="B799" s="3">
        <f>IFERROR(__xludf.DUMMYFUNCTION("""COMPUTED_VALUE"""),43294.64583333333)</f>
        <v>43294.64583</v>
      </c>
      <c r="C799" s="2">
        <f>IFERROR(__xludf.DUMMYFUNCTION("""COMPUTED_VALUE"""),2387.65)</f>
        <v>2387.65</v>
      </c>
    </row>
    <row r="800" ht="15.75" customHeight="1">
      <c r="B800" s="3">
        <f>IFERROR(__xludf.DUMMYFUNCTION("""COMPUTED_VALUE"""),43301.64583333333)</f>
        <v>43301.64583</v>
      </c>
      <c r="C800" s="2">
        <f>IFERROR(__xludf.DUMMYFUNCTION("""COMPUTED_VALUE"""),2223.1)</f>
        <v>2223.1</v>
      </c>
    </row>
    <row r="801" ht="15.75" customHeight="1">
      <c r="B801" s="3">
        <f>IFERROR(__xludf.DUMMYFUNCTION("""COMPUTED_VALUE"""),43308.64583333333)</f>
        <v>43308.64583</v>
      </c>
      <c r="C801" s="2">
        <f>IFERROR(__xludf.DUMMYFUNCTION("""COMPUTED_VALUE"""),2191.0)</f>
        <v>2191</v>
      </c>
    </row>
    <row r="802" ht="15.75" customHeight="1">
      <c r="B802" s="3">
        <f>IFERROR(__xludf.DUMMYFUNCTION("""COMPUTED_VALUE"""),43315.64583333333)</f>
        <v>43315.64583</v>
      </c>
      <c r="C802" s="2">
        <f>IFERROR(__xludf.DUMMYFUNCTION("""COMPUTED_VALUE"""),2290.0)</f>
        <v>2290</v>
      </c>
    </row>
    <row r="803" ht="15.75" customHeight="1">
      <c r="B803" s="3">
        <f>IFERROR(__xludf.DUMMYFUNCTION("""COMPUTED_VALUE"""),43322.64583333333)</f>
        <v>43322.64583</v>
      </c>
      <c r="C803" s="2">
        <f>IFERROR(__xludf.DUMMYFUNCTION("""COMPUTED_VALUE"""),2325.0)</f>
        <v>2325</v>
      </c>
    </row>
    <row r="804" ht="15.75" customHeight="1">
      <c r="B804" s="3">
        <f>IFERROR(__xludf.DUMMYFUNCTION("""COMPUTED_VALUE"""),43329.64583333333)</f>
        <v>43329.64583</v>
      </c>
      <c r="C804" s="2">
        <f>IFERROR(__xludf.DUMMYFUNCTION("""COMPUTED_VALUE"""),2411.3)</f>
        <v>2411.3</v>
      </c>
    </row>
    <row r="805" ht="15.75" customHeight="1">
      <c r="B805" s="3">
        <f>IFERROR(__xludf.DUMMYFUNCTION("""COMPUTED_VALUE"""),43336.64583333333)</f>
        <v>43336.64583</v>
      </c>
      <c r="C805" s="2">
        <f>IFERROR(__xludf.DUMMYFUNCTION("""COMPUTED_VALUE"""),2520.0)</f>
        <v>2520</v>
      </c>
    </row>
    <row r="806" ht="15.75" customHeight="1">
      <c r="B806" s="3">
        <f>IFERROR(__xludf.DUMMYFUNCTION("""COMPUTED_VALUE"""),43343.64583333333)</f>
        <v>43343.64583</v>
      </c>
      <c r="C806" s="2">
        <f>IFERROR(__xludf.DUMMYFUNCTION("""COMPUTED_VALUE"""),2499.0)</f>
        <v>2499</v>
      </c>
    </row>
    <row r="807" ht="15.75" customHeight="1">
      <c r="B807" s="3">
        <f>IFERROR(__xludf.DUMMYFUNCTION("""COMPUTED_VALUE"""),43350.64583333333)</f>
        <v>43350.64583</v>
      </c>
      <c r="C807" s="2">
        <f>IFERROR(__xludf.DUMMYFUNCTION("""COMPUTED_VALUE"""),2644.3)</f>
        <v>2644.3</v>
      </c>
    </row>
    <row r="808" ht="15.75" customHeight="1">
      <c r="B808" s="3">
        <f>IFERROR(__xludf.DUMMYFUNCTION("""COMPUTED_VALUE"""),43357.64583333333)</f>
        <v>43357.64583</v>
      </c>
      <c r="C808" s="2">
        <f>IFERROR(__xludf.DUMMYFUNCTION("""COMPUTED_VALUE"""),2659.8)</f>
        <v>2659.8</v>
      </c>
    </row>
    <row r="809" ht="15.75" customHeight="1">
      <c r="B809" s="3">
        <f>IFERROR(__xludf.DUMMYFUNCTION("""COMPUTED_VALUE"""),43364.64583333333)</f>
        <v>43364.64583</v>
      </c>
      <c r="C809" s="2">
        <f>IFERROR(__xludf.DUMMYFUNCTION("""COMPUTED_VALUE"""),2670.8)</f>
        <v>2670.8</v>
      </c>
    </row>
    <row r="810" ht="15.75" customHeight="1">
      <c r="B810" s="3">
        <f>IFERROR(__xludf.DUMMYFUNCTION("""COMPUTED_VALUE"""),43371.64583333333)</f>
        <v>43371.64583</v>
      </c>
      <c r="C810" s="2">
        <f>IFERROR(__xludf.DUMMYFUNCTION("""COMPUTED_VALUE"""),2664.2)</f>
        <v>2664.2</v>
      </c>
    </row>
    <row r="811" ht="15.75" customHeight="1">
      <c r="B811" s="3">
        <f>IFERROR(__xludf.DUMMYFUNCTION("""COMPUTED_VALUE"""),43378.64583333333)</f>
        <v>43378.64583</v>
      </c>
      <c r="C811" s="2">
        <f>IFERROR(__xludf.DUMMYFUNCTION("""COMPUTED_VALUE"""),2549.0)</f>
        <v>2549</v>
      </c>
    </row>
    <row r="812" ht="15.75" customHeight="1">
      <c r="B812" s="3">
        <f>IFERROR(__xludf.DUMMYFUNCTION("""COMPUTED_VALUE"""),43385.64583333333)</f>
        <v>43385.64583</v>
      </c>
      <c r="C812" s="2">
        <f>IFERROR(__xludf.DUMMYFUNCTION("""COMPUTED_VALUE"""),2516.0)</f>
        <v>2516</v>
      </c>
    </row>
    <row r="813" ht="15.75" customHeight="1">
      <c r="B813" s="3">
        <f>IFERROR(__xludf.DUMMYFUNCTION("""COMPUTED_VALUE"""),43392.64583333333)</f>
        <v>43392.64583</v>
      </c>
      <c r="C813" s="2">
        <f>IFERROR(__xludf.DUMMYFUNCTION("""COMPUTED_VALUE"""),2599.0)</f>
        <v>2599</v>
      </c>
    </row>
    <row r="814" ht="15.75" customHeight="1">
      <c r="B814" s="3">
        <f>IFERROR(__xludf.DUMMYFUNCTION("""COMPUTED_VALUE"""),43399.64583333333)</f>
        <v>43399.64583</v>
      </c>
      <c r="C814" s="2">
        <f>IFERROR(__xludf.DUMMYFUNCTION("""COMPUTED_VALUE"""),2582.65)</f>
        <v>2582.65</v>
      </c>
    </row>
    <row r="815" ht="15.75" customHeight="1">
      <c r="B815" s="3">
        <f>IFERROR(__xludf.DUMMYFUNCTION("""COMPUTED_VALUE"""),43406.64583333333)</f>
        <v>43406.64583</v>
      </c>
      <c r="C815" s="2">
        <f>IFERROR(__xludf.DUMMYFUNCTION("""COMPUTED_VALUE"""),2610.0)</f>
        <v>2610</v>
      </c>
    </row>
    <row r="816" ht="15.75" customHeight="1">
      <c r="B816" s="3">
        <f>IFERROR(__xludf.DUMMYFUNCTION("""COMPUTED_VALUE"""),43413.64583333333)</f>
        <v>43413.64583</v>
      </c>
      <c r="C816" s="2">
        <f>IFERROR(__xludf.DUMMYFUNCTION("""COMPUTED_VALUE"""),2469.9)</f>
        <v>2469.9</v>
      </c>
    </row>
    <row r="817" ht="15.75" customHeight="1">
      <c r="B817" s="3">
        <f>IFERROR(__xludf.DUMMYFUNCTION("""COMPUTED_VALUE"""),43420.64583333333)</f>
        <v>43420.64583</v>
      </c>
      <c r="C817" s="2">
        <f>IFERROR(__xludf.DUMMYFUNCTION("""COMPUTED_VALUE"""),2497.95)</f>
        <v>2497.95</v>
      </c>
    </row>
    <row r="818" ht="15.75" customHeight="1">
      <c r="B818" s="3">
        <f>IFERROR(__xludf.DUMMYFUNCTION("""COMPUTED_VALUE"""),43426.64583333333)</f>
        <v>43426.64583</v>
      </c>
      <c r="C818" s="2">
        <f>IFERROR(__xludf.DUMMYFUNCTION("""COMPUTED_VALUE"""),2655.0)</f>
        <v>2655</v>
      </c>
    </row>
    <row r="819" ht="15.75" customHeight="1">
      <c r="B819" s="3">
        <f>IFERROR(__xludf.DUMMYFUNCTION("""COMPUTED_VALUE"""),43434.64583333333)</f>
        <v>43434.64583</v>
      </c>
      <c r="C819" s="2">
        <f>IFERROR(__xludf.DUMMYFUNCTION("""COMPUTED_VALUE"""),2734.55)</f>
        <v>2734.55</v>
      </c>
    </row>
    <row r="820" ht="15.75" customHeight="1">
      <c r="B820" s="3">
        <f>IFERROR(__xludf.DUMMYFUNCTION("""COMPUTED_VALUE"""),43441.64583333333)</f>
        <v>43441.64583</v>
      </c>
      <c r="C820" s="2">
        <f>IFERROR(__xludf.DUMMYFUNCTION("""COMPUTED_VALUE"""),2742.6)</f>
        <v>2742.6</v>
      </c>
    </row>
    <row r="821" ht="15.75" customHeight="1">
      <c r="B821" s="3">
        <f>IFERROR(__xludf.DUMMYFUNCTION("""COMPUTED_VALUE"""),43448.64583333333)</f>
        <v>43448.64583</v>
      </c>
      <c r="C821" s="2">
        <f>IFERROR(__xludf.DUMMYFUNCTION("""COMPUTED_VALUE"""),2749.95)</f>
        <v>2749.95</v>
      </c>
    </row>
    <row r="822" ht="15.75" customHeight="1">
      <c r="B822" s="3">
        <f>IFERROR(__xludf.DUMMYFUNCTION("""COMPUTED_VALUE"""),43455.64583333333)</f>
        <v>43455.64583</v>
      </c>
      <c r="C822" s="2">
        <f>IFERROR(__xludf.DUMMYFUNCTION("""COMPUTED_VALUE"""),2651.0)</f>
        <v>2651</v>
      </c>
    </row>
    <row r="823" ht="15.75" customHeight="1">
      <c r="B823" s="3">
        <f>IFERROR(__xludf.DUMMYFUNCTION("""COMPUTED_VALUE"""),43462.64583333333)</f>
        <v>43462.64583</v>
      </c>
      <c r="C823" s="2">
        <f>IFERROR(__xludf.DUMMYFUNCTION("""COMPUTED_VALUE"""),2645.0)</f>
        <v>2645</v>
      </c>
    </row>
    <row r="824" ht="15.75" customHeight="1"/>
    <row r="825" ht="15.75" customHeight="1"/>
    <row r="826" ht="15.75" customHeight="1">
      <c r="B826" s="2" t="str">
        <f>IFERROR(__xludf.DUMMYFUNCTION("GOOGLEFINANCE(""NSE:DRREDDY"", ""high"",DATE(2019,1,1),DATE(2020,1,1),""weekly"")"),"Date")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IFERROR(__xludf.DUMMYFUNCTION("""COMPUTED_VALUE"""),43469.64583333333)</f>
        <v>43469.64583</v>
      </c>
      <c r="C827" s="2">
        <f>IFERROR(__xludf.DUMMYFUNCTION("""COMPUTED_VALUE"""),2663.8)</f>
        <v>2663.8</v>
      </c>
    </row>
    <row r="828" ht="15.75" customHeight="1">
      <c r="B828" s="3">
        <f>IFERROR(__xludf.DUMMYFUNCTION("""COMPUTED_VALUE"""),43476.64583333333)</f>
        <v>43476.64583</v>
      </c>
      <c r="C828" s="2">
        <f>IFERROR(__xludf.DUMMYFUNCTION("""COMPUTED_VALUE"""),2613.85)</f>
        <v>2613.85</v>
      </c>
    </row>
    <row r="829" ht="15.75" customHeight="1">
      <c r="B829" s="3">
        <f>IFERROR(__xludf.DUMMYFUNCTION("""COMPUTED_VALUE"""),43483.64583333333)</f>
        <v>43483.64583</v>
      </c>
      <c r="C829" s="2">
        <f>IFERROR(__xludf.DUMMYFUNCTION("""COMPUTED_VALUE"""),2629.35)</f>
        <v>2629.35</v>
      </c>
    </row>
    <row r="830" ht="15.75" customHeight="1">
      <c r="B830" s="3">
        <f>IFERROR(__xludf.DUMMYFUNCTION("""COMPUTED_VALUE"""),43490.64583333333)</f>
        <v>43490.64583</v>
      </c>
      <c r="C830" s="2">
        <f>IFERROR(__xludf.DUMMYFUNCTION("""COMPUTED_VALUE"""),2691.0)</f>
        <v>2691</v>
      </c>
    </row>
    <row r="831" ht="15.75" customHeight="1">
      <c r="B831" s="3">
        <f>IFERROR(__xludf.DUMMYFUNCTION("""COMPUTED_VALUE"""),43497.64583333333)</f>
        <v>43497.64583</v>
      </c>
      <c r="C831" s="2">
        <f>IFERROR(__xludf.DUMMYFUNCTION("""COMPUTED_VALUE"""),2819.0)</f>
        <v>2819</v>
      </c>
    </row>
    <row r="832" ht="15.75" customHeight="1">
      <c r="B832" s="3">
        <f>IFERROR(__xludf.DUMMYFUNCTION("""COMPUTED_VALUE"""),43504.64583333333)</f>
        <v>43504.64583</v>
      </c>
      <c r="C832" s="2">
        <f>IFERROR(__xludf.DUMMYFUNCTION("""COMPUTED_VALUE"""),2878.0)</f>
        <v>2878</v>
      </c>
    </row>
    <row r="833" ht="15.75" customHeight="1">
      <c r="B833" s="3">
        <f>IFERROR(__xludf.DUMMYFUNCTION("""COMPUTED_VALUE"""),43511.64583333333)</f>
        <v>43511.64583</v>
      </c>
      <c r="C833" s="2">
        <f>IFERROR(__xludf.DUMMYFUNCTION("""COMPUTED_VALUE"""),2707.95)</f>
        <v>2707.95</v>
      </c>
    </row>
    <row r="834" ht="15.75" customHeight="1">
      <c r="B834" s="3">
        <f>IFERROR(__xludf.DUMMYFUNCTION("""COMPUTED_VALUE"""),43518.64583333333)</f>
        <v>43518.64583</v>
      </c>
      <c r="C834" s="2">
        <f>IFERROR(__xludf.DUMMYFUNCTION("""COMPUTED_VALUE"""),2689.65)</f>
        <v>2689.65</v>
      </c>
    </row>
    <row r="835" ht="15.75" customHeight="1">
      <c r="B835" s="3">
        <f>IFERROR(__xludf.DUMMYFUNCTION("""COMPUTED_VALUE"""),43525.64583333333)</f>
        <v>43525.64583</v>
      </c>
      <c r="C835" s="2">
        <f>IFERROR(__xludf.DUMMYFUNCTION("""COMPUTED_VALUE"""),2694.95)</f>
        <v>2694.95</v>
      </c>
    </row>
    <row r="836" ht="15.75" customHeight="1">
      <c r="B836" s="3">
        <f>IFERROR(__xludf.DUMMYFUNCTION("""COMPUTED_VALUE"""),43532.64583333333)</f>
        <v>43532.64583</v>
      </c>
      <c r="C836" s="2">
        <f>IFERROR(__xludf.DUMMYFUNCTION("""COMPUTED_VALUE"""),2725.9)</f>
        <v>2725.9</v>
      </c>
    </row>
    <row r="837" ht="15.75" customHeight="1">
      <c r="B837" s="3">
        <f>IFERROR(__xludf.DUMMYFUNCTION("""COMPUTED_VALUE"""),43539.64583333333)</f>
        <v>43539.64583</v>
      </c>
      <c r="C837" s="2">
        <f>IFERROR(__xludf.DUMMYFUNCTION("""COMPUTED_VALUE"""),2710.0)</f>
        <v>2710</v>
      </c>
    </row>
    <row r="838" ht="15.75" customHeight="1">
      <c r="B838" s="3">
        <f>IFERROR(__xludf.DUMMYFUNCTION("""COMPUTED_VALUE"""),43546.64583333333)</f>
        <v>43546.64583</v>
      </c>
      <c r="C838" s="2">
        <f>IFERROR(__xludf.DUMMYFUNCTION("""COMPUTED_VALUE"""),2779.0)</f>
        <v>2779</v>
      </c>
    </row>
    <row r="839" ht="15.75" customHeight="1">
      <c r="B839" s="3">
        <f>IFERROR(__xludf.DUMMYFUNCTION("""COMPUTED_VALUE"""),43553.64583333333)</f>
        <v>43553.64583</v>
      </c>
      <c r="C839" s="2">
        <f>IFERROR(__xludf.DUMMYFUNCTION("""COMPUTED_VALUE"""),2814.0)</f>
        <v>2814</v>
      </c>
    </row>
    <row r="840" ht="15.75" customHeight="1">
      <c r="B840" s="3">
        <f>IFERROR(__xludf.DUMMYFUNCTION("""COMPUTED_VALUE"""),43560.64583333333)</f>
        <v>43560.64583</v>
      </c>
      <c r="C840" s="2">
        <f>IFERROR(__xludf.DUMMYFUNCTION("""COMPUTED_VALUE"""),2822.75)</f>
        <v>2822.75</v>
      </c>
    </row>
    <row r="841" ht="15.75" customHeight="1">
      <c r="B841" s="3">
        <f>IFERROR(__xludf.DUMMYFUNCTION("""COMPUTED_VALUE"""),43567.64583333333)</f>
        <v>43567.64583</v>
      </c>
      <c r="C841" s="2">
        <f>IFERROR(__xludf.DUMMYFUNCTION("""COMPUTED_VALUE"""),2835.9)</f>
        <v>2835.9</v>
      </c>
    </row>
    <row r="842" ht="15.75" customHeight="1">
      <c r="B842" s="3">
        <f>IFERROR(__xludf.DUMMYFUNCTION("""COMPUTED_VALUE"""),43573.64583333333)</f>
        <v>43573.64583</v>
      </c>
      <c r="C842" s="2">
        <f>IFERROR(__xludf.DUMMYFUNCTION("""COMPUTED_VALUE"""),2840.0)</f>
        <v>2840</v>
      </c>
    </row>
    <row r="843" ht="15.75" customHeight="1">
      <c r="B843" s="3">
        <f>IFERROR(__xludf.DUMMYFUNCTION("""COMPUTED_VALUE"""),43581.64583333333)</f>
        <v>43581.64583</v>
      </c>
      <c r="C843" s="2">
        <f>IFERROR(__xludf.DUMMYFUNCTION("""COMPUTED_VALUE"""),2953.5)</f>
        <v>2953.5</v>
      </c>
    </row>
    <row r="844" ht="15.75" customHeight="1">
      <c r="B844" s="3">
        <f>IFERROR(__xludf.DUMMYFUNCTION("""COMPUTED_VALUE"""),43588.64583333333)</f>
        <v>43588.64583</v>
      </c>
      <c r="C844" s="2">
        <f>IFERROR(__xludf.DUMMYFUNCTION("""COMPUTED_VALUE"""),2964.0)</f>
        <v>2964</v>
      </c>
    </row>
    <row r="845" ht="15.75" customHeight="1">
      <c r="B845" s="3">
        <f>IFERROR(__xludf.DUMMYFUNCTION("""COMPUTED_VALUE"""),43595.64583333333)</f>
        <v>43595.64583</v>
      </c>
      <c r="C845" s="2">
        <f>IFERROR(__xludf.DUMMYFUNCTION("""COMPUTED_VALUE"""),2952.0)</f>
        <v>2952</v>
      </c>
    </row>
    <row r="846" ht="15.75" customHeight="1">
      <c r="B846" s="3">
        <f>IFERROR(__xludf.DUMMYFUNCTION("""COMPUTED_VALUE"""),43602.64583333333)</f>
        <v>43602.64583</v>
      </c>
      <c r="C846" s="2">
        <f>IFERROR(__xludf.DUMMYFUNCTION("""COMPUTED_VALUE"""),2859.95)</f>
        <v>2859.95</v>
      </c>
    </row>
    <row r="847" ht="15.75" customHeight="1">
      <c r="B847" s="3">
        <f>IFERROR(__xludf.DUMMYFUNCTION("""COMPUTED_VALUE"""),43609.64583333333)</f>
        <v>43609.64583</v>
      </c>
      <c r="C847" s="2">
        <f>IFERROR(__xludf.DUMMYFUNCTION("""COMPUTED_VALUE"""),2779.0)</f>
        <v>2779</v>
      </c>
    </row>
    <row r="848" ht="15.75" customHeight="1">
      <c r="B848" s="3">
        <f>IFERROR(__xludf.DUMMYFUNCTION("""COMPUTED_VALUE"""),43616.64583333333)</f>
        <v>43616.64583</v>
      </c>
      <c r="C848" s="2">
        <f>IFERROR(__xludf.DUMMYFUNCTION("""COMPUTED_VALUE"""),2688.0)</f>
        <v>2688</v>
      </c>
    </row>
    <row r="849" ht="15.75" customHeight="1">
      <c r="B849" s="3">
        <f>IFERROR(__xludf.DUMMYFUNCTION("""COMPUTED_VALUE"""),43623.64583333333)</f>
        <v>43623.64583</v>
      </c>
      <c r="C849" s="2">
        <f>IFERROR(__xludf.DUMMYFUNCTION("""COMPUTED_VALUE"""),2798.45)</f>
        <v>2798.45</v>
      </c>
    </row>
    <row r="850" ht="15.75" customHeight="1">
      <c r="B850" s="3">
        <f>IFERROR(__xludf.DUMMYFUNCTION("""COMPUTED_VALUE"""),43630.64583333333)</f>
        <v>43630.64583</v>
      </c>
      <c r="C850" s="2">
        <f>IFERROR(__xludf.DUMMYFUNCTION("""COMPUTED_VALUE"""),2637.8)</f>
        <v>2637.8</v>
      </c>
    </row>
    <row r="851" ht="15.75" customHeight="1">
      <c r="B851" s="3">
        <f>IFERROR(__xludf.DUMMYFUNCTION("""COMPUTED_VALUE"""),43637.64583333333)</f>
        <v>43637.64583</v>
      </c>
      <c r="C851" s="2">
        <f>IFERROR(__xludf.DUMMYFUNCTION("""COMPUTED_VALUE"""),2600.0)</f>
        <v>2600</v>
      </c>
    </row>
    <row r="852" ht="15.75" customHeight="1">
      <c r="B852" s="3">
        <f>IFERROR(__xludf.DUMMYFUNCTION("""COMPUTED_VALUE"""),43644.64583333333)</f>
        <v>43644.64583</v>
      </c>
      <c r="C852" s="2">
        <f>IFERROR(__xludf.DUMMYFUNCTION("""COMPUTED_VALUE"""),2615.0)</f>
        <v>2615</v>
      </c>
    </row>
    <row r="853" ht="15.75" customHeight="1">
      <c r="B853" s="3">
        <f>IFERROR(__xludf.DUMMYFUNCTION("""COMPUTED_VALUE"""),43651.64583333333)</f>
        <v>43651.64583</v>
      </c>
      <c r="C853" s="2">
        <f>IFERROR(__xludf.DUMMYFUNCTION("""COMPUTED_VALUE"""),2675.0)</f>
        <v>2675</v>
      </c>
    </row>
    <row r="854" ht="15.75" customHeight="1">
      <c r="B854" s="3">
        <f>IFERROR(__xludf.DUMMYFUNCTION("""COMPUTED_VALUE"""),43658.64583333333)</f>
        <v>43658.64583</v>
      </c>
      <c r="C854" s="2">
        <f>IFERROR(__xludf.DUMMYFUNCTION("""COMPUTED_VALUE"""),2662.0)</f>
        <v>2662</v>
      </c>
    </row>
    <row r="855" ht="15.75" customHeight="1">
      <c r="B855" s="3">
        <f>IFERROR(__xludf.DUMMYFUNCTION("""COMPUTED_VALUE"""),43665.64583333333)</f>
        <v>43665.64583</v>
      </c>
      <c r="C855" s="2">
        <f>IFERROR(__xludf.DUMMYFUNCTION("""COMPUTED_VALUE"""),2687.9)</f>
        <v>2687.9</v>
      </c>
    </row>
    <row r="856" ht="15.75" customHeight="1">
      <c r="B856" s="3">
        <f>IFERROR(__xludf.DUMMYFUNCTION("""COMPUTED_VALUE"""),43672.64583333333)</f>
        <v>43672.64583</v>
      </c>
      <c r="C856" s="2">
        <f>IFERROR(__xludf.DUMMYFUNCTION("""COMPUTED_VALUE"""),2714.0)</f>
        <v>2714</v>
      </c>
    </row>
    <row r="857" ht="15.75" customHeight="1">
      <c r="B857" s="3">
        <f>IFERROR(__xludf.DUMMYFUNCTION("""COMPUTED_VALUE"""),43679.64583333333)</f>
        <v>43679.64583</v>
      </c>
      <c r="C857" s="2">
        <f>IFERROR(__xludf.DUMMYFUNCTION("""COMPUTED_VALUE"""),2726.8)</f>
        <v>2726.8</v>
      </c>
    </row>
    <row r="858" ht="15.75" customHeight="1">
      <c r="B858" s="3">
        <f>IFERROR(__xludf.DUMMYFUNCTION("""COMPUTED_VALUE"""),43686.64583333333)</f>
        <v>43686.64583</v>
      </c>
      <c r="C858" s="2">
        <f>IFERROR(__xludf.DUMMYFUNCTION("""COMPUTED_VALUE"""),2589.7)</f>
        <v>2589.7</v>
      </c>
    </row>
    <row r="859" ht="15.75" customHeight="1">
      <c r="B859" s="3">
        <f>IFERROR(__xludf.DUMMYFUNCTION("""COMPUTED_VALUE"""),43693.64583333333)</f>
        <v>43693.64583</v>
      </c>
      <c r="C859" s="2">
        <f>IFERROR(__xludf.DUMMYFUNCTION("""COMPUTED_VALUE"""),2599.5)</f>
        <v>2599.5</v>
      </c>
    </row>
    <row r="860" ht="15.75" customHeight="1">
      <c r="B860" s="3">
        <f>IFERROR(__xludf.DUMMYFUNCTION("""COMPUTED_VALUE"""),43700.64583333333)</f>
        <v>43700.64583</v>
      </c>
      <c r="C860" s="2">
        <f>IFERROR(__xludf.DUMMYFUNCTION("""COMPUTED_VALUE"""),2568.95)</f>
        <v>2568.95</v>
      </c>
    </row>
    <row r="861" ht="15.75" customHeight="1">
      <c r="B861" s="3">
        <f>IFERROR(__xludf.DUMMYFUNCTION("""COMPUTED_VALUE"""),43707.64583333333)</f>
        <v>43707.64583</v>
      </c>
      <c r="C861" s="2">
        <f>IFERROR(__xludf.DUMMYFUNCTION("""COMPUTED_VALUE"""),2585.0)</f>
        <v>2585</v>
      </c>
    </row>
    <row r="862" ht="15.75" customHeight="1">
      <c r="B862" s="3">
        <f>IFERROR(__xludf.DUMMYFUNCTION("""COMPUTED_VALUE"""),43714.64583333333)</f>
        <v>43714.64583</v>
      </c>
      <c r="C862" s="2">
        <f>IFERROR(__xludf.DUMMYFUNCTION("""COMPUTED_VALUE"""),2746.95)</f>
        <v>2746.95</v>
      </c>
    </row>
    <row r="863" ht="15.75" customHeight="1">
      <c r="B863" s="3">
        <f>IFERROR(__xludf.DUMMYFUNCTION("""COMPUTED_VALUE"""),43721.64583333333)</f>
        <v>43721.64583</v>
      </c>
      <c r="C863" s="2">
        <f>IFERROR(__xludf.DUMMYFUNCTION("""COMPUTED_VALUE"""),2794.95)</f>
        <v>2794.95</v>
      </c>
    </row>
    <row r="864" ht="15.75" customHeight="1">
      <c r="B864" s="3">
        <f>IFERROR(__xludf.DUMMYFUNCTION("""COMPUTED_VALUE"""),43728.64583333333)</f>
        <v>43728.64583</v>
      </c>
      <c r="C864" s="2">
        <f>IFERROR(__xludf.DUMMYFUNCTION("""COMPUTED_VALUE"""),2862.0)</f>
        <v>2862</v>
      </c>
    </row>
    <row r="865" ht="15.75" customHeight="1">
      <c r="B865" s="3">
        <f>IFERROR(__xludf.DUMMYFUNCTION("""COMPUTED_VALUE"""),43735.64583333333)</f>
        <v>43735.64583</v>
      </c>
      <c r="C865" s="2">
        <f>IFERROR(__xludf.DUMMYFUNCTION("""COMPUTED_VALUE"""),2845.0)</f>
        <v>2845</v>
      </c>
    </row>
    <row r="866" ht="15.75" customHeight="1">
      <c r="B866" s="3">
        <f>IFERROR(__xludf.DUMMYFUNCTION("""COMPUTED_VALUE"""),43742.64583333333)</f>
        <v>43742.64583</v>
      </c>
      <c r="C866" s="2">
        <f>IFERROR(__xludf.DUMMYFUNCTION("""COMPUTED_VALUE"""),2742.55)</f>
        <v>2742.55</v>
      </c>
    </row>
    <row r="867" ht="15.75" customHeight="1">
      <c r="B867" s="3">
        <f>IFERROR(__xludf.DUMMYFUNCTION("""COMPUTED_VALUE"""),43749.64583333333)</f>
        <v>43749.64583</v>
      </c>
      <c r="C867" s="2">
        <f>IFERROR(__xludf.DUMMYFUNCTION("""COMPUTED_VALUE"""),2676.0)</f>
        <v>2676</v>
      </c>
    </row>
    <row r="868" ht="15.75" customHeight="1">
      <c r="B868" s="3">
        <f>IFERROR(__xludf.DUMMYFUNCTION("""COMPUTED_VALUE"""),43756.64583333333)</f>
        <v>43756.64583</v>
      </c>
      <c r="C868" s="2">
        <f>IFERROR(__xludf.DUMMYFUNCTION("""COMPUTED_VALUE"""),2744.95)</f>
        <v>2744.95</v>
      </c>
    </row>
    <row r="869" ht="15.75" customHeight="1">
      <c r="B869" s="3">
        <f>IFERROR(__xludf.DUMMYFUNCTION("""COMPUTED_VALUE"""),43763.79166666667)</f>
        <v>43763.79167</v>
      </c>
      <c r="C869" s="2">
        <f>IFERROR(__xludf.DUMMYFUNCTION("""COMPUTED_VALUE"""),2849.95)</f>
        <v>2849.95</v>
      </c>
    </row>
    <row r="870" ht="15.75" customHeight="1">
      <c r="B870" s="3">
        <f>IFERROR(__xludf.DUMMYFUNCTION("""COMPUTED_VALUE"""),43770.64583333333)</f>
        <v>43770.64583</v>
      </c>
      <c r="C870" s="2">
        <f>IFERROR(__xludf.DUMMYFUNCTION("""COMPUTED_VALUE"""),2829.15)</f>
        <v>2829.15</v>
      </c>
    </row>
    <row r="871" ht="15.75" customHeight="1">
      <c r="B871" s="3">
        <f>IFERROR(__xludf.DUMMYFUNCTION("""COMPUTED_VALUE"""),43777.64583333333)</f>
        <v>43777.64583</v>
      </c>
      <c r="C871" s="2">
        <f>IFERROR(__xludf.DUMMYFUNCTION("""COMPUTED_VALUE"""),2883.2)</f>
        <v>2883.2</v>
      </c>
    </row>
    <row r="872" ht="15.75" customHeight="1">
      <c r="B872" s="3">
        <f>IFERROR(__xludf.DUMMYFUNCTION("""COMPUTED_VALUE"""),43784.64583333333)</f>
        <v>43784.64583</v>
      </c>
      <c r="C872" s="2">
        <f>IFERROR(__xludf.DUMMYFUNCTION("""COMPUTED_VALUE"""),2827.35)</f>
        <v>2827.35</v>
      </c>
    </row>
    <row r="873" ht="15.75" customHeight="1">
      <c r="B873" s="3">
        <f>IFERROR(__xludf.DUMMYFUNCTION("""COMPUTED_VALUE"""),43791.64583333333)</f>
        <v>43791.64583</v>
      </c>
      <c r="C873" s="2">
        <f>IFERROR(__xludf.DUMMYFUNCTION("""COMPUTED_VALUE"""),2904.75)</f>
        <v>2904.75</v>
      </c>
    </row>
    <row r="874" ht="15.75" customHeight="1">
      <c r="B874" s="3">
        <f>IFERROR(__xludf.DUMMYFUNCTION("""COMPUTED_VALUE"""),43798.64583333333)</f>
        <v>43798.64583</v>
      </c>
      <c r="C874" s="2">
        <f>IFERROR(__xludf.DUMMYFUNCTION("""COMPUTED_VALUE"""),2991.95)</f>
        <v>2991.95</v>
      </c>
    </row>
    <row r="875" ht="15.75" customHeight="1">
      <c r="B875" s="3">
        <f>IFERROR(__xludf.DUMMYFUNCTION("""COMPUTED_VALUE"""),43805.64583333333)</f>
        <v>43805.64583</v>
      </c>
      <c r="C875" s="2">
        <f>IFERROR(__xludf.DUMMYFUNCTION("""COMPUTED_VALUE"""),2949.0)</f>
        <v>2949</v>
      </c>
    </row>
    <row r="876" ht="15.75" customHeight="1">
      <c r="B876" s="3">
        <f>IFERROR(__xludf.DUMMYFUNCTION("""COMPUTED_VALUE"""),43812.64583333333)</f>
        <v>43812.64583</v>
      </c>
      <c r="C876" s="2">
        <f>IFERROR(__xludf.DUMMYFUNCTION("""COMPUTED_VALUE"""),2942.0)</f>
        <v>2942</v>
      </c>
    </row>
    <row r="877" ht="15.75" customHeight="1">
      <c r="B877" s="3">
        <f>IFERROR(__xludf.DUMMYFUNCTION("""COMPUTED_VALUE"""),43819.64583333333)</f>
        <v>43819.64583</v>
      </c>
      <c r="C877" s="2">
        <f>IFERROR(__xludf.DUMMYFUNCTION("""COMPUTED_VALUE"""),2892.35)</f>
        <v>2892.35</v>
      </c>
    </row>
    <row r="878" ht="15.75" customHeight="1">
      <c r="B878" s="3">
        <f>IFERROR(__xludf.DUMMYFUNCTION("""COMPUTED_VALUE"""),43826.64583333333)</f>
        <v>43826.64583</v>
      </c>
      <c r="C878" s="2">
        <f>IFERROR(__xludf.DUMMYFUNCTION("""COMPUTED_VALUE"""),2918.9)</f>
        <v>2918.9</v>
      </c>
    </row>
    <row r="879" ht="15.75" customHeight="1"/>
    <row r="880" ht="15.75" customHeight="1"/>
    <row r="881" ht="15.75" customHeight="1">
      <c r="B881" s="2" t="str">
        <f>IFERROR(__xludf.DUMMYFUNCTION("GOOGLEFINANCE(""NSE:DRREDDY"", ""high"",DATE(2020,1,1),DATE(2021,1,1),""weekly"")"),"Date")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IFERROR(__xludf.DUMMYFUNCTION("""COMPUTED_VALUE"""),43833.64583333333)</f>
        <v>43833.64583</v>
      </c>
      <c r="C882" s="2">
        <f>IFERROR(__xludf.DUMMYFUNCTION("""COMPUTED_VALUE"""),2928.0)</f>
        <v>2928</v>
      </c>
    </row>
    <row r="883" ht="15.75" customHeight="1">
      <c r="B883" s="3">
        <f>IFERROR(__xludf.DUMMYFUNCTION("""COMPUTED_VALUE"""),43840.64583333333)</f>
        <v>43840.64583</v>
      </c>
      <c r="C883" s="2">
        <f>IFERROR(__xludf.DUMMYFUNCTION("""COMPUTED_VALUE"""),3008.0)</f>
        <v>3008</v>
      </c>
    </row>
    <row r="884" ht="15.75" customHeight="1">
      <c r="B884" s="3">
        <f>IFERROR(__xludf.DUMMYFUNCTION("""COMPUTED_VALUE"""),43847.64583333333)</f>
        <v>43847.64583</v>
      </c>
      <c r="C884" s="2">
        <f>IFERROR(__xludf.DUMMYFUNCTION("""COMPUTED_VALUE"""),3049.0)</f>
        <v>3049</v>
      </c>
    </row>
    <row r="885" ht="15.75" customHeight="1">
      <c r="B885" s="3">
        <f>IFERROR(__xludf.DUMMYFUNCTION("""COMPUTED_VALUE"""),43854.64583333333)</f>
        <v>43854.64583</v>
      </c>
      <c r="C885" s="2">
        <f>IFERROR(__xludf.DUMMYFUNCTION("""COMPUTED_VALUE"""),3105.05)</f>
        <v>3105.05</v>
      </c>
    </row>
    <row r="886" ht="15.75" customHeight="1">
      <c r="B886" s="3">
        <f>IFERROR(__xludf.DUMMYFUNCTION("""COMPUTED_VALUE"""),43862.70833333333)</f>
        <v>43862.70833</v>
      </c>
      <c r="C886" s="2">
        <f>IFERROR(__xludf.DUMMYFUNCTION("""COMPUTED_VALUE"""),3249.95)</f>
        <v>3249.95</v>
      </c>
    </row>
    <row r="887" ht="15.75" customHeight="1">
      <c r="B887" s="3">
        <f>IFERROR(__xludf.DUMMYFUNCTION("""COMPUTED_VALUE"""),43868.64583333333)</f>
        <v>43868.64583</v>
      </c>
      <c r="C887" s="2">
        <f>IFERROR(__xludf.DUMMYFUNCTION("""COMPUTED_VALUE"""),3277.6)</f>
        <v>3277.6</v>
      </c>
    </row>
    <row r="888" ht="15.75" customHeight="1">
      <c r="B888" s="3">
        <f>IFERROR(__xludf.DUMMYFUNCTION("""COMPUTED_VALUE"""),43875.64583333333)</f>
        <v>43875.64583</v>
      </c>
      <c r="C888" s="2">
        <f>IFERROR(__xludf.DUMMYFUNCTION("""COMPUTED_VALUE"""),3336.9)</f>
        <v>3336.9</v>
      </c>
    </row>
    <row r="889" ht="15.75" customHeight="1">
      <c r="B889" s="3">
        <f>IFERROR(__xludf.DUMMYFUNCTION("""COMPUTED_VALUE"""),43881.64583333333)</f>
        <v>43881.64583</v>
      </c>
      <c r="C889" s="2">
        <f>IFERROR(__xludf.DUMMYFUNCTION("""COMPUTED_VALUE"""),3364.95)</f>
        <v>3364.95</v>
      </c>
    </row>
    <row r="890" ht="15.75" customHeight="1">
      <c r="B890" s="3">
        <f>IFERROR(__xludf.DUMMYFUNCTION("""COMPUTED_VALUE"""),43889.64583333333)</f>
        <v>43889.64583</v>
      </c>
      <c r="C890" s="2">
        <f>IFERROR(__xludf.DUMMYFUNCTION("""COMPUTED_VALUE"""),3257.0)</f>
        <v>3257</v>
      </c>
    </row>
    <row r="891" ht="15.75" customHeight="1">
      <c r="B891" s="3">
        <f>IFERROR(__xludf.DUMMYFUNCTION("""COMPUTED_VALUE"""),43896.64583333333)</f>
        <v>43896.64583</v>
      </c>
      <c r="C891" s="2">
        <f>IFERROR(__xludf.DUMMYFUNCTION("""COMPUTED_VALUE"""),3231.95)</f>
        <v>3231.95</v>
      </c>
    </row>
    <row r="892" ht="15.75" customHeight="1">
      <c r="B892" s="3">
        <f>IFERROR(__xludf.DUMMYFUNCTION("""COMPUTED_VALUE"""),43903.64583333333)</f>
        <v>43903.64583</v>
      </c>
      <c r="C892" s="2">
        <f>IFERROR(__xludf.DUMMYFUNCTION("""COMPUTED_VALUE"""),3189.0)</f>
        <v>3189</v>
      </c>
    </row>
    <row r="893" ht="15.75" customHeight="1">
      <c r="B893" s="3">
        <f>IFERROR(__xludf.DUMMYFUNCTION("""COMPUTED_VALUE"""),43910.64583333333)</f>
        <v>43910.64583</v>
      </c>
      <c r="C893" s="2">
        <f>IFERROR(__xludf.DUMMYFUNCTION("""COMPUTED_VALUE"""),2980.95)</f>
        <v>2980.95</v>
      </c>
    </row>
    <row r="894" ht="15.75" customHeight="1">
      <c r="B894" s="3">
        <f>IFERROR(__xludf.DUMMYFUNCTION("""COMPUTED_VALUE"""),43917.64583333333)</f>
        <v>43917.64583</v>
      </c>
      <c r="C894" s="2">
        <f>IFERROR(__xludf.DUMMYFUNCTION("""COMPUTED_VALUE"""),3066.55)</f>
        <v>3066.55</v>
      </c>
    </row>
    <row r="895" ht="15.75" customHeight="1">
      <c r="B895" s="3">
        <f>IFERROR(__xludf.DUMMYFUNCTION("""COMPUTED_VALUE"""),43924.64583333333)</f>
        <v>43924.64583</v>
      </c>
      <c r="C895" s="2">
        <f>IFERROR(__xludf.DUMMYFUNCTION("""COMPUTED_VALUE"""),3218.85)</f>
        <v>3218.85</v>
      </c>
    </row>
    <row r="896" ht="15.75" customHeight="1">
      <c r="B896" s="3">
        <f>IFERROR(__xludf.DUMMYFUNCTION("""COMPUTED_VALUE"""),43930.64583333333)</f>
        <v>43930.64583</v>
      </c>
      <c r="C896" s="2">
        <f>IFERROR(__xludf.DUMMYFUNCTION("""COMPUTED_VALUE"""),3810.0)</f>
        <v>3810</v>
      </c>
    </row>
    <row r="897" ht="15.75" customHeight="1">
      <c r="B897" s="3">
        <f>IFERROR(__xludf.DUMMYFUNCTION("""COMPUTED_VALUE"""),43938.64583333333)</f>
        <v>43938.64583</v>
      </c>
      <c r="C897" s="2">
        <f>IFERROR(__xludf.DUMMYFUNCTION("""COMPUTED_VALUE"""),3997.9)</f>
        <v>3997.9</v>
      </c>
    </row>
    <row r="898" ht="15.75" customHeight="1">
      <c r="B898" s="3">
        <f>IFERROR(__xludf.DUMMYFUNCTION("""COMPUTED_VALUE"""),43945.64583333333)</f>
        <v>43945.64583</v>
      </c>
      <c r="C898" s="2">
        <f>IFERROR(__xludf.DUMMYFUNCTION("""COMPUTED_VALUE"""),4094.3)</f>
        <v>4094.3</v>
      </c>
    </row>
    <row r="899" ht="15.75" customHeight="1">
      <c r="B899" s="3">
        <f>IFERROR(__xludf.DUMMYFUNCTION("""COMPUTED_VALUE"""),43951.64583333333)</f>
        <v>43951.64583</v>
      </c>
      <c r="C899" s="2">
        <f>IFERROR(__xludf.DUMMYFUNCTION("""COMPUTED_VALUE"""),4093.75)</f>
        <v>4093.75</v>
      </c>
    </row>
    <row r="900" ht="15.75" customHeight="1">
      <c r="B900" s="3">
        <f>IFERROR(__xludf.DUMMYFUNCTION("""COMPUTED_VALUE"""),43959.64583333333)</f>
        <v>43959.64583</v>
      </c>
      <c r="C900" s="2">
        <f>IFERROR(__xludf.DUMMYFUNCTION("""COMPUTED_VALUE"""),4132.2)</f>
        <v>4132.2</v>
      </c>
    </row>
    <row r="901" ht="15.75" customHeight="1">
      <c r="B901" s="3">
        <f>IFERROR(__xludf.DUMMYFUNCTION("""COMPUTED_VALUE"""),43966.64583333333)</f>
        <v>43966.64583</v>
      </c>
      <c r="C901" s="2">
        <f>IFERROR(__xludf.DUMMYFUNCTION("""COMPUTED_VALUE"""),3977.8)</f>
        <v>3977.8</v>
      </c>
    </row>
    <row r="902" ht="15.75" customHeight="1">
      <c r="B902" s="3">
        <f>IFERROR(__xludf.DUMMYFUNCTION("""COMPUTED_VALUE"""),43973.64583333333)</f>
        <v>43973.64583</v>
      </c>
      <c r="C902" s="2">
        <f>IFERROR(__xludf.DUMMYFUNCTION("""COMPUTED_VALUE"""),3954.15)</f>
        <v>3954.15</v>
      </c>
    </row>
    <row r="903" ht="15.75" customHeight="1">
      <c r="B903" s="3">
        <f>IFERROR(__xludf.DUMMYFUNCTION("""COMPUTED_VALUE"""),43980.64583333333)</f>
        <v>43980.64583</v>
      </c>
      <c r="C903" s="2">
        <f>IFERROR(__xludf.DUMMYFUNCTION("""COMPUTED_VALUE"""),4090.7)</f>
        <v>4090.7</v>
      </c>
    </row>
    <row r="904" ht="15.75" customHeight="1">
      <c r="B904" s="3">
        <f>IFERROR(__xludf.DUMMYFUNCTION("""COMPUTED_VALUE"""),43987.64583333333)</f>
        <v>43987.64583</v>
      </c>
      <c r="C904" s="2">
        <f>IFERROR(__xludf.DUMMYFUNCTION("""COMPUTED_VALUE"""),4092.35)</f>
        <v>4092.35</v>
      </c>
    </row>
    <row r="905" ht="15.75" customHeight="1">
      <c r="B905" s="3">
        <f>IFERROR(__xludf.DUMMYFUNCTION("""COMPUTED_VALUE"""),43994.64583333333)</f>
        <v>43994.64583</v>
      </c>
      <c r="C905" s="2">
        <f>IFERROR(__xludf.DUMMYFUNCTION("""COMPUTED_VALUE"""),4190.0)</f>
        <v>4190</v>
      </c>
    </row>
    <row r="906" ht="15.75" customHeight="1">
      <c r="B906" s="3">
        <f>IFERROR(__xludf.DUMMYFUNCTION("""COMPUTED_VALUE"""),44001.64583333333)</f>
        <v>44001.64583</v>
      </c>
      <c r="C906" s="2">
        <f>IFERROR(__xludf.DUMMYFUNCTION("""COMPUTED_VALUE"""),4126.9)</f>
        <v>4126.9</v>
      </c>
    </row>
    <row r="907" ht="15.75" customHeight="1">
      <c r="B907" s="3">
        <f>IFERROR(__xludf.DUMMYFUNCTION("""COMPUTED_VALUE"""),44008.64583333333)</f>
        <v>44008.64583</v>
      </c>
      <c r="C907" s="2">
        <f>IFERROR(__xludf.DUMMYFUNCTION("""COMPUTED_VALUE"""),4136.7)</f>
        <v>4136.7</v>
      </c>
    </row>
    <row r="908" ht="15.75" customHeight="1">
      <c r="B908" s="3">
        <f>IFERROR(__xludf.DUMMYFUNCTION("""COMPUTED_VALUE"""),44015.64583333333)</f>
        <v>44015.64583</v>
      </c>
      <c r="C908" s="2">
        <f>IFERROR(__xludf.DUMMYFUNCTION("""COMPUTED_VALUE"""),4044.0)</f>
        <v>4044</v>
      </c>
    </row>
    <row r="909" ht="15.75" customHeight="1">
      <c r="B909" s="3">
        <f>IFERROR(__xludf.DUMMYFUNCTION("""COMPUTED_VALUE"""),44022.64583333333)</f>
        <v>44022.64583</v>
      </c>
      <c r="C909" s="2">
        <f>IFERROR(__xludf.DUMMYFUNCTION("""COMPUTED_VALUE"""),3957.0)</f>
        <v>3957</v>
      </c>
    </row>
    <row r="910" ht="15.75" customHeight="1">
      <c r="B910" s="3">
        <f>IFERROR(__xludf.DUMMYFUNCTION("""COMPUTED_VALUE"""),44029.64583333333)</f>
        <v>44029.64583</v>
      </c>
      <c r="C910" s="2">
        <f>IFERROR(__xludf.DUMMYFUNCTION("""COMPUTED_VALUE"""),4162.95)</f>
        <v>4162.95</v>
      </c>
    </row>
    <row r="911" ht="15.75" customHeight="1">
      <c r="B911" s="3">
        <f>IFERROR(__xludf.DUMMYFUNCTION("""COMPUTED_VALUE"""),44036.64583333333)</f>
        <v>44036.64583</v>
      </c>
      <c r="C911" s="2">
        <f>IFERROR(__xludf.DUMMYFUNCTION("""COMPUTED_VALUE"""),4179.9)</f>
        <v>4179.9</v>
      </c>
    </row>
    <row r="912" ht="15.75" customHeight="1">
      <c r="B912" s="3">
        <f>IFERROR(__xludf.DUMMYFUNCTION("""COMPUTED_VALUE"""),44043.64583333333)</f>
        <v>44043.64583</v>
      </c>
      <c r="C912" s="2">
        <f>IFERROR(__xludf.DUMMYFUNCTION("""COMPUTED_VALUE"""),4560.0)</f>
        <v>4560</v>
      </c>
    </row>
    <row r="913" ht="15.75" customHeight="1">
      <c r="B913" s="3">
        <f>IFERROR(__xludf.DUMMYFUNCTION("""COMPUTED_VALUE"""),44050.64583333333)</f>
        <v>44050.64583</v>
      </c>
      <c r="C913" s="2">
        <f>IFERROR(__xludf.DUMMYFUNCTION("""COMPUTED_VALUE"""),4707.0)</f>
        <v>4707</v>
      </c>
    </row>
    <row r="914" ht="15.75" customHeight="1">
      <c r="B914" s="3">
        <f>IFERROR(__xludf.DUMMYFUNCTION("""COMPUTED_VALUE"""),44057.64583333333)</f>
        <v>44057.64583</v>
      </c>
      <c r="C914" s="2">
        <f>IFERROR(__xludf.DUMMYFUNCTION("""COMPUTED_VALUE"""),4758.6)</f>
        <v>4758.6</v>
      </c>
    </row>
    <row r="915" ht="15.75" customHeight="1">
      <c r="B915" s="3">
        <f>IFERROR(__xludf.DUMMYFUNCTION("""COMPUTED_VALUE"""),44064.64583333333)</f>
        <v>44064.64583</v>
      </c>
      <c r="C915" s="2">
        <f>IFERROR(__xludf.DUMMYFUNCTION("""COMPUTED_VALUE"""),4570.0)</f>
        <v>4570</v>
      </c>
    </row>
    <row r="916" ht="15.75" customHeight="1">
      <c r="B916" s="3">
        <f>IFERROR(__xludf.DUMMYFUNCTION("""COMPUTED_VALUE"""),44071.64583333333)</f>
        <v>44071.64583</v>
      </c>
      <c r="C916" s="2">
        <f>IFERROR(__xludf.DUMMYFUNCTION("""COMPUTED_VALUE"""),4507.1)</f>
        <v>4507.1</v>
      </c>
    </row>
    <row r="917" ht="15.75" customHeight="1">
      <c r="B917" s="3">
        <f>IFERROR(__xludf.DUMMYFUNCTION("""COMPUTED_VALUE"""),44078.64583333333)</f>
        <v>44078.64583</v>
      </c>
      <c r="C917" s="2">
        <f>IFERROR(__xludf.DUMMYFUNCTION("""COMPUTED_VALUE"""),4483.45)</f>
        <v>4483.45</v>
      </c>
    </row>
    <row r="918" ht="15.75" customHeight="1">
      <c r="B918" s="3">
        <f>IFERROR(__xludf.DUMMYFUNCTION("""COMPUTED_VALUE"""),44085.64583333333)</f>
        <v>44085.64583</v>
      </c>
      <c r="C918" s="2">
        <f>IFERROR(__xludf.DUMMYFUNCTION("""COMPUTED_VALUE"""),4481.5)</f>
        <v>4481.5</v>
      </c>
    </row>
    <row r="919" ht="15.75" customHeight="1">
      <c r="B919" s="3">
        <f>IFERROR(__xludf.DUMMYFUNCTION("""COMPUTED_VALUE"""),44092.64583333333)</f>
        <v>44092.64583</v>
      </c>
      <c r="C919" s="2">
        <f>IFERROR(__xludf.DUMMYFUNCTION("""COMPUTED_VALUE"""),5496.95)</f>
        <v>5496.95</v>
      </c>
    </row>
    <row r="920" ht="15.75" customHeight="1">
      <c r="B920" s="3">
        <f>IFERROR(__xludf.DUMMYFUNCTION("""COMPUTED_VALUE"""),44099.64583333333)</f>
        <v>44099.64583</v>
      </c>
      <c r="C920" s="2">
        <f>IFERROR(__xludf.DUMMYFUNCTION("""COMPUTED_VALUE"""),5512.65)</f>
        <v>5512.65</v>
      </c>
    </row>
    <row r="921" ht="15.75" customHeight="1">
      <c r="B921" s="3">
        <f>IFERROR(__xludf.DUMMYFUNCTION("""COMPUTED_VALUE"""),44105.64583333333)</f>
        <v>44105.64583</v>
      </c>
      <c r="C921" s="2">
        <f>IFERROR(__xludf.DUMMYFUNCTION("""COMPUTED_VALUE"""),5318.0)</f>
        <v>5318</v>
      </c>
    </row>
    <row r="922" ht="15.75" customHeight="1">
      <c r="B922" s="3">
        <f>IFERROR(__xludf.DUMMYFUNCTION("""COMPUTED_VALUE"""),44113.64583333333)</f>
        <v>44113.64583</v>
      </c>
      <c r="C922" s="2">
        <f>IFERROR(__xludf.DUMMYFUNCTION("""COMPUTED_VALUE"""),5258.0)</f>
        <v>5258</v>
      </c>
    </row>
    <row r="923" ht="15.75" customHeight="1">
      <c r="B923" s="3">
        <f>IFERROR(__xludf.DUMMYFUNCTION("""COMPUTED_VALUE"""),44120.64583333333)</f>
        <v>44120.64583</v>
      </c>
      <c r="C923" s="2">
        <f>IFERROR(__xludf.DUMMYFUNCTION("""COMPUTED_VALUE"""),5322.8)</f>
        <v>5322.8</v>
      </c>
    </row>
    <row r="924" ht="15.75" customHeight="1">
      <c r="B924" s="3">
        <f>IFERROR(__xludf.DUMMYFUNCTION("""COMPUTED_VALUE"""),44127.64583333333)</f>
        <v>44127.64583</v>
      </c>
      <c r="C924" s="2">
        <f>IFERROR(__xludf.DUMMYFUNCTION("""COMPUTED_VALUE"""),5215.0)</f>
        <v>5215</v>
      </c>
    </row>
    <row r="925" ht="15.75" customHeight="1">
      <c r="B925" s="3">
        <f>IFERROR(__xludf.DUMMYFUNCTION("""COMPUTED_VALUE"""),44134.64583333333)</f>
        <v>44134.64583</v>
      </c>
      <c r="C925" s="2">
        <f>IFERROR(__xludf.DUMMYFUNCTION("""COMPUTED_VALUE"""),5150.0)</f>
        <v>5150</v>
      </c>
    </row>
    <row r="926" ht="15.75" customHeight="1">
      <c r="B926" s="3">
        <f>IFERROR(__xludf.DUMMYFUNCTION("""COMPUTED_VALUE"""),44141.64583333333)</f>
        <v>44141.64583</v>
      </c>
      <c r="C926" s="2">
        <f>IFERROR(__xludf.DUMMYFUNCTION("""COMPUTED_VALUE"""),4999.3)</f>
        <v>4999.3</v>
      </c>
    </row>
    <row r="927" ht="15.75" customHeight="1">
      <c r="B927" s="3">
        <f>IFERROR(__xludf.DUMMYFUNCTION("""COMPUTED_VALUE"""),44155.64583333333)</f>
        <v>44155.64583</v>
      </c>
      <c r="C927" s="2">
        <f>IFERROR(__xludf.DUMMYFUNCTION("""COMPUTED_VALUE"""),4879.85)</f>
        <v>4879.85</v>
      </c>
    </row>
    <row r="928" ht="15.75" customHeight="1">
      <c r="B928" s="3">
        <f>IFERROR(__xludf.DUMMYFUNCTION("""COMPUTED_VALUE"""),44162.64583333333)</f>
        <v>44162.64583</v>
      </c>
      <c r="C928" s="2">
        <f>IFERROR(__xludf.DUMMYFUNCTION("""COMPUTED_VALUE"""),5017.0)</f>
        <v>5017</v>
      </c>
    </row>
    <row r="929" ht="15.75" customHeight="1">
      <c r="B929" s="3">
        <f>IFERROR(__xludf.DUMMYFUNCTION("""COMPUTED_VALUE"""),44169.64583333333)</f>
        <v>44169.64583</v>
      </c>
      <c r="C929" s="2">
        <f>IFERROR(__xludf.DUMMYFUNCTION("""COMPUTED_VALUE"""),4960.55)</f>
        <v>4960.55</v>
      </c>
    </row>
    <row r="930" ht="15.75" customHeight="1">
      <c r="B930" s="3">
        <f>IFERROR(__xludf.DUMMYFUNCTION("""COMPUTED_VALUE"""),44176.64583333333)</f>
        <v>44176.64583</v>
      </c>
      <c r="C930" s="2">
        <f>IFERROR(__xludf.DUMMYFUNCTION("""COMPUTED_VALUE"""),5100.0)</f>
        <v>5100</v>
      </c>
    </row>
    <row r="931" ht="15.75" customHeight="1">
      <c r="B931" s="3">
        <f>IFERROR(__xludf.DUMMYFUNCTION("""COMPUTED_VALUE"""),44183.64583333333)</f>
        <v>44183.64583</v>
      </c>
      <c r="C931" s="2">
        <f>IFERROR(__xludf.DUMMYFUNCTION("""COMPUTED_VALUE"""),5262.85)</f>
        <v>5262.85</v>
      </c>
    </row>
    <row r="932" ht="15.75" customHeight="1">
      <c r="B932" s="3">
        <f>IFERROR(__xludf.DUMMYFUNCTION("""COMPUTED_VALUE"""),44189.64583333333)</f>
        <v>44189.64583</v>
      </c>
      <c r="C932" s="2">
        <f>IFERROR(__xludf.DUMMYFUNCTION("""COMPUTED_VALUE"""),5274.2)</f>
        <v>5274.2</v>
      </c>
    </row>
    <row r="933" ht="15.75" customHeight="1">
      <c r="B933" s="3">
        <f>IFERROR(__xludf.DUMMYFUNCTION("""COMPUTED_VALUE"""),44197.64583333333)</f>
        <v>44197.64583</v>
      </c>
      <c r="C933" s="2">
        <f>IFERROR(__xludf.DUMMYFUNCTION("""COMPUTED_VALUE"""),5269.0)</f>
        <v>5269</v>
      </c>
    </row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IFERROR(__xludf.DUMMYFUNCTION("GOOGLEFINANCE(""NSE:DABUR"",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IFERROR(__xludf.DUMMYFUNCTION("""COMPUTED_VALUE"""),11.66)</f>
        <v>11.66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IFERROR(__xludf.DUMMYFUNCTION("""COMPUTED_VALUE"""),11.66)</f>
        <v>11.66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IFERROR(__xludf.DUMMYFUNCTION("""COMPUTED_VALUE"""),11.5)</f>
        <v>11.5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IFERROR(__xludf.DUMMYFUNCTION("""COMPUTED_VALUE"""),11.25)</f>
        <v>11.25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IFERROR(__xludf.DUMMYFUNCTION("""COMPUTED_VALUE"""),10.95)</f>
        <v>10.95</v>
      </c>
    </row>
    <row r="7">
      <c r="B7" s="3">
        <f>IFERROR(__xludf.DUMMYFUNCTION("""COMPUTED_VALUE"""),37295.645833333336)</f>
        <v>37295.64583</v>
      </c>
      <c r="C7" s="2">
        <f>IFERROR(__xludf.DUMMYFUNCTION("""COMPUTED_VALUE"""),11.03)</f>
        <v>11.03</v>
      </c>
    </row>
    <row r="8">
      <c r="B8" s="3">
        <f>IFERROR(__xludf.DUMMYFUNCTION("""COMPUTED_VALUE"""),37302.645833333336)</f>
        <v>37302.64583</v>
      </c>
      <c r="C8" s="2">
        <f>IFERROR(__xludf.DUMMYFUNCTION("""COMPUTED_VALUE"""),10.8)</f>
        <v>10.8</v>
      </c>
    </row>
    <row r="9">
      <c r="B9" s="3">
        <f>IFERROR(__xludf.DUMMYFUNCTION("""COMPUTED_VALUE"""),37309.645833333336)</f>
        <v>37309.64583</v>
      </c>
      <c r="C9" s="2">
        <f>IFERROR(__xludf.DUMMYFUNCTION("""COMPUTED_VALUE"""),11.0)</f>
        <v>11</v>
      </c>
    </row>
    <row r="10">
      <c r="B10" s="3">
        <f>IFERROR(__xludf.DUMMYFUNCTION("""COMPUTED_VALUE"""),37316.645833333336)</f>
        <v>37316.64583</v>
      </c>
      <c r="C10" s="2">
        <f>IFERROR(__xludf.DUMMYFUNCTION("""COMPUTED_VALUE"""),10.67)</f>
        <v>10.67</v>
      </c>
    </row>
    <row r="11">
      <c r="B11" s="3">
        <f>IFERROR(__xludf.DUMMYFUNCTION("""COMPUTED_VALUE"""),37323.645833333336)</f>
        <v>37323.64583</v>
      </c>
      <c r="C11" s="2">
        <f>IFERROR(__xludf.DUMMYFUNCTION("""COMPUTED_VALUE"""),11.5)</f>
        <v>11.5</v>
      </c>
    </row>
    <row r="12">
      <c r="B12" s="3">
        <f>IFERROR(__xludf.DUMMYFUNCTION("""COMPUTED_VALUE"""),37330.645833333336)</f>
        <v>37330.64583</v>
      </c>
      <c r="C12" s="2">
        <f>IFERROR(__xludf.DUMMYFUNCTION("""COMPUTED_VALUE"""),10.16)</f>
        <v>10.16</v>
      </c>
    </row>
    <row r="13">
      <c r="B13" s="3">
        <f>IFERROR(__xludf.DUMMYFUNCTION("""COMPUTED_VALUE"""),37337.645833333336)</f>
        <v>37337.64583</v>
      </c>
      <c r="C13" s="2">
        <f>IFERROR(__xludf.DUMMYFUNCTION("""COMPUTED_VALUE"""),10.0)</f>
        <v>10</v>
      </c>
    </row>
    <row r="14">
      <c r="B14" s="3">
        <f>IFERROR(__xludf.DUMMYFUNCTION("""COMPUTED_VALUE"""),37343.645833333336)</f>
        <v>37343.64583</v>
      </c>
      <c r="C14" s="2">
        <f>IFERROR(__xludf.DUMMYFUNCTION("""COMPUTED_VALUE"""),9.49)</f>
        <v>9.49</v>
      </c>
    </row>
    <row r="15">
      <c r="B15" s="3">
        <f>IFERROR(__xludf.DUMMYFUNCTION("""COMPUTED_VALUE"""),37351.645833333336)</f>
        <v>37351.64583</v>
      </c>
      <c r="C15" s="2">
        <f>IFERROR(__xludf.DUMMYFUNCTION("""COMPUTED_VALUE"""),10.03)</f>
        <v>10.03</v>
      </c>
    </row>
    <row r="16">
      <c r="B16" s="3">
        <f>IFERROR(__xludf.DUMMYFUNCTION("""COMPUTED_VALUE"""),37358.645833333336)</f>
        <v>37358.64583</v>
      </c>
      <c r="C16" s="2">
        <f>IFERROR(__xludf.DUMMYFUNCTION("""COMPUTED_VALUE"""),10.24)</f>
        <v>10.24</v>
      </c>
    </row>
    <row r="17">
      <c r="B17" s="3">
        <f>IFERROR(__xludf.DUMMYFUNCTION("""COMPUTED_VALUE"""),37365.645833333336)</f>
        <v>37365.64583</v>
      </c>
      <c r="C17" s="2">
        <f>IFERROR(__xludf.DUMMYFUNCTION("""COMPUTED_VALUE"""),9.92)</f>
        <v>9.92</v>
      </c>
    </row>
    <row r="18">
      <c r="B18" s="3">
        <f>IFERROR(__xludf.DUMMYFUNCTION("""COMPUTED_VALUE"""),37372.645833333336)</f>
        <v>37372.64583</v>
      </c>
      <c r="C18" s="2">
        <f>IFERROR(__xludf.DUMMYFUNCTION("""COMPUTED_VALUE"""),9.82)</f>
        <v>9.82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IFERROR(__xludf.DUMMYFUNCTION("""COMPUTED_VALUE"""),9.67)</f>
        <v>9.67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IFERROR(__xludf.DUMMYFUNCTION("""COMPUTED_VALUE"""),9.62)</f>
        <v>9.62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IFERROR(__xludf.DUMMYFUNCTION("""COMPUTED_VALUE"""),9.63)</f>
        <v>9.63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IFERROR(__xludf.DUMMYFUNCTION("""COMPUTED_VALUE"""),9.4)</f>
        <v>9.4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IFERROR(__xludf.DUMMYFUNCTION("""COMPUTED_VALUE"""),9.25)</f>
        <v>9.25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IFERROR(__xludf.DUMMYFUNCTION("""COMPUTED_VALUE"""),8.75)</f>
        <v>8.75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IFERROR(__xludf.DUMMYFUNCTION("""COMPUTED_VALUE"""),9.08)</f>
        <v>9.08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IFERROR(__xludf.DUMMYFUNCTION("""COMPUTED_VALUE"""),9.28)</f>
        <v>9.28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IFERROR(__xludf.DUMMYFUNCTION("""COMPUTED_VALUE"""),8.83)</f>
        <v>8.83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IFERROR(__xludf.DUMMYFUNCTION("""COMPUTED_VALUE"""),9.0)</f>
        <v>9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IFERROR(__xludf.DUMMYFUNCTION("""COMPUTED_VALUE"""),9.44)</f>
        <v>9.44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IFERROR(__xludf.DUMMYFUNCTION("""COMPUTED_VALUE"""),8.82)</f>
        <v>8.82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IFERROR(__xludf.DUMMYFUNCTION("""COMPUTED_VALUE"""),8.5)</f>
        <v>8.5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IFERROR(__xludf.DUMMYFUNCTION("""COMPUTED_VALUE"""),8.21)</f>
        <v>8.21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IFERROR(__xludf.DUMMYFUNCTION("""COMPUTED_VALUE"""),8.49)</f>
        <v>8.49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IFERROR(__xludf.DUMMYFUNCTION("""COMPUTED_VALUE"""),8.3)</f>
        <v>8.3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IFERROR(__xludf.DUMMYFUNCTION("""COMPUTED_VALUE"""),8.25)</f>
        <v>8.25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IFERROR(__xludf.DUMMYFUNCTION("""COMPUTED_VALUE"""),8.21)</f>
        <v>8.21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IFERROR(__xludf.DUMMYFUNCTION("""COMPUTED_VALUE"""),8.99)</f>
        <v>8.99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IFERROR(__xludf.DUMMYFUNCTION("""COMPUTED_VALUE"""),8.16)</f>
        <v>8.16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IFERROR(__xludf.DUMMYFUNCTION("""COMPUTED_VALUE"""),8.16)</f>
        <v>8.16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IFERROR(__xludf.DUMMYFUNCTION("""COMPUTED_VALUE"""),7.83)</f>
        <v>7.83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IFERROR(__xludf.DUMMYFUNCTION("""COMPUTED_VALUE"""),7.84)</f>
        <v>7.84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IFERROR(__xludf.DUMMYFUNCTION("""COMPUTED_VALUE"""),7.74)</f>
        <v>7.74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IFERROR(__xludf.DUMMYFUNCTION("""COMPUTED_VALUE"""),7.8)</f>
        <v>7.8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IFERROR(__xludf.DUMMYFUNCTION("""COMPUTED_VALUE"""),7.62)</f>
        <v>7.62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IFERROR(__xludf.DUMMYFUNCTION("""COMPUTED_VALUE"""),7.67)</f>
        <v>7.67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IFERROR(__xludf.DUMMYFUNCTION("""COMPUTED_VALUE"""),7.59)</f>
        <v>7.59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IFERROR(__xludf.DUMMYFUNCTION("""COMPUTED_VALUE"""),7.55)</f>
        <v>7.55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IFERROR(__xludf.DUMMYFUNCTION("""COMPUTED_VALUE"""),7.52)</f>
        <v>7.52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IFERROR(__xludf.DUMMYFUNCTION("""COMPUTED_VALUE"""),7.61)</f>
        <v>7.61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IFERROR(__xludf.DUMMYFUNCTION("""COMPUTED_VALUE"""),7.58)</f>
        <v>7.58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IFERROR(__xludf.DUMMYFUNCTION("""COMPUTED_VALUE"""),7.53)</f>
        <v>7.53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IFERROR(__xludf.DUMMYFUNCTION("""COMPUTED_VALUE"""),7.59)</f>
        <v>7.59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IFERROR(__xludf.DUMMYFUNCTION("""COMPUTED_VALUE"""),7.58)</f>
        <v>7.58</v>
      </c>
    </row>
    <row r="54" ht="15.75" customHeight="1"/>
    <row r="55" ht="15.75" customHeight="1"/>
    <row r="56" ht="15.75" customHeight="1">
      <c r="B56" s="2" t="str">
        <f>IFERROR(__xludf.DUMMYFUNCTION("GOOGLEFINANCE(""NSE:DABUR"",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IFERROR(__xludf.DUMMYFUNCTION("""COMPUTED_VALUE"""),7.49)</f>
        <v>7.49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IFERROR(__xludf.DUMMYFUNCTION("""COMPUTED_VALUE"""),7.54)</f>
        <v>7.54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IFERROR(__xludf.DUMMYFUNCTION("""COMPUTED_VALUE"""),8.04)</f>
        <v>8.04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IFERROR(__xludf.DUMMYFUNCTION("""COMPUTED_VALUE"""),8.75)</f>
        <v>8.75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IFERROR(__xludf.DUMMYFUNCTION("""COMPUTED_VALUE"""),7.99)</f>
        <v>7.99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IFERROR(__xludf.DUMMYFUNCTION("""COMPUTED_VALUE"""),7.84)</f>
        <v>7.84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IFERROR(__xludf.DUMMYFUNCTION("""COMPUTED_VALUE"""),7.49)</f>
        <v>7.49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IFERROR(__xludf.DUMMYFUNCTION("""COMPUTED_VALUE"""),7.84)</f>
        <v>7.84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IFERROR(__xludf.DUMMYFUNCTION("""COMPUTED_VALUE"""),7.46)</f>
        <v>7.46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IFERROR(__xludf.DUMMYFUNCTION("""COMPUTED_VALUE"""),7.4)</f>
        <v>7.4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IFERROR(__xludf.DUMMYFUNCTION("""COMPUTED_VALUE"""),7.32)</f>
        <v>7.32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IFERROR(__xludf.DUMMYFUNCTION("""COMPUTED_VALUE"""),6.79)</f>
        <v>6.79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IFERROR(__xludf.DUMMYFUNCTION("""COMPUTED_VALUE"""),6.65)</f>
        <v>6.65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IFERROR(__xludf.DUMMYFUNCTION("""COMPUTED_VALUE"""),6.84)</f>
        <v>6.84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IFERROR(__xludf.DUMMYFUNCTION("""COMPUTED_VALUE"""),6.75)</f>
        <v>6.75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IFERROR(__xludf.DUMMYFUNCTION("""COMPUTED_VALUE"""),6.49)</f>
        <v>6.49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IFERROR(__xludf.DUMMYFUNCTION("""COMPUTED_VALUE"""),6.66)</f>
        <v>6.66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IFERROR(__xludf.DUMMYFUNCTION("""COMPUTED_VALUE"""),6.66)</f>
        <v>6.66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IFERROR(__xludf.DUMMYFUNCTION("""COMPUTED_VALUE"""),7.15)</f>
        <v>7.15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IFERROR(__xludf.DUMMYFUNCTION("""COMPUTED_VALUE"""),7.21)</f>
        <v>7.21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IFERROR(__xludf.DUMMYFUNCTION("""COMPUTED_VALUE"""),7.62)</f>
        <v>7.62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IFERROR(__xludf.DUMMYFUNCTION("""COMPUTED_VALUE"""),7.87)</f>
        <v>7.87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IFERROR(__xludf.DUMMYFUNCTION("""COMPUTED_VALUE"""),8.12)</f>
        <v>8.12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IFERROR(__xludf.DUMMYFUNCTION("""COMPUTED_VALUE"""),8.07)</f>
        <v>8.07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IFERROR(__xludf.DUMMYFUNCTION("""COMPUTED_VALUE"""),8.14)</f>
        <v>8.14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IFERROR(__xludf.DUMMYFUNCTION("""COMPUTED_VALUE"""),9.87)</f>
        <v>9.87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IFERROR(__xludf.DUMMYFUNCTION("""COMPUTED_VALUE"""),9.29)</f>
        <v>9.29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IFERROR(__xludf.DUMMYFUNCTION("""COMPUTED_VALUE"""),9.32)</f>
        <v>9.32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IFERROR(__xludf.DUMMYFUNCTION("""COMPUTED_VALUE"""),9.15)</f>
        <v>9.15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IFERROR(__xludf.DUMMYFUNCTION("""COMPUTED_VALUE"""),10.0)</f>
        <v>10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IFERROR(__xludf.DUMMYFUNCTION("""COMPUTED_VALUE"""),10.84)</f>
        <v>10.84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IFERROR(__xludf.DUMMYFUNCTION("""COMPUTED_VALUE"""),11.38)</f>
        <v>11.38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IFERROR(__xludf.DUMMYFUNCTION("""COMPUTED_VALUE"""),11.48)</f>
        <v>11.48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IFERROR(__xludf.DUMMYFUNCTION("""COMPUTED_VALUE"""),11.42)</f>
        <v>11.42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IFERROR(__xludf.DUMMYFUNCTION("""COMPUTED_VALUE"""),11.42)</f>
        <v>11.42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IFERROR(__xludf.DUMMYFUNCTION("""COMPUTED_VALUE"""),10.71)</f>
        <v>10.71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IFERROR(__xludf.DUMMYFUNCTION("""COMPUTED_VALUE"""),10.34)</f>
        <v>10.34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IFERROR(__xludf.DUMMYFUNCTION("""COMPUTED_VALUE"""),10.16)</f>
        <v>10.16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IFERROR(__xludf.DUMMYFUNCTION("""COMPUTED_VALUE"""),10.33)</f>
        <v>10.33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IFERROR(__xludf.DUMMYFUNCTION("""COMPUTED_VALUE"""),10.34)</f>
        <v>10.34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IFERROR(__xludf.DUMMYFUNCTION("""COMPUTED_VALUE"""),10.65)</f>
        <v>10.65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IFERROR(__xludf.DUMMYFUNCTION("""COMPUTED_VALUE"""),11.1)</f>
        <v>11.1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IFERROR(__xludf.DUMMYFUNCTION("""COMPUTED_VALUE"""),12.42)</f>
        <v>12.42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IFERROR(__xludf.DUMMYFUNCTION("""COMPUTED_VALUE"""),12.08)</f>
        <v>12.08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IFERROR(__xludf.DUMMYFUNCTION("""COMPUTED_VALUE"""),11.77)</f>
        <v>11.77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IFERROR(__xludf.DUMMYFUNCTION("""COMPUTED_VALUE"""),12.67)</f>
        <v>12.67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IFERROR(__xludf.DUMMYFUNCTION("""COMPUTED_VALUE"""),13.57)</f>
        <v>13.57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IFERROR(__xludf.DUMMYFUNCTION("""COMPUTED_VALUE"""),15.32)</f>
        <v>15.32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IFERROR(__xludf.DUMMYFUNCTION("""COMPUTED_VALUE"""),15.74)</f>
        <v>15.74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IFERROR(__xludf.DUMMYFUNCTION("GOOGLEFINANCE(""NSE:DABUR"",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IFERROR(__xludf.DUMMYFUNCTION("""COMPUTED_VALUE"""),15.89)</f>
        <v>15.89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IFERROR(__xludf.DUMMYFUNCTION("""COMPUTED_VALUE"""),16.3)</f>
        <v>16.3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IFERROR(__xludf.DUMMYFUNCTION("""COMPUTED_VALUE"""),16.17)</f>
        <v>16.17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IFERROR(__xludf.DUMMYFUNCTION("""COMPUTED_VALUE"""),16.17)</f>
        <v>16.17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IFERROR(__xludf.DUMMYFUNCTION("""COMPUTED_VALUE"""),15.48)</f>
        <v>15.48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IFERROR(__xludf.DUMMYFUNCTION("""COMPUTED_VALUE"""),14.52)</f>
        <v>14.52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IFERROR(__xludf.DUMMYFUNCTION("""COMPUTED_VALUE"""),14.64)</f>
        <v>14.64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IFERROR(__xludf.DUMMYFUNCTION("""COMPUTED_VALUE"""),14.59)</f>
        <v>14.59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IFERROR(__xludf.DUMMYFUNCTION("""COMPUTED_VALUE"""),13.91)</f>
        <v>13.91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IFERROR(__xludf.DUMMYFUNCTION("""COMPUTED_VALUE"""),14.17)</f>
        <v>14.17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IFERROR(__xludf.DUMMYFUNCTION("""COMPUTED_VALUE"""),13.54)</f>
        <v>13.54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IFERROR(__xludf.DUMMYFUNCTION("""COMPUTED_VALUE"""),12.92)</f>
        <v>12.92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IFERROR(__xludf.DUMMYFUNCTION("""COMPUTED_VALUE"""),12.82)</f>
        <v>12.82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IFERROR(__xludf.DUMMYFUNCTION("""COMPUTED_VALUE"""),13.5)</f>
        <v>13.5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IFERROR(__xludf.DUMMYFUNCTION("""COMPUTED_VALUE"""),13.14)</f>
        <v>13.14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IFERROR(__xludf.DUMMYFUNCTION("""COMPUTED_VALUE"""),14.7)</f>
        <v>14.7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IFERROR(__xludf.DUMMYFUNCTION("""COMPUTED_VALUE"""),14.08)</f>
        <v>14.08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IFERROR(__xludf.DUMMYFUNCTION("""COMPUTED_VALUE"""),15.12)</f>
        <v>15.12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IFERROR(__xludf.DUMMYFUNCTION("""COMPUTED_VALUE"""),13.99)</f>
        <v>13.99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IFERROR(__xludf.DUMMYFUNCTION("""COMPUTED_VALUE"""),13.17)</f>
        <v>13.17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IFERROR(__xludf.DUMMYFUNCTION("""COMPUTED_VALUE"""),12.99)</f>
        <v>12.99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IFERROR(__xludf.DUMMYFUNCTION("""COMPUTED_VALUE"""),12.5)</f>
        <v>12.5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IFERROR(__xludf.DUMMYFUNCTION("""COMPUTED_VALUE"""),14.19)</f>
        <v>14.19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IFERROR(__xludf.DUMMYFUNCTION("""COMPUTED_VALUE"""),13.92)</f>
        <v>13.92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IFERROR(__xludf.DUMMYFUNCTION("""COMPUTED_VALUE"""),11.48)</f>
        <v>11.48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IFERROR(__xludf.DUMMYFUNCTION("""COMPUTED_VALUE"""),10.89)</f>
        <v>10.89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IFERROR(__xludf.DUMMYFUNCTION("""COMPUTED_VALUE"""),11.54)</f>
        <v>11.54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IFERROR(__xludf.DUMMYFUNCTION("""COMPUTED_VALUE"""),12.0)</f>
        <v>12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IFERROR(__xludf.DUMMYFUNCTION("""COMPUTED_VALUE"""),12.4)</f>
        <v>12.4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IFERROR(__xludf.DUMMYFUNCTION("""COMPUTED_VALUE"""),12.17)</f>
        <v>12.17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IFERROR(__xludf.DUMMYFUNCTION("""COMPUTED_VALUE"""),12.18)</f>
        <v>12.18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IFERROR(__xludf.DUMMYFUNCTION("""COMPUTED_VALUE"""),11.82)</f>
        <v>11.82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IFERROR(__xludf.DUMMYFUNCTION("""COMPUTED_VALUE"""),11.62)</f>
        <v>11.62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IFERROR(__xludf.DUMMYFUNCTION("""COMPUTED_VALUE"""),11.78)</f>
        <v>11.78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IFERROR(__xludf.DUMMYFUNCTION("""COMPUTED_VALUE"""),11.88)</f>
        <v>11.88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IFERROR(__xludf.DUMMYFUNCTION("""COMPUTED_VALUE"""),12.3)</f>
        <v>12.3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IFERROR(__xludf.DUMMYFUNCTION("""COMPUTED_VALUE"""),12.39)</f>
        <v>12.39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IFERROR(__xludf.DUMMYFUNCTION("""COMPUTED_VALUE"""),12.57)</f>
        <v>12.57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IFERROR(__xludf.DUMMYFUNCTION("""COMPUTED_VALUE"""),12.64)</f>
        <v>12.64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IFERROR(__xludf.DUMMYFUNCTION("""COMPUTED_VALUE"""),12.63)</f>
        <v>12.63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IFERROR(__xludf.DUMMYFUNCTION("""COMPUTED_VALUE"""),12.69)</f>
        <v>12.69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IFERROR(__xludf.DUMMYFUNCTION("""COMPUTED_VALUE"""),13.58)</f>
        <v>13.58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IFERROR(__xludf.DUMMYFUNCTION("""COMPUTED_VALUE"""),15.54)</f>
        <v>15.54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IFERROR(__xludf.DUMMYFUNCTION("""COMPUTED_VALUE"""),15.14)</f>
        <v>15.14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IFERROR(__xludf.DUMMYFUNCTION("""COMPUTED_VALUE"""),14.78)</f>
        <v>14.78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IFERROR(__xludf.DUMMYFUNCTION("""COMPUTED_VALUE"""),15.17)</f>
        <v>15.17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IFERROR(__xludf.DUMMYFUNCTION("""COMPUTED_VALUE"""),15.67)</f>
        <v>15.67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IFERROR(__xludf.DUMMYFUNCTION("""COMPUTED_VALUE"""),14.92)</f>
        <v>14.92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IFERROR(__xludf.DUMMYFUNCTION("""COMPUTED_VALUE"""),14.42)</f>
        <v>14.42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IFERROR(__xludf.DUMMYFUNCTION("""COMPUTED_VALUE"""),14.42)</f>
        <v>14.42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IFERROR(__xludf.DUMMYFUNCTION("""COMPUTED_VALUE"""),16.0)</f>
        <v>16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IFERROR(__xludf.DUMMYFUNCTION("GOOGLEFINANCE(""NSE:DABUR"",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IFERROR(__xludf.DUMMYFUNCTION("""COMPUTED_VALUE"""),15.83)</f>
        <v>15.83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IFERROR(__xludf.DUMMYFUNCTION("""COMPUTED_VALUE"""),15.42)</f>
        <v>15.42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IFERROR(__xludf.DUMMYFUNCTION("""COMPUTED_VALUE"""),15.0)</f>
        <v>15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IFERROR(__xludf.DUMMYFUNCTION("""COMPUTED_VALUE"""),17.88)</f>
        <v>17.88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IFERROR(__xludf.DUMMYFUNCTION("""COMPUTED_VALUE"""),18.08)</f>
        <v>18.08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IFERROR(__xludf.DUMMYFUNCTION("""COMPUTED_VALUE"""),18.14)</f>
        <v>18.14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IFERROR(__xludf.DUMMYFUNCTION("""COMPUTED_VALUE"""),18.32)</f>
        <v>18.32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IFERROR(__xludf.DUMMYFUNCTION("""COMPUTED_VALUE"""),19.59)</f>
        <v>19.59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IFERROR(__xludf.DUMMYFUNCTION("""COMPUTED_VALUE"""),20.83)</f>
        <v>20.83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IFERROR(__xludf.DUMMYFUNCTION("""COMPUTED_VALUE"""),24.17)</f>
        <v>24.17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IFERROR(__xludf.DUMMYFUNCTION("""COMPUTED_VALUE"""),20.6)</f>
        <v>20.6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IFERROR(__xludf.DUMMYFUNCTION("""COMPUTED_VALUE"""),20.17)</f>
        <v>20.17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IFERROR(__xludf.DUMMYFUNCTION("""COMPUTED_VALUE"""),18.94)</f>
        <v>18.94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IFERROR(__xludf.DUMMYFUNCTION("""COMPUTED_VALUE"""),19.34)</f>
        <v>19.34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IFERROR(__xludf.DUMMYFUNCTION("""COMPUTED_VALUE"""),20.16)</f>
        <v>20.16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IFERROR(__xludf.DUMMYFUNCTION("""COMPUTED_VALUE"""),20.08)</f>
        <v>20.08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IFERROR(__xludf.DUMMYFUNCTION("""COMPUTED_VALUE"""),20.1)</f>
        <v>20.1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IFERROR(__xludf.DUMMYFUNCTION("""COMPUTED_VALUE"""),20.75)</f>
        <v>20.75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IFERROR(__xludf.DUMMYFUNCTION("""COMPUTED_VALUE"""),21.42)</f>
        <v>21.42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IFERROR(__xludf.DUMMYFUNCTION("""COMPUTED_VALUE"""),20.99)</f>
        <v>20.99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IFERROR(__xludf.DUMMYFUNCTION("""COMPUTED_VALUE"""),21.84)</f>
        <v>21.84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IFERROR(__xludf.DUMMYFUNCTION("""COMPUTED_VALUE"""),23.3)</f>
        <v>23.3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IFERROR(__xludf.DUMMYFUNCTION("""COMPUTED_VALUE"""),22.29)</f>
        <v>22.29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IFERROR(__xludf.DUMMYFUNCTION("""COMPUTED_VALUE"""),22.0)</f>
        <v>22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IFERROR(__xludf.DUMMYFUNCTION("""COMPUTED_VALUE"""),22.8)</f>
        <v>22.8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IFERROR(__xludf.DUMMYFUNCTION("""COMPUTED_VALUE"""),23.09)</f>
        <v>23.09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IFERROR(__xludf.DUMMYFUNCTION("""COMPUTED_VALUE"""),27.0)</f>
        <v>27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IFERROR(__xludf.DUMMYFUNCTION("""COMPUTED_VALUE"""),26.67)</f>
        <v>26.67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IFERROR(__xludf.DUMMYFUNCTION("""COMPUTED_VALUE"""),25.95)</f>
        <v>25.95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IFERROR(__xludf.DUMMYFUNCTION("""COMPUTED_VALUE"""),25.99)</f>
        <v>25.99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IFERROR(__xludf.DUMMYFUNCTION("""COMPUTED_VALUE"""),26.49)</f>
        <v>26.49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IFERROR(__xludf.DUMMYFUNCTION("""COMPUTED_VALUE"""),26.67)</f>
        <v>26.67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IFERROR(__xludf.DUMMYFUNCTION("""COMPUTED_VALUE"""),25.84)</f>
        <v>25.84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IFERROR(__xludf.DUMMYFUNCTION("""COMPUTED_VALUE"""),26.34)</f>
        <v>26.34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IFERROR(__xludf.DUMMYFUNCTION("""COMPUTED_VALUE"""),26.59)</f>
        <v>26.59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IFERROR(__xludf.DUMMYFUNCTION("""COMPUTED_VALUE"""),28.25)</f>
        <v>28.25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IFERROR(__xludf.DUMMYFUNCTION("""COMPUTED_VALUE"""),27.67)</f>
        <v>27.67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IFERROR(__xludf.DUMMYFUNCTION("""COMPUTED_VALUE"""),27.72)</f>
        <v>27.72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IFERROR(__xludf.DUMMYFUNCTION("""COMPUTED_VALUE"""),29.09)</f>
        <v>29.09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IFERROR(__xludf.DUMMYFUNCTION("""COMPUTED_VALUE"""),28.5)</f>
        <v>28.5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IFERROR(__xludf.DUMMYFUNCTION("""COMPUTED_VALUE"""),31.57)</f>
        <v>31.57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IFERROR(__xludf.DUMMYFUNCTION("""COMPUTED_VALUE"""),29.74)</f>
        <v>29.74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IFERROR(__xludf.DUMMYFUNCTION("""COMPUTED_VALUE"""),28.92)</f>
        <v>28.92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IFERROR(__xludf.DUMMYFUNCTION("""COMPUTED_VALUE"""),28.45)</f>
        <v>28.45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IFERROR(__xludf.DUMMYFUNCTION("""COMPUTED_VALUE"""),29.8)</f>
        <v>29.8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IFERROR(__xludf.DUMMYFUNCTION("""COMPUTED_VALUE"""),30.84)</f>
        <v>30.84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IFERROR(__xludf.DUMMYFUNCTION("""COMPUTED_VALUE"""),32.42)</f>
        <v>32.42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IFERROR(__xludf.DUMMYFUNCTION("""COMPUTED_VALUE"""),32.82)</f>
        <v>32.82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IFERROR(__xludf.DUMMYFUNCTION("""COMPUTED_VALUE"""),33.67)</f>
        <v>33.67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IFERROR(__xludf.DUMMYFUNCTION("""COMPUTED_VALUE"""),35.35)</f>
        <v>35.35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IFERROR(__xludf.DUMMYFUNCTION("GOOGLEFINANCE(""NSE:DABUR"",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IFERROR(__xludf.DUMMYFUNCTION("""COMPUTED_VALUE"""),36.2)</f>
        <v>36.2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IFERROR(__xludf.DUMMYFUNCTION("""COMPUTED_VALUE"""),37.67)</f>
        <v>37.67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IFERROR(__xludf.DUMMYFUNCTION("""COMPUTED_VALUE"""),39.97)</f>
        <v>39.97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IFERROR(__xludf.DUMMYFUNCTION("""COMPUTED_VALUE"""),37.49)</f>
        <v>37.49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IFERROR(__xludf.DUMMYFUNCTION("""COMPUTED_VALUE"""),40.03)</f>
        <v>40.03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IFERROR(__xludf.DUMMYFUNCTION("""COMPUTED_VALUE"""),40.0)</f>
        <v>40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IFERROR(__xludf.DUMMYFUNCTION("""COMPUTED_VALUE"""),38.75)</f>
        <v>38.75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IFERROR(__xludf.DUMMYFUNCTION("""COMPUTED_VALUE"""),38.45)</f>
        <v>38.45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IFERROR(__xludf.DUMMYFUNCTION("""COMPUTED_VALUE"""),39.5)</f>
        <v>39.5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IFERROR(__xludf.DUMMYFUNCTION("""COMPUTED_VALUE"""),39.55)</f>
        <v>39.55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IFERROR(__xludf.DUMMYFUNCTION("""COMPUTED_VALUE"""),41.34)</f>
        <v>41.34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IFERROR(__xludf.DUMMYFUNCTION("""COMPUTED_VALUE"""),41.05)</f>
        <v>41.05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IFERROR(__xludf.DUMMYFUNCTION("""COMPUTED_VALUE"""),41.97)</f>
        <v>41.97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IFERROR(__xludf.DUMMYFUNCTION("""COMPUTED_VALUE"""),45.0)</f>
        <v>45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IFERROR(__xludf.DUMMYFUNCTION("""COMPUTED_VALUE"""),44.27)</f>
        <v>44.27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IFERROR(__xludf.DUMMYFUNCTION("""COMPUTED_VALUE"""),45.0)</f>
        <v>45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IFERROR(__xludf.DUMMYFUNCTION("""COMPUTED_VALUE"""),54.3)</f>
        <v>54.3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IFERROR(__xludf.DUMMYFUNCTION("""COMPUTED_VALUE"""),57.94)</f>
        <v>57.94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IFERROR(__xludf.DUMMYFUNCTION("""COMPUTED_VALUE"""),57.79)</f>
        <v>57.79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IFERROR(__xludf.DUMMYFUNCTION("""COMPUTED_VALUE"""),50.67)</f>
        <v>50.67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IFERROR(__xludf.DUMMYFUNCTION("""COMPUTED_VALUE"""),51.67)</f>
        <v>51.67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IFERROR(__xludf.DUMMYFUNCTION("""COMPUTED_VALUE"""),45.25)</f>
        <v>45.25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IFERROR(__xludf.DUMMYFUNCTION("""COMPUTED_VALUE"""),45.34)</f>
        <v>45.34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IFERROR(__xludf.DUMMYFUNCTION("""COMPUTED_VALUE"""),45.09)</f>
        <v>45.09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IFERROR(__xludf.DUMMYFUNCTION("""COMPUTED_VALUE"""),48.8)</f>
        <v>48.8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IFERROR(__xludf.DUMMYFUNCTION("""COMPUTED_VALUE"""),48.64)</f>
        <v>48.64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IFERROR(__xludf.DUMMYFUNCTION("""COMPUTED_VALUE"""),50.5)</f>
        <v>50.5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IFERROR(__xludf.DUMMYFUNCTION("""COMPUTED_VALUE"""),49.94)</f>
        <v>49.94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IFERROR(__xludf.DUMMYFUNCTION("""COMPUTED_VALUE"""),46.59)</f>
        <v>46.59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IFERROR(__xludf.DUMMYFUNCTION("""COMPUTED_VALUE"""),45.5)</f>
        <v>45.5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IFERROR(__xludf.DUMMYFUNCTION("""COMPUTED_VALUE"""),46.42)</f>
        <v>46.42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IFERROR(__xludf.DUMMYFUNCTION("""COMPUTED_VALUE"""),48.0)</f>
        <v>48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IFERROR(__xludf.DUMMYFUNCTION("""COMPUTED_VALUE"""),47.65)</f>
        <v>47.65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IFERROR(__xludf.DUMMYFUNCTION("""COMPUTED_VALUE"""),46.64)</f>
        <v>46.64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IFERROR(__xludf.DUMMYFUNCTION("""COMPUTED_VALUE"""),48.64)</f>
        <v>48.64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IFERROR(__xludf.DUMMYFUNCTION("""COMPUTED_VALUE"""),48.8)</f>
        <v>48.8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IFERROR(__xludf.DUMMYFUNCTION("""COMPUTED_VALUE"""),47.3)</f>
        <v>47.3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IFERROR(__xludf.DUMMYFUNCTION("""COMPUTED_VALUE"""),47.0)</f>
        <v>47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IFERROR(__xludf.DUMMYFUNCTION("""COMPUTED_VALUE"""),48.0)</f>
        <v>48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IFERROR(__xludf.DUMMYFUNCTION("""COMPUTED_VALUE"""),48.0)</f>
        <v>48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IFERROR(__xludf.DUMMYFUNCTION("""COMPUTED_VALUE"""),49.57)</f>
        <v>49.57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IFERROR(__xludf.DUMMYFUNCTION("""COMPUTED_VALUE"""),52.32)</f>
        <v>52.32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IFERROR(__xludf.DUMMYFUNCTION("""COMPUTED_VALUE"""),51.22)</f>
        <v>51.22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IFERROR(__xludf.DUMMYFUNCTION("""COMPUTED_VALUE"""),50.64)</f>
        <v>50.64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IFERROR(__xludf.DUMMYFUNCTION("""COMPUTED_VALUE"""),48.94)</f>
        <v>48.94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IFERROR(__xludf.DUMMYFUNCTION("""COMPUTED_VALUE"""),50.24)</f>
        <v>50.24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IFERROR(__xludf.DUMMYFUNCTION("""COMPUTED_VALUE"""),49.5)</f>
        <v>49.5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IFERROR(__xludf.DUMMYFUNCTION("""COMPUTED_VALUE"""),49.97)</f>
        <v>49.97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IFERROR(__xludf.DUMMYFUNCTION("""COMPUTED_VALUE"""),49.59)</f>
        <v>49.59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IFERROR(__xludf.DUMMYFUNCTION("""COMPUTED_VALUE"""),53.39)</f>
        <v>53.39</v>
      </c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IFERROR(__xludf.DUMMYFUNCTION("GOOGLEFINANCE(""NSE:HDFCBANK"",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IFERROR(__xludf.DUMMYFUNCTION("""COMPUTED_VALUE"""),23.0)</f>
        <v>23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IFERROR(__xludf.DUMMYFUNCTION("""COMPUTED_VALUE"""),23.15)</f>
        <v>23.15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IFERROR(__xludf.DUMMYFUNCTION("""COMPUTED_VALUE"""),25.4)</f>
        <v>25.4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IFERROR(__xludf.DUMMYFUNCTION("""COMPUTED_VALUE"""),24.38)</f>
        <v>24.38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IFERROR(__xludf.DUMMYFUNCTION("""COMPUTED_VALUE"""),23.2)</f>
        <v>23.2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IFERROR(__xludf.DUMMYFUNCTION("""COMPUTED_VALUE"""),23.2)</f>
        <v>23.2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IFERROR(__xludf.DUMMYFUNCTION("""COMPUTED_VALUE"""),23.7)</f>
        <v>23.7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IFERROR(__xludf.DUMMYFUNCTION("""COMPUTED_VALUE"""),25.49)</f>
        <v>25.49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IFERROR(__xludf.DUMMYFUNCTION("""COMPUTED_VALUE"""),25.5)</f>
        <v>25.5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IFERROR(__xludf.DUMMYFUNCTION("""COMPUTED_VALUE"""),24.1)</f>
        <v>24.1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IFERROR(__xludf.DUMMYFUNCTION("""COMPUTED_VALUE"""),23.69)</f>
        <v>23.69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IFERROR(__xludf.DUMMYFUNCTION("""COMPUTED_VALUE"""),24.0)</f>
        <v>24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IFERROR(__xludf.DUMMYFUNCTION("""COMPUTED_VALUE"""),24.14)</f>
        <v>24.14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IFERROR(__xludf.DUMMYFUNCTION("""COMPUTED_VALUE"""),24.15)</f>
        <v>24.15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IFERROR(__xludf.DUMMYFUNCTION("""COMPUTED_VALUE"""),23.0)</f>
        <v>23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IFERROR(__xludf.DUMMYFUNCTION("""COMPUTED_VALUE"""),23.2)</f>
        <v>23.2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IFERROR(__xludf.DUMMYFUNCTION("""COMPUTED_VALUE"""),22.9)</f>
        <v>22.9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IFERROR(__xludf.DUMMYFUNCTION("""COMPUTED_VALUE"""),22.27)</f>
        <v>22.27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IFERROR(__xludf.DUMMYFUNCTION("""COMPUTED_VALUE"""),22.3)</f>
        <v>22.3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IFERROR(__xludf.DUMMYFUNCTION("""COMPUTED_VALUE"""),22.3)</f>
        <v>22.3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IFERROR(__xludf.DUMMYFUNCTION("""COMPUTED_VALUE"""),23.12)</f>
        <v>23.12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IFERROR(__xludf.DUMMYFUNCTION("""COMPUTED_VALUE"""),23.23)</f>
        <v>23.23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IFERROR(__xludf.DUMMYFUNCTION("""COMPUTED_VALUE"""),23.5)</f>
        <v>23.5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IFERROR(__xludf.DUMMYFUNCTION("""COMPUTED_VALUE"""),22.6)</f>
        <v>22.6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IFERROR(__xludf.DUMMYFUNCTION("""COMPUTED_VALUE"""),22.18)</f>
        <v>22.18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IFERROR(__xludf.DUMMYFUNCTION("""COMPUTED_VALUE"""),21.8)</f>
        <v>21.8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IFERROR(__xludf.DUMMYFUNCTION("""COMPUTED_VALUE"""),21.85)</f>
        <v>21.85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IFERROR(__xludf.DUMMYFUNCTION("""COMPUTED_VALUE"""),21.6)</f>
        <v>21.6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IFERROR(__xludf.DUMMYFUNCTION("""COMPUTED_VALUE"""),21.5)</f>
        <v>21.5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IFERROR(__xludf.DUMMYFUNCTION("""COMPUTED_VALUE"""),21.91)</f>
        <v>21.91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IFERROR(__xludf.DUMMYFUNCTION("""COMPUTED_VALUE"""),21.45)</f>
        <v>21.45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IFERROR(__xludf.DUMMYFUNCTION("""COMPUTED_VALUE"""),21.29)</f>
        <v>21.29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IFERROR(__xludf.DUMMYFUNCTION("""COMPUTED_VALUE"""),21.5)</f>
        <v>21.5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IFERROR(__xludf.DUMMYFUNCTION("""COMPUTED_VALUE"""),21.2)</f>
        <v>21.2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IFERROR(__xludf.DUMMYFUNCTION("""COMPUTED_VALUE"""),21.15)</f>
        <v>21.15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IFERROR(__xludf.DUMMYFUNCTION("""COMPUTED_VALUE"""),21.4)</f>
        <v>21.4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IFERROR(__xludf.DUMMYFUNCTION("""COMPUTED_VALUE"""),21.52)</f>
        <v>21.52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IFERROR(__xludf.DUMMYFUNCTION("""COMPUTED_VALUE"""),22.6)</f>
        <v>22.6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IFERROR(__xludf.DUMMYFUNCTION("""COMPUTED_VALUE"""),22.5)</f>
        <v>22.5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IFERROR(__xludf.DUMMYFUNCTION("""COMPUTED_VALUE"""),22.1)</f>
        <v>22.1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IFERROR(__xludf.DUMMYFUNCTION("""COMPUTED_VALUE"""),21.1)</f>
        <v>21.1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IFERROR(__xludf.DUMMYFUNCTION("""COMPUTED_VALUE"""),20.93)</f>
        <v>20.93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IFERROR(__xludf.DUMMYFUNCTION("""COMPUTED_VALUE"""),20.1)</f>
        <v>20.1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IFERROR(__xludf.DUMMYFUNCTION("""COMPUTED_VALUE"""),19.7)</f>
        <v>19.7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IFERROR(__xludf.DUMMYFUNCTION("""COMPUTED_VALUE"""),19.61)</f>
        <v>19.61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IFERROR(__xludf.DUMMYFUNCTION("""COMPUTED_VALUE"""),19.9)</f>
        <v>19.9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IFERROR(__xludf.DUMMYFUNCTION("""COMPUTED_VALUE"""),19.64)</f>
        <v>19.64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IFERROR(__xludf.DUMMYFUNCTION("""COMPUTED_VALUE"""),20.01)</f>
        <v>20.01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IFERROR(__xludf.DUMMYFUNCTION("""COMPUTED_VALUE"""),20.08)</f>
        <v>20.08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IFERROR(__xludf.DUMMYFUNCTION("""COMPUTED_VALUE"""),20.48)</f>
        <v>20.48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IFERROR(__xludf.DUMMYFUNCTION("""COMPUTED_VALUE"""),22.2)</f>
        <v>22.2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IFERROR(__xludf.DUMMYFUNCTION("""COMPUTED_VALUE"""),22.3)</f>
        <v>22.3</v>
      </c>
    </row>
    <row r="54" ht="15.75" customHeight="1"/>
    <row r="55" ht="15.75" customHeight="1"/>
    <row r="56" ht="15.75" customHeight="1">
      <c r="B56" s="2" t="str">
        <f>IFERROR(__xludf.DUMMYFUNCTION("GOOGLEFINANCE(""NSE:HDFCBANK"",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IFERROR(__xludf.DUMMYFUNCTION("""COMPUTED_VALUE"""),21.99)</f>
        <v>21.99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IFERROR(__xludf.DUMMYFUNCTION("""COMPUTED_VALUE"""),21.8)</f>
        <v>21.8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IFERROR(__xludf.DUMMYFUNCTION("""COMPUTED_VALUE"""),23.6)</f>
        <v>23.6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IFERROR(__xludf.DUMMYFUNCTION("""COMPUTED_VALUE"""),24.35)</f>
        <v>24.35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IFERROR(__xludf.DUMMYFUNCTION("""COMPUTED_VALUE"""),23.99)</f>
        <v>23.99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IFERROR(__xludf.DUMMYFUNCTION("""COMPUTED_VALUE"""),25.04)</f>
        <v>25.04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IFERROR(__xludf.DUMMYFUNCTION("""COMPUTED_VALUE"""),25.24)</f>
        <v>25.24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IFERROR(__xludf.DUMMYFUNCTION("""COMPUTED_VALUE"""),25.6)</f>
        <v>25.6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IFERROR(__xludf.DUMMYFUNCTION("""COMPUTED_VALUE"""),25.37)</f>
        <v>25.37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IFERROR(__xludf.DUMMYFUNCTION("""COMPUTED_VALUE"""),25.23)</f>
        <v>25.23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IFERROR(__xludf.DUMMYFUNCTION("""COMPUTED_VALUE"""),24.6)</f>
        <v>24.6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IFERROR(__xludf.DUMMYFUNCTION("""COMPUTED_VALUE"""),24.88)</f>
        <v>24.88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IFERROR(__xludf.DUMMYFUNCTION("""COMPUTED_VALUE"""),24.2)</f>
        <v>24.2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IFERROR(__xludf.DUMMYFUNCTION("""COMPUTED_VALUE"""),25.0)</f>
        <v>25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IFERROR(__xludf.DUMMYFUNCTION("""COMPUTED_VALUE"""),24.89)</f>
        <v>24.89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IFERROR(__xludf.DUMMYFUNCTION("""COMPUTED_VALUE"""),24.7)</f>
        <v>24.7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IFERROR(__xludf.DUMMYFUNCTION("""COMPUTED_VALUE"""),25.6)</f>
        <v>25.6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IFERROR(__xludf.DUMMYFUNCTION("""COMPUTED_VALUE"""),25.7)</f>
        <v>25.7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IFERROR(__xludf.DUMMYFUNCTION("""COMPUTED_VALUE"""),25.21)</f>
        <v>25.21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IFERROR(__xludf.DUMMYFUNCTION("""COMPUTED_VALUE"""),25.4)</f>
        <v>25.4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IFERROR(__xludf.DUMMYFUNCTION("""COMPUTED_VALUE"""),25.25)</f>
        <v>25.25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IFERROR(__xludf.DUMMYFUNCTION("""COMPUTED_VALUE"""),26.45)</f>
        <v>26.45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IFERROR(__xludf.DUMMYFUNCTION("""COMPUTED_VALUE"""),26.72)</f>
        <v>26.72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IFERROR(__xludf.DUMMYFUNCTION("""COMPUTED_VALUE"""),25.74)</f>
        <v>25.74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IFERROR(__xludf.DUMMYFUNCTION("""COMPUTED_VALUE"""),25.1)</f>
        <v>25.1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IFERROR(__xludf.DUMMYFUNCTION("""COMPUTED_VALUE"""),30.21)</f>
        <v>30.21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IFERROR(__xludf.DUMMYFUNCTION("""COMPUTED_VALUE"""),30.35)</f>
        <v>30.35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IFERROR(__xludf.DUMMYFUNCTION("""COMPUTED_VALUE"""),29.87)</f>
        <v>29.87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IFERROR(__xludf.DUMMYFUNCTION("""COMPUTED_VALUE"""),28.0)</f>
        <v>28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IFERROR(__xludf.DUMMYFUNCTION("""COMPUTED_VALUE"""),27.38)</f>
        <v>27.38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IFERROR(__xludf.DUMMYFUNCTION("""COMPUTED_VALUE"""),28.2)</f>
        <v>28.2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IFERROR(__xludf.DUMMYFUNCTION("""COMPUTED_VALUE"""),27.8)</f>
        <v>27.8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IFERROR(__xludf.DUMMYFUNCTION("""COMPUTED_VALUE"""),29.16)</f>
        <v>29.16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IFERROR(__xludf.DUMMYFUNCTION("""COMPUTED_VALUE"""),28.9)</f>
        <v>28.9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IFERROR(__xludf.DUMMYFUNCTION("""COMPUTED_VALUE"""),29.1)</f>
        <v>29.1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IFERROR(__xludf.DUMMYFUNCTION("""COMPUTED_VALUE"""),28.29)</f>
        <v>28.29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IFERROR(__xludf.DUMMYFUNCTION("""COMPUTED_VALUE"""),28.0)</f>
        <v>28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IFERROR(__xludf.DUMMYFUNCTION("""COMPUTED_VALUE"""),27.58)</f>
        <v>27.58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IFERROR(__xludf.DUMMYFUNCTION("""COMPUTED_VALUE"""),29.55)</f>
        <v>29.55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IFERROR(__xludf.DUMMYFUNCTION("""COMPUTED_VALUE"""),32.51)</f>
        <v>32.51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IFERROR(__xludf.DUMMYFUNCTION("""COMPUTED_VALUE"""),32.99)</f>
        <v>32.99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IFERROR(__xludf.DUMMYFUNCTION("""COMPUTED_VALUE"""),32.1)</f>
        <v>32.1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IFERROR(__xludf.DUMMYFUNCTION("""COMPUTED_VALUE"""),32.3)</f>
        <v>32.3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IFERROR(__xludf.DUMMYFUNCTION("""COMPUTED_VALUE"""),30.78)</f>
        <v>30.78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IFERROR(__xludf.DUMMYFUNCTION("""COMPUTED_VALUE"""),30.95)</f>
        <v>30.95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IFERROR(__xludf.DUMMYFUNCTION("""COMPUTED_VALUE"""),33.6)</f>
        <v>33.6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IFERROR(__xludf.DUMMYFUNCTION("""COMPUTED_VALUE"""),36.74)</f>
        <v>36.74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IFERROR(__xludf.DUMMYFUNCTION("""COMPUTED_VALUE"""),36.6)</f>
        <v>36.6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IFERROR(__xludf.DUMMYFUNCTION("""COMPUTED_VALUE"""),36.5)</f>
        <v>36.5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IFERROR(__xludf.DUMMYFUNCTION("GOOGLEFINANCE(""NSE:HDFCBANK"",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IFERROR(__xludf.DUMMYFUNCTION("""COMPUTED_VALUE"""),38.51)</f>
        <v>38.51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IFERROR(__xludf.DUMMYFUNCTION("""COMPUTED_VALUE"""),38.6)</f>
        <v>38.6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IFERROR(__xludf.DUMMYFUNCTION("""COMPUTED_VALUE"""),40.3)</f>
        <v>40.3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IFERROR(__xludf.DUMMYFUNCTION("""COMPUTED_VALUE"""),38.49)</f>
        <v>38.49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IFERROR(__xludf.DUMMYFUNCTION("""COMPUTED_VALUE"""),40.67)</f>
        <v>40.67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IFERROR(__xludf.DUMMYFUNCTION("""COMPUTED_VALUE"""),36.0)</f>
        <v>36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IFERROR(__xludf.DUMMYFUNCTION("""COMPUTED_VALUE"""),38.2)</f>
        <v>38.2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IFERROR(__xludf.DUMMYFUNCTION("""COMPUTED_VALUE"""),38.34)</f>
        <v>38.34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IFERROR(__xludf.DUMMYFUNCTION("""COMPUTED_VALUE"""),37.75)</f>
        <v>37.75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IFERROR(__xludf.DUMMYFUNCTION("""COMPUTED_VALUE"""),40.0)</f>
        <v>40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IFERROR(__xludf.DUMMYFUNCTION("""COMPUTED_VALUE"""),39.25)</f>
        <v>39.25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IFERROR(__xludf.DUMMYFUNCTION("""COMPUTED_VALUE"""),37.35)</f>
        <v>37.35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IFERROR(__xludf.DUMMYFUNCTION("""COMPUTED_VALUE"""),37.81)</f>
        <v>37.81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IFERROR(__xludf.DUMMYFUNCTION("""COMPUTED_VALUE"""),39.2)</f>
        <v>39.2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IFERROR(__xludf.DUMMYFUNCTION("""COMPUTED_VALUE"""),40.0)</f>
        <v>40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IFERROR(__xludf.DUMMYFUNCTION("""COMPUTED_VALUE"""),38.48)</f>
        <v>38.48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IFERROR(__xludf.DUMMYFUNCTION("""COMPUTED_VALUE"""),38.5)</f>
        <v>38.5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IFERROR(__xludf.DUMMYFUNCTION("""COMPUTED_VALUE"""),39.5)</f>
        <v>39.5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IFERROR(__xludf.DUMMYFUNCTION("""COMPUTED_VALUE"""),38.8)</f>
        <v>38.8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IFERROR(__xludf.DUMMYFUNCTION("""COMPUTED_VALUE"""),36.99)</f>
        <v>36.99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IFERROR(__xludf.DUMMYFUNCTION("""COMPUTED_VALUE"""),37.98)</f>
        <v>37.98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IFERROR(__xludf.DUMMYFUNCTION("""COMPUTED_VALUE"""),36.6)</f>
        <v>36.6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IFERROR(__xludf.DUMMYFUNCTION("""COMPUTED_VALUE"""),39.2)</f>
        <v>39.2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IFERROR(__xludf.DUMMYFUNCTION("""COMPUTED_VALUE"""),37.8)</f>
        <v>37.8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IFERROR(__xludf.DUMMYFUNCTION("""COMPUTED_VALUE"""),39.09)</f>
        <v>39.09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IFERROR(__xludf.DUMMYFUNCTION("""COMPUTED_VALUE"""),37.41)</f>
        <v>37.41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IFERROR(__xludf.DUMMYFUNCTION("""COMPUTED_VALUE"""),37.45)</f>
        <v>37.45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IFERROR(__xludf.DUMMYFUNCTION("""COMPUTED_VALUE"""),37.29)</f>
        <v>37.29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IFERROR(__xludf.DUMMYFUNCTION("""COMPUTED_VALUE"""),37.5)</f>
        <v>37.5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IFERROR(__xludf.DUMMYFUNCTION("""COMPUTED_VALUE"""),37.95)</f>
        <v>37.95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IFERROR(__xludf.DUMMYFUNCTION("""COMPUTED_VALUE"""),37.5)</f>
        <v>37.5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IFERROR(__xludf.DUMMYFUNCTION("""COMPUTED_VALUE"""),37.65)</f>
        <v>37.65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IFERROR(__xludf.DUMMYFUNCTION("""COMPUTED_VALUE"""),36.98)</f>
        <v>36.98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IFERROR(__xludf.DUMMYFUNCTION("""COMPUTED_VALUE"""),38.19)</f>
        <v>38.19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IFERROR(__xludf.DUMMYFUNCTION("""COMPUTED_VALUE"""),37.39)</f>
        <v>37.39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IFERROR(__xludf.DUMMYFUNCTION("""COMPUTED_VALUE"""),40.34)</f>
        <v>40.34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IFERROR(__xludf.DUMMYFUNCTION("""COMPUTED_VALUE"""),40.68)</f>
        <v>40.68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IFERROR(__xludf.DUMMYFUNCTION("""COMPUTED_VALUE"""),41.67)</f>
        <v>41.67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IFERROR(__xludf.DUMMYFUNCTION("""COMPUTED_VALUE"""),41.42)</f>
        <v>41.42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IFERROR(__xludf.DUMMYFUNCTION("""COMPUTED_VALUE"""),41.19)</f>
        <v>41.19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IFERROR(__xludf.DUMMYFUNCTION("""COMPUTED_VALUE"""),41.69)</f>
        <v>41.69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IFERROR(__xludf.DUMMYFUNCTION("""COMPUTED_VALUE"""),42.5)</f>
        <v>42.5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IFERROR(__xludf.DUMMYFUNCTION("""COMPUTED_VALUE"""),43.58)</f>
        <v>43.58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IFERROR(__xludf.DUMMYFUNCTION("""COMPUTED_VALUE"""),47.7)</f>
        <v>47.7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IFERROR(__xludf.DUMMYFUNCTION("""COMPUTED_VALUE"""),49.2)</f>
        <v>49.2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IFERROR(__xludf.DUMMYFUNCTION("""COMPUTED_VALUE"""),50.2)</f>
        <v>50.2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IFERROR(__xludf.DUMMYFUNCTION("""COMPUTED_VALUE"""),50.44)</f>
        <v>50.44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IFERROR(__xludf.DUMMYFUNCTION("""COMPUTED_VALUE"""),49.2)</f>
        <v>49.2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IFERROR(__xludf.DUMMYFUNCTION("""COMPUTED_VALUE"""),48.76)</f>
        <v>48.76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IFERROR(__xludf.DUMMYFUNCTION("""COMPUTED_VALUE"""),52.0)</f>
        <v>52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IFERROR(__xludf.DUMMYFUNCTION("""COMPUTED_VALUE"""),53.0)</f>
        <v>53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IFERROR(__xludf.DUMMYFUNCTION("GOOGLEFINANCE(""NSE:HDFCBANK"",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IFERROR(__xludf.DUMMYFUNCTION("""COMPUTED_VALUE"""),53.1)</f>
        <v>53.1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IFERROR(__xludf.DUMMYFUNCTION("""COMPUTED_VALUE"""),52.2)</f>
        <v>52.2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IFERROR(__xludf.DUMMYFUNCTION("""COMPUTED_VALUE"""),52.9)</f>
        <v>52.9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IFERROR(__xludf.DUMMYFUNCTION("""COMPUTED_VALUE"""),54.88)</f>
        <v>54.88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IFERROR(__xludf.DUMMYFUNCTION("""COMPUTED_VALUE"""),57.9)</f>
        <v>57.9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IFERROR(__xludf.DUMMYFUNCTION("""COMPUTED_VALUE"""),59.0)</f>
        <v>59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IFERROR(__xludf.DUMMYFUNCTION("""COMPUTED_VALUE"""),57.83)</f>
        <v>57.83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IFERROR(__xludf.DUMMYFUNCTION("""COMPUTED_VALUE"""),57.83)</f>
        <v>57.83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IFERROR(__xludf.DUMMYFUNCTION("""COMPUTED_VALUE"""),59.98)</f>
        <v>59.98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IFERROR(__xludf.DUMMYFUNCTION("""COMPUTED_VALUE"""),62.86)</f>
        <v>62.86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IFERROR(__xludf.DUMMYFUNCTION("""COMPUTED_VALUE"""),61.2)</f>
        <v>61.2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IFERROR(__xludf.DUMMYFUNCTION("""COMPUTED_VALUE"""),60.4)</f>
        <v>60.4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IFERROR(__xludf.DUMMYFUNCTION("""COMPUTED_VALUE"""),55.7)</f>
        <v>55.7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IFERROR(__xludf.DUMMYFUNCTION("""COMPUTED_VALUE"""),56.7)</f>
        <v>56.7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IFERROR(__xludf.DUMMYFUNCTION("""COMPUTED_VALUE"""),57.35)</f>
        <v>57.35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IFERROR(__xludf.DUMMYFUNCTION("""COMPUTED_VALUE"""),63.23)</f>
        <v>63.23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IFERROR(__xludf.DUMMYFUNCTION("""COMPUTED_VALUE"""),54.5)</f>
        <v>54.5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IFERROR(__xludf.DUMMYFUNCTION("""COMPUTED_VALUE"""),55.49)</f>
        <v>55.49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IFERROR(__xludf.DUMMYFUNCTION("""COMPUTED_VALUE"""),55.48)</f>
        <v>55.48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IFERROR(__xludf.DUMMYFUNCTION("""COMPUTED_VALUE"""),55.48)</f>
        <v>55.48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IFERROR(__xludf.DUMMYFUNCTION("""COMPUTED_VALUE"""),55.38)</f>
        <v>55.38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IFERROR(__xludf.DUMMYFUNCTION("""COMPUTED_VALUE"""),60.0)</f>
        <v>60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IFERROR(__xludf.DUMMYFUNCTION("""COMPUTED_VALUE"""),60.71)</f>
        <v>60.71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IFERROR(__xludf.DUMMYFUNCTION("""COMPUTED_VALUE"""),60.5)</f>
        <v>60.5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IFERROR(__xludf.DUMMYFUNCTION("""COMPUTED_VALUE"""),64.3)</f>
        <v>64.3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IFERROR(__xludf.DUMMYFUNCTION("""COMPUTED_VALUE"""),66.2)</f>
        <v>66.2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IFERROR(__xludf.DUMMYFUNCTION("""COMPUTED_VALUE"""),67.0)</f>
        <v>67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IFERROR(__xludf.DUMMYFUNCTION("""COMPUTED_VALUE"""),67.5)</f>
        <v>67.5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IFERROR(__xludf.DUMMYFUNCTION("""COMPUTED_VALUE"""),73.0)</f>
        <v>73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IFERROR(__xludf.DUMMYFUNCTION("""COMPUTED_VALUE"""),74.0)</f>
        <v>74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IFERROR(__xludf.DUMMYFUNCTION("""COMPUTED_VALUE"""),76.5)</f>
        <v>76.5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IFERROR(__xludf.DUMMYFUNCTION("""COMPUTED_VALUE"""),66.81)</f>
        <v>66.81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IFERROR(__xludf.DUMMYFUNCTION("""COMPUTED_VALUE"""),67.29)</f>
        <v>67.29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IFERROR(__xludf.DUMMYFUNCTION("""COMPUTED_VALUE"""),65.0)</f>
        <v>65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IFERROR(__xludf.DUMMYFUNCTION("""COMPUTED_VALUE"""),68.0)</f>
        <v>68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IFERROR(__xludf.DUMMYFUNCTION("""COMPUTED_VALUE"""),69.8)</f>
        <v>69.8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IFERROR(__xludf.DUMMYFUNCTION("""COMPUTED_VALUE"""),74.0)</f>
        <v>74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IFERROR(__xludf.DUMMYFUNCTION("""COMPUTED_VALUE"""),70.7)</f>
        <v>70.7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IFERROR(__xludf.DUMMYFUNCTION("""COMPUTED_VALUE"""),71.5)</f>
        <v>71.5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IFERROR(__xludf.DUMMYFUNCTION("""COMPUTED_VALUE"""),69.79)</f>
        <v>69.79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IFERROR(__xludf.DUMMYFUNCTION("""COMPUTED_VALUE"""),66.97)</f>
        <v>66.97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IFERROR(__xludf.DUMMYFUNCTION("""COMPUTED_VALUE"""),65.27)</f>
        <v>65.27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IFERROR(__xludf.DUMMYFUNCTION("""COMPUTED_VALUE"""),64.98)</f>
        <v>64.98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IFERROR(__xludf.DUMMYFUNCTION("""COMPUTED_VALUE"""),64.8)</f>
        <v>64.8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IFERROR(__xludf.DUMMYFUNCTION("""COMPUTED_VALUE"""),70.7)</f>
        <v>70.7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IFERROR(__xludf.DUMMYFUNCTION("""COMPUTED_VALUE"""),71.39)</f>
        <v>71.39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IFERROR(__xludf.DUMMYFUNCTION("""COMPUTED_VALUE"""),70.1)</f>
        <v>70.1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IFERROR(__xludf.DUMMYFUNCTION("""COMPUTED_VALUE"""),73.4)</f>
        <v>73.4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IFERROR(__xludf.DUMMYFUNCTION("""COMPUTED_VALUE"""),74.85)</f>
        <v>74.85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IFERROR(__xludf.DUMMYFUNCTION("""COMPUTED_VALUE"""),72.7)</f>
        <v>72.7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IFERROR(__xludf.DUMMYFUNCTION("GOOGLEFINANCE(""NSE:HDFCBANK"",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IFERROR(__xludf.DUMMYFUNCTION("""COMPUTED_VALUE"""),77.5)</f>
        <v>77.5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IFERROR(__xludf.DUMMYFUNCTION("""COMPUTED_VALUE"""),77.3)</f>
        <v>77.3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IFERROR(__xludf.DUMMYFUNCTION("""COMPUTED_VALUE"""),75.3)</f>
        <v>75.3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IFERROR(__xludf.DUMMYFUNCTION("""COMPUTED_VALUE"""),75.0)</f>
        <v>75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IFERROR(__xludf.DUMMYFUNCTION("""COMPUTED_VALUE"""),77.4)</f>
        <v>77.4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IFERROR(__xludf.DUMMYFUNCTION("""COMPUTED_VALUE"""),77.5)</f>
        <v>77.5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IFERROR(__xludf.DUMMYFUNCTION("""COMPUTED_VALUE"""),76.89)</f>
        <v>76.89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IFERROR(__xludf.DUMMYFUNCTION("""COMPUTED_VALUE"""),74.49)</f>
        <v>74.49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IFERROR(__xludf.DUMMYFUNCTION("""COMPUTED_VALUE"""),76.22)</f>
        <v>76.22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IFERROR(__xludf.DUMMYFUNCTION("""COMPUTED_VALUE"""),76.97)</f>
        <v>76.97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IFERROR(__xludf.DUMMYFUNCTION("""COMPUTED_VALUE"""),77.6)</f>
        <v>77.6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IFERROR(__xludf.DUMMYFUNCTION("""COMPUTED_VALUE"""),77.5)</f>
        <v>77.5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IFERROR(__xludf.DUMMYFUNCTION("""COMPUTED_VALUE"""),81.2)</f>
        <v>81.2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IFERROR(__xludf.DUMMYFUNCTION("""COMPUTED_VALUE"""),85.4)</f>
        <v>85.4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IFERROR(__xludf.DUMMYFUNCTION("""COMPUTED_VALUE"""),83.99)</f>
        <v>83.99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IFERROR(__xludf.DUMMYFUNCTION("""COMPUTED_VALUE"""),86.5)</f>
        <v>86.5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IFERROR(__xludf.DUMMYFUNCTION("""COMPUTED_VALUE"""),89.49)</f>
        <v>89.49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IFERROR(__xludf.DUMMYFUNCTION("""COMPUTED_VALUE"""),89.5)</f>
        <v>89.5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IFERROR(__xludf.DUMMYFUNCTION("""COMPUTED_VALUE"""),87.5)</f>
        <v>87.5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IFERROR(__xludf.DUMMYFUNCTION("""COMPUTED_VALUE"""),83.4)</f>
        <v>83.4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IFERROR(__xludf.DUMMYFUNCTION("""COMPUTED_VALUE"""),78.8)</f>
        <v>78.8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IFERROR(__xludf.DUMMYFUNCTION("""COMPUTED_VALUE"""),77.4)</f>
        <v>77.4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IFERROR(__xludf.DUMMYFUNCTION("""COMPUTED_VALUE"""),76.65)</f>
        <v>76.65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IFERROR(__xludf.DUMMYFUNCTION("""COMPUTED_VALUE"""),76.0)</f>
        <v>76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IFERROR(__xludf.DUMMYFUNCTION("""COMPUTED_VALUE"""),81.48)</f>
        <v>81.48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IFERROR(__xludf.DUMMYFUNCTION("""COMPUTED_VALUE"""),81.6)</f>
        <v>81.6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IFERROR(__xludf.DUMMYFUNCTION("""COMPUTED_VALUE"""),78.0)</f>
        <v>78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IFERROR(__xludf.DUMMYFUNCTION("""COMPUTED_VALUE"""),74.0)</f>
        <v>74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IFERROR(__xludf.DUMMYFUNCTION("""COMPUTED_VALUE"""),80.13)</f>
        <v>80.13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IFERROR(__xludf.DUMMYFUNCTION("""COMPUTED_VALUE"""),80.5)</f>
        <v>80.5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IFERROR(__xludf.DUMMYFUNCTION("""COMPUTED_VALUE"""),81.9)</f>
        <v>81.9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IFERROR(__xludf.DUMMYFUNCTION("""COMPUTED_VALUE"""),86.94)</f>
        <v>86.94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IFERROR(__xludf.DUMMYFUNCTION("""COMPUTED_VALUE"""),87.0)</f>
        <v>87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IFERROR(__xludf.DUMMYFUNCTION("""COMPUTED_VALUE"""),88.0)</f>
        <v>88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IFERROR(__xludf.DUMMYFUNCTION("""COMPUTED_VALUE"""),88.68)</f>
        <v>88.68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IFERROR(__xludf.DUMMYFUNCTION("""COMPUTED_VALUE"""),88.9)</f>
        <v>88.9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IFERROR(__xludf.DUMMYFUNCTION("""COMPUTED_VALUE"""),89.4)</f>
        <v>89.4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IFERROR(__xludf.DUMMYFUNCTION("""COMPUTED_VALUE"""),95.47)</f>
        <v>95.47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IFERROR(__xludf.DUMMYFUNCTION("""COMPUTED_VALUE"""),94.5)</f>
        <v>94.5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IFERROR(__xludf.DUMMYFUNCTION("""COMPUTED_VALUE"""),100.0)</f>
        <v>100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IFERROR(__xludf.DUMMYFUNCTION("""COMPUTED_VALUE"""),101.3)</f>
        <v>101.3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IFERROR(__xludf.DUMMYFUNCTION("""COMPUTED_VALUE"""),103.79)</f>
        <v>103.79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IFERROR(__xludf.DUMMYFUNCTION("""COMPUTED_VALUE"""),105.0)</f>
        <v>105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IFERROR(__xludf.DUMMYFUNCTION("""COMPUTED_VALUE"""),115.0)</f>
        <v>115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IFERROR(__xludf.DUMMYFUNCTION("""COMPUTED_VALUE"""),112.69)</f>
        <v>112.69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IFERROR(__xludf.DUMMYFUNCTION("""COMPUTED_VALUE"""),113.48)</f>
        <v>113.48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IFERROR(__xludf.DUMMYFUNCTION("""COMPUTED_VALUE"""),113.4)</f>
        <v>113.4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IFERROR(__xludf.DUMMYFUNCTION("""COMPUTED_VALUE"""),108.95)</f>
        <v>108.95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IFERROR(__xludf.DUMMYFUNCTION("""COMPUTED_VALUE"""),107.57)</f>
        <v>107.57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IFERROR(__xludf.DUMMYFUNCTION("""COMPUTED_VALUE"""),109.87)</f>
        <v>109.87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IFERROR(__xludf.DUMMYFUNCTION("GOOGLEFINANCE(""NSE:HDFCBANK"",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IFERROR(__xludf.DUMMYFUNCTION("""COMPUTED_VALUE"""),107.98)</f>
        <v>107.98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IFERROR(__xludf.DUMMYFUNCTION("""COMPUTED_VALUE"""),106.98)</f>
        <v>106.98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IFERROR(__xludf.DUMMYFUNCTION("""COMPUTED_VALUE"""),110.47)</f>
        <v>110.47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IFERROR(__xludf.DUMMYFUNCTION("""COMPUTED_VALUE"""),107.5)</f>
        <v>107.5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IFERROR(__xludf.DUMMYFUNCTION("""COMPUTED_VALUE"""),116.0)</f>
        <v>116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IFERROR(__xludf.DUMMYFUNCTION("""COMPUTED_VALUE"""),112.0)</f>
        <v>112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IFERROR(__xludf.DUMMYFUNCTION("""COMPUTED_VALUE"""),112.0)</f>
        <v>112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IFERROR(__xludf.DUMMYFUNCTION("""COMPUTED_VALUE"""),105.17)</f>
        <v>105.17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IFERROR(__xludf.DUMMYFUNCTION("""COMPUTED_VALUE"""),98.9)</f>
        <v>98.9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IFERROR(__xludf.DUMMYFUNCTION("""COMPUTED_VALUE"""),99.0)</f>
        <v>99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IFERROR(__xludf.DUMMYFUNCTION("""COMPUTED_VALUE"""),98.38)</f>
        <v>98.38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IFERROR(__xludf.DUMMYFUNCTION("""COMPUTED_VALUE"""),103.2)</f>
        <v>103.2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IFERROR(__xludf.DUMMYFUNCTION("""COMPUTED_VALUE"""),101.8)</f>
        <v>101.8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IFERROR(__xludf.DUMMYFUNCTION("""COMPUTED_VALUE"""),94.8)</f>
        <v>94.8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IFERROR(__xludf.DUMMYFUNCTION("""COMPUTED_VALUE"""),99.7)</f>
        <v>99.7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IFERROR(__xludf.DUMMYFUNCTION("""COMPUTED_VALUE"""),100.9)</f>
        <v>100.9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IFERROR(__xludf.DUMMYFUNCTION("""COMPUTED_VALUE"""),104.5)</f>
        <v>104.5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IFERROR(__xludf.DUMMYFUNCTION("""COMPUTED_VALUE"""),104.0)</f>
        <v>104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IFERROR(__xludf.DUMMYFUNCTION("""COMPUTED_VALUE"""),102.5)</f>
        <v>102.5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IFERROR(__xludf.DUMMYFUNCTION("""COMPUTED_VALUE"""),109.2)</f>
        <v>109.2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IFERROR(__xludf.DUMMYFUNCTION("""COMPUTED_VALUE"""),113.29)</f>
        <v>113.29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IFERROR(__xludf.DUMMYFUNCTION("""COMPUTED_VALUE"""),116.5)</f>
        <v>116.5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IFERROR(__xludf.DUMMYFUNCTION("""COMPUTED_VALUE"""),118.42)</f>
        <v>118.42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IFERROR(__xludf.DUMMYFUNCTION("""COMPUTED_VALUE"""),112.8)</f>
        <v>112.8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IFERROR(__xludf.DUMMYFUNCTION("""COMPUTED_VALUE"""),112.5)</f>
        <v>112.5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IFERROR(__xludf.DUMMYFUNCTION("""COMPUTED_VALUE"""),115.1)</f>
        <v>115.1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IFERROR(__xludf.DUMMYFUNCTION("""COMPUTED_VALUE"""),117.3)</f>
        <v>117.3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IFERROR(__xludf.DUMMYFUNCTION("""COMPUTED_VALUE"""),124.0)</f>
        <v>124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IFERROR(__xludf.DUMMYFUNCTION("""COMPUTED_VALUE"""),123.0)</f>
        <v>123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IFERROR(__xludf.DUMMYFUNCTION("""COMPUTED_VALUE"""),125.5)</f>
        <v>125.5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IFERROR(__xludf.DUMMYFUNCTION("""COMPUTED_VALUE"""),120.99)</f>
        <v>120.99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IFERROR(__xludf.DUMMYFUNCTION("""COMPUTED_VALUE"""),119.25)</f>
        <v>119.25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IFERROR(__xludf.DUMMYFUNCTION("""COMPUTED_VALUE"""),115.2)</f>
        <v>115.2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IFERROR(__xludf.DUMMYFUNCTION("""COMPUTED_VALUE"""),114.5)</f>
        <v>114.5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IFERROR(__xludf.DUMMYFUNCTION("""COMPUTED_VALUE"""),119.7)</f>
        <v>119.7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IFERROR(__xludf.DUMMYFUNCTION("""COMPUTED_VALUE"""),121.83)</f>
        <v>121.83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IFERROR(__xludf.DUMMYFUNCTION("""COMPUTED_VALUE"""),124.99)</f>
        <v>124.99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IFERROR(__xludf.DUMMYFUNCTION("""COMPUTED_VALUE"""),134.0)</f>
        <v>134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IFERROR(__xludf.DUMMYFUNCTION("""COMPUTED_VALUE"""),145.9)</f>
        <v>145.9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IFERROR(__xludf.DUMMYFUNCTION("""COMPUTED_VALUE"""),144.97)</f>
        <v>144.97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IFERROR(__xludf.DUMMYFUNCTION("""COMPUTED_VALUE"""),147.49)</f>
        <v>147.49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IFERROR(__xludf.DUMMYFUNCTION("""COMPUTED_VALUE"""),152.5)</f>
        <v>152.5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IFERROR(__xludf.DUMMYFUNCTION("""COMPUTED_VALUE"""),157.89)</f>
        <v>157.89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IFERROR(__xludf.DUMMYFUNCTION("""COMPUTED_VALUE"""),179.98)</f>
        <v>179.98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IFERROR(__xludf.DUMMYFUNCTION("""COMPUTED_VALUE"""),178.0)</f>
        <v>178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IFERROR(__xludf.DUMMYFUNCTION("""COMPUTED_VALUE"""),168.7)</f>
        <v>168.7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IFERROR(__xludf.DUMMYFUNCTION("""COMPUTED_VALUE"""),174.84)</f>
        <v>174.84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IFERROR(__xludf.DUMMYFUNCTION("""COMPUTED_VALUE"""),178.0)</f>
        <v>178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IFERROR(__xludf.DUMMYFUNCTION("""COMPUTED_VALUE"""),179.88)</f>
        <v>179.88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IFERROR(__xludf.DUMMYFUNCTION("""COMPUTED_VALUE"""),171.9)</f>
        <v>171.9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IFERROR(__xludf.DUMMYFUNCTION("""COMPUTED_VALUE"""),175.8)</f>
        <v>175.8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IFERROR(__xludf.DUMMYFUNCTION("GOOGLEFINANCE(""NSE:HDFCBANK"",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IFERROR(__xludf.DUMMYFUNCTION("""COMPUTED_VALUE"""),175.0)</f>
        <v>175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IFERROR(__xludf.DUMMYFUNCTION("""COMPUTED_VALUE"""),179.76)</f>
        <v>179.76</v>
      </c>
    </row>
    <row r="334" ht="15.75" customHeight="1">
      <c r="B334" s="3">
        <f>IFERROR(__xludf.DUMMYFUNCTION("""COMPUTED_VALUE"""),39464.645833333336)</f>
        <v>39464.64583</v>
      </c>
      <c r="C334" s="2">
        <f>IFERROR(__xludf.DUMMYFUNCTION("""COMPUTED_VALUE"""),182.5)</f>
        <v>182.5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IFERROR(__xludf.DUMMYFUNCTION("""COMPUTED_VALUE"""),178.0)</f>
        <v>178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IFERROR(__xludf.DUMMYFUNCTION("""COMPUTED_VALUE"""),162.7)</f>
        <v>162.7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IFERROR(__xludf.DUMMYFUNCTION("""COMPUTED_VALUE"""),162.38)</f>
        <v>162.38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IFERROR(__xludf.DUMMYFUNCTION("""COMPUTED_VALUE"""),157.5)</f>
        <v>157.5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IFERROR(__xludf.DUMMYFUNCTION("""COMPUTED_VALUE"""),159.77)</f>
        <v>159.77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IFERROR(__xludf.DUMMYFUNCTION("""COMPUTED_VALUE"""),150.98)</f>
        <v>150.98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IFERROR(__xludf.DUMMYFUNCTION("""COMPUTED_VALUE"""),143.0)</f>
        <v>143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IFERROR(__xludf.DUMMYFUNCTION("""COMPUTED_VALUE"""),135.1)</f>
        <v>135.1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IFERROR(__xludf.DUMMYFUNCTION("""COMPUTED_VALUE"""),133.5)</f>
        <v>133.5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IFERROR(__xludf.DUMMYFUNCTION("""COMPUTED_VALUE"""),146.72)</f>
        <v>146.72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IFERROR(__xludf.DUMMYFUNCTION("""COMPUTED_VALUE"""),140.1)</f>
        <v>140.1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IFERROR(__xludf.DUMMYFUNCTION("""COMPUTED_VALUE"""),139.9)</f>
        <v>139.9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IFERROR(__xludf.DUMMYFUNCTION("""COMPUTED_VALUE"""),141.5)</f>
        <v>141.5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IFERROR(__xludf.DUMMYFUNCTION("""COMPUTED_VALUE"""),151.65)</f>
        <v>151.65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IFERROR(__xludf.DUMMYFUNCTION("""COMPUTED_VALUE"""),157.7)</f>
        <v>157.7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IFERROR(__xludf.DUMMYFUNCTION("""COMPUTED_VALUE"""),160.0)</f>
        <v>160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IFERROR(__xludf.DUMMYFUNCTION("""COMPUTED_VALUE"""),152.77)</f>
        <v>152.77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IFERROR(__xludf.DUMMYFUNCTION("""COMPUTED_VALUE"""),150.5)</f>
        <v>150.5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IFERROR(__xludf.DUMMYFUNCTION("""COMPUTED_VALUE"""),138.29)</f>
        <v>138.29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IFERROR(__xludf.DUMMYFUNCTION("""COMPUTED_VALUE"""),138.0)</f>
        <v>138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IFERROR(__xludf.DUMMYFUNCTION("""COMPUTED_VALUE"""),120.98)</f>
        <v>120.98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IFERROR(__xludf.DUMMYFUNCTION("""COMPUTED_VALUE"""),123.2)</f>
        <v>123.2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IFERROR(__xludf.DUMMYFUNCTION("""COMPUTED_VALUE"""),111.99)</f>
        <v>111.99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IFERROR(__xludf.DUMMYFUNCTION("""COMPUTED_VALUE"""),105.0)</f>
        <v>105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IFERROR(__xludf.DUMMYFUNCTION("""COMPUTED_VALUE"""),107.65)</f>
        <v>107.65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IFERROR(__xludf.DUMMYFUNCTION("""COMPUTED_VALUE"""),107.0)</f>
        <v>107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IFERROR(__xludf.DUMMYFUNCTION("""COMPUTED_VALUE"""),124.9)</f>
        <v>124.9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IFERROR(__xludf.DUMMYFUNCTION("""COMPUTED_VALUE"""),115.47)</f>
        <v>115.47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IFERROR(__xludf.DUMMYFUNCTION("""COMPUTED_VALUE"""),129.5)</f>
        <v>129.5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IFERROR(__xludf.DUMMYFUNCTION("""COMPUTED_VALUE"""),133.58)</f>
        <v>133.58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IFERROR(__xludf.DUMMYFUNCTION("""COMPUTED_VALUE"""),124.8)</f>
        <v>124.8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IFERROR(__xludf.DUMMYFUNCTION("""COMPUTED_VALUE"""),129.47)</f>
        <v>129.47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IFERROR(__xludf.DUMMYFUNCTION("""COMPUTED_VALUE"""),138.6)</f>
        <v>138.6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IFERROR(__xludf.DUMMYFUNCTION("""COMPUTED_VALUE"""),131.9)</f>
        <v>131.9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IFERROR(__xludf.DUMMYFUNCTION("""COMPUTED_VALUE"""),130.4)</f>
        <v>130.4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IFERROR(__xludf.DUMMYFUNCTION("""COMPUTED_VALUE"""),132.21)</f>
        <v>132.21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IFERROR(__xludf.DUMMYFUNCTION("""COMPUTED_VALUE"""),130.87)</f>
        <v>130.87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IFERROR(__xludf.DUMMYFUNCTION("""COMPUTED_VALUE"""),126.0)</f>
        <v>126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IFERROR(__xludf.DUMMYFUNCTION("""COMPUTED_VALUE"""),124.8)</f>
        <v>124.8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IFERROR(__xludf.DUMMYFUNCTION("""COMPUTED_VALUE"""),112.2)</f>
        <v>112.2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IFERROR(__xludf.DUMMYFUNCTION("""COMPUTED_VALUE"""),106.0)</f>
        <v>106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IFERROR(__xludf.DUMMYFUNCTION("""COMPUTED_VALUE"""),116.8)</f>
        <v>116.8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IFERROR(__xludf.DUMMYFUNCTION("""COMPUTED_VALUE"""),111.47)</f>
        <v>111.47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IFERROR(__xludf.DUMMYFUNCTION("""COMPUTED_VALUE"""),101.48)</f>
        <v>101.48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IFERROR(__xludf.DUMMYFUNCTION("""COMPUTED_VALUE"""),93.6)</f>
        <v>93.6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IFERROR(__xludf.DUMMYFUNCTION("""COMPUTED_VALUE"""),97.0)</f>
        <v>97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IFERROR(__xludf.DUMMYFUNCTION("""COMPUTED_VALUE"""),95.4)</f>
        <v>95.4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IFERROR(__xludf.DUMMYFUNCTION("""COMPUTED_VALUE"""),108.44)</f>
        <v>108.44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IFERROR(__xludf.DUMMYFUNCTION("""COMPUTED_VALUE"""),106.5)</f>
        <v>106.5</v>
      </c>
    </row>
    <row r="384" ht="15.75" customHeight="1"/>
    <row r="385" ht="15.75" customHeight="1"/>
    <row r="386" ht="15.75" customHeight="1">
      <c r="B386" s="2" t="str">
        <f>IFERROR(__xludf.DUMMYFUNCTION("GOOGLEFINANCE(""NSE:HDFCBANK"",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IFERROR(__xludf.DUMMYFUNCTION("""COMPUTED_VALUE"""),103.43)</f>
        <v>103.43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IFERROR(__xludf.DUMMYFUNCTION("""COMPUTED_VALUE"""),112.53)</f>
        <v>112.53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IFERROR(__xludf.DUMMYFUNCTION("""COMPUTED_VALUE"""),104.47)</f>
        <v>104.47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IFERROR(__xludf.DUMMYFUNCTION("""COMPUTED_VALUE"""),95.45)</f>
        <v>95.45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IFERROR(__xludf.DUMMYFUNCTION("""COMPUTED_VALUE"""),93.76)</f>
        <v>93.76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IFERROR(__xludf.DUMMYFUNCTION("""COMPUTED_VALUE"""),92.26)</f>
        <v>92.26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IFERROR(__xludf.DUMMYFUNCTION("""COMPUTED_VALUE"""),95.82)</f>
        <v>95.82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IFERROR(__xludf.DUMMYFUNCTION("""COMPUTED_VALUE"""),94.0)</f>
        <v>94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IFERROR(__xludf.DUMMYFUNCTION("""COMPUTED_VALUE"""),89.79)</f>
        <v>89.79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IFERROR(__xludf.DUMMYFUNCTION("""COMPUTED_VALUE"""),87.7)</f>
        <v>87.7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IFERROR(__xludf.DUMMYFUNCTION("""COMPUTED_VALUE"""),83.68)</f>
        <v>83.68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IFERROR(__xludf.DUMMYFUNCTION("""COMPUTED_VALUE"""),86.3)</f>
        <v>86.3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IFERROR(__xludf.DUMMYFUNCTION("""COMPUTED_VALUE"""),101.3)</f>
        <v>101.3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IFERROR(__xludf.DUMMYFUNCTION("""COMPUTED_VALUE"""),105.19)</f>
        <v>105.19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IFERROR(__xludf.DUMMYFUNCTION("""COMPUTED_VALUE"""),108.0)</f>
        <v>108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IFERROR(__xludf.DUMMYFUNCTION("""COMPUTED_VALUE"""),111.5)</f>
        <v>111.5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IFERROR(__xludf.DUMMYFUNCTION("""COMPUTED_VALUE"""),112.29)</f>
        <v>112.29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IFERROR(__xludf.DUMMYFUNCTION("""COMPUTED_VALUE"""),114.0)</f>
        <v>114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IFERROR(__xludf.DUMMYFUNCTION("""COMPUTED_VALUE"""),121.0)</f>
        <v>121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IFERROR(__xludf.DUMMYFUNCTION("""COMPUTED_VALUE"""),120.4)</f>
        <v>120.4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IFERROR(__xludf.DUMMYFUNCTION("""COMPUTED_VALUE"""),153.97)</f>
        <v>153.97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IFERROR(__xludf.DUMMYFUNCTION("""COMPUTED_VALUE"""),145.99)</f>
        <v>145.99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IFERROR(__xludf.DUMMYFUNCTION("""COMPUTED_VALUE"""),148.4)</f>
        <v>148.4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IFERROR(__xludf.DUMMYFUNCTION("""COMPUTED_VALUE"""),157.9)</f>
        <v>157.9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IFERROR(__xludf.DUMMYFUNCTION("""COMPUTED_VALUE"""),158.4)</f>
        <v>158.4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IFERROR(__xludf.DUMMYFUNCTION("""COMPUTED_VALUE"""),157.87)</f>
        <v>157.87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IFERROR(__xludf.DUMMYFUNCTION("""COMPUTED_VALUE"""),153.29)</f>
        <v>153.29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IFERROR(__xludf.DUMMYFUNCTION("""COMPUTED_VALUE"""),154.8)</f>
        <v>154.8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IFERROR(__xludf.DUMMYFUNCTION("""COMPUTED_VALUE"""),144.89)</f>
        <v>144.89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IFERROR(__xludf.DUMMYFUNCTION("""COMPUTED_VALUE"""),148.6)</f>
        <v>148.6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IFERROR(__xludf.DUMMYFUNCTION("""COMPUTED_VALUE"""),150.95)</f>
        <v>150.95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IFERROR(__xludf.DUMMYFUNCTION("""COMPUTED_VALUE"""),150.9)</f>
        <v>150.9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IFERROR(__xludf.DUMMYFUNCTION("""COMPUTED_VALUE"""),144.9)</f>
        <v>144.9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IFERROR(__xludf.DUMMYFUNCTION("""COMPUTED_VALUE"""),149.0)</f>
        <v>149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IFERROR(__xludf.DUMMYFUNCTION("""COMPUTED_VALUE"""),151.87)</f>
        <v>151.87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IFERROR(__xludf.DUMMYFUNCTION("""COMPUTED_VALUE"""),148.69)</f>
        <v>148.69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IFERROR(__xludf.DUMMYFUNCTION("""COMPUTED_VALUE"""),150.3)</f>
        <v>150.3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IFERROR(__xludf.DUMMYFUNCTION("""COMPUTED_VALUE"""),153.9)</f>
        <v>153.9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IFERROR(__xludf.DUMMYFUNCTION("""COMPUTED_VALUE"""),163.67)</f>
        <v>163.67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IFERROR(__xludf.DUMMYFUNCTION("""COMPUTED_VALUE"""),166.84)</f>
        <v>166.84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IFERROR(__xludf.DUMMYFUNCTION("""COMPUTED_VALUE"""),171.0)</f>
        <v>171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IFERROR(__xludf.DUMMYFUNCTION("""COMPUTED_VALUE"""),172.0)</f>
        <v>172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IFERROR(__xludf.DUMMYFUNCTION("""COMPUTED_VALUE"""),170.0)</f>
        <v>170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IFERROR(__xludf.DUMMYFUNCTION("""COMPUTED_VALUE"""),165.35)</f>
        <v>165.35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IFERROR(__xludf.DUMMYFUNCTION("""COMPUTED_VALUE"""),174.2)</f>
        <v>174.2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IFERROR(__xludf.DUMMYFUNCTION("""COMPUTED_VALUE"""),176.15)</f>
        <v>176.15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IFERROR(__xludf.DUMMYFUNCTION("""COMPUTED_VALUE"""),181.0)</f>
        <v>181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IFERROR(__xludf.DUMMYFUNCTION("""COMPUTED_VALUE"""),182.4)</f>
        <v>182.4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IFERROR(__xludf.DUMMYFUNCTION("""COMPUTED_VALUE"""),183.9)</f>
        <v>183.9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IFERROR(__xludf.DUMMYFUNCTION("""COMPUTED_VALUE"""),180.0)</f>
        <v>180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IFERROR(__xludf.DUMMYFUNCTION("""COMPUTED_VALUE"""),172.4)</f>
        <v>172.4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IFERROR(__xludf.DUMMYFUNCTION("""COMPUTED_VALUE"""),171.8)</f>
        <v>171.8</v>
      </c>
    </row>
    <row r="439" ht="15.75" customHeight="1"/>
    <row r="440" ht="15.75" customHeight="1"/>
    <row r="441" ht="15.75" customHeight="1">
      <c r="B441" s="2" t="str">
        <f>IFERROR(__xludf.DUMMYFUNCTION("GOOGLEFINANCE(""NSE:HDFCBANK"",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IFERROR(__xludf.DUMMYFUNCTION("""COMPUTED_VALUE"""),176.84)</f>
        <v>176.84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IFERROR(__xludf.DUMMYFUNCTION("""COMPUTED_VALUE"""),174.87)</f>
        <v>174.87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IFERROR(__xludf.DUMMYFUNCTION("""COMPUTED_VALUE"""),179.0)</f>
        <v>179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IFERROR(__xludf.DUMMYFUNCTION("""COMPUTED_VALUE"""),167.79)</f>
        <v>167.79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IFERROR(__xludf.DUMMYFUNCTION("""COMPUTED_VALUE"""),163.3)</f>
        <v>163.3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IFERROR(__xludf.DUMMYFUNCTION("""COMPUTED_VALUE"""),170.0)</f>
        <v>170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IFERROR(__xludf.DUMMYFUNCTION("""COMPUTED_VALUE"""),173.48)</f>
        <v>173.48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IFERROR(__xludf.DUMMYFUNCTION("""COMPUTED_VALUE"""),179.5)</f>
        <v>179.5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IFERROR(__xludf.DUMMYFUNCTION("""COMPUTED_VALUE"""),183.5)</f>
        <v>183.5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IFERROR(__xludf.DUMMYFUNCTION("""COMPUTED_VALUE"""),182.48)</f>
        <v>182.48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IFERROR(__xludf.DUMMYFUNCTION("""COMPUTED_VALUE"""),196.56)</f>
        <v>196.56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IFERROR(__xludf.DUMMYFUNCTION("""COMPUTED_VALUE"""),199.0)</f>
        <v>199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IFERROR(__xludf.DUMMYFUNCTION("""COMPUTED_VALUE"""),195.96)</f>
        <v>195.96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IFERROR(__xludf.DUMMYFUNCTION("""COMPUTED_VALUE"""),197.49)</f>
        <v>197.49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IFERROR(__xludf.DUMMYFUNCTION("""COMPUTED_VALUE"""),197.0)</f>
        <v>197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IFERROR(__xludf.DUMMYFUNCTION("""COMPUTED_VALUE"""),201.0)</f>
        <v>201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IFERROR(__xludf.DUMMYFUNCTION("""COMPUTED_VALUE"""),198.5)</f>
        <v>198.5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IFERROR(__xludf.DUMMYFUNCTION("""COMPUTED_VALUE"""),199.5)</f>
        <v>199.5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IFERROR(__xludf.DUMMYFUNCTION("""COMPUTED_VALUE"""),194.68)</f>
        <v>194.68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IFERROR(__xludf.DUMMYFUNCTION("""COMPUTED_VALUE"""),191.4)</f>
        <v>191.4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IFERROR(__xludf.DUMMYFUNCTION("""COMPUTED_VALUE"""),191.0)</f>
        <v>191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IFERROR(__xludf.DUMMYFUNCTION("""COMPUTED_VALUE"""),195.0)</f>
        <v>195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IFERROR(__xludf.DUMMYFUNCTION("""COMPUTED_VALUE"""),199.9)</f>
        <v>199.9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IFERROR(__xludf.DUMMYFUNCTION("""COMPUTED_VALUE"""),201.0)</f>
        <v>201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IFERROR(__xludf.DUMMYFUNCTION("""COMPUTED_VALUE"""),196.4)</f>
        <v>196.4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IFERROR(__xludf.DUMMYFUNCTION("""COMPUTED_VALUE"""),201.2)</f>
        <v>201.2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IFERROR(__xludf.DUMMYFUNCTION("""COMPUTED_VALUE"""),211.09)</f>
        <v>211.09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IFERROR(__xludf.DUMMYFUNCTION("""COMPUTED_VALUE"""),208.87)</f>
        <v>208.87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IFERROR(__xludf.DUMMYFUNCTION("""COMPUTED_VALUE"""),213.7)</f>
        <v>213.7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IFERROR(__xludf.DUMMYFUNCTION("""COMPUTED_VALUE"""),214.49)</f>
        <v>214.49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IFERROR(__xludf.DUMMYFUNCTION("""COMPUTED_VALUE"""),211.31)</f>
        <v>211.31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IFERROR(__xludf.DUMMYFUNCTION("""COMPUTED_VALUE"""),223.98)</f>
        <v>223.98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IFERROR(__xludf.DUMMYFUNCTION("""COMPUTED_VALUE"""),222.8)</f>
        <v>222.8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IFERROR(__xludf.DUMMYFUNCTION("""COMPUTED_VALUE"""),220.0)</f>
        <v>220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IFERROR(__xludf.DUMMYFUNCTION("""COMPUTED_VALUE"""),225.0)</f>
        <v>225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IFERROR(__xludf.DUMMYFUNCTION("""COMPUTED_VALUE"""),242.6)</f>
        <v>242.6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IFERROR(__xludf.DUMMYFUNCTION("""COMPUTED_VALUE"""),250.2)</f>
        <v>250.2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IFERROR(__xludf.DUMMYFUNCTION("""COMPUTED_VALUE"""),251.08)</f>
        <v>251.08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IFERROR(__xludf.DUMMYFUNCTION("""COMPUTED_VALUE"""),252.26)</f>
        <v>252.26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IFERROR(__xludf.DUMMYFUNCTION("""COMPUTED_VALUE"""),245.6)</f>
        <v>245.6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IFERROR(__xludf.DUMMYFUNCTION("""COMPUTED_VALUE"""),253.99)</f>
        <v>253.99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IFERROR(__xludf.DUMMYFUNCTION("""COMPUTED_VALUE"""),236.75)</f>
        <v>236.75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IFERROR(__xludf.DUMMYFUNCTION("""COMPUTED_VALUE"""),240.7)</f>
        <v>240.7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IFERROR(__xludf.DUMMYFUNCTION("""COMPUTED_VALUE"""),241.98)</f>
        <v>241.98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IFERROR(__xludf.DUMMYFUNCTION("""COMPUTED_VALUE"""),241.9)</f>
        <v>241.9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IFERROR(__xludf.DUMMYFUNCTION("""COMPUTED_VALUE"""),239.1)</f>
        <v>239.1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IFERROR(__xludf.DUMMYFUNCTION("""COMPUTED_VALUE"""),240.0)</f>
        <v>240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IFERROR(__xludf.DUMMYFUNCTION("""COMPUTED_VALUE"""),242.5)</f>
        <v>242.5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IFERROR(__xludf.DUMMYFUNCTION("""COMPUTED_VALUE"""),227.59)</f>
        <v>227.59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IFERROR(__xludf.DUMMYFUNCTION("""COMPUTED_VALUE"""),224.0)</f>
        <v>224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IFERROR(__xludf.DUMMYFUNCTION("""COMPUTED_VALUE"""),236.5)</f>
        <v>236.5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IFERROR(__xludf.DUMMYFUNCTION("GOOGLEFINANCE(""NSE:HDFCBANK"",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IFERROR(__xludf.DUMMYFUNCTION("""COMPUTED_VALUE"""),239.96)</f>
        <v>239.96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IFERROR(__xludf.DUMMYFUNCTION("""COMPUTED_VALUE"""),227.0)</f>
        <v>227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IFERROR(__xludf.DUMMYFUNCTION("""COMPUTED_VALUE"""),213.44)</f>
        <v>213.44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IFERROR(__xludf.DUMMYFUNCTION("""COMPUTED_VALUE"""),217.49)</f>
        <v>217.49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IFERROR(__xludf.DUMMYFUNCTION("""COMPUTED_VALUE"""),208.5)</f>
        <v>208.5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IFERROR(__xludf.DUMMYFUNCTION("""COMPUTED_VALUE"""),206.0)</f>
        <v>206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IFERROR(__xludf.DUMMYFUNCTION("""COMPUTED_VALUE"""),224.31)</f>
        <v>224.31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IFERROR(__xludf.DUMMYFUNCTION("""COMPUTED_VALUE"""),220.8)</f>
        <v>220.8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IFERROR(__xludf.DUMMYFUNCTION("""COMPUTED_VALUE"""),223.29)</f>
        <v>223.29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IFERROR(__xludf.DUMMYFUNCTION("""COMPUTED_VALUE"""),223.87)</f>
        <v>223.87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IFERROR(__xludf.DUMMYFUNCTION("""COMPUTED_VALUE"""),223.3)</f>
        <v>223.3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IFERROR(__xludf.DUMMYFUNCTION("""COMPUTED_VALUE"""),227.5)</f>
        <v>227.5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IFERROR(__xludf.DUMMYFUNCTION("""COMPUTED_VALUE"""),239.59)</f>
        <v>239.59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IFERROR(__xludf.DUMMYFUNCTION("""COMPUTED_VALUE"""),241.0)</f>
        <v>241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IFERROR(__xludf.DUMMYFUNCTION("""COMPUTED_VALUE"""),239.2)</f>
        <v>239.2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IFERROR(__xludf.DUMMYFUNCTION("""COMPUTED_VALUE"""),241.69)</f>
        <v>241.69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IFERROR(__xludf.DUMMYFUNCTION("""COMPUTED_VALUE"""),244.11)</f>
        <v>244.11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IFERROR(__xludf.DUMMYFUNCTION("""COMPUTED_VALUE"""),232.0)</f>
        <v>232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IFERROR(__xludf.DUMMYFUNCTION("""COMPUTED_VALUE"""),231.5)</f>
        <v>231.5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IFERROR(__xludf.DUMMYFUNCTION("""COMPUTED_VALUE"""),232.0)</f>
        <v>232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IFERROR(__xludf.DUMMYFUNCTION("""COMPUTED_VALUE"""),231.2)</f>
        <v>231.2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IFERROR(__xludf.DUMMYFUNCTION("""COMPUTED_VALUE"""),240.87)</f>
        <v>240.87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IFERROR(__xludf.DUMMYFUNCTION("""COMPUTED_VALUE"""),239.07)</f>
        <v>239.07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IFERROR(__xludf.DUMMYFUNCTION("""COMPUTED_VALUE"""),239.8)</f>
        <v>239.8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IFERROR(__xludf.DUMMYFUNCTION("""COMPUTED_VALUE"""),239.0)</f>
        <v>239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IFERROR(__xludf.DUMMYFUNCTION("""COMPUTED_VALUE"""),254.76)</f>
        <v>254.76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IFERROR(__xludf.DUMMYFUNCTION("""COMPUTED_VALUE"""),258.33)</f>
        <v>258.33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IFERROR(__xludf.DUMMYFUNCTION("""COMPUTED_VALUE"""),256.65)</f>
        <v>256.65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IFERROR(__xludf.DUMMYFUNCTION("""COMPUTED_VALUE"""),259.5)</f>
        <v>259.5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IFERROR(__xludf.DUMMYFUNCTION("""COMPUTED_VALUE"""),255.1)</f>
        <v>255.1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IFERROR(__xludf.DUMMYFUNCTION("""COMPUTED_VALUE"""),247.98)</f>
        <v>247.98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IFERROR(__xludf.DUMMYFUNCTION("""COMPUTED_VALUE"""),247.4)</f>
        <v>247.4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IFERROR(__xludf.DUMMYFUNCTION("""COMPUTED_VALUE"""),239.2)</f>
        <v>239.2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IFERROR(__xludf.DUMMYFUNCTION("""COMPUTED_VALUE"""),231.98)</f>
        <v>231.98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IFERROR(__xludf.DUMMYFUNCTION("""COMPUTED_VALUE"""),242.0)</f>
        <v>242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IFERROR(__xludf.DUMMYFUNCTION("""COMPUTED_VALUE"""),244.98)</f>
        <v>244.98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IFERROR(__xludf.DUMMYFUNCTION("""COMPUTED_VALUE"""),245.0)</f>
        <v>245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IFERROR(__xludf.DUMMYFUNCTION("""COMPUTED_VALUE"""),248.83)</f>
        <v>248.83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IFERROR(__xludf.DUMMYFUNCTION("""COMPUTED_VALUE"""),237.4)</f>
        <v>237.4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IFERROR(__xludf.DUMMYFUNCTION("""COMPUTED_VALUE"""),232.45)</f>
        <v>232.45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IFERROR(__xludf.DUMMYFUNCTION("""COMPUTED_VALUE"""),238.2)</f>
        <v>238.2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IFERROR(__xludf.DUMMYFUNCTION("""COMPUTED_VALUE"""),247.3)</f>
        <v>247.3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IFERROR(__xludf.DUMMYFUNCTION("""COMPUTED_VALUE"""),248.5)</f>
        <v>248.5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IFERROR(__xludf.DUMMYFUNCTION("""COMPUTED_VALUE"""),246.5)</f>
        <v>246.5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IFERROR(__xludf.DUMMYFUNCTION("""COMPUTED_VALUE"""),243.68)</f>
        <v>243.68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IFERROR(__xludf.DUMMYFUNCTION("""COMPUTED_VALUE"""),239.93)</f>
        <v>239.93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IFERROR(__xludf.DUMMYFUNCTION("""COMPUTED_VALUE"""),228.0)</f>
        <v>228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IFERROR(__xludf.DUMMYFUNCTION("""COMPUTED_VALUE"""),233.95)</f>
        <v>233.95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IFERROR(__xludf.DUMMYFUNCTION("""COMPUTED_VALUE"""),235.45)</f>
        <v>235.45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IFERROR(__xludf.DUMMYFUNCTION("""COMPUTED_VALUE"""),225.48)</f>
        <v>225.48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IFERROR(__xludf.DUMMYFUNCTION("""COMPUTED_VALUE"""),223.25)</f>
        <v>223.25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IFERROR(__xludf.DUMMYFUNCTION("""COMPUTED_VALUE"""),222.7)</f>
        <v>222.7</v>
      </c>
    </row>
    <row r="549" ht="15.75" customHeight="1"/>
    <row r="550" ht="15.75" customHeight="1"/>
    <row r="551" ht="15.75" customHeight="1">
      <c r="B551" s="2" t="str">
        <f>IFERROR(__xludf.DUMMYFUNCTION("GOOGLEFINANCE(""NSE:HDFCBANK"",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IFERROR(__xludf.DUMMYFUNCTION("""COMPUTED_VALUE"""),236.53)</f>
        <v>236.53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IFERROR(__xludf.DUMMYFUNCTION("""COMPUTED_VALUE"""),246.73)</f>
        <v>246.73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IFERROR(__xludf.DUMMYFUNCTION("""COMPUTED_VALUE"""),252.0)</f>
        <v>252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IFERROR(__xludf.DUMMYFUNCTION("""COMPUTED_VALUE"""),254.0)</f>
        <v>254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IFERROR(__xludf.DUMMYFUNCTION("""COMPUTED_VALUE"""),262.98)</f>
        <v>262.98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IFERROR(__xludf.DUMMYFUNCTION("""COMPUTED_VALUE"""),268.92)</f>
        <v>268.92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IFERROR(__xludf.DUMMYFUNCTION("""COMPUTED_VALUE"""),269.45)</f>
        <v>269.45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IFERROR(__xludf.DUMMYFUNCTION("""COMPUTED_VALUE"""),263.5)</f>
        <v>263.5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IFERROR(__xludf.DUMMYFUNCTION("""COMPUTED_VALUE"""),267.25)</f>
        <v>267.25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IFERROR(__xludf.DUMMYFUNCTION("""COMPUTED_VALUE"""),261.2)</f>
        <v>261.2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IFERROR(__xludf.DUMMYFUNCTION("""COMPUTED_VALUE"""),261.92)</f>
        <v>261.92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IFERROR(__xludf.DUMMYFUNCTION("""COMPUTED_VALUE"""),268.2)</f>
        <v>268.2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IFERROR(__xludf.DUMMYFUNCTION("""COMPUTED_VALUE"""),268.88)</f>
        <v>268.88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IFERROR(__xludf.DUMMYFUNCTION("""COMPUTED_VALUE"""),279.0)</f>
        <v>279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IFERROR(__xludf.DUMMYFUNCTION("""COMPUTED_VALUE"""),279.0)</f>
        <v>279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IFERROR(__xludf.DUMMYFUNCTION("""COMPUTED_VALUE"""),268.2)</f>
        <v>268.2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IFERROR(__xludf.DUMMYFUNCTION("""COMPUTED_VALUE"""),255.9)</f>
        <v>255.9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IFERROR(__xludf.DUMMYFUNCTION("""COMPUTED_VALUE"""),253.93)</f>
        <v>253.93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IFERROR(__xludf.DUMMYFUNCTION("""COMPUTED_VALUE"""),255.98)</f>
        <v>255.98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IFERROR(__xludf.DUMMYFUNCTION("""COMPUTED_VALUE"""),271.38)</f>
        <v>271.38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IFERROR(__xludf.DUMMYFUNCTION("""COMPUTED_VALUE"""),276.2)</f>
        <v>276.2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IFERROR(__xludf.DUMMYFUNCTION("""COMPUTED_VALUE"""),276.0)</f>
        <v>276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IFERROR(__xludf.DUMMYFUNCTION("""COMPUTED_VALUE"""),282.45)</f>
        <v>282.45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IFERROR(__xludf.DUMMYFUNCTION("""COMPUTED_VALUE"""),294.5)</f>
        <v>294.5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IFERROR(__xludf.DUMMYFUNCTION("""COMPUTED_VALUE"""),296.9)</f>
        <v>296.9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IFERROR(__xludf.DUMMYFUNCTION("""COMPUTED_VALUE"""),296.35)</f>
        <v>296.35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IFERROR(__xludf.DUMMYFUNCTION("""COMPUTED_VALUE"""),294.35)</f>
        <v>294.35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IFERROR(__xludf.DUMMYFUNCTION("""COMPUTED_VALUE"""),295.95)</f>
        <v>295.95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IFERROR(__xludf.DUMMYFUNCTION("""COMPUTED_VALUE"""),303.5)</f>
        <v>303.5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IFERROR(__xludf.DUMMYFUNCTION("""COMPUTED_VALUE"""),304.75)</f>
        <v>304.75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IFERROR(__xludf.DUMMYFUNCTION("""COMPUTED_VALUE"""),302.27)</f>
        <v>302.27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IFERROR(__xludf.DUMMYFUNCTION("""COMPUTED_VALUE"""),301.0)</f>
        <v>301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IFERROR(__xludf.DUMMYFUNCTION("""COMPUTED_VALUE"""),307.38)</f>
        <v>307.38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IFERROR(__xludf.DUMMYFUNCTION("""COMPUTED_VALUE"""),314.5)</f>
        <v>314.5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IFERROR(__xludf.DUMMYFUNCTION("""COMPUTED_VALUE"""),319.45)</f>
        <v>319.45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IFERROR(__xludf.DUMMYFUNCTION("""COMPUTED_VALUE"""),319.33)</f>
        <v>319.33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IFERROR(__xludf.DUMMYFUNCTION("""COMPUTED_VALUE"""),317.5)</f>
        <v>317.5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IFERROR(__xludf.DUMMYFUNCTION("""COMPUTED_VALUE"""),318.95)</f>
        <v>318.95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IFERROR(__xludf.DUMMYFUNCTION("""COMPUTED_VALUE"""),320.5)</f>
        <v>320.5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IFERROR(__xludf.DUMMYFUNCTION("""COMPUTED_VALUE"""),322.4)</f>
        <v>322.4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IFERROR(__xludf.DUMMYFUNCTION("""COMPUTED_VALUE"""),322.5)</f>
        <v>322.5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IFERROR(__xludf.DUMMYFUNCTION("""COMPUTED_VALUE"""),326.9)</f>
        <v>326.9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IFERROR(__xludf.DUMMYFUNCTION("""COMPUTED_VALUE"""),336.3)</f>
        <v>336.3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IFERROR(__xludf.DUMMYFUNCTION("""COMPUTED_VALUE"""),352.75)</f>
        <v>352.75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IFERROR(__xludf.DUMMYFUNCTION("""COMPUTED_VALUE"""),350.58)</f>
        <v>350.58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IFERROR(__xludf.DUMMYFUNCTION("""COMPUTED_VALUE"""),349.5)</f>
        <v>349.5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IFERROR(__xludf.DUMMYFUNCTION("""COMPUTED_VALUE"""),344.63)</f>
        <v>344.63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IFERROR(__xludf.DUMMYFUNCTION("""COMPUTED_VALUE"""),342.42)</f>
        <v>342.42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IFERROR(__xludf.DUMMYFUNCTION("GOOGLEFINANCE(""NSE:HDFCBANK"",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IFERROR(__xludf.DUMMYFUNCTION("""COMPUTED_VALUE"""),345.0)</f>
        <v>345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IFERROR(__xludf.DUMMYFUNCTION("""COMPUTED_VALUE"""),341.85)</f>
        <v>341.85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IFERROR(__xludf.DUMMYFUNCTION("""COMPUTED_VALUE"""),337.73)</f>
        <v>337.73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IFERROR(__xludf.DUMMYFUNCTION("""COMPUTED_VALUE"""),333.5)</f>
        <v>333.5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IFERROR(__xludf.DUMMYFUNCTION("""COMPUTED_VALUE"""),336.0)</f>
        <v>336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IFERROR(__xludf.DUMMYFUNCTION("""COMPUTED_VALUE"""),326.7)</f>
        <v>326.7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IFERROR(__xludf.DUMMYFUNCTION("""COMPUTED_VALUE"""),340.4)</f>
        <v>340.4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IFERROR(__xludf.DUMMYFUNCTION("""COMPUTED_VALUE"""),340.45)</f>
        <v>340.45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IFERROR(__xludf.DUMMYFUNCTION("""COMPUTED_VALUE"""),332.6)</f>
        <v>332.6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IFERROR(__xludf.DUMMYFUNCTION("""COMPUTED_VALUE"""),330.0)</f>
        <v>330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IFERROR(__xludf.DUMMYFUNCTION("""COMPUTED_VALUE"""),329.85)</f>
        <v>329.85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IFERROR(__xludf.DUMMYFUNCTION("""COMPUTED_VALUE"""),327.0)</f>
        <v>327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IFERROR(__xludf.DUMMYFUNCTION("""COMPUTED_VALUE"""),315.58)</f>
        <v>315.58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IFERROR(__xludf.DUMMYFUNCTION("""COMPUTED_VALUE"""),317.15)</f>
        <v>317.15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IFERROR(__xludf.DUMMYFUNCTION("""COMPUTED_VALUE"""),322.92)</f>
        <v>322.92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IFERROR(__xludf.DUMMYFUNCTION("""COMPUTED_VALUE"""),337.7)</f>
        <v>337.7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IFERROR(__xludf.DUMMYFUNCTION("""COMPUTED_VALUE"""),351.0)</f>
        <v>351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IFERROR(__xludf.DUMMYFUNCTION("""COMPUTED_VALUE"""),348.42)</f>
        <v>348.42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IFERROR(__xludf.DUMMYFUNCTION("""COMPUTED_VALUE"""),362.0)</f>
        <v>362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IFERROR(__xludf.DUMMYFUNCTION("""COMPUTED_VALUE"""),362.0)</f>
        <v>362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IFERROR(__xludf.DUMMYFUNCTION("""COMPUTED_VALUE"""),363.65)</f>
        <v>363.65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IFERROR(__xludf.DUMMYFUNCTION("""COMPUTED_VALUE"""),350.7)</f>
        <v>350.7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IFERROR(__xludf.DUMMYFUNCTION("""COMPUTED_VALUE"""),343.5)</f>
        <v>343.5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IFERROR(__xludf.DUMMYFUNCTION("""COMPUTED_VALUE"""),334.6)</f>
        <v>334.6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IFERROR(__xludf.DUMMYFUNCTION("""COMPUTED_VALUE"""),336.6)</f>
        <v>336.6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IFERROR(__xludf.DUMMYFUNCTION("""COMPUTED_VALUE"""),337.0)</f>
        <v>337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IFERROR(__xludf.DUMMYFUNCTION("""COMPUTED_VALUE"""),348.85)</f>
        <v>348.85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IFERROR(__xludf.DUMMYFUNCTION("""COMPUTED_VALUE"""),349.03)</f>
        <v>349.03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IFERROR(__xludf.DUMMYFUNCTION("""COMPUTED_VALUE"""),345.0)</f>
        <v>345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IFERROR(__xludf.DUMMYFUNCTION("""COMPUTED_VALUE"""),321.5)</f>
        <v>321.5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IFERROR(__xludf.DUMMYFUNCTION("""COMPUTED_VALUE"""),317.73)</f>
        <v>317.73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IFERROR(__xludf.DUMMYFUNCTION("""COMPUTED_VALUE"""),312.4)</f>
        <v>312.4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IFERROR(__xludf.DUMMYFUNCTION("""COMPUTED_VALUE"""),309.67)</f>
        <v>309.67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IFERROR(__xludf.DUMMYFUNCTION("""COMPUTED_VALUE"""),311.4)</f>
        <v>311.4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IFERROR(__xludf.DUMMYFUNCTION("""COMPUTED_VALUE"""),311.45)</f>
        <v>311.45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IFERROR(__xludf.DUMMYFUNCTION("""COMPUTED_VALUE"""),325.0)</f>
        <v>325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IFERROR(__xludf.DUMMYFUNCTION("""COMPUTED_VALUE"""),344.95)</f>
        <v>344.95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IFERROR(__xludf.DUMMYFUNCTION("""COMPUTED_VALUE"""),326.17)</f>
        <v>326.17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IFERROR(__xludf.DUMMYFUNCTION("""COMPUTED_VALUE"""),323.7)</f>
        <v>323.7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IFERROR(__xludf.DUMMYFUNCTION("""COMPUTED_VALUE"""),331.88)</f>
        <v>331.88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IFERROR(__xludf.DUMMYFUNCTION("""COMPUTED_VALUE"""),339.78)</f>
        <v>339.78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IFERROR(__xludf.DUMMYFUNCTION("""COMPUTED_VALUE"""),339.4)</f>
        <v>339.4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IFERROR(__xludf.DUMMYFUNCTION("""COMPUTED_VALUE"""),344.5)</f>
        <v>344.5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IFERROR(__xludf.DUMMYFUNCTION("""COMPUTED_VALUE"""),343.28)</f>
        <v>343.28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IFERROR(__xludf.DUMMYFUNCTION("""COMPUTED_VALUE"""),331.53)</f>
        <v>331.53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IFERROR(__xludf.DUMMYFUNCTION("""COMPUTED_VALUE"""),335.0)</f>
        <v>335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IFERROR(__xludf.DUMMYFUNCTION("""COMPUTED_VALUE"""),334.45)</f>
        <v>334.45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IFERROR(__xludf.DUMMYFUNCTION("""COMPUTED_VALUE"""),344.95)</f>
        <v>344.95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IFERROR(__xludf.DUMMYFUNCTION("""COMPUTED_VALUE"""),358.7)</f>
        <v>358.7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IFERROR(__xludf.DUMMYFUNCTION("""COMPUTED_VALUE"""),345.45)</f>
        <v>345.45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IFERROR(__xludf.DUMMYFUNCTION("""COMPUTED_VALUE"""),337.73)</f>
        <v>337.73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IFERROR(__xludf.DUMMYFUNCTION("GOOGLEFINANCE(""NSE:HDFCBANK"",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IFERROR(__xludf.DUMMYFUNCTION("""COMPUTED_VALUE"""),338.5)</f>
        <v>338.5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IFERROR(__xludf.DUMMYFUNCTION("""COMPUTED_VALUE"""),337.35)</f>
        <v>337.35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IFERROR(__xludf.DUMMYFUNCTION("""COMPUTED_VALUE"""),342.5)</f>
        <v>342.5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IFERROR(__xludf.DUMMYFUNCTION("""COMPUTED_VALUE"""),342.35)</f>
        <v>342.35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IFERROR(__xludf.DUMMYFUNCTION("""COMPUTED_VALUE"""),332.45)</f>
        <v>332.45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IFERROR(__xludf.DUMMYFUNCTION("""COMPUTED_VALUE"""),327.25)</f>
        <v>327.25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IFERROR(__xludf.DUMMYFUNCTION("""COMPUTED_VALUE"""),326.4)</f>
        <v>326.4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IFERROR(__xludf.DUMMYFUNCTION("""COMPUTED_VALUE"""),334.8)</f>
        <v>334.8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IFERROR(__xludf.DUMMYFUNCTION("""COMPUTED_VALUE"""),341.45)</f>
        <v>341.45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IFERROR(__xludf.DUMMYFUNCTION("""COMPUTED_VALUE"""),357.45)</f>
        <v>357.45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IFERROR(__xludf.DUMMYFUNCTION("""COMPUTED_VALUE"""),374.75)</f>
        <v>374.75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IFERROR(__xludf.DUMMYFUNCTION("""COMPUTED_VALUE"""),380.38)</f>
        <v>380.38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IFERROR(__xludf.DUMMYFUNCTION("""COMPUTED_VALUE"""),376.78)</f>
        <v>376.78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IFERROR(__xludf.DUMMYFUNCTION("""COMPUTED_VALUE"""),374.33)</f>
        <v>374.33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IFERROR(__xludf.DUMMYFUNCTION("""COMPUTED_VALUE"""),369.4)</f>
        <v>369.4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IFERROR(__xludf.DUMMYFUNCTION("""COMPUTED_VALUE"""),369.73)</f>
        <v>369.73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IFERROR(__xludf.DUMMYFUNCTION("""COMPUTED_VALUE"""),364.95)</f>
        <v>364.95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IFERROR(__xludf.DUMMYFUNCTION("""COMPUTED_VALUE"""),380.0)</f>
        <v>380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IFERROR(__xludf.DUMMYFUNCTION("""COMPUTED_VALUE"""),427.0)</f>
        <v>427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IFERROR(__xludf.DUMMYFUNCTION("""COMPUTED_VALUE"""),417.5)</f>
        <v>417.5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IFERROR(__xludf.DUMMYFUNCTION("""COMPUTED_VALUE"""),415.38)</f>
        <v>415.38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IFERROR(__xludf.DUMMYFUNCTION("""COMPUTED_VALUE"""),414.85)</f>
        <v>414.85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IFERROR(__xludf.DUMMYFUNCTION("""COMPUTED_VALUE"""),428.0)</f>
        <v>428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IFERROR(__xludf.DUMMYFUNCTION("""COMPUTED_VALUE"""),425.7)</f>
        <v>425.7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IFERROR(__xludf.DUMMYFUNCTION("""COMPUTED_VALUE"""),416.6)</f>
        <v>416.6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IFERROR(__xludf.DUMMYFUNCTION("""COMPUTED_VALUE"""),429.48)</f>
        <v>429.48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IFERROR(__xludf.DUMMYFUNCTION("""COMPUTED_VALUE"""),430.35)</f>
        <v>430.35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IFERROR(__xludf.DUMMYFUNCTION("""COMPUTED_VALUE"""),419.5)</f>
        <v>419.5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IFERROR(__xludf.DUMMYFUNCTION("""COMPUTED_VALUE"""),424.9)</f>
        <v>424.9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IFERROR(__xludf.DUMMYFUNCTION("""COMPUTED_VALUE"""),420.95)</f>
        <v>420.95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IFERROR(__xludf.DUMMYFUNCTION("""COMPUTED_VALUE"""),411.5)</f>
        <v>411.5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IFERROR(__xludf.DUMMYFUNCTION("""COMPUTED_VALUE"""),415.83)</f>
        <v>415.83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IFERROR(__xludf.DUMMYFUNCTION("""COMPUTED_VALUE"""),424.38)</f>
        <v>424.38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IFERROR(__xludf.DUMMYFUNCTION("""COMPUTED_VALUE"""),426.4)</f>
        <v>426.4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IFERROR(__xludf.DUMMYFUNCTION("""COMPUTED_VALUE"""),432.5)</f>
        <v>432.5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IFERROR(__xludf.DUMMYFUNCTION("""COMPUTED_VALUE"""),434.95)</f>
        <v>434.95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IFERROR(__xludf.DUMMYFUNCTION("""COMPUTED_VALUE"""),432.5)</f>
        <v>432.5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IFERROR(__xludf.DUMMYFUNCTION("""COMPUTED_VALUE"""),439.5)</f>
        <v>439.5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IFERROR(__xludf.DUMMYFUNCTION("""COMPUTED_VALUE"""),439.9)</f>
        <v>439.9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IFERROR(__xludf.DUMMYFUNCTION("""COMPUTED_VALUE"""),446.48)</f>
        <v>446.48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IFERROR(__xludf.DUMMYFUNCTION("""COMPUTED_VALUE"""),444.05)</f>
        <v>444.05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IFERROR(__xludf.DUMMYFUNCTION("""COMPUTED_VALUE"""),454.8)</f>
        <v>454.8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IFERROR(__xludf.DUMMYFUNCTION("""COMPUTED_VALUE"""),457.3)</f>
        <v>457.3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IFERROR(__xludf.DUMMYFUNCTION("""COMPUTED_VALUE"""),460.15)</f>
        <v>460.15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IFERROR(__xludf.DUMMYFUNCTION("""COMPUTED_VALUE"""),466.5)</f>
        <v>466.5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IFERROR(__xludf.DUMMYFUNCTION("""COMPUTED_VALUE"""),468.85)</f>
        <v>468.85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IFERROR(__xludf.DUMMYFUNCTION("""COMPUTED_VALUE"""),482.95)</f>
        <v>482.95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IFERROR(__xludf.DUMMYFUNCTION("""COMPUTED_VALUE"""),481.23)</f>
        <v>481.23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IFERROR(__xludf.DUMMYFUNCTION("""COMPUTED_VALUE"""),472.5)</f>
        <v>472.5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IFERROR(__xludf.DUMMYFUNCTION("""COMPUTED_VALUE"""),474.5)</f>
        <v>474.5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IFERROR(__xludf.DUMMYFUNCTION("""COMPUTED_VALUE"""),486.98)</f>
        <v>486.98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IFERROR(__xludf.DUMMYFUNCTION("GOOGLEFINANCE(""NSE:HDFCBANK"",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IFERROR(__xludf.DUMMYFUNCTION("""COMPUTED_VALUE"""),484.65)</f>
        <v>484.65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IFERROR(__xludf.DUMMYFUNCTION("""COMPUTED_VALUE"""),490.0)</f>
        <v>490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IFERROR(__xludf.DUMMYFUNCTION("""COMPUTED_VALUE"""),507.45)</f>
        <v>507.45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IFERROR(__xludf.DUMMYFUNCTION("""COMPUTED_VALUE"""),524.0)</f>
        <v>524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IFERROR(__xludf.DUMMYFUNCTION("""COMPUTED_VALUE"""),550.3)</f>
        <v>550.3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IFERROR(__xludf.DUMMYFUNCTION("""COMPUTED_VALUE"""),546.5)</f>
        <v>546.5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IFERROR(__xludf.DUMMYFUNCTION("""COMPUTED_VALUE"""),541.0)</f>
        <v>541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IFERROR(__xludf.DUMMYFUNCTION("""COMPUTED_VALUE"""),544.95)</f>
        <v>544.95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IFERROR(__xludf.DUMMYFUNCTION("""COMPUTED_VALUE"""),554.65)</f>
        <v>554.65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IFERROR(__xludf.DUMMYFUNCTION("""COMPUTED_VALUE"""),540.9)</f>
        <v>540.9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IFERROR(__xludf.DUMMYFUNCTION("""COMPUTED_VALUE"""),536.9)</f>
        <v>536.9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IFERROR(__xludf.DUMMYFUNCTION("""COMPUTED_VALUE"""),529.7)</f>
        <v>529.7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IFERROR(__xludf.DUMMYFUNCTION("""COMPUTED_VALUE"""),519.95)</f>
        <v>519.95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IFERROR(__xludf.DUMMYFUNCTION("""COMPUTED_VALUE"""),529.5)</f>
        <v>529.5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IFERROR(__xludf.DUMMYFUNCTION("""COMPUTED_VALUE"""),524.35)</f>
        <v>524.35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IFERROR(__xludf.DUMMYFUNCTION("""COMPUTED_VALUE"""),512.5)</f>
        <v>512.5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IFERROR(__xludf.DUMMYFUNCTION("""COMPUTED_VALUE"""),506.25)</f>
        <v>506.25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IFERROR(__xludf.DUMMYFUNCTION("""COMPUTED_VALUE"""),504.75)</f>
        <v>504.75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IFERROR(__xludf.DUMMYFUNCTION("""COMPUTED_VALUE"""),498.78)</f>
        <v>498.78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IFERROR(__xludf.DUMMYFUNCTION("""COMPUTED_VALUE"""),515.0)</f>
        <v>515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IFERROR(__xludf.DUMMYFUNCTION("""COMPUTED_VALUE"""),527.0)</f>
        <v>527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IFERROR(__xludf.DUMMYFUNCTION("""COMPUTED_VALUE"""),528.0)</f>
        <v>528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IFERROR(__xludf.DUMMYFUNCTION("""COMPUTED_VALUE"""),509.5)</f>
        <v>509.5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IFERROR(__xludf.DUMMYFUNCTION("""COMPUTED_VALUE"""),517.48)</f>
        <v>517.48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IFERROR(__xludf.DUMMYFUNCTION("""COMPUTED_VALUE"""),535.48)</f>
        <v>535.48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IFERROR(__xludf.DUMMYFUNCTION("""COMPUTED_VALUE"""),538.5)</f>
        <v>538.5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IFERROR(__xludf.DUMMYFUNCTION("""COMPUTED_VALUE"""),547.5)</f>
        <v>547.5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IFERROR(__xludf.DUMMYFUNCTION("""COMPUTED_VALUE"""),560.88)</f>
        <v>560.88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IFERROR(__xludf.DUMMYFUNCTION("""COMPUTED_VALUE"""),564.0)</f>
        <v>564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IFERROR(__xludf.DUMMYFUNCTION("""COMPUTED_VALUE"""),560.5)</f>
        <v>560.5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IFERROR(__xludf.DUMMYFUNCTION("""COMPUTED_VALUE"""),558.75)</f>
        <v>558.75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IFERROR(__xludf.DUMMYFUNCTION("""COMPUTED_VALUE"""),552.98)</f>
        <v>552.98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IFERROR(__xludf.DUMMYFUNCTION("""COMPUTED_VALUE"""),550.9)</f>
        <v>550.9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IFERROR(__xludf.DUMMYFUNCTION("""COMPUTED_VALUE"""),522.35)</f>
        <v>522.35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IFERROR(__xludf.DUMMYFUNCTION("""COMPUTED_VALUE"""),516.45)</f>
        <v>516.45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IFERROR(__xludf.DUMMYFUNCTION("""COMPUTED_VALUE"""),512.5)</f>
        <v>512.5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IFERROR(__xludf.DUMMYFUNCTION("""COMPUTED_VALUE"""),531.0)</f>
        <v>531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IFERROR(__xludf.DUMMYFUNCTION("""COMPUTED_VALUE"""),530.0)</f>
        <v>530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IFERROR(__xludf.DUMMYFUNCTION("""COMPUTED_VALUE"""),538.45)</f>
        <v>538.45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IFERROR(__xludf.DUMMYFUNCTION("""COMPUTED_VALUE"""),553.95)</f>
        <v>553.95</v>
      </c>
    </row>
    <row r="757" ht="15.75" customHeight="1">
      <c r="B757" s="3">
        <f>IFERROR(__xludf.DUMMYFUNCTION("""COMPUTED_VALUE"""),42300.64583333333)</f>
        <v>42300.64583</v>
      </c>
      <c r="C757" s="2">
        <f>IFERROR(__xludf.DUMMYFUNCTION("""COMPUTED_VALUE"""),556.85)</f>
        <v>556.85</v>
      </c>
    </row>
    <row r="758" ht="15.75" customHeight="1">
      <c r="B758" s="3">
        <f>IFERROR(__xludf.DUMMYFUNCTION("""COMPUTED_VALUE"""),42307.64583333333)</f>
        <v>42307.64583</v>
      </c>
      <c r="C758" s="2">
        <f>IFERROR(__xludf.DUMMYFUNCTION("""COMPUTED_VALUE"""),562.0)</f>
        <v>562</v>
      </c>
    </row>
    <row r="759" ht="15.75" customHeight="1">
      <c r="B759" s="3">
        <f>IFERROR(__xludf.DUMMYFUNCTION("""COMPUTED_VALUE"""),42314.64583333333)</f>
        <v>42314.64583</v>
      </c>
      <c r="C759" s="2">
        <f>IFERROR(__xludf.DUMMYFUNCTION("""COMPUTED_VALUE"""),549.05)</f>
        <v>549.05</v>
      </c>
    </row>
    <row r="760" ht="15.75" customHeight="1">
      <c r="B760" s="3">
        <f>IFERROR(__xludf.DUMMYFUNCTION("""COMPUTED_VALUE"""),42321.64583333333)</f>
        <v>42321.64583</v>
      </c>
      <c r="C760" s="2">
        <f>IFERROR(__xludf.DUMMYFUNCTION("""COMPUTED_VALUE"""),534.83)</f>
        <v>534.83</v>
      </c>
    </row>
    <row r="761" ht="15.75" customHeight="1">
      <c r="B761" s="3">
        <f>IFERROR(__xludf.DUMMYFUNCTION("""COMPUTED_VALUE"""),42328.64583333333)</f>
        <v>42328.64583</v>
      </c>
      <c r="C761" s="2">
        <f>IFERROR(__xludf.DUMMYFUNCTION("""COMPUTED_VALUE"""),540.13)</f>
        <v>540.13</v>
      </c>
    </row>
    <row r="762" ht="15.75" customHeight="1">
      <c r="B762" s="3">
        <f>IFERROR(__xludf.DUMMYFUNCTION("""COMPUTED_VALUE"""),42335.64583333333)</f>
        <v>42335.64583</v>
      </c>
      <c r="C762" s="2">
        <f>IFERROR(__xludf.DUMMYFUNCTION("""COMPUTED_VALUE"""),541.1)</f>
        <v>541.1</v>
      </c>
    </row>
    <row r="763" ht="15.75" customHeight="1">
      <c r="B763" s="3">
        <f>IFERROR(__xludf.DUMMYFUNCTION("""COMPUTED_VALUE"""),42342.64583333333)</f>
        <v>42342.64583</v>
      </c>
      <c r="C763" s="2">
        <f>IFERROR(__xludf.DUMMYFUNCTION("""COMPUTED_VALUE"""),546.35)</f>
        <v>546.35</v>
      </c>
    </row>
    <row r="764" ht="15.75" customHeight="1">
      <c r="B764" s="3">
        <f>IFERROR(__xludf.DUMMYFUNCTION("""COMPUTED_VALUE"""),42349.64583333333)</f>
        <v>42349.64583</v>
      </c>
      <c r="C764" s="2">
        <f>IFERROR(__xludf.DUMMYFUNCTION("""COMPUTED_VALUE"""),535.55)</f>
        <v>535.55</v>
      </c>
    </row>
    <row r="765" ht="15.75" customHeight="1">
      <c r="B765" s="3">
        <f>IFERROR(__xludf.DUMMYFUNCTION("""COMPUTED_VALUE"""),42356.64583333333)</f>
        <v>42356.64583</v>
      </c>
      <c r="C765" s="2">
        <f>IFERROR(__xludf.DUMMYFUNCTION("""COMPUTED_VALUE"""),542.5)</f>
        <v>542.5</v>
      </c>
    </row>
    <row r="766" ht="15.75" customHeight="1">
      <c r="B766" s="3">
        <f>IFERROR(__xludf.DUMMYFUNCTION("""COMPUTED_VALUE"""),42362.64583333333)</f>
        <v>42362.64583</v>
      </c>
      <c r="C766" s="2">
        <f>IFERROR(__xludf.DUMMYFUNCTION("""COMPUTED_VALUE"""),539.95)</f>
        <v>539.95</v>
      </c>
    </row>
    <row r="767" ht="15.75" customHeight="1">
      <c r="B767" s="3">
        <f>IFERROR(__xludf.DUMMYFUNCTION("""COMPUTED_VALUE"""),42370.64583333333)</f>
        <v>42370.64583</v>
      </c>
      <c r="C767" s="2">
        <f>IFERROR(__xludf.DUMMYFUNCTION("""COMPUTED_VALUE"""),545.13)</f>
        <v>545.13</v>
      </c>
    </row>
    <row r="768" ht="15.75" customHeight="1"/>
    <row r="769" ht="15.75" customHeight="1"/>
    <row r="770" ht="15.75" customHeight="1"/>
    <row r="771" ht="15.75" customHeight="1">
      <c r="B771" s="2" t="str">
        <f>IFERROR(__xludf.DUMMYFUNCTION("GOOGLEFINANCE(""NSE:HDFCBANK"",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IFERROR(__xludf.DUMMYFUNCTION("""COMPUTED_VALUE"""),542.0)</f>
        <v>542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IFERROR(__xludf.DUMMYFUNCTION("""COMPUTED_VALUE"""),531.95)</f>
        <v>531.95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IFERROR(__xludf.DUMMYFUNCTION("""COMPUTED_VALUE"""),554.0)</f>
        <v>554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IFERROR(__xludf.DUMMYFUNCTION("""COMPUTED_VALUE"""),527.48)</f>
        <v>527.48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IFERROR(__xludf.DUMMYFUNCTION("""COMPUTED_VALUE"""),533.5)</f>
        <v>533.5</v>
      </c>
    </row>
    <row r="777" ht="15.75" customHeight="1">
      <c r="B777" s="3">
        <f>IFERROR(__xludf.DUMMYFUNCTION("""COMPUTED_VALUE"""),42419.64583333333)</f>
        <v>42419.64583</v>
      </c>
      <c r="C777" s="2">
        <f>IFERROR(__xludf.DUMMYFUNCTION("""COMPUTED_VALUE"""),496.3)</f>
        <v>496.3</v>
      </c>
    </row>
    <row r="778" ht="15.75" customHeight="1">
      <c r="B778" s="3">
        <f>IFERROR(__xludf.DUMMYFUNCTION("""COMPUTED_VALUE"""),42426.64583333333)</f>
        <v>42426.64583</v>
      </c>
      <c r="C778" s="2">
        <f>IFERROR(__xludf.DUMMYFUNCTION("""COMPUTED_VALUE"""),498.0)</f>
        <v>498</v>
      </c>
    </row>
    <row r="779" ht="15.75" customHeight="1">
      <c r="B779" s="3">
        <f>IFERROR(__xludf.DUMMYFUNCTION("""COMPUTED_VALUE"""),42433.64583333333)</f>
        <v>42433.64583</v>
      </c>
      <c r="C779" s="2">
        <f>IFERROR(__xludf.DUMMYFUNCTION("""COMPUTED_VALUE"""),512.45)</f>
        <v>512.45</v>
      </c>
    </row>
    <row r="780" ht="15.75" customHeight="1">
      <c r="B780" s="3">
        <f>IFERROR(__xludf.DUMMYFUNCTION("""COMPUTED_VALUE"""),42440.64583333333)</f>
        <v>42440.64583</v>
      </c>
      <c r="C780" s="2">
        <f>IFERROR(__xludf.DUMMYFUNCTION("""COMPUTED_VALUE"""),515.4)</f>
        <v>515.4</v>
      </c>
    </row>
    <row r="781" ht="15.75" customHeight="1">
      <c r="B781" s="3">
        <f>IFERROR(__xludf.DUMMYFUNCTION("""COMPUTED_VALUE"""),42447.64583333333)</f>
        <v>42447.64583</v>
      </c>
      <c r="C781" s="2">
        <f>IFERROR(__xludf.DUMMYFUNCTION("""COMPUTED_VALUE"""),519.5)</f>
        <v>519.5</v>
      </c>
    </row>
    <row r="782" ht="15.75" customHeight="1">
      <c r="B782" s="3">
        <f>IFERROR(__xludf.DUMMYFUNCTION("""COMPUTED_VALUE"""),42452.64583333333)</f>
        <v>42452.64583</v>
      </c>
      <c r="C782" s="2">
        <f>IFERROR(__xludf.DUMMYFUNCTION("""COMPUTED_VALUE"""),528.3)</f>
        <v>528.3</v>
      </c>
    </row>
    <row r="783" ht="15.75" customHeight="1">
      <c r="B783" s="3">
        <f>IFERROR(__xludf.DUMMYFUNCTION("""COMPUTED_VALUE"""),42461.64583333333)</f>
        <v>42461.64583</v>
      </c>
      <c r="C783" s="2">
        <f>IFERROR(__xludf.DUMMYFUNCTION("""COMPUTED_VALUE"""),539.45)</f>
        <v>539.45</v>
      </c>
    </row>
    <row r="784" ht="15.75" customHeight="1">
      <c r="B784" s="3">
        <f>IFERROR(__xludf.DUMMYFUNCTION("""COMPUTED_VALUE"""),42468.64583333333)</f>
        <v>42468.64583</v>
      </c>
      <c r="C784" s="2">
        <f>IFERROR(__xludf.DUMMYFUNCTION("""COMPUTED_VALUE"""),538.45)</f>
        <v>538.45</v>
      </c>
    </row>
    <row r="785" ht="15.75" customHeight="1">
      <c r="B785" s="3">
        <f>IFERROR(__xludf.DUMMYFUNCTION("""COMPUTED_VALUE"""),42473.64583333333)</f>
        <v>42473.64583</v>
      </c>
      <c r="C785" s="2">
        <f>IFERROR(__xludf.DUMMYFUNCTION("""COMPUTED_VALUE"""),542.48)</f>
        <v>542.48</v>
      </c>
    </row>
    <row r="786" ht="15.75" customHeight="1">
      <c r="B786" s="3">
        <f>IFERROR(__xludf.DUMMYFUNCTION("""COMPUTED_VALUE"""),42482.64583333333)</f>
        <v>42482.64583</v>
      </c>
      <c r="C786" s="2">
        <f>IFERROR(__xludf.DUMMYFUNCTION("""COMPUTED_VALUE"""),552.58)</f>
        <v>552.58</v>
      </c>
    </row>
    <row r="787" ht="15.75" customHeight="1">
      <c r="B787" s="3">
        <f>IFERROR(__xludf.DUMMYFUNCTION("""COMPUTED_VALUE"""),42489.64583333333)</f>
        <v>42489.64583</v>
      </c>
      <c r="C787" s="2">
        <f>IFERROR(__xludf.DUMMYFUNCTION("""COMPUTED_VALUE"""),568.35)</f>
        <v>568.35</v>
      </c>
    </row>
    <row r="788" ht="15.75" customHeight="1">
      <c r="B788" s="3">
        <f>IFERROR(__xludf.DUMMYFUNCTION("""COMPUTED_VALUE"""),42496.64583333333)</f>
        <v>42496.64583</v>
      </c>
      <c r="C788" s="2">
        <f>IFERROR(__xludf.DUMMYFUNCTION("""COMPUTED_VALUE"""),567.5)</f>
        <v>567.5</v>
      </c>
    </row>
    <row r="789" ht="15.75" customHeight="1">
      <c r="B789" s="3">
        <f>IFERROR(__xludf.DUMMYFUNCTION("""COMPUTED_VALUE"""),42503.64583333333)</f>
        <v>42503.64583</v>
      </c>
      <c r="C789" s="2">
        <f>IFERROR(__xludf.DUMMYFUNCTION("""COMPUTED_VALUE"""),576.0)</f>
        <v>576</v>
      </c>
    </row>
    <row r="790" ht="15.75" customHeight="1">
      <c r="B790" s="3">
        <f>IFERROR(__xludf.DUMMYFUNCTION("""COMPUTED_VALUE"""),42510.64583333333)</f>
        <v>42510.64583</v>
      </c>
      <c r="C790" s="2">
        <f>IFERROR(__xludf.DUMMYFUNCTION("""COMPUTED_VALUE"""),584.63)</f>
        <v>584.63</v>
      </c>
    </row>
    <row r="791" ht="15.75" customHeight="1">
      <c r="B791" s="3">
        <f>IFERROR(__xludf.DUMMYFUNCTION("""COMPUTED_VALUE"""),42517.64583333333)</f>
        <v>42517.64583</v>
      </c>
      <c r="C791" s="2">
        <f>IFERROR(__xludf.DUMMYFUNCTION("""COMPUTED_VALUE"""),595.0)</f>
        <v>595</v>
      </c>
    </row>
    <row r="792" ht="15.75" customHeight="1">
      <c r="B792" s="3">
        <f>IFERROR(__xludf.DUMMYFUNCTION("""COMPUTED_VALUE"""),42524.64583333333)</f>
        <v>42524.64583</v>
      </c>
      <c r="C792" s="2">
        <f>IFERROR(__xludf.DUMMYFUNCTION("""COMPUTED_VALUE"""),597.5)</f>
        <v>597.5</v>
      </c>
    </row>
    <row r="793" ht="15.75" customHeight="1">
      <c r="B793" s="3">
        <f>IFERROR(__xludf.DUMMYFUNCTION("""COMPUTED_VALUE"""),42531.64583333333)</f>
        <v>42531.64583</v>
      </c>
      <c r="C793" s="2">
        <f>IFERROR(__xludf.DUMMYFUNCTION("""COMPUTED_VALUE"""),591.2)</f>
        <v>591.2</v>
      </c>
    </row>
    <row r="794" ht="15.75" customHeight="1">
      <c r="B794" s="3">
        <f>IFERROR(__xludf.DUMMYFUNCTION("""COMPUTED_VALUE"""),42538.64583333333)</f>
        <v>42538.64583</v>
      </c>
      <c r="C794" s="2">
        <f>IFERROR(__xludf.DUMMYFUNCTION("""COMPUTED_VALUE"""),589.0)</f>
        <v>589</v>
      </c>
    </row>
    <row r="795" ht="15.75" customHeight="1">
      <c r="B795" s="3">
        <f>IFERROR(__xludf.DUMMYFUNCTION("""COMPUTED_VALUE"""),42545.64583333333)</f>
        <v>42545.64583</v>
      </c>
      <c r="C795" s="2">
        <f>IFERROR(__xludf.DUMMYFUNCTION("""COMPUTED_VALUE"""),595.92)</f>
        <v>595.92</v>
      </c>
    </row>
    <row r="796" ht="15.75" customHeight="1">
      <c r="B796" s="3">
        <f>IFERROR(__xludf.DUMMYFUNCTION("""COMPUTED_VALUE"""),42552.64583333333)</f>
        <v>42552.64583</v>
      </c>
      <c r="C796" s="2">
        <f>IFERROR(__xludf.DUMMYFUNCTION("""COMPUTED_VALUE"""),592.5)</f>
        <v>592.5</v>
      </c>
    </row>
    <row r="797" ht="15.75" customHeight="1">
      <c r="B797" s="3">
        <f>IFERROR(__xludf.DUMMYFUNCTION("""COMPUTED_VALUE"""),42559.64583333333)</f>
        <v>42559.64583</v>
      </c>
      <c r="C797" s="2">
        <f>IFERROR(__xludf.DUMMYFUNCTION("""COMPUTED_VALUE"""),594.38)</f>
        <v>594.38</v>
      </c>
    </row>
    <row r="798" ht="15.75" customHeight="1">
      <c r="B798" s="3">
        <f>IFERROR(__xludf.DUMMYFUNCTION("""COMPUTED_VALUE"""),42566.64583333333)</f>
        <v>42566.64583</v>
      </c>
      <c r="C798" s="2">
        <f>IFERROR(__xludf.DUMMYFUNCTION("""COMPUTED_VALUE"""),613.0)</f>
        <v>613</v>
      </c>
    </row>
    <row r="799" ht="15.75" customHeight="1">
      <c r="B799" s="3">
        <f>IFERROR(__xludf.DUMMYFUNCTION("""COMPUTED_VALUE"""),42573.64583333333)</f>
        <v>42573.64583</v>
      </c>
      <c r="C799" s="2">
        <f>IFERROR(__xludf.DUMMYFUNCTION("""COMPUTED_VALUE"""),619.95)</f>
        <v>619.95</v>
      </c>
    </row>
    <row r="800" ht="15.75" customHeight="1">
      <c r="B800" s="3">
        <f>IFERROR(__xludf.DUMMYFUNCTION("""COMPUTED_VALUE"""),42580.64583333333)</f>
        <v>42580.64583</v>
      </c>
      <c r="C800" s="2">
        <f>IFERROR(__xludf.DUMMYFUNCTION("""COMPUTED_VALUE"""),625.63)</f>
        <v>625.63</v>
      </c>
    </row>
    <row r="801" ht="15.75" customHeight="1">
      <c r="B801" s="3">
        <f>IFERROR(__xludf.DUMMYFUNCTION("""COMPUTED_VALUE"""),42587.64583333333)</f>
        <v>42587.64583</v>
      </c>
      <c r="C801" s="2">
        <f>IFERROR(__xludf.DUMMYFUNCTION("""COMPUTED_VALUE"""),629.48)</f>
        <v>629.48</v>
      </c>
    </row>
    <row r="802" ht="15.75" customHeight="1">
      <c r="B802" s="3">
        <f>IFERROR(__xludf.DUMMYFUNCTION("""COMPUTED_VALUE"""),42594.64583333333)</f>
        <v>42594.64583</v>
      </c>
      <c r="C802" s="2">
        <f>IFERROR(__xludf.DUMMYFUNCTION("""COMPUTED_VALUE"""),627.5)</f>
        <v>627.5</v>
      </c>
    </row>
    <row r="803" ht="15.75" customHeight="1">
      <c r="B803" s="3">
        <f>IFERROR(__xludf.DUMMYFUNCTION("""COMPUTED_VALUE"""),42601.64583333333)</f>
        <v>42601.64583</v>
      </c>
      <c r="C803" s="2">
        <f>IFERROR(__xludf.DUMMYFUNCTION("""COMPUTED_VALUE"""),627.45)</f>
        <v>627.45</v>
      </c>
    </row>
    <row r="804" ht="15.75" customHeight="1">
      <c r="B804" s="3">
        <f>IFERROR(__xludf.DUMMYFUNCTION("""COMPUTED_VALUE"""),42608.64583333333)</f>
        <v>42608.64583</v>
      </c>
      <c r="C804" s="2">
        <f>IFERROR(__xludf.DUMMYFUNCTION("""COMPUTED_VALUE"""),633.4)</f>
        <v>633.4</v>
      </c>
    </row>
    <row r="805" ht="15.75" customHeight="1">
      <c r="B805" s="3">
        <f>IFERROR(__xludf.DUMMYFUNCTION("""COMPUTED_VALUE"""),42615.64583333333)</f>
        <v>42615.64583</v>
      </c>
      <c r="C805" s="2">
        <f>IFERROR(__xludf.DUMMYFUNCTION("""COMPUTED_VALUE"""),647.5)</f>
        <v>647.5</v>
      </c>
    </row>
    <row r="806" ht="15.75" customHeight="1">
      <c r="B806" s="3">
        <f>IFERROR(__xludf.DUMMYFUNCTION("""COMPUTED_VALUE"""),42622.64583333333)</f>
        <v>42622.64583</v>
      </c>
      <c r="C806" s="2">
        <f>IFERROR(__xludf.DUMMYFUNCTION("""COMPUTED_VALUE"""),652.5)</f>
        <v>652.5</v>
      </c>
    </row>
    <row r="807" ht="15.75" customHeight="1">
      <c r="B807" s="3">
        <f>IFERROR(__xludf.DUMMYFUNCTION("""COMPUTED_VALUE"""),42629.64583333333)</f>
        <v>42629.64583</v>
      </c>
      <c r="C807" s="2">
        <f>IFERROR(__xludf.DUMMYFUNCTION("""COMPUTED_VALUE"""),652.25)</f>
        <v>652.25</v>
      </c>
    </row>
    <row r="808" ht="15.75" customHeight="1">
      <c r="B808" s="3">
        <f>IFERROR(__xludf.DUMMYFUNCTION("""COMPUTED_VALUE"""),42636.64583333333)</f>
        <v>42636.64583</v>
      </c>
      <c r="C808" s="2">
        <f>IFERROR(__xludf.DUMMYFUNCTION("""COMPUTED_VALUE"""),659.23)</f>
        <v>659.23</v>
      </c>
    </row>
    <row r="809" ht="15.75" customHeight="1">
      <c r="B809" s="3">
        <f>IFERROR(__xludf.DUMMYFUNCTION("""COMPUTED_VALUE"""),42643.64583333333)</f>
        <v>42643.64583</v>
      </c>
      <c r="C809" s="2">
        <f>IFERROR(__xludf.DUMMYFUNCTION("""COMPUTED_VALUE"""),654.45)</f>
        <v>654.45</v>
      </c>
    </row>
    <row r="810" ht="15.75" customHeight="1">
      <c r="B810" s="3">
        <f>IFERROR(__xludf.DUMMYFUNCTION("""COMPUTED_VALUE"""),42650.64583333333)</f>
        <v>42650.64583</v>
      </c>
      <c r="C810" s="2">
        <f>IFERROR(__xludf.DUMMYFUNCTION("""COMPUTED_VALUE"""),650.03)</f>
        <v>650.03</v>
      </c>
    </row>
    <row r="811" ht="15.75" customHeight="1">
      <c r="B811" s="3">
        <f>IFERROR(__xludf.DUMMYFUNCTION("""COMPUTED_VALUE"""),42657.64583333333)</f>
        <v>42657.64583</v>
      </c>
      <c r="C811" s="2">
        <f>IFERROR(__xludf.DUMMYFUNCTION("""COMPUTED_VALUE"""),643.95)</f>
        <v>643.95</v>
      </c>
    </row>
    <row r="812" ht="15.75" customHeight="1">
      <c r="B812" s="3">
        <f>IFERROR(__xludf.DUMMYFUNCTION("""COMPUTED_VALUE"""),42664.64583333333)</f>
        <v>42664.64583</v>
      </c>
      <c r="C812" s="2">
        <f>IFERROR(__xludf.DUMMYFUNCTION("""COMPUTED_VALUE"""),636.48)</f>
        <v>636.48</v>
      </c>
    </row>
    <row r="813" ht="15.75" customHeight="1">
      <c r="B813" s="3">
        <f>IFERROR(__xludf.DUMMYFUNCTION("""COMPUTED_VALUE"""),42671.64583333333)</f>
        <v>42671.64583</v>
      </c>
      <c r="C813" s="2">
        <f>IFERROR(__xludf.DUMMYFUNCTION("""COMPUTED_VALUE"""),638.42)</f>
        <v>638.42</v>
      </c>
    </row>
    <row r="814" ht="15.75" customHeight="1">
      <c r="B814" s="3">
        <f>IFERROR(__xludf.DUMMYFUNCTION("""COMPUTED_VALUE"""),42678.64583333333)</f>
        <v>42678.64583</v>
      </c>
      <c r="C814" s="2">
        <f>IFERROR(__xludf.DUMMYFUNCTION("""COMPUTED_VALUE"""),631.92)</f>
        <v>631.92</v>
      </c>
    </row>
    <row r="815" ht="15.75" customHeight="1">
      <c r="B815" s="3">
        <f>IFERROR(__xludf.DUMMYFUNCTION("""COMPUTED_VALUE"""),42685.64583333333)</f>
        <v>42685.64583</v>
      </c>
      <c r="C815" s="2">
        <f>IFERROR(__xludf.DUMMYFUNCTION("""COMPUTED_VALUE"""),641.5)</f>
        <v>641.5</v>
      </c>
    </row>
    <row r="816" ht="15.75" customHeight="1">
      <c r="B816" s="3">
        <f>IFERROR(__xludf.DUMMYFUNCTION("""COMPUTED_VALUE"""),42692.64583333333)</f>
        <v>42692.64583</v>
      </c>
      <c r="C816" s="2">
        <f>IFERROR(__xludf.DUMMYFUNCTION("""COMPUTED_VALUE"""),644.5)</f>
        <v>644.5</v>
      </c>
    </row>
    <row r="817" ht="15.75" customHeight="1">
      <c r="B817" s="3">
        <f>IFERROR(__xludf.DUMMYFUNCTION("""COMPUTED_VALUE"""),42699.64583333333)</f>
        <v>42699.64583</v>
      </c>
      <c r="C817" s="2">
        <f>IFERROR(__xludf.DUMMYFUNCTION("""COMPUTED_VALUE"""),609.75)</f>
        <v>609.75</v>
      </c>
    </row>
    <row r="818" ht="15.75" customHeight="1">
      <c r="B818" s="3">
        <f>IFERROR(__xludf.DUMMYFUNCTION("""COMPUTED_VALUE"""),42706.64583333333)</f>
        <v>42706.64583</v>
      </c>
      <c r="C818" s="2">
        <f>IFERROR(__xludf.DUMMYFUNCTION("""COMPUTED_VALUE"""),603.95)</f>
        <v>603.95</v>
      </c>
    </row>
    <row r="819" ht="15.75" customHeight="1">
      <c r="B819" s="3">
        <f>IFERROR(__xludf.DUMMYFUNCTION("""COMPUTED_VALUE"""),42713.64583333333)</f>
        <v>42713.64583</v>
      </c>
      <c r="C819" s="2">
        <f>IFERROR(__xludf.DUMMYFUNCTION("""COMPUTED_VALUE"""),602.95)</f>
        <v>602.95</v>
      </c>
    </row>
    <row r="820" ht="15.75" customHeight="1">
      <c r="B820" s="3">
        <f>IFERROR(__xludf.DUMMYFUNCTION("""COMPUTED_VALUE"""),42720.64583333333)</f>
        <v>42720.64583</v>
      </c>
      <c r="C820" s="2">
        <f>IFERROR(__xludf.DUMMYFUNCTION("""COMPUTED_VALUE"""),597.25)</f>
        <v>597.25</v>
      </c>
    </row>
    <row r="821" ht="15.75" customHeight="1">
      <c r="B821" s="3">
        <f>IFERROR(__xludf.DUMMYFUNCTION("""COMPUTED_VALUE"""),42727.64583333333)</f>
        <v>42727.64583</v>
      </c>
      <c r="C821" s="2">
        <f>IFERROR(__xludf.DUMMYFUNCTION("""COMPUTED_VALUE"""),594.63)</f>
        <v>594.63</v>
      </c>
    </row>
    <row r="822" ht="15.75" customHeight="1">
      <c r="B822" s="3">
        <f>IFERROR(__xludf.DUMMYFUNCTION("""COMPUTED_VALUE"""),42734.64583333333)</f>
        <v>42734.64583</v>
      </c>
      <c r="C822" s="2">
        <f>IFERROR(__xludf.DUMMYFUNCTION("""COMPUTED_VALUE"""),606.0)</f>
        <v>606</v>
      </c>
    </row>
    <row r="823" ht="15.75" customHeight="1"/>
    <row r="824" ht="15.75" customHeight="1"/>
    <row r="825" ht="15.75" customHeight="1"/>
    <row r="826" ht="15.75" customHeight="1">
      <c r="B826" s="2" t="str">
        <f>IFERROR(__xludf.DUMMYFUNCTION("GOOGLEFINANCE(""NSE:HDFCBANK"",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IFERROR(__xludf.DUMMYFUNCTION("""COMPUTED_VALUE"""),605.05)</f>
        <v>605.05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IFERROR(__xludf.DUMMYFUNCTION("""COMPUTED_VALUE"""),621.85)</f>
        <v>621.85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IFERROR(__xludf.DUMMYFUNCTION("""COMPUTED_VALUE"""),628.0)</f>
        <v>628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IFERROR(__xludf.DUMMYFUNCTION("""COMPUTED_VALUE"""),650.0)</f>
        <v>650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IFERROR(__xludf.DUMMYFUNCTION("""COMPUTED_VALUE"""),658.0)</f>
        <v>658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IFERROR(__xludf.DUMMYFUNCTION("""COMPUTED_VALUE"""),660.0)</f>
        <v>660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IFERROR(__xludf.DUMMYFUNCTION("""COMPUTED_VALUE"""),727.0)</f>
        <v>727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IFERROR(__xludf.DUMMYFUNCTION("""COMPUTED_VALUE"""),710.9)</f>
        <v>710.9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IFERROR(__xludf.DUMMYFUNCTION("""COMPUTED_VALUE"""),699.18)</f>
        <v>699.18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IFERROR(__xludf.DUMMYFUNCTION("""COMPUTED_VALUE"""),704.0)</f>
        <v>704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IFERROR(__xludf.DUMMYFUNCTION("""COMPUTED_VALUE"""),713.75)</f>
        <v>713.75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IFERROR(__xludf.DUMMYFUNCTION("""COMPUTED_VALUE"""),722.5)</f>
        <v>722.5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IFERROR(__xludf.DUMMYFUNCTION("""COMPUTED_VALUE"""),739.98)</f>
        <v>739.98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IFERROR(__xludf.DUMMYFUNCTION("""COMPUTED_VALUE"""),725.05)</f>
        <v>725.05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IFERROR(__xludf.DUMMYFUNCTION("""COMPUTED_VALUE"""),724.98)</f>
        <v>724.98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IFERROR(__xludf.DUMMYFUNCTION("""COMPUTED_VALUE"""),749.5)</f>
        <v>749.5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IFERROR(__xludf.DUMMYFUNCTION("""COMPUTED_VALUE"""),786.98)</f>
        <v>786.98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IFERROR(__xludf.DUMMYFUNCTION("""COMPUTED_VALUE"""),777.13)</f>
        <v>777.13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IFERROR(__xludf.DUMMYFUNCTION("""COMPUTED_VALUE"""),780.0)</f>
        <v>780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IFERROR(__xludf.DUMMYFUNCTION("""COMPUTED_VALUE"""),784.95)</f>
        <v>784.95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IFERROR(__xludf.DUMMYFUNCTION("""COMPUTED_VALUE"""),816.0)</f>
        <v>816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IFERROR(__xludf.DUMMYFUNCTION("""COMPUTED_VALUE"""),824.0)</f>
        <v>824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IFERROR(__xludf.DUMMYFUNCTION("""COMPUTED_VALUE"""),835.0)</f>
        <v>835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IFERROR(__xludf.DUMMYFUNCTION("""COMPUTED_VALUE"""),845.95)</f>
        <v>845.95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IFERROR(__xludf.DUMMYFUNCTION("""COMPUTED_VALUE"""),858.0)</f>
        <v>858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IFERROR(__xludf.DUMMYFUNCTION("""COMPUTED_VALUE"""),847.5)</f>
        <v>847.5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IFERROR(__xludf.DUMMYFUNCTION("""COMPUTED_VALUE"""),834.8)</f>
        <v>834.8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IFERROR(__xludf.DUMMYFUNCTION("""COMPUTED_VALUE"""),874.0)</f>
        <v>874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IFERROR(__xludf.DUMMYFUNCTION("""COMPUTED_VALUE"""),857.63)</f>
        <v>857.63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IFERROR(__xludf.DUMMYFUNCTION("""COMPUTED_VALUE"""),899.4)</f>
        <v>899.4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IFERROR(__xludf.DUMMYFUNCTION("""COMPUTED_VALUE"""),904.58)</f>
        <v>904.58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IFERROR(__xludf.DUMMYFUNCTION("""COMPUTED_VALUE"""),898.63)</f>
        <v>898.63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IFERROR(__xludf.DUMMYFUNCTION("""COMPUTED_VALUE"""),894.9)</f>
        <v>894.9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IFERROR(__xludf.DUMMYFUNCTION("""COMPUTED_VALUE"""),888.98)</f>
        <v>888.98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IFERROR(__xludf.DUMMYFUNCTION("""COMPUTED_VALUE"""),890.73)</f>
        <v>890.73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IFERROR(__xludf.DUMMYFUNCTION("""COMPUTED_VALUE"""),895.0)</f>
        <v>895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IFERROR(__xludf.DUMMYFUNCTION("""COMPUTED_VALUE"""),926.25)</f>
        <v>926.25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IFERROR(__xludf.DUMMYFUNCTION("""COMPUTED_VALUE"""),934.0)</f>
        <v>934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IFERROR(__xludf.DUMMYFUNCTION("""COMPUTED_VALUE"""),911.23)</f>
        <v>911.23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IFERROR(__xludf.DUMMYFUNCTION("""COMPUTED_VALUE"""),910.5)</f>
        <v>910.5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IFERROR(__xludf.DUMMYFUNCTION("""COMPUTED_VALUE"""),928.28)</f>
        <v>928.28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IFERROR(__xludf.DUMMYFUNCTION("""COMPUTED_VALUE"""),937.5)</f>
        <v>937.5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IFERROR(__xludf.DUMMYFUNCTION("""COMPUTED_VALUE"""),939.8)</f>
        <v>939.8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IFERROR(__xludf.DUMMYFUNCTION("""COMPUTED_VALUE"""),920.0)</f>
        <v>920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IFERROR(__xludf.DUMMYFUNCTION("""COMPUTED_VALUE"""),922.48)</f>
        <v>922.48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IFERROR(__xludf.DUMMYFUNCTION("""COMPUTED_VALUE"""),919.15)</f>
        <v>919.15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IFERROR(__xludf.DUMMYFUNCTION("""COMPUTED_VALUE"""),930.0)</f>
        <v>930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IFERROR(__xludf.DUMMYFUNCTION("""COMPUTED_VALUE"""),937.75)</f>
        <v>937.75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IFERROR(__xludf.DUMMYFUNCTION("""COMPUTED_VALUE"""),927.45)</f>
        <v>927.45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IFERROR(__xludf.DUMMYFUNCTION("""COMPUTED_VALUE"""),944.0)</f>
        <v>944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IFERROR(__xludf.DUMMYFUNCTION("""COMPUTED_VALUE"""),951.55)</f>
        <v>951.55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IFERROR(__xludf.DUMMYFUNCTION("""COMPUTED_VALUE"""),941.4)</f>
        <v>941.4</v>
      </c>
    </row>
    <row r="879" ht="15.75" customHeight="1"/>
    <row r="880" ht="15.75" customHeight="1"/>
    <row r="881" ht="15.75" customHeight="1">
      <c r="B881" s="2" t="str">
        <f>IFERROR(__xludf.DUMMYFUNCTION("GOOGLEFINANCE(""NSE:HDFCBANK"",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IFERROR(__xludf.DUMMYFUNCTION("""COMPUTED_VALUE"""),940.38)</f>
        <v>940.38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IFERROR(__xludf.DUMMYFUNCTION("""COMPUTED_VALUE"""),939.08)</f>
        <v>939.08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IFERROR(__xludf.DUMMYFUNCTION("""COMPUTED_VALUE"""),979.95)</f>
        <v>979.95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IFERROR(__xludf.DUMMYFUNCTION("""COMPUTED_VALUE"""),994.0)</f>
        <v>994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IFERROR(__xludf.DUMMYFUNCTION("""COMPUTED_VALUE"""),1007.5)</f>
        <v>1007.5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IFERROR(__xludf.DUMMYFUNCTION("""COMPUTED_VALUE"""),967.63)</f>
        <v>967.63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IFERROR(__xludf.DUMMYFUNCTION("""COMPUTED_VALUE"""),948.95)</f>
        <v>948.95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IFERROR(__xludf.DUMMYFUNCTION("""COMPUTED_VALUE"""),943.8)</f>
        <v>943.8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IFERROR(__xludf.DUMMYFUNCTION("""COMPUTED_VALUE"""),960.88)</f>
        <v>960.88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IFERROR(__xludf.DUMMYFUNCTION("""COMPUTED_VALUE"""),939.95)</f>
        <v>939.95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IFERROR(__xludf.DUMMYFUNCTION("""COMPUTED_VALUE"""),943.75)</f>
        <v>943.75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IFERROR(__xludf.DUMMYFUNCTION("""COMPUTED_VALUE"""),940.0)</f>
        <v>940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IFERROR(__xludf.DUMMYFUNCTION("""COMPUTED_VALUE"""),950.0)</f>
        <v>950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IFERROR(__xludf.DUMMYFUNCTION("""COMPUTED_VALUE"""),967.88)</f>
        <v>967.88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IFERROR(__xludf.DUMMYFUNCTION("""COMPUTED_VALUE"""),971.5)</f>
        <v>971.5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IFERROR(__xludf.DUMMYFUNCTION("""COMPUTED_VALUE"""),980.5)</f>
        <v>980.5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IFERROR(__xludf.DUMMYFUNCTION("""COMPUTED_VALUE"""),989.5)</f>
        <v>989.5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IFERROR(__xludf.DUMMYFUNCTION("""COMPUTED_VALUE"""),995.0)</f>
        <v>995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IFERROR(__xludf.DUMMYFUNCTION("""COMPUTED_VALUE"""),1008.5)</f>
        <v>1008.5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IFERROR(__xludf.DUMMYFUNCTION("""COMPUTED_VALUE"""),1032.5)</f>
        <v>1032.5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IFERROR(__xludf.DUMMYFUNCTION("""COMPUTED_VALUE"""),1010.5)</f>
        <v>1010.5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IFERROR(__xludf.DUMMYFUNCTION("""COMPUTED_VALUE"""),1080.0)</f>
        <v>1080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IFERROR(__xludf.DUMMYFUNCTION("""COMPUTED_VALUE"""),1078.5)</f>
        <v>1078.5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IFERROR(__xludf.DUMMYFUNCTION("""COMPUTED_VALUE"""),1031.47)</f>
        <v>1031.47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IFERROR(__xludf.DUMMYFUNCTION("""COMPUTED_VALUE"""),1044.4)</f>
        <v>1044.4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IFERROR(__xludf.DUMMYFUNCTION("""COMPUTED_VALUE"""),1070.0)</f>
        <v>1070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IFERROR(__xludf.DUMMYFUNCTION("""COMPUTED_VALUE"""),1067.78)</f>
        <v>1067.78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IFERROR(__xludf.DUMMYFUNCTION("""COMPUTED_VALUE"""),1095.4)</f>
        <v>1095.4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IFERROR(__xludf.DUMMYFUNCTION("""COMPUTED_VALUE"""),1110.0)</f>
        <v>1110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IFERROR(__xludf.DUMMYFUNCTION("""COMPUTED_VALUE"""),1105.97)</f>
        <v>1105.97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IFERROR(__xludf.DUMMYFUNCTION("""COMPUTED_VALUE"""),1099.5)</f>
        <v>1099.5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IFERROR(__xludf.DUMMYFUNCTION("""COMPUTED_VALUE"""),1075.9)</f>
        <v>1075.9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IFERROR(__xludf.DUMMYFUNCTION("""COMPUTED_VALUE"""),1052.5)</f>
        <v>1052.5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IFERROR(__xludf.DUMMYFUNCTION("""COMPUTED_VALUE"""),1056.0)</f>
        <v>1056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IFERROR(__xludf.DUMMYFUNCTION("""COMPUTED_VALUE"""),1049.13)</f>
        <v>1049.13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IFERROR(__xludf.DUMMYFUNCTION("""COMPUTED_VALUE"""),1039.47)</f>
        <v>1039.47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IFERROR(__xludf.DUMMYFUNCTION("""COMPUTED_VALUE"""),1027.5)</f>
        <v>1027.5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IFERROR(__xludf.DUMMYFUNCTION("""COMPUTED_VALUE"""),1011.48)</f>
        <v>1011.48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IFERROR(__xludf.DUMMYFUNCTION("""COMPUTED_VALUE"""),1007.73)</f>
        <v>1007.73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IFERROR(__xludf.DUMMYFUNCTION("""COMPUTED_VALUE"""),1026.1)</f>
        <v>1026.1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IFERROR(__xludf.DUMMYFUNCTION("""COMPUTED_VALUE"""),998.55)</f>
        <v>998.55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IFERROR(__xludf.DUMMYFUNCTION("""COMPUTED_VALUE"""),1009.1)</f>
        <v>1009.1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IFERROR(__xludf.DUMMYFUNCTION("""COMPUTED_VALUE"""),1010.0)</f>
        <v>1010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IFERROR(__xludf.DUMMYFUNCTION("""COMPUTED_VALUE"""),982.48)</f>
        <v>982.48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IFERROR(__xludf.DUMMYFUNCTION("""COMPUTED_VALUE"""),988.0)</f>
        <v>988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IFERROR(__xludf.DUMMYFUNCTION("""COMPUTED_VALUE"""),1006.5)</f>
        <v>1006.5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IFERROR(__xludf.DUMMYFUNCTION("""COMPUTED_VALUE"""),1017.5)</f>
        <v>1017.5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IFERROR(__xludf.DUMMYFUNCTION("""COMPUTED_VALUE"""),1068.78)</f>
        <v>1068.78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IFERROR(__xludf.DUMMYFUNCTION("""COMPUTED_VALUE"""),1071.0)</f>
        <v>1071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IFERROR(__xludf.DUMMYFUNCTION("""COMPUTED_VALUE"""),1062.5)</f>
        <v>1062.5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IFERROR(__xludf.DUMMYFUNCTION("""COMPUTED_VALUE"""),1079.7)</f>
        <v>1079.7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IFERROR(__xludf.DUMMYFUNCTION("""COMPUTED_VALUE"""),1069.1)</f>
        <v>1069.1</v>
      </c>
    </row>
    <row r="934" ht="15.75" customHeight="1"/>
    <row r="935" ht="15.75" customHeight="1"/>
    <row r="936" ht="15.75" customHeight="1">
      <c r="B936" s="2" t="str">
        <f>IFERROR(__xludf.DUMMYFUNCTION("GOOGLEFINANCE(""NSE:HDFCBANK"",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IFERROR(__xludf.DUMMYFUNCTION("""COMPUTED_VALUE"""),1075.5)</f>
        <v>1075.5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IFERROR(__xludf.DUMMYFUNCTION("""COMPUTED_VALUE"""),1067.68)</f>
        <v>1067.68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IFERROR(__xludf.DUMMYFUNCTION("""COMPUTED_VALUE"""),1069.5)</f>
        <v>1069.5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IFERROR(__xludf.DUMMYFUNCTION("""COMPUTED_VALUE"""),1083.25)</f>
        <v>1083.25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IFERROR(__xludf.DUMMYFUNCTION("""COMPUTED_VALUE"""),1058.5)</f>
        <v>1058.5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IFERROR(__xludf.DUMMYFUNCTION("""COMPUTED_VALUE"""),1072.47)</f>
        <v>1072.47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IFERROR(__xludf.DUMMYFUNCTION("""COMPUTED_VALUE"""),1077.5)</f>
        <v>1077.5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IFERROR(__xludf.DUMMYFUNCTION("""COMPUTED_VALUE"""),1064.05)</f>
        <v>1064.05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IFERROR(__xludf.DUMMYFUNCTION("""COMPUTED_VALUE"""),1064.97)</f>
        <v>1064.97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IFERROR(__xludf.DUMMYFUNCTION("""COMPUTED_VALUE"""),1065.0)</f>
        <v>1065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IFERROR(__xludf.DUMMYFUNCTION("""COMPUTED_VALUE"""),1129.95)</f>
        <v>1129.95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IFERROR(__xludf.DUMMYFUNCTION("""COMPUTED_VALUE"""),1153.5)</f>
        <v>1153.5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IFERROR(__xludf.DUMMYFUNCTION("""COMPUTED_VALUE"""),1164.03)</f>
        <v>1164.03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IFERROR(__xludf.DUMMYFUNCTION("""COMPUTED_VALUE"""),1166.0)</f>
        <v>1166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IFERROR(__xludf.DUMMYFUNCTION("""COMPUTED_VALUE"""),1161.47)</f>
        <v>1161.47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IFERROR(__xludf.DUMMYFUNCTION("""COMPUTED_VALUE"""),1157.53)</f>
        <v>1157.53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IFERROR(__xludf.DUMMYFUNCTION("""COMPUTED_VALUE"""),1162.5)</f>
        <v>1162.5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IFERROR(__xludf.DUMMYFUNCTION("""COMPUTED_VALUE"""),1189.0)</f>
        <v>1189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IFERROR(__xludf.DUMMYFUNCTION("""COMPUTED_VALUE"""),1179.0)</f>
        <v>1179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IFERROR(__xludf.DUMMYFUNCTION("""COMPUTED_VALUE"""),1184.65)</f>
        <v>1184.65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IFERROR(__xludf.DUMMYFUNCTION("""COMPUTED_VALUE"""),1224.7)</f>
        <v>1224.7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IFERROR(__xludf.DUMMYFUNCTION("""COMPUTED_VALUE"""),1232.5)</f>
        <v>1232.5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IFERROR(__xludf.DUMMYFUNCTION("""COMPUTED_VALUE"""),1235.0)</f>
        <v>1235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IFERROR(__xludf.DUMMYFUNCTION("""COMPUTED_VALUE"""),1234.97)</f>
        <v>1234.97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IFERROR(__xludf.DUMMYFUNCTION("""COMPUTED_VALUE"""),1222.45)</f>
        <v>1222.45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IFERROR(__xludf.DUMMYFUNCTION("""COMPUTED_VALUE"""),1247.25)</f>
        <v>1247.25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IFERROR(__xludf.DUMMYFUNCTION("""COMPUTED_VALUE"""),1251.65)</f>
        <v>1251.65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IFERROR(__xludf.DUMMYFUNCTION("""COMPUTED_VALUE"""),1237.3)</f>
        <v>1237.3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IFERROR(__xludf.DUMMYFUNCTION("""COMPUTED_VALUE"""),1214.5)</f>
        <v>1214.5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IFERROR(__xludf.DUMMYFUNCTION("""COMPUTED_VALUE"""),1174.93)</f>
        <v>1174.93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IFERROR(__xludf.DUMMYFUNCTION("""COMPUTED_VALUE"""),1136.78)</f>
        <v>1136.78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IFERROR(__xludf.DUMMYFUNCTION("""COMPUTED_VALUE"""),1144.5)</f>
        <v>1144.5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IFERROR(__xludf.DUMMYFUNCTION("""COMPUTED_VALUE"""),1136.65)</f>
        <v>1136.65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IFERROR(__xludf.DUMMYFUNCTION("""COMPUTED_VALUE"""),1121.0)</f>
        <v>1121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IFERROR(__xludf.DUMMYFUNCTION("""COMPUTED_VALUE"""),1136.45)</f>
        <v>1136.45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IFERROR(__xludf.DUMMYFUNCTION("""COMPUTED_VALUE"""),1137.0)</f>
        <v>1137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IFERROR(__xludf.DUMMYFUNCTION("""COMPUTED_VALUE"""),1144.4)</f>
        <v>1144.4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IFERROR(__xludf.DUMMYFUNCTION("""COMPUTED_VALUE"""),1209.9)</f>
        <v>1209.9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IFERROR(__xludf.DUMMYFUNCTION("""COMPUTED_VALUE"""),1282.7)</f>
        <v>1282.7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IFERROR(__xludf.DUMMYFUNCTION("""COMPUTED_VALUE"""),1255.0)</f>
        <v>1255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IFERROR(__xludf.DUMMYFUNCTION("""COMPUTED_VALUE"""),1229.9)</f>
        <v>1229.9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IFERROR(__xludf.DUMMYFUNCTION("""COMPUTED_VALUE"""),1235.0)</f>
        <v>1235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IFERROR(__xludf.DUMMYFUNCTION("""COMPUTED_VALUE"""),1257.0)</f>
        <v>1257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IFERROR(__xludf.DUMMYFUNCTION("""COMPUTED_VALUE"""),1263.9)</f>
        <v>1263.9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IFERROR(__xludf.DUMMYFUNCTION("""COMPUTED_VALUE"""),1269.7)</f>
        <v>1269.7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IFERROR(__xludf.DUMMYFUNCTION("""COMPUTED_VALUE"""),1285.0)</f>
        <v>1285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IFERROR(__xludf.DUMMYFUNCTION("""COMPUTED_VALUE"""),1287.0)</f>
        <v>1287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IFERROR(__xludf.DUMMYFUNCTION("""COMPUTED_VALUE"""),1285.75)</f>
        <v>1285.75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IFERROR(__xludf.DUMMYFUNCTION("""COMPUTED_VALUE"""),1273.95)</f>
        <v>1273.95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IFERROR(__xludf.DUMMYFUNCTION("""COMPUTED_VALUE"""),1272.35)</f>
        <v>1272.35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IFERROR(__xludf.DUMMYFUNCTION("""COMPUTED_VALUE"""),1305.5)</f>
        <v>1305.5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IFERROR(__xludf.DUMMYFUNCTION("""COMPUTED_VALUE"""),1304.0)</f>
        <v>1304</v>
      </c>
    </row>
    <row r="989" ht="15.75" customHeight="1"/>
    <row r="990" ht="15.75" customHeight="1"/>
    <row r="991" ht="15.75" customHeight="1">
      <c r="B991" s="2" t="str">
        <f>IFERROR(__xludf.DUMMYFUNCTION("GOOGLEFINANCE(""NSE:HDFCBANK"",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IFERROR(__xludf.DUMMYFUNCTION("""COMPUTED_VALUE"""),1288.75)</f>
        <v>1288.75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IFERROR(__xludf.DUMMYFUNCTION("""COMPUTED_VALUE"""),1286.9)</f>
        <v>1286.9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IFERROR(__xludf.DUMMYFUNCTION("""COMPUTED_VALUE"""),1296.5)</f>
        <v>1296.5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IFERROR(__xludf.DUMMYFUNCTION("""COMPUTED_VALUE"""),1304.85)</f>
        <v>1304.85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IFERROR(__xludf.DUMMYFUNCTION("""COMPUTED_VALUE"""),1242.0)</f>
        <v>1242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IFERROR(__xludf.DUMMYFUNCTION("""COMPUTED_VALUE"""),1248.7)</f>
        <v>1248.7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IFERROR(__xludf.DUMMYFUNCTION("""COMPUTED_VALUE"""),1259.9)</f>
        <v>1259.9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IFERROR(__xludf.DUMMYFUNCTION("""COMPUTED_VALUE"""),1233.0)</f>
        <v>1233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IFERROR(__xludf.DUMMYFUNCTION("""COMPUTED_VALUE"""),1214.75)</f>
        <v>1214.75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IFERROR(__xludf.DUMMYFUNCTION("""COMPUTED_VALUE"""),1201.15)</f>
        <v>1201.15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IFERROR(__xludf.DUMMYFUNCTION("""COMPUTED_VALUE"""),1120.0)</f>
        <v>1120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IFERROR(__xludf.DUMMYFUNCTION("""COMPUTED_VALUE"""),1037.0)</f>
        <v>1037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IFERROR(__xludf.DUMMYFUNCTION("""COMPUTED_VALUE"""),988.65)</f>
        <v>988.65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IFERROR(__xludf.DUMMYFUNCTION("""COMPUTED_VALUE"""),887.0)</f>
        <v>887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IFERROR(__xludf.DUMMYFUNCTION("""COMPUTED_VALUE"""),945.0)</f>
        <v>945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IFERROR(__xludf.DUMMYFUNCTION("""COMPUTED_VALUE"""),946.7)</f>
        <v>946.7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IFERROR(__xludf.DUMMYFUNCTION("""COMPUTED_VALUE"""),960.95)</f>
        <v>960.95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IFERROR(__xludf.DUMMYFUNCTION("""COMPUTED_VALUE"""),1019.0)</f>
        <v>1019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IFERROR(__xludf.DUMMYFUNCTION("""COMPUTED_VALUE"""),960.0)</f>
        <v>960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IFERROR(__xludf.DUMMYFUNCTION("""COMPUTED_VALUE"""),960.0)</f>
        <v>960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IFERROR(__xludf.DUMMYFUNCTION("""COMPUTED_VALUE"""),888.0)</f>
        <v>888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IFERROR(__xludf.DUMMYFUNCTION("""COMPUTED_VALUE"""),955.0)</f>
        <v>955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IFERROR(__xludf.DUMMYFUNCTION("""COMPUTED_VALUE"""),1046.25)</f>
        <v>1046.25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IFERROR(__xludf.DUMMYFUNCTION("""COMPUTED_VALUE"""),1066.65)</f>
        <v>1066.65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IFERROR(__xludf.DUMMYFUNCTION("""COMPUTED_VALUE"""),1043.0)</f>
        <v>1043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IFERROR(__xludf.DUMMYFUNCTION("""COMPUTED_VALUE"""),1063.0)</f>
        <v>1063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IFERROR(__xludf.DUMMYFUNCTION("""COMPUTED_VALUE"""),1111.25)</f>
        <v>1111.25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IFERROR(__xludf.DUMMYFUNCTION("""COMPUTED_VALUE"""),1129.7)</f>
        <v>1129.7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IFERROR(__xludf.DUMMYFUNCTION("""COMPUTED_VALUE"""),1113.0)</f>
        <v>1113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IFERROR(__xludf.DUMMYFUNCTION("""COMPUTED_VALUE"""),1157.95)</f>
        <v>1157.95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IFERROR(__xludf.DUMMYFUNCTION("""COMPUTED_VALUE"""),1103.0)</f>
        <v>1103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IFERROR(__xludf.DUMMYFUNCTION("""COMPUTED_VALUE"""),1061.05)</f>
        <v>1061.05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IFERROR(__xludf.DUMMYFUNCTION("""COMPUTED_VALUE"""),1071.35)</f>
        <v>1071.35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IFERROR(__xludf.DUMMYFUNCTION("""COMPUTED_VALUE"""),1088.8)</f>
        <v>1088.8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IFERROR(__xludf.DUMMYFUNCTION("""COMPUTED_VALUE"""),1131.75)</f>
        <v>1131.75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IFERROR(__xludf.DUMMYFUNCTION("""COMPUTED_VALUE"""),1148.8)</f>
        <v>1148.8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IFERROR(__xludf.DUMMYFUNCTION("""COMPUTED_VALUE"""),1119.5)</f>
        <v>1119.5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IFERROR(__xludf.DUMMYFUNCTION("""COMPUTED_VALUE"""),1096.0)</f>
        <v>1096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IFERROR(__xludf.DUMMYFUNCTION("""COMPUTED_VALUE"""),1071.35)</f>
        <v>1071.35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IFERROR(__xludf.DUMMYFUNCTION("""COMPUTED_VALUE"""),1110.0)</f>
        <v>1110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IFERROR(__xludf.DUMMYFUNCTION("""COMPUTED_VALUE"""),1237.0)</f>
        <v>1237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IFERROR(__xludf.DUMMYFUNCTION("""COMPUTED_VALUE"""),1242.75)</f>
        <v>1242.75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IFERROR(__xludf.DUMMYFUNCTION("""COMPUTED_VALUE"""),1251.0)</f>
        <v>1251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IFERROR(__xludf.DUMMYFUNCTION("""COMPUTED_VALUE"""),1242.0)</f>
        <v>1242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IFERROR(__xludf.DUMMYFUNCTION("""COMPUTED_VALUE"""),1310.0)</f>
        <v>1310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IFERROR(__xludf.DUMMYFUNCTION("""COMPUTED_VALUE"""),1419.0)</f>
        <v>1419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IFERROR(__xludf.DUMMYFUNCTION("""COMPUTED_VALUE"""),1464.4)</f>
        <v>1464.4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IFERROR(__xludf.DUMMYFUNCTION("""COMPUTED_VALUE"""),1449.0)</f>
        <v>1449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IFERROR(__xludf.DUMMYFUNCTION("""COMPUTED_VALUE"""),1410.05)</f>
        <v>1410.05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IFERROR(__xludf.DUMMYFUNCTION("""COMPUTED_VALUE"""),1445.0)</f>
        <v>1445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IFERROR(__xludf.DUMMYFUNCTION("""COMPUTED_VALUE"""),1423.85)</f>
        <v>1423.85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IFERROR(__xludf.DUMMYFUNCTION("""COMPUTED_VALUE"""),1444.0)</f>
        <v>1444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IFERROR(__xludf.DUMMYFUNCTION("GOOGLEFINANCE(""NSE:ZEEL"",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IFERROR(__xludf.DUMMYFUNCTION("""COMPUTED_VALUE"""),63.5)</f>
        <v>63.5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IFERROR(__xludf.DUMMYFUNCTION("""COMPUTED_VALUE"""),67.38)</f>
        <v>67.38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IFERROR(__xludf.DUMMYFUNCTION("""COMPUTED_VALUE"""),69.2)</f>
        <v>69.2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IFERROR(__xludf.DUMMYFUNCTION("""COMPUTED_VALUE"""),68.0)</f>
        <v>68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IFERROR(__xludf.DUMMYFUNCTION("""COMPUTED_VALUE"""),63.43)</f>
        <v>63.43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IFERROR(__xludf.DUMMYFUNCTION("""COMPUTED_VALUE"""),77.45)</f>
        <v>77.45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IFERROR(__xludf.DUMMYFUNCTION("""COMPUTED_VALUE"""),77.2)</f>
        <v>77.2</v>
      </c>
    </row>
    <row r="9">
      <c r="A9" s="2" t="s">
        <v>13</v>
      </c>
      <c r="B9" s="3">
        <f>IFERROR(__xludf.DUMMYFUNCTION("""COMPUTED_VALUE"""),37309.645833333336)</f>
        <v>37309.64583</v>
      </c>
      <c r="C9" s="2">
        <f>IFERROR(__xludf.DUMMYFUNCTION("""COMPUTED_VALUE"""),82.45)</f>
        <v>82.45</v>
      </c>
    </row>
    <row r="10">
      <c r="A10" s="2" t="s">
        <v>14</v>
      </c>
      <c r="B10" s="3">
        <f>IFERROR(__xludf.DUMMYFUNCTION("""COMPUTED_VALUE"""),37316.645833333336)</f>
        <v>37316.64583</v>
      </c>
      <c r="C10" s="2">
        <f>IFERROR(__xludf.DUMMYFUNCTION("""COMPUTED_VALUE"""),81.75)</f>
        <v>81.75</v>
      </c>
    </row>
    <row r="11">
      <c r="A11" s="2" t="s">
        <v>15</v>
      </c>
      <c r="B11" s="3">
        <f>IFERROR(__xludf.DUMMYFUNCTION("""COMPUTED_VALUE"""),37323.645833333336)</f>
        <v>37323.64583</v>
      </c>
      <c r="C11" s="2">
        <f>IFERROR(__xludf.DUMMYFUNCTION("""COMPUTED_VALUE"""),82.5)</f>
        <v>82.5</v>
      </c>
    </row>
    <row r="12">
      <c r="A12" s="2" t="s">
        <v>16</v>
      </c>
      <c r="B12" s="3">
        <f>IFERROR(__xludf.DUMMYFUNCTION("""COMPUTED_VALUE"""),37330.645833333336)</f>
        <v>37330.64583</v>
      </c>
      <c r="C12" s="2">
        <f>IFERROR(__xludf.DUMMYFUNCTION("""COMPUTED_VALUE"""),86.48)</f>
        <v>86.48</v>
      </c>
    </row>
    <row r="13">
      <c r="A13" s="2" t="s">
        <v>17</v>
      </c>
      <c r="B13" s="3">
        <f>IFERROR(__xludf.DUMMYFUNCTION("""COMPUTED_VALUE"""),37337.645833333336)</f>
        <v>37337.64583</v>
      </c>
      <c r="C13" s="2">
        <f>IFERROR(__xludf.DUMMYFUNCTION("""COMPUTED_VALUE"""),91.25)</f>
        <v>91.25</v>
      </c>
    </row>
    <row r="14">
      <c r="A14" s="2" t="s">
        <v>18</v>
      </c>
      <c r="B14" s="3">
        <f>IFERROR(__xludf.DUMMYFUNCTION("""COMPUTED_VALUE"""),37343.645833333336)</f>
        <v>37343.64583</v>
      </c>
      <c r="C14" s="2">
        <f>IFERROR(__xludf.DUMMYFUNCTION("""COMPUTED_VALUE"""),84.75)</f>
        <v>84.75</v>
      </c>
    </row>
    <row r="15">
      <c r="A15" s="2" t="s">
        <v>19</v>
      </c>
      <c r="B15" s="3">
        <f>IFERROR(__xludf.DUMMYFUNCTION("""COMPUTED_VALUE"""),37351.645833333336)</f>
        <v>37351.64583</v>
      </c>
      <c r="C15" s="2">
        <f>IFERROR(__xludf.DUMMYFUNCTION("""COMPUTED_VALUE"""),85.0)</f>
        <v>85</v>
      </c>
    </row>
    <row r="16">
      <c r="B16" s="3">
        <f>IFERROR(__xludf.DUMMYFUNCTION("""COMPUTED_VALUE"""),37358.645833333336)</f>
        <v>37358.64583</v>
      </c>
      <c r="C16" s="2">
        <f>IFERROR(__xludf.DUMMYFUNCTION("""COMPUTED_VALUE"""),87.75)</f>
        <v>87.75</v>
      </c>
    </row>
    <row r="17">
      <c r="B17" s="3">
        <f>IFERROR(__xludf.DUMMYFUNCTION("""COMPUTED_VALUE"""),37365.645833333336)</f>
        <v>37365.64583</v>
      </c>
      <c r="C17" s="2">
        <f>IFERROR(__xludf.DUMMYFUNCTION("""COMPUTED_VALUE"""),87.68)</f>
        <v>87.68</v>
      </c>
    </row>
    <row r="18">
      <c r="B18" s="3">
        <f>IFERROR(__xludf.DUMMYFUNCTION("""COMPUTED_VALUE"""),37372.645833333336)</f>
        <v>37372.64583</v>
      </c>
      <c r="C18" s="2">
        <f>IFERROR(__xludf.DUMMYFUNCTION("""COMPUTED_VALUE"""),94.7)</f>
        <v>94.7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IFERROR(__xludf.DUMMYFUNCTION("""COMPUTED_VALUE"""),89.75)</f>
        <v>89.75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IFERROR(__xludf.DUMMYFUNCTION("""COMPUTED_VALUE"""),86.95)</f>
        <v>86.95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IFERROR(__xludf.DUMMYFUNCTION("""COMPUTED_VALUE"""),80.72)</f>
        <v>80.72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IFERROR(__xludf.DUMMYFUNCTION("""COMPUTED_VALUE"""),67.7)</f>
        <v>67.7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IFERROR(__xludf.DUMMYFUNCTION("""COMPUTED_VALUE"""),71.0)</f>
        <v>71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IFERROR(__xludf.DUMMYFUNCTION("""COMPUTED_VALUE"""),70.63)</f>
        <v>70.63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IFERROR(__xludf.DUMMYFUNCTION("""COMPUTED_VALUE"""),81.0)</f>
        <v>81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IFERROR(__xludf.DUMMYFUNCTION("""COMPUTED_VALUE"""),74.75)</f>
        <v>74.75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IFERROR(__xludf.DUMMYFUNCTION("""COMPUTED_VALUE"""),65.63)</f>
        <v>65.63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IFERROR(__xludf.DUMMYFUNCTION("""COMPUTED_VALUE"""),66.85)</f>
        <v>66.85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IFERROR(__xludf.DUMMYFUNCTION("""COMPUTED_VALUE"""),65.55)</f>
        <v>65.55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IFERROR(__xludf.DUMMYFUNCTION("""COMPUTED_VALUE"""),61.95)</f>
        <v>61.95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IFERROR(__xludf.DUMMYFUNCTION("""COMPUTED_VALUE"""),58.9)</f>
        <v>58.9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IFERROR(__xludf.DUMMYFUNCTION("""COMPUTED_VALUE"""),53.35)</f>
        <v>53.35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IFERROR(__xludf.DUMMYFUNCTION("""COMPUTED_VALUE"""),52.45)</f>
        <v>52.45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IFERROR(__xludf.DUMMYFUNCTION("""COMPUTED_VALUE"""),54.1)</f>
        <v>54.1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IFERROR(__xludf.DUMMYFUNCTION("""COMPUTED_VALUE"""),55.85)</f>
        <v>55.85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IFERROR(__xludf.DUMMYFUNCTION("""COMPUTED_VALUE"""),55.5)</f>
        <v>55.5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IFERROR(__xludf.DUMMYFUNCTION("""COMPUTED_VALUE"""),57.48)</f>
        <v>57.48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IFERROR(__xludf.DUMMYFUNCTION("""COMPUTED_VALUE"""),53.0)</f>
        <v>53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IFERROR(__xludf.DUMMYFUNCTION("""COMPUTED_VALUE"""),51.9)</f>
        <v>51.9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IFERROR(__xludf.DUMMYFUNCTION("""COMPUTED_VALUE"""),46.1)</f>
        <v>46.1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IFERROR(__xludf.DUMMYFUNCTION("""COMPUTED_VALUE"""),45.5)</f>
        <v>45.5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IFERROR(__xludf.DUMMYFUNCTION("""COMPUTED_VALUE"""),46.48)</f>
        <v>46.48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IFERROR(__xludf.DUMMYFUNCTION("""COMPUTED_VALUE"""),45.5)</f>
        <v>45.5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IFERROR(__xludf.DUMMYFUNCTION("""COMPUTED_VALUE"""),44.4)</f>
        <v>44.4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IFERROR(__xludf.DUMMYFUNCTION("""COMPUTED_VALUE"""),43.95)</f>
        <v>43.95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IFERROR(__xludf.DUMMYFUNCTION("""COMPUTED_VALUE"""),44.88)</f>
        <v>44.88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IFERROR(__xludf.DUMMYFUNCTION("""COMPUTED_VALUE"""),47.83)</f>
        <v>47.83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IFERROR(__xludf.DUMMYFUNCTION("""COMPUTED_VALUE"""),50.2)</f>
        <v>50.2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IFERROR(__xludf.DUMMYFUNCTION("""COMPUTED_VALUE"""),49.23)</f>
        <v>49.23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IFERROR(__xludf.DUMMYFUNCTION("""COMPUTED_VALUE"""),52.43)</f>
        <v>52.43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IFERROR(__xludf.DUMMYFUNCTION("""COMPUTED_VALUE"""),54.5)</f>
        <v>54.5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IFERROR(__xludf.DUMMYFUNCTION("""COMPUTED_VALUE"""),52.95)</f>
        <v>52.95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IFERROR(__xludf.DUMMYFUNCTION("""COMPUTED_VALUE"""),50.5)</f>
        <v>50.5</v>
      </c>
    </row>
    <row r="54" ht="15.75" customHeight="1"/>
    <row r="55" ht="15.75" customHeight="1"/>
    <row r="56" ht="15.75" customHeight="1">
      <c r="B56" s="2" t="str">
        <f>IFERROR(__xludf.DUMMYFUNCTION("GOOGLEFINANCE(""NSE:ZEEL"",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IFERROR(__xludf.DUMMYFUNCTION("""COMPUTED_VALUE"""),51.73)</f>
        <v>51.73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IFERROR(__xludf.DUMMYFUNCTION("""COMPUTED_VALUE"""),52.13)</f>
        <v>52.13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IFERROR(__xludf.DUMMYFUNCTION("""COMPUTED_VALUE"""),49.78)</f>
        <v>49.78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IFERROR(__xludf.DUMMYFUNCTION("""COMPUTED_VALUE"""),47.33)</f>
        <v>47.33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IFERROR(__xludf.DUMMYFUNCTION("""COMPUTED_VALUE"""),44.0)</f>
        <v>44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IFERROR(__xludf.DUMMYFUNCTION("""COMPUTED_VALUE"""),43.98)</f>
        <v>43.98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IFERROR(__xludf.DUMMYFUNCTION("""COMPUTED_VALUE"""),43.58)</f>
        <v>43.58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IFERROR(__xludf.DUMMYFUNCTION("""COMPUTED_VALUE"""),45.2)</f>
        <v>45.2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IFERROR(__xludf.DUMMYFUNCTION("""COMPUTED_VALUE"""),43.13)</f>
        <v>43.13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IFERROR(__xludf.DUMMYFUNCTION("""COMPUTED_VALUE"""),42.6)</f>
        <v>42.6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IFERROR(__xludf.DUMMYFUNCTION("""COMPUTED_VALUE"""),37.5)</f>
        <v>37.5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IFERROR(__xludf.DUMMYFUNCTION("""COMPUTED_VALUE"""),37.25)</f>
        <v>37.25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IFERROR(__xludf.DUMMYFUNCTION("""COMPUTED_VALUE"""),37.45)</f>
        <v>37.45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IFERROR(__xludf.DUMMYFUNCTION("""COMPUTED_VALUE"""),37.95)</f>
        <v>37.95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IFERROR(__xludf.DUMMYFUNCTION("""COMPUTED_VALUE"""),36.0)</f>
        <v>36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IFERROR(__xludf.DUMMYFUNCTION("""COMPUTED_VALUE"""),36.2)</f>
        <v>36.2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IFERROR(__xludf.DUMMYFUNCTION("""COMPUTED_VALUE"""),39.67)</f>
        <v>39.67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IFERROR(__xludf.DUMMYFUNCTION("""COMPUTED_VALUE"""),42.88)</f>
        <v>42.88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IFERROR(__xludf.DUMMYFUNCTION("""COMPUTED_VALUE"""),39.1)</f>
        <v>39.1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IFERROR(__xludf.DUMMYFUNCTION("""COMPUTED_VALUE"""),40.38)</f>
        <v>40.38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IFERROR(__xludf.DUMMYFUNCTION("""COMPUTED_VALUE"""),43.2)</f>
        <v>43.2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IFERROR(__xludf.DUMMYFUNCTION("""COMPUTED_VALUE"""),46.88)</f>
        <v>46.88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IFERROR(__xludf.DUMMYFUNCTION("""COMPUTED_VALUE"""),47.5)</f>
        <v>47.5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IFERROR(__xludf.DUMMYFUNCTION("""COMPUTED_VALUE"""),46.0)</f>
        <v>46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IFERROR(__xludf.DUMMYFUNCTION("""COMPUTED_VALUE"""),46.4)</f>
        <v>46.4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IFERROR(__xludf.DUMMYFUNCTION("""COMPUTED_VALUE"""),48.95)</f>
        <v>48.95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IFERROR(__xludf.DUMMYFUNCTION("""COMPUTED_VALUE"""),52.53)</f>
        <v>52.53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IFERROR(__xludf.DUMMYFUNCTION("""COMPUTED_VALUE"""),59.33)</f>
        <v>59.33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IFERROR(__xludf.DUMMYFUNCTION("""COMPUTED_VALUE"""),61.75)</f>
        <v>61.75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IFERROR(__xludf.DUMMYFUNCTION("""COMPUTED_VALUE"""),61.95)</f>
        <v>61.95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IFERROR(__xludf.DUMMYFUNCTION("""COMPUTED_VALUE"""),59.18)</f>
        <v>59.18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IFERROR(__xludf.DUMMYFUNCTION("""COMPUTED_VALUE"""),60.6)</f>
        <v>60.6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IFERROR(__xludf.DUMMYFUNCTION("""COMPUTED_VALUE"""),59.25)</f>
        <v>59.25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IFERROR(__xludf.DUMMYFUNCTION("""COMPUTED_VALUE"""),58.5)</f>
        <v>58.5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IFERROR(__xludf.DUMMYFUNCTION("""COMPUTED_VALUE"""),58.25)</f>
        <v>58.25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IFERROR(__xludf.DUMMYFUNCTION("""COMPUTED_VALUE"""),59.0)</f>
        <v>59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IFERROR(__xludf.DUMMYFUNCTION("""COMPUTED_VALUE"""),53.75)</f>
        <v>53.75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IFERROR(__xludf.DUMMYFUNCTION("""COMPUTED_VALUE"""),58.73)</f>
        <v>58.73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IFERROR(__xludf.DUMMYFUNCTION("""COMPUTED_VALUE"""),69.0)</f>
        <v>69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IFERROR(__xludf.DUMMYFUNCTION("""COMPUTED_VALUE"""),69.35)</f>
        <v>69.35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IFERROR(__xludf.DUMMYFUNCTION("""COMPUTED_VALUE"""),71.95)</f>
        <v>71.95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IFERROR(__xludf.DUMMYFUNCTION("""COMPUTED_VALUE"""),71.45)</f>
        <v>71.45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IFERROR(__xludf.DUMMYFUNCTION("""COMPUTED_VALUE"""),75.95)</f>
        <v>75.95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IFERROR(__xludf.DUMMYFUNCTION("""COMPUTED_VALUE"""),70.1)</f>
        <v>70.1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IFERROR(__xludf.DUMMYFUNCTION("""COMPUTED_VALUE"""),66.6)</f>
        <v>66.6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IFERROR(__xludf.DUMMYFUNCTION("""COMPUTED_VALUE"""),68.35)</f>
        <v>68.35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IFERROR(__xludf.DUMMYFUNCTION("""COMPUTED_VALUE"""),72.9)</f>
        <v>72.9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IFERROR(__xludf.DUMMYFUNCTION("""COMPUTED_VALUE"""),78.7)</f>
        <v>78.7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IFERROR(__xludf.DUMMYFUNCTION("""COMPUTED_VALUE"""),79.95)</f>
        <v>79.95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IFERROR(__xludf.DUMMYFUNCTION("GOOGLEFINANCE(""NSE:ZEEL"",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IFERROR(__xludf.DUMMYFUNCTION("""COMPUTED_VALUE"""),83.35)</f>
        <v>83.35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IFERROR(__xludf.DUMMYFUNCTION("""COMPUTED_VALUE"""),87.4)</f>
        <v>87.4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IFERROR(__xludf.DUMMYFUNCTION("""COMPUTED_VALUE"""),86.18)</f>
        <v>86.18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IFERROR(__xludf.DUMMYFUNCTION("""COMPUTED_VALUE"""),82.65)</f>
        <v>82.65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IFERROR(__xludf.DUMMYFUNCTION("""COMPUTED_VALUE"""),84.25)</f>
        <v>84.25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IFERROR(__xludf.DUMMYFUNCTION("""COMPUTED_VALUE"""),78.75)</f>
        <v>78.75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IFERROR(__xludf.DUMMYFUNCTION("""COMPUTED_VALUE"""),77.13)</f>
        <v>77.13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IFERROR(__xludf.DUMMYFUNCTION("""COMPUTED_VALUE"""),78.97)</f>
        <v>78.97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IFERROR(__xludf.DUMMYFUNCTION("""COMPUTED_VALUE"""),71.13)</f>
        <v>71.13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IFERROR(__xludf.DUMMYFUNCTION("""COMPUTED_VALUE"""),69.2)</f>
        <v>69.2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IFERROR(__xludf.DUMMYFUNCTION("""COMPUTED_VALUE"""),65.35)</f>
        <v>65.35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IFERROR(__xludf.DUMMYFUNCTION("""COMPUTED_VALUE"""),61.05)</f>
        <v>61.05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IFERROR(__xludf.DUMMYFUNCTION("""COMPUTED_VALUE"""),63.23)</f>
        <v>63.23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IFERROR(__xludf.DUMMYFUNCTION("""COMPUTED_VALUE"""),70.35)</f>
        <v>70.35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IFERROR(__xludf.DUMMYFUNCTION("""COMPUTED_VALUE"""),71.08)</f>
        <v>71.08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IFERROR(__xludf.DUMMYFUNCTION("""COMPUTED_VALUE"""),76.15)</f>
        <v>76.15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IFERROR(__xludf.DUMMYFUNCTION("""COMPUTED_VALUE"""),74.35)</f>
        <v>74.35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IFERROR(__xludf.DUMMYFUNCTION("""COMPUTED_VALUE"""),68.93)</f>
        <v>68.93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IFERROR(__xludf.DUMMYFUNCTION("""COMPUTED_VALUE"""),66.28)</f>
        <v>66.28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IFERROR(__xludf.DUMMYFUNCTION("""COMPUTED_VALUE"""),65.0)</f>
        <v>65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IFERROR(__xludf.DUMMYFUNCTION("""COMPUTED_VALUE"""),65.85)</f>
        <v>65.85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IFERROR(__xludf.DUMMYFUNCTION("""COMPUTED_VALUE"""),67.4)</f>
        <v>67.4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IFERROR(__xludf.DUMMYFUNCTION("""COMPUTED_VALUE"""),71.35)</f>
        <v>71.35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IFERROR(__xludf.DUMMYFUNCTION("""COMPUTED_VALUE"""),68.8)</f>
        <v>68.8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IFERROR(__xludf.DUMMYFUNCTION("""COMPUTED_VALUE"""),67.35)</f>
        <v>67.35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IFERROR(__xludf.DUMMYFUNCTION("""COMPUTED_VALUE"""),64.0)</f>
        <v>64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IFERROR(__xludf.DUMMYFUNCTION("""COMPUTED_VALUE"""),64.75)</f>
        <v>64.75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IFERROR(__xludf.DUMMYFUNCTION("""COMPUTED_VALUE"""),65.0)</f>
        <v>65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IFERROR(__xludf.DUMMYFUNCTION("""COMPUTED_VALUE"""),70.85)</f>
        <v>70.85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IFERROR(__xludf.DUMMYFUNCTION("""COMPUTED_VALUE"""),74.2)</f>
        <v>74.2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IFERROR(__xludf.DUMMYFUNCTION("""COMPUTED_VALUE"""),71.58)</f>
        <v>71.58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IFERROR(__xludf.DUMMYFUNCTION("""COMPUTED_VALUE"""),68.4)</f>
        <v>68.4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IFERROR(__xludf.DUMMYFUNCTION("""COMPUTED_VALUE"""),74.0)</f>
        <v>74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IFERROR(__xludf.DUMMYFUNCTION("""COMPUTED_VALUE"""),77.35)</f>
        <v>77.35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IFERROR(__xludf.DUMMYFUNCTION("""COMPUTED_VALUE"""),80.0)</f>
        <v>80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IFERROR(__xludf.DUMMYFUNCTION("""COMPUTED_VALUE"""),85.93)</f>
        <v>85.93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IFERROR(__xludf.DUMMYFUNCTION("""COMPUTED_VALUE"""),78.95)</f>
        <v>78.95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IFERROR(__xludf.DUMMYFUNCTION("""COMPUTED_VALUE"""),80.0)</f>
        <v>80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IFERROR(__xludf.DUMMYFUNCTION("""COMPUTED_VALUE"""),77.45)</f>
        <v>77.45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IFERROR(__xludf.DUMMYFUNCTION("""COMPUTED_VALUE"""),80.25)</f>
        <v>80.25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IFERROR(__xludf.DUMMYFUNCTION("""COMPUTED_VALUE"""),80.95)</f>
        <v>80.95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IFERROR(__xludf.DUMMYFUNCTION("""COMPUTED_VALUE"""),78.7)</f>
        <v>78.7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IFERROR(__xludf.DUMMYFUNCTION("""COMPUTED_VALUE"""),78.5)</f>
        <v>78.5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IFERROR(__xludf.DUMMYFUNCTION("""COMPUTED_VALUE"""),77.45)</f>
        <v>77.45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IFERROR(__xludf.DUMMYFUNCTION("""COMPUTED_VALUE"""),81.5)</f>
        <v>81.5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IFERROR(__xludf.DUMMYFUNCTION("""COMPUTED_VALUE"""),81.43)</f>
        <v>81.43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IFERROR(__xludf.DUMMYFUNCTION("""COMPUTED_VALUE"""),79.2)</f>
        <v>79.2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IFERROR(__xludf.DUMMYFUNCTION("""COMPUTED_VALUE"""),82.6)</f>
        <v>82.6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IFERROR(__xludf.DUMMYFUNCTION("""COMPUTED_VALUE"""),94.25)</f>
        <v>94.25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IFERROR(__xludf.DUMMYFUNCTION("""COMPUTED_VALUE"""),92.0)</f>
        <v>92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IFERROR(__xludf.DUMMYFUNCTION("""COMPUTED_VALUE"""),88.25)</f>
        <v>88.25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IFERROR(__xludf.DUMMYFUNCTION("GOOGLEFINANCE(""NSE:ZEEL"",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IFERROR(__xludf.DUMMYFUNCTION("""COMPUTED_VALUE"""),91.15)</f>
        <v>91.15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IFERROR(__xludf.DUMMYFUNCTION("""COMPUTED_VALUE"""),83.25)</f>
        <v>83.25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IFERROR(__xludf.DUMMYFUNCTION("""COMPUTED_VALUE"""),79.0)</f>
        <v>79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IFERROR(__xludf.DUMMYFUNCTION("""COMPUTED_VALUE"""),76.7)</f>
        <v>76.7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IFERROR(__xludf.DUMMYFUNCTION("""COMPUTED_VALUE"""),79.35)</f>
        <v>79.35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IFERROR(__xludf.DUMMYFUNCTION("""COMPUTED_VALUE"""),81.0)</f>
        <v>81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IFERROR(__xludf.DUMMYFUNCTION("""COMPUTED_VALUE"""),77.63)</f>
        <v>77.63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IFERROR(__xludf.DUMMYFUNCTION("""COMPUTED_VALUE"""),77.3)</f>
        <v>77.3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IFERROR(__xludf.DUMMYFUNCTION("""COMPUTED_VALUE"""),73.4)</f>
        <v>73.4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IFERROR(__xludf.DUMMYFUNCTION("""COMPUTED_VALUE"""),73.25)</f>
        <v>73.25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IFERROR(__xludf.DUMMYFUNCTION("""COMPUTED_VALUE"""),70.97)</f>
        <v>70.97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IFERROR(__xludf.DUMMYFUNCTION("""COMPUTED_VALUE"""),70.0)</f>
        <v>70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IFERROR(__xludf.DUMMYFUNCTION("""COMPUTED_VALUE"""),69.83)</f>
        <v>69.83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IFERROR(__xludf.DUMMYFUNCTION("""COMPUTED_VALUE"""),76.6)</f>
        <v>76.6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IFERROR(__xludf.DUMMYFUNCTION("""COMPUTED_VALUE"""),72.45)</f>
        <v>72.45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IFERROR(__xludf.DUMMYFUNCTION("""COMPUTED_VALUE"""),67.95)</f>
        <v>67.95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IFERROR(__xludf.DUMMYFUNCTION("""COMPUTED_VALUE"""),66.9)</f>
        <v>66.9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IFERROR(__xludf.DUMMYFUNCTION("""COMPUTED_VALUE"""),75.9)</f>
        <v>75.9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IFERROR(__xludf.DUMMYFUNCTION("""COMPUTED_VALUE"""),81.72)</f>
        <v>81.72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IFERROR(__xludf.DUMMYFUNCTION("""COMPUTED_VALUE"""),78.5)</f>
        <v>78.5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IFERROR(__xludf.DUMMYFUNCTION("""COMPUTED_VALUE"""),76.45)</f>
        <v>76.45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IFERROR(__xludf.DUMMYFUNCTION("""COMPUTED_VALUE"""),76.5)</f>
        <v>76.5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IFERROR(__xludf.DUMMYFUNCTION("""COMPUTED_VALUE"""),75.3)</f>
        <v>75.3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IFERROR(__xludf.DUMMYFUNCTION("""COMPUTED_VALUE"""),77.15)</f>
        <v>77.15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IFERROR(__xludf.DUMMYFUNCTION("""COMPUTED_VALUE"""),79.38)</f>
        <v>79.38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IFERROR(__xludf.DUMMYFUNCTION("""COMPUTED_VALUE"""),86.63)</f>
        <v>86.63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IFERROR(__xludf.DUMMYFUNCTION("""COMPUTED_VALUE"""),93.25)</f>
        <v>93.25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IFERROR(__xludf.DUMMYFUNCTION("""COMPUTED_VALUE"""),90.0)</f>
        <v>90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IFERROR(__xludf.DUMMYFUNCTION("""COMPUTED_VALUE"""),99.98)</f>
        <v>99.98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IFERROR(__xludf.DUMMYFUNCTION("""COMPUTED_VALUE"""),95.5)</f>
        <v>95.5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IFERROR(__xludf.DUMMYFUNCTION("""COMPUTED_VALUE"""),88.8)</f>
        <v>88.8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IFERROR(__xludf.DUMMYFUNCTION("""COMPUTED_VALUE"""),88.95)</f>
        <v>88.95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IFERROR(__xludf.DUMMYFUNCTION("""COMPUTED_VALUE"""),88.0)</f>
        <v>88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IFERROR(__xludf.DUMMYFUNCTION("""COMPUTED_VALUE"""),103.23)</f>
        <v>103.23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IFERROR(__xludf.DUMMYFUNCTION("""COMPUTED_VALUE"""),95.85)</f>
        <v>95.85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IFERROR(__xludf.DUMMYFUNCTION("""COMPUTED_VALUE"""),101.9)</f>
        <v>101.9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IFERROR(__xludf.DUMMYFUNCTION("""COMPUTED_VALUE"""),98.5)</f>
        <v>98.5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IFERROR(__xludf.DUMMYFUNCTION("""COMPUTED_VALUE"""),94.5)</f>
        <v>94.5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IFERROR(__xludf.DUMMYFUNCTION("""COMPUTED_VALUE"""),96.45)</f>
        <v>96.45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IFERROR(__xludf.DUMMYFUNCTION("""COMPUTED_VALUE"""),91.95)</f>
        <v>91.95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IFERROR(__xludf.DUMMYFUNCTION("""COMPUTED_VALUE"""),87.93)</f>
        <v>87.93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IFERROR(__xludf.DUMMYFUNCTION("""COMPUTED_VALUE"""),73.7)</f>
        <v>73.7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IFERROR(__xludf.DUMMYFUNCTION("""COMPUTED_VALUE"""),74.75)</f>
        <v>74.75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IFERROR(__xludf.DUMMYFUNCTION("""COMPUTED_VALUE"""),77.35)</f>
        <v>77.35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IFERROR(__xludf.DUMMYFUNCTION("""COMPUTED_VALUE"""),78.45)</f>
        <v>78.45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IFERROR(__xludf.DUMMYFUNCTION("""COMPUTED_VALUE"""),95.0)</f>
        <v>95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IFERROR(__xludf.DUMMYFUNCTION("""COMPUTED_VALUE"""),83.2)</f>
        <v>83.2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IFERROR(__xludf.DUMMYFUNCTION("""COMPUTED_VALUE"""),82.85)</f>
        <v>82.85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IFERROR(__xludf.DUMMYFUNCTION("""COMPUTED_VALUE"""),83.95)</f>
        <v>83.95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IFERROR(__xludf.DUMMYFUNCTION("""COMPUTED_VALUE"""),79.0)</f>
        <v>79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IFERROR(__xludf.DUMMYFUNCTION("GOOGLEFINANCE(""NSE:ZEEL"",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IFERROR(__xludf.DUMMYFUNCTION("""COMPUTED_VALUE"""),81.75)</f>
        <v>81.75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IFERROR(__xludf.DUMMYFUNCTION("""COMPUTED_VALUE"""),87.75)</f>
        <v>87.75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IFERROR(__xludf.DUMMYFUNCTION("""COMPUTED_VALUE"""),81.6)</f>
        <v>81.6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IFERROR(__xludf.DUMMYFUNCTION("""COMPUTED_VALUE"""),82.5)</f>
        <v>82.5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IFERROR(__xludf.DUMMYFUNCTION("""COMPUTED_VALUE"""),83.2)</f>
        <v>83.2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IFERROR(__xludf.DUMMYFUNCTION("""COMPUTED_VALUE"""),82.23)</f>
        <v>82.23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IFERROR(__xludf.DUMMYFUNCTION("""COMPUTED_VALUE"""),89.88)</f>
        <v>89.88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IFERROR(__xludf.DUMMYFUNCTION("""COMPUTED_VALUE"""),88.15)</f>
        <v>88.15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IFERROR(__xludf.DUMMYFUNCTION("""COMPUTED_VALUE"""),92.35)</f>
        <v>92.35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IFERROR(__xludf.DUMMYFUNCTION("""COMPUTED_VALUE"""),98.5)</f>
        <v>98.5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IFERROR(__xludf.DUMMYFUNCTION("""COMPUTED_VALUE"""),119.9)</f>
        <v>119.9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IFERROR(__xludf.DUMMYFUNCTION("""COMPUTED_VALUE"""),128.48)</f>
        <v>128.48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IFERROR(__xludf.DUMMYFUNCTION("""COMPUTED_VALUE"""),129.73)</f>
        <v>129.73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IFERROR(__xludf.DUMMYFUNCTION("""COMPUTED_VALUE"""),145.5)</f>
        <v>145.5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IFERROR(__xludf.DUMMYFUNCTION("""COMPUTED_VALUE"""),126.45)</f>
        <v>126.45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IFERROR(__xludf.DUMMYFUNCTION("""COMPUTED_VALUE"""),129.5)</f>
        <v>129.5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IFERROR(__xludf.DUMMYFUNCTION("""COMPUTED_VALUE"""),153.85)</f>
        <v>153.85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IFERROR(__xludf.DUMMYFUNCTION("""COMPUTED_VALUE"""),145.0)</f>
        <v>145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IFERROR(__xludf.DUMMYFUNCTION("""COMPUTED_VALUE"""),142.0)</f>
        <v>142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IFERROR(__xludf.DUMMYFUNCTION("""COMPUTED_VALUE"""),125.5)</f>
        <v>125.5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IFERROR(__xludf.DUMMYFUNCTION("""COMPUTED_VALUE"""),124.85)</f>
        <v>124.85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IFERROR(__xludf.DUMMYFUNCTION("""COMPUTED_VALUE"""),121.2)</f>
        <v>121.2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IFERROR(__xludf.DUMMYFUNCTION("""COMPUTED_VALUE"""),114.5)</f>
        <v>114.5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IFERROR(__xludf.DUMMYFUNCTION("""COMPUTED_VALUE"""),117.45)</f>
        <v>117.45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IFERROR(__xludf.DUMMYFUNCTION("""COMPUTED_VALUE"""),122.2)</f>
        <v>122.2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IFERROR(__xludf.DUMMYFUNCTION("""COMPUTED_VALUE"""),133.0)</f>
        <v>133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IFERROR(__xludf.DUMMYFUNCTION("""COMPUTED_VALUE"""),137.43)</f>
        <v>137.43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IFERROR(__xludf.DUMMYFUNCTION("""COMPUTED_VALUE"""),135.7)</f>
        <v>135.7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IFERROR(__xludf.DUMMYFUNCTION("""COMPUTED_VALUE"""),138.98)</f>
        <v>138.98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IFERROR(__xludf.DUMMYFUNCTION("""COMPUTED_VALUE"""),133.5)</f>
        <v>133.5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IFERROR(__xludf.DUMMYFUNCTION("""COMPUTED_VALUE"""),137.9)</f>
        <v>137.9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IFERROR(__xludf.DUMMYFUNCTION("""COMPUTED_VALUE"""),139.75)</f>
        <v>139.75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IFERROR(__xludf.DUMMYFUNCTION("""COMPUTED_VALUE"""),148.4)</f>
        <v>148.4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IFERROR(__xludf.DUMMYFUNCTION("""COMPUTED_VALUE"""),152.0)</f>
        <v>152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IFERROR(__xludf.DUMMYFUNCTION("""COMPUTED_VALUE"""),157.2)</f>
        <v>157.2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IFERROR(__xludf.DUMMYFUNCTION("""COMPUTED_VALUE"""),162.25)</f>
        <v>162.25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IFERROR(__xludf.DUMMYFUNCTION("""COMPUTED_VALUE"""),164.38)</f>
        <v>164.38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IFERROR(__xludf.DUMMYFUNCTION("""COMPUTED_VALUE"""),154.9)</f>
        <v>154.9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IFERROR(__xludf.DUMMYFUNCTION("""COMPUTED_VALUE"""),154.78)</f>
        <v>154.78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IFERROR(__xludf.DUMMYFUNCTION("""COMPUTED_VALUE"""),151.85)</f>
        <v>151.85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IFERROR(__xludf.DUMMYFUNCTION("""COMPUTED_VALUE"""),152.75)</f>
        <v>152.75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IFERROR(__xludf.DUMMYFUNCTION("""COMPUTED_VALUE"""),165.13)</f>
        <v>165.13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IFERROR(__xludf.DUMMYFUNCTION("""COMPUTED_VALUE"""),169.8)</f>
        <v>169.8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IFERROR(__xludf.DUMMYFUNCTION("""COMPUTED_VALUE"""),175.0)</f>
        <v>175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IFERROR(__xludf.DUMMYFUNCTION("""COMPUTED_VALUE"""),185.75)</f>
        <v>185.75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IFERROR(__xludf.DUMMYFUNCTION("""COMPUTED_VALUE"""),190.5)</f>
        <v>190.5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IFERROR(__xludf.DUMMYFUNCTION("""COMPUTED_VALUE"""),190.5)</f>
        <v>190.5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IFERROR(__xludf.DUMMYFUNCTION("""COMPUTED_VALUE"""),178.9)</f>
        <v>178.9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IFERROR(__xludf.DUMMYFUNCTION("""COMPUTED_VALUE"""),143.85)</f>
        <v>143.85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IFERROR(__xludf.DUMMYFUNCTION("""COMPUTED_VALUE"""),148.45)</f>
        <v>148.45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IFERROR(__xludf.DUMMYFUNCTION("GOOGLEFINANCE(""NSE:ZEEL"",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IFERROR(__xludf.DUMMYFUNCTION("""COMPUTED_VALUE"""),147.5)</f>
        <v>147.5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IFERROR(__xludf.DUMMYFUNCTION("""COMPUTED_VALUE"""),143.35)</f>
        <v>143.35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IFERROR(__xludf.DUMMYFUNCTION("""COMPUTED_VALUE"""),148.48)</f>
        <v>148.48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IFERROR(__xludf.DUMMYFUNCTION("""COMPUTED_VALUE"""),169.0)</f>
        <v>169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IFERROR(__xludf.DUMMYFUNCTION("""COMPUTED_VALUE"""),171.95)</f>
        <v>171.95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IFERROR(__xludf.DUMMYFUNCTION("""COMPUTED_VALUE"""),185.95)</f>
        <v>185.95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IFERROR(__xludf.DUMMYFUNCTION("""COMPUTED_VALUE"""),159.7)</f>
        <v>159.7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IFERROR(__xludf.DUMMYFUNCTION("""COMPUTED_VALUE"""),136.0)</f>
        <v>136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IFERROR(__xludf.DUMMYFUNCTION("""COMPUTED_VALUE"""),126.9)</f>
        <v>126.9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IFERROR(__xludf.DUMMYFUNCTION("""COMPUTED_VALUE"""),117.13)</f>
        <v>117.13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IFERROR(__xludf.DUMMYFUNCTION("""COMPUTED_VALUE"""),120.9)</f>
        <v>120.9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IFERROR(__xludf.DUMMYFUNCTION("""COMPUTED_VALUE"""),127.98)</f>
        <v>127.98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IFERROR(__xludf.DUMMYFUNCTION("""COMPUTED_VALUE"""),127.5)</f>
        <v>127.5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IFERROR(__xludf.DUMMYFUNCTION("""COMPUTED_VALUE"""),137.5)</f>
        <v>137.5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IFERROR(__xludf.DUMMYFUNCTION("""COMPUTED_VALUE"""),137.5)</f>
        <v>137.5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IFERROR(__xludf.DUMMYFUNCTION("""COMPUTED_VALUE"""),141.3)</f>
        <v>141.3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IFERROR(__xludf.DUMMYFUNCTION("""COMPUTED_VALUE"""),151.95)</f>
        <v>151.95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IFERROR(__xludf.DUMMYFUNCTION("""COMPUTED_VALUE"""),150.35)</f>
        <v>150.35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IFERROR(__xludf.DUMMYFUNCTION("""COMPUTED_VALUE"""),147.38)</f>
        <v>147.38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IFERROR(__xludf.DUMMYFUNCTION("""COMPUTED_VALUE"""),151.73)</f>
        <v>151.73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IFERROR(__xludf.DUMMYFUNCTION("""COMPUTED_VALUE"""),159.95)</f>
        <v>159.95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IFERROR(__xludf.DUMMYFUNCTION("""COMPUTED_VALUE"""),162.5)</f>
        <v>162.5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IFERROR(__xludf.DUMMYFUNCTION("""COMPUTED_VALUE"""),156.25)</f>
        <v>156.25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IFERROR(__xludf.DUMMYFUNCTION("""COMPUTED_VALUE"""),146.5)</f>
        <v>146.5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IFERROR(__xludf.DUMMYFUNCTION("""COMPUTED_VALUE"""),151.53)</f>
        <v>151.53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IFERROR(__xludf.DUMMYFUNCTION("""COMPUTED_VALUE"""),152.98)</f>
        <v>152.98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IFERROR(__xludf.DUMMYFUNCTION("""COMPUTED_VALUE"""),156.73)</f>
        <v>156.73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IFERROR(__xludf.DUMMYFUNCTION("""COMPUTED_VALUE"""),173.45)</f>
        <v>173.45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IFERROR(__xludf.DUMMYFUNCTION("""COMPUTED_VALUE"""),174.2)</f>
        <v>174.2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IFERROR(__xludf.DUMMYFUNCTION("""COMPUTED_VALUE"""),180.93)</f>
        <v>180.93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IFERROR(__xludf.DUMMYFUNCTION("""COMPUTED_VALUE"""),167.0)</f>
        <v>167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IFERROR(__xludf.DUMMYFUNCTION("""COMPUTED_VALUE"""),161.95)</f>
        <v>161.95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IFERROR(__xludf.DUMMYFUNCTION("""COMPUTED_VALUE"""),157.0)</f>
        <v>157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IFERROR(__xludf.DUMMYFUNCTION("""COMPUTED_VALUE"""),153.5)</f>
        <v>153.5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IFERROR(__xludf.DUMMYFUNCTION("""COMPUTED_VALUE"""),155.9)</f>
        <v>155.9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IFERROR(__xludf.DUMMYFUNCTION("""COMPUTED_VALUE"""),172.5)</f>
        <v>172.5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IFERROR(__xludf.DUMMYFUNCTION("""COMPUTED_VALUE"""),158.2)</f>
        <v>158.2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IFERROR(__xludf.DUMMYFUNCTION("""COMPUTED_VALUE"""),163.5)</f>
        <v>163.5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IFERROR(__xludf.DUMMYFUNCTION("""COMPUTED_VALUE"""),171.5)</f>
        <v>171.5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IFERROR(__xludf.DUMMYFUNCTION("""COMPUTED_VALUE"""),205.0)</f>
        <v>205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IFERROR(__xludf.DUMMYFUNCTION("""COMPUTED_VALUE"""),181.45)</f>
        <v>181.45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IFERROR(__xludf.DUMMYFUNCTION("""COMPUTED_VALUE"""),177.35)</f>
        <v>177.35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IFERROR(__xludf.DUMMYFUNCTION("""COMPUTED_VALUE"""),175.0)</f>
        <v>175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IFERROR(__xludf.DUMMYFUNCTION("""COMPUTED_VALUE"""),175.0)</f>
        <v>175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IFERROR(__xludf.DUMMYFUNCTION("""COMPUTED_VALUE"""),160.5)</f>
        <v>160.5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IFERROR(__xludf.DUMMYFUNCTION("""COMPUTED_VALUE"""),165.03)</f>
        <v>165.03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IFERROR(__xludf.DUMMYFUNCTION("""COMPUTED_VALUE"""),153.5)</f>
        <v>153.5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IFERROR(__xludf.DUMMYFUNCTION("""COMPUTED_VALUE"""),157.5)</f>
        <v>157.5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IFERROR(__xludf.DUMMYFUNCTION("""COMPUTED_VALUE"""),167.95)</f>
        <v>167.95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IFERROR(__xludf.DUMMYFUNCTION("""COMPUTED_VALUE"""),157.7)</f>
        <v>157.7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IFERROR(__xludf.DUMMYFUNCTION("""COMPUTED_VALUE"""),165.23)</f>
        <v>165.23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IFERROR(__xludf.DUMMYFUNCTION("GOOGLEFINANCE(""NSE:ZEEL"",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IFERROR(__xludf.DUMMYFUNCTION("""COMPUTED_VALUE"""),166.93)</f>
        <v>166.93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IFERROR(__xludf.DUMMYFUNCTION("""COMPUTED_VALUE"""),161.5)</f>
        <v>161.5</v>
      </c>
    </row>
    <row r="334" ht="15.75" customHeight="1">
      <c r="B334" s="3">
        <f>IFERROR(__xludf.DUMMYFUNCTION("""COMPUTED_VALUE"""),39465.645833333336)</f>
        <v>39465.64583</v>
      </c>
      <c r="C334" s="2">
        <f>IFERROR(__xludf.DUMMYFUNCTION("""COMPUTED_VALUE"""),153.23)</f>
        <v>153.23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IFERROR(__xludf.DUMMYFUNCTION("""COMPUTED_VALUE"""),145.5)</f>
        <v>145.5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IFERROR(__xludf.DUMMYFUNCTION("""COMPUTED_VALUE"""),144.5)</f>
        <v>144.5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IFERROR(__xludf.DUMMYFUNCTION("""COMPUTED_VALUE"""),140.0)</f>
        <v>140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IFERROR(__xludf.DUMMYFUNCTION("""COMPUTED_VALUE"""),129.25)</f>
        <v>129.25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IFERROR(__xludf.DUMMYFUNCTION("""COMPUTED_VALUE"""),130.35)</f>
        <v>130.35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IFERROR(__xludf.DUMMYFUNCTION("""COMPUTED_VALUE"""),125.0)</f>
        <v>125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IFERROR(__xludf.DUMMYFUNCTION("""COMPUTED_VALUE"""),136.4)</f>
        <v>136.4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IFERROR(__xludf.DUMMYFUNCTION("""COMPUTED_VALUE"""),136.2)</f>
        <v>136.2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IFERROR(__xludf.DUMMYFUNCTION("""COMPUTED_VALUE"""),129.5)</f>
        <v>129.5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IFERROR(__xludf.DUMMYFUNCTION("""COMPUTED_VALUE"""),128.45)</f>
        <v>128.45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IFERROR(__xludf.DUMMYFUNCTION("""COMPUTED_VALUE"""),127.45)</f>
        <v>127.45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IFERROR(__xludf.DUMMYFUNCTION("""COMPUTED_VALUE"""),122.75)</f>
        <v>122.75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IFERROR(__xludf.DUMMYFUNCTION("""COMPUTED_VALUE"""),121.95)</f>
        <v>121.95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IFERROR(__xludf.DUMMYFUNCTION("""COMPUTED_VALUE"""),110.0)</f>
        <v>110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IFERROR(__xludf.DUMMYFUNCTION("""COMPUTED_VALUE"""),108.5)</f>
        <v>108.5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IFERROR(__xludf.DUMMYFUNCTION("""COMPUTED_VALUE"""),113.9)</f>
        <v>113.9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IFERROR(__xludf.DUMMYFUNCTION("""COMPUTED_VALUE"""),122.45)</f>
        <v>122.45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IFERROR(__xludf.DUMMYFUNCTION("""COMPUTED_VALUE"""),120.2)</f>
        <v>120.2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IFERROR(__xludf.DUMMYFUNCTION("""COMPUTED_VALUE"""),119.45)</f>
        <v>119.45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IFERROR(__xludf.DUMMYFUNCTION("""COMPUTED_VALUE"""),115.0)</f>
        <v>115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IFERROR(__xludf.DUMMYFUNCTION("""COMPUTED_VALUE"""),116.4)</f>
        <v>116.4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IFERROR(__xludf.DUMMYFUNCTION("""COMPUTED_VALUE"""),126.0)</f>
        <v>126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IFERROR(__xludf.DUMMYFUNCTION("""COMPUTED_VALUE"""),113.0)</f>
        <v>113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IFERROR(__xludf.DUMMYFUNCTION("""COMPUTED_VALUE"""),107.2)</f>
        <v>107.2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IFERROR(__xludf.DUMMYFUNCTION("""COMPUTED_VALUE"""),102.0)</f>
        <v>102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IFERROR(__xludf.DUMMYFUNCTION("""COMPUTED_VALUE"""),99.9)</f>
        <v>99.9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IFERROR(__xludf.DUMMYFUNCTION("""COMPUTED_VALUE"""),116.0)</f>
        <v>116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IFERROR(__xludf.DUMMYFUNCTION("""COMPUTED_VALUE"""),112.25)</f>
        <v>112.25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IFERROR(__xludf.DUMMYFUNCTION("""COMPUTED_VALUE"""),106.98)</f>
        <v>106.98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IFERROR(__xludf.DUMMYFUNCTION("""COMPUTED_VALUE"""),108.5)</f>
        <v>108.5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IFERROR(__xludf.DUMMYFUNCTION("""COMPUTED_VALUE"""),107.33)</f>
        <v>107.33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IFERROR(__xludf.DUMMYFUNCTION("""COMPUTED_VALUE"""),112.25)</f>
        <v>112.25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IFERROR(__xludf.DUMMYFUNCTION("""COMPUTED_VALUE"""),115.3)</f>
        <v>115.3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IFERROR(__xludf.DUMMYFUNCTION("""COMPUTED_VALUE"""),127.4)</f>
        <v>127.4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IFERROR(__xludf.DUMMYFUNCTION("""COMPUTED_VALUE"""),112.0)</f>
        <v>112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IFERROR(__xludf.DUMMYFUNCTION("""COMPUTED_VALUE"""),105.0)</f>
        <v>105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IFERROR(__xludf.DUMMYFUNCTION("""COMPUTED_VALUE"""),105.0)</f>
        <v>105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IFERROR(__xludf.DUMMYFUNCTION("""COMPUTED_VALUE"""),99.4)</f>
        <v>99.4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IFERROR(__xludf.DUMMYFUNCTION("""COMPUTED_VALUE"""),83.43)</f>
        <v>83.43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IFERROR(__xludf.DUMMYFUNCTION("""COMPUTED_VALUE"""),79.4)</f>
        <v>79.4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IFERROR(__xludf.DUMMYFUNCTION("""COMPUTED_VALUE"""),80.3)</f>
        <v>80.3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IFERROR(__xludf.DUMMYFUNCTION("""COMPUTED_VALUE"""),81.5)</f>
        <v>81.5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IFERROR(__xludf.DUMMYFUNCTION("""COMPUTED_VALUE"""),73.47)</f>
        <v>73.47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IFERROR(__xludf.DUMMYFUNCTION("""COMPUTED_VALUE"""),58.58)</f>
        <v>58.58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IFERROR(__xludf.DUMMYFUNCTION("""COMPUTED_VALUE"""),62.35)</f>
        <v>62.35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IFERROR(__xludf.DUMMYFUNCTION("""COMPUTED_VALUE"""),62.1)</f>
        <v>62.1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IFERROR(__xludf.DUMMYFUNCTION("""COMPUTED_VALUE"""),67.38)</f>
        <v>67.38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IFERROR(__xludf.DUMMYFUNCTION("""COMPUTED_VALUE"""),72.2)</f>
        <v>72.2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IFERROR(__xludf.DUMMYFUNCTION("""COMPUTED_VALUE"""),70.5)</f>
        <v>70.5</v>
      </c>
    </row>
    <row r="384" ht="15.75" customHeight="1"/>
    <row r="385" ht="15.75" customHeight="1"/>
    <row r="386" ht="15.75" customHeight="1">
      <c r="B386" s="2" t="str">
        <f>IFERROR(__xludf.DUMMYFUNCTION("GOOGLEFINANCE(""NSE:ZEEL"", ""high"",DATE(2014,1,1),DATE(2015,1,1),""weekly"")"),"Date")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IFERROR(__xludf.DUMMYFUNCTION("""COMPUTED_VALUE"""),41642.645833333336)</f>
        <v>41642.64583</v>
      </c>
      <c r="C387" s="2">
        <f>IFERROR(__xludf.DUMMYFUNCTION("""COMPUTED_VALUE"""),284.4)</f>
        <v>284.4</v>
      </c>
    </row>
    <row r="388" ht="15.75" customHeight="1">
      <c r="B388" s="3">
        <f>IFERROR(__xludf.DUMMYFUNCTION("""COMPUTED_VALUE"""),41649.645833333336)</f>
        <v>41649.64583</v>
      </c>
      <c r="C388" s="2">
        <f>IFERROR(__xludf.DUMMYFUNCTION("""COMPUTED_VALUE"""),297.1)</f>
        <v>297.1</v>
      </c>
    </row>
    <row r="389" ht="15.75" customHeight="1">
      <c r="B389" s="3">
        <f>IFERROR(__xludf.DUMMYFUNCTION("""COMPUTED_VALUE"""),41656.645833333336)</f>
        <v>41656.64583</v>
      </c>
      <c r="C389" s="2">
        <f>IFERROR(__xludf.DUMMYFUNCTION("""COMPUTED_VALUE"""),300.4)</f>
        <v>300.4</v>
      </c>
    </row>
    <row r="390" ht="15.75" customHeight="1">
      <c r="B390" s="3">
        <f>IFERROR(__xludf.DUMMYFUNCTION("""COMPUTED_VALUE"""),41663.645833333336)</f>
        <v>41663.64583</v>
      </c>
      <c r="C390" s="2">
        <f>IFERROR(__xludf.DUMMYFUNCTION("""COMPUTED_VALUE"""),287.4)</f>
        <v>287.4</v>
      </c>
    </row>
    <row r="391" ht="15.75" customHeight="1">
      <c r="B391" s="3">
        <f>IFERROR(__xludf.DUMMYFUNCTION("""COMPUTED_VALUE"""),41670.645833333336)</f>
        <v>41670.64583</v>
      </c>
      <c r="C391" s="2">
        <f>IFERROR(__xludf.DUMMYFUNCTION("""COMPUTED_VALUE"""),276.25)</f>
        <v>276.25</v>
      </c>
    </row>
    <row r="392" ht="15.75" customHeight="1">
      <c r="B392" s="3">
        <f>IFERROR(__xludf.DUMMYFUNCTION("""COMPUTED_VALUE"""),41677.645833333336)</f>
        <v>41677.64583</v>
      </c>
      <c r="C392" s="2">
        <f>IFERROR(__xludf.DUMMYFUNCTION("""COMPUTED_VALUE"""),275.5)</f>
        <v>275.5</v>
      </c>
    </row>
    <row r="393" ht="15.75" customHeight="1">
      <c r="B393" s="3">
        <f>IFERROR(__xludf.DUMMYFUNCTION("""COMPUTED_VALUE"""),41684.645833333336)</f>
        <v>41684.64583</v>
      </c>
      <c r="C393" s="2">
        <f>IFERROR(__xludf.DUMMYFUNCTION("""COMPUTED_VALUE"""),274.45)</f>
        <v>274.45</v>
      </c>
    </row>
    <row r="394" ht="15.75" customHeight="1">
      <c r="B394" s="3">
        <f>IFERROR(__xludf.DUMMYFUNCTION("""COMPUTED_VALUE"""),41691.645833333336)</f>
        <v>41691.64583</v>
      </c>
      <c r="C394" s="2">
        <f>IFERROR(__xludf.DUMMYFUNCTION("""COMPUTED_VALUE"""),271.5)</f>
        <v>271.5</v>
      </c>
    </row>
    <row r="395" ht="15.75" customHeight="1">
      <c r="B395" s="3">
        <f>IFERROR(__xludf.DUMMYFUNCTION("""COMPUTED_VALUE"""),41698.645833333336)</f>
        <v>41698.64583</v>
      </c>
      <c r="C395" s="2">
        <f>IFERROR(__xludf.DUMMYFUNCTION("""COMPUTED_VALUE"""),279.4)</f>
        <v>279.4</v>
      </c>
    </row>
    <row r="396" ht="15.75" customHeight="1">
      <c r="B396" s="3">
        <f>IFERROR(__xludf.DUMMYFUNCTION("""COMPUTED_VALUE"""),41705.645833333336)</f>
        <v>41705.64583</v>
      </c>
      <c r="C396" s="2">
        <f>IFERROR(__xludf.DUMMYFUNCTION("""COMPUTED_VALUE"""),279.7)</f>
        <v>279.7</v>
      </c>
    </row>
    <row r="397" ht="15.75" customHeight="1">
      <c r="B397" s="3">
        <f>IFERROR(__xludf.DUMMYFUNCTION("""COMPUTED_VALUE"""),41712.645833333336)</f>
        <v>41712.64583</v>
      </c>
      <c r="C397" s="2">
        <f>IFERROR(__xludf.DUMMYFUNCTION("""COMPUTED_VALUE"""),289.85)</f>
        <v>289.85</v>
      </c>
    </row>
    <row r="398" ht="15.75" customHeight="1">
      <c r="B398" s="3">
        <f>IFERROR(__xludf.DUMMYFUNCTION("""COMPUTED_VALUE"""),41726.645833333336)</f>
        <v>41726.64583</v>
      </c>
      <c r="C398" s="2">
        <f>IFERROR(__xludf.DUMMYFUNCTION("""COMPUTED_VALUE"""),295.6)</f>
        <v>295.6</v>
      </c>
    </row>
    <row r="399" ht="15.75" customHeight="1">
      <c r="B399" s="3">
        <f>IFERROR(__xludf.DUMMYFUNCTION("""COMPUTED_VALUE"""),41733.645833333336)</f>
        <v>41733.64583</v>
      </c>
      <c r="C399" s="2">
        <f>IFERROR(__xludf.DUMMYFUNCTION("""COMPUTED_VALUE"""),282.0)</f>
        <v>282</v>
      </c>
    </row>
    <row r="400" ht="15.75" customHeight="1">
      <c r="B400" s="3">
        <f>IFERROR(__xludf.DUMMYFUNCTION("""COMPUTED_VALUE"""),41740.645833333336)</f>
        <v>41740.64583</v>
      </c>
      <c r="C400" s="2">
        <f>IFERROR(__xludf.DUMMYFUNCTION("""COMPUTED_VALUE"""),282.9)</f>
        <v>282.9</v>
      </c>
    </row>
    <row r="401" ht="15.75" customHeight="1">
      <c r="B401" s="3">
        <f>IFERROR(__xludf.DUMMYFUNCTION("""COMPUTED_VALUE"""),41746.645833333336)</f>
        <v>41746.64583</v>
      </c>
      <c r="C401" s="2">
        <f>IFERROR(__xludf.DUMMYFUNCTION("""COMPUTED_VALUE"""),277.35)</f>
        <v>277.35</v>
      </c>
    </row>
    <row r="402" ht="15.75" customHeight="1">
      <c r="B402" s="3">
        <f>IFERROR(__xludf.DUMMYFUNCTION("""COMPUTED_VALUE"""),41754.645833333336)</f>
        <v>41754.64583</v>
      </c>
      <c r="C402" s="2">
        <f>IFERROR(__xludf.DUMMYFUNCTION("""COMPUTED_VALUE"""),272.35)</f>
        <v>272.35</v>
      </c>
    </row>
    <row r="403" ht="15.75" customHeight="1">
      <c r="B403" s="3">
        <f>IFERROR(__xludf.DUMMYFUNCTION("""COMPUTED_VALUE"""),41761.645833333336)</f>
        <v>41761.64583</v>
      </c>
      <c r="C403" s="2">
        <f>IFERROR(__xludf.DUMMYFUNCTION("""COMPUTED_VALUE"""),272.45)</f>
        <v>272.45</v>
      </c>
    </row>
    <row r="404" ht="15.75" customHeight="1">
      <c r="B404" s="3">
        <f>IFERROR(__xludf.DUMMYFUNCTION("""COMPUTED_VALUE"""),41768.645833333336)</f>
        <v>41768.64583</v>
      </c>
      <c r="C404" s="2">
        <f>IFERROR(__xludf.DUMMYFUNCTION("""COMPUTED_VALUE"""),271.0)</f>
        <v>271</v>
      </c>
    </row>
    <row r="405" ht="15.75" customHeight="1">
      <c r="B405" s="3">
        <f>IFERROR(__xludf.DUMMYFUNCTION("""COMPUTED_VALUE"""),41775.645833333336)</f>
        <v>41775.64583</v>
      </c>
      <c r="C405" s="2">
        <f>IFERROR(__xludf.DUMMYFUNCTION("""COMPUTED_VALUE"""),282.6)</f>
        <v>282.6</v>
      </c>
    </row>
    <row r="406" ht="15.75" customHeight="1">
      <c r="B406" s="3">
        <f>IFERROR(__xludf.DUMMYFUNCTION("""COMPUTED_VALUE"""),41782.645833333336)</f>
        <v>41782.64583</v>
      </c>
      <c r="C406" s="2">
        <f>IFERROR(__xludf.DUMMYFUNCTION("""COMPUTED_VALUE"""),302.0)</f>
        <v>302</v>
      </c>
    </row>
    <row r="407" ht="15.75" customHeight="1">
      <c r="B407" s="3">
        <f>IFERROR(__xludf.DUMMYFUNCTION("""COMPUTED_VALUE"""),41789.645833333336)</f>
        <v>41789.64583</v>
      </c>
      <c r="C407" s="2">
        <f>IFERROR(__xludf.DUMMYFUNCTION("""COMPUTED_VALUE"""),279.5)</f>
        <v>279.5</v>
      </c>
    </row>
    <row r="408" ht="15.75" customHeight="1">
      <c r="B408" s="3">
        <f>IFERROR(__xludf.DUMMYFUNCTION("""COMPUTED_VALUE"""),41796.645833333336)</f>
        <v>41796.64583</v>
      </c>
      <c r="C408" s="2">
        <f>IFERROR(__xludf.DUMMYFUNCTION("""COMPUTED_VALUE"""),278.75)</f>
        <v>278.75</v>
      </c>
    </row>
    <row r="409" ht="15.75" customHeight="1">
      <c r="B409" s="3">
        <f>IFERROR(__xludf.DUMMYFUNCTION("""COMPUTED_VALUE"""),41803.645833333336)</f>
        <v>41803.64583</v>
      </c>
      <c r="C409" s="2">
        <f>IFERROR(__xludf.DUMMYFUNCTION("""COMPUTED_VALUE"""),288.0)</f>
        <v>288</v>
      </c>
    </row>
    <row r="410" ht="15.75" customHeight="1">
      <c r="B410" s="3">
        <f>IFERROR(__xludf.DUMMYFUNCTION("""COMPUTED_VALUE"""),41810.645833333336)</f>
        <v>41810.64583</v>
      </c>
      <c r="C410" s="2">
        <f>IFERROR(__xludf.DUMMYFUNCTION("""COMPUTED_VALUE"""),285.9)</f>
        <v>285.9</v>
      </c>
    </row>
    <row r="411" ht="15.75" customHeight="1">
      <c r="B411" s="3">
        <f>IFERROR(__xludf.DUMMYFUNCTION("""COMPUTED_VALUE"""),41817.645833333336)</f>
        <v>41817.64583</v>
      </c>
      <c r="C411" s="2">
        <f>IFERROR(__xludf.DUMMYFUNCTION("""COMPUTED_VALUE"""),293.65)</f>
        <v>293.65</v>
      </c>
    </row>
    <row r="412" ht="15.75" customHeight="1">
      <c r="B412" s="3">
        <f>IFERROR(__xludf.DUMMYFUNCTION("""COMPUTED_VALUE"""),41824.645833333336)</f>
        <v>41824.64583</v>
      </c>
      <c r="C412" s="2">
        <f>IFERROR(__xludf.DUMMYFUNCTION("""COMPUTED_VALUE"""),304.75)</f>
        <v>304.75</v>
      </c>
    </row>
    <row r="413" ht="15.75" customHeight="1">
      <c r="B413" s="3">
        <f>IFERROR(__xludf.DUMMYFUNCTION("""COMPUTED_VALUE"""),41831.645833333336)</f>
        <v>41831.64583</v>
      </c>
      <c r="C413" s="2">
        <f>IFERROR(__xludf.DUMMYFUNCTION("""COMPUTED_VALUE"""),302.35)</f>
        <v>302.35</v>
      </c>
    </row>
    <row r="414" ht="15.75" customHeight="1">
      <c r="B414" s="3">
        <f>IFERROR(__xludf.DUMMYFUNCTION("""COMPUTED_VALUE"""),41838.645833333336)</f>
        <v>41838.64583</v>
      </c>
      <c r="C414" s="2">
        <f>IFERROR(__xludf.DUMMYFUNCTION("""COMPUTED_VALUE"""),310.85)</f>
        <v>310.85</v>
      </c>
    </row>
    <row r="415" ht="15.75" customHeight="1">
      <c r="B415" s="3">
        <f>IFERROR(__xludf.DUMMYFUNCTION("""COMPUTED_VALUE"""),41845.645833333336)</f>
        <v>41845.64583</v>
      </c>
      <c r="C415" s="2">
        <f>IFERROR(__xludf.DUMMYFUNCTION("""COMPUTED_VALUE"""),304.7)</f>
        <v>304.7</v>
      </c>
    </row>
    <row r="416" ht="15.75" customHeight="1">
      <c r="B416" s="3">
        <f>IFERROR(__xludf.DUMMYFUNCTION("""COMPUTED_VALUE"""),41852.645833333336)</f>
        <v>41852.64583</v>
      </c>
      <c r="C416" s="2">
        <f>IFERROR(__xludf.DUMMYFUNCTION("""COMPUTED_VALUE"""),296.3)</f>
        <v>296.3</v>
      </c>
    </row>
    <row r="417" ht="15.75" customHeight="1">
      <c r="B417" s="3">
        <f>IFERROR(__xludf.DUMMYFUNCTION("""COMPUTED_VALUE"""),41859.645833333336)</f>
        <v>41859.64583</v>
      </c>
      <c r="C417" s="2">
        <f>IFERROR(__xludf.DUMMYFUNCTION("""COMPUTED_VALUE"""),294.3)</f>
        <v>294.3</v>
      </c>
    </row>
    <row r="418" ht="15.75" customHeight="1">
      <c r="B418" s="3">
        <f>IFERROR(__xludf.DUMMYFUNCTION("""COMPUTED_VALUE"""),41865.645833333336)</f>
        <v>41865.64583</v>
      </c>
      <c r="C418" s="2">
        <f>IFERROR(__xludf.DUMMYFUNCTION("""COMPUTED_VALUE"""),276.9)</f>
        <v>276.9</v>
      </c>
    </row>
    <row r="419" ht="15.75" customHeight="1">
      <c r="B419" s="3">
        <f>IFERROR(__xludf.DUMMYFUNCTION("""COMPUTED_VALUE"""),41873.645833333336)</f>
        <v>41873.64583</v>
      </c>
      <c r="C419" s="2">
        <f>IFERROR(__xludf.DUMMYFUNCTION("""COMPUTED_VALUE"""),300.0)</f>
        <v>300</v>
      </c>
    </row>
    <row r="420" ht="15.75" customHeight="1">
      <c r="B420" s="3">
        <f>IFERROR(__xludf.DUMMYFUNCTION("""COMPUTED_VALUE"""),41879.645833333336)</f>
        <v>41879.64583</v>
      </c>
      <c r="C420" s="2">
        <f>IFERROR(__xludf.DUMMYFUNCTION("""COMPUTED_VALUE"""),290.0)</f>
        <v>290</v>
      </c>
    </row>
    <row r="421" ht="15.75" customHeight="1">
      <c r="B421" s="3">
        <f>IFERROR(__xludf.DUMMYFUNCTION("""COMPUTED_VALUE"""),41887.645833333336)</f>
        <v>41887.64583</v>
      </c>
      <c r="C421" s="2">
        <f>IFERROR(__xludf.DUMMYFUNCTION("""COMPUTED_VALUE"""),288.9)</f>
        <v>288.9</v>
      </c>
    </row>
    <row r="422" ht="15.75" customHeight="1">
      <c r="B422" s="3">
        <f>IFERROR(__xludf.DUMMYFUNCTION("""COMPUTED_VALUE"""),41894.645833333336)</f>
        <v>41894.64583</v>
      </c>
      <c r="C422" s="2">
        <f>IFERROR(__xludf.DUMMYFUNCTION("""COMPUTED_VALUE"""),294.1)</f>
        <v>294.1</v>
      </c>
    </row>
    <row r="423" ht="15.75" customHeight="1">
      <c r="B423" s="3">
        <f>IFERROR(__xludf.DUMMYFUNCTION("""COMPUTED_VALUE"""),41901.645833333336)</f>
        <v>41901.64583</v>
      </c>
      <c r="C423" s="2">
        <f>IFERROR(__xludf.DUMMYFUNCTION("""COMPUTED_VALUE"""),316.9)</f>
        <v>316.9</v>
      </c>
    </row>
    <row r="424" ht="15.75" customHeight="1">
      <c r="B424" s="3">
        <f>IFERROR(__xludf.DUMMYFUNCTION("""COMPUTED_VALUE"""),41908.645833333336)</f>
        <v>41908.64583</v>
      </c>
      <c r="C424" s="2">
        <f>IFERROR(__xludf.DUMMYFUNCTION("""COMPUTED_VALUE"""),315.75)</f>
        <v>315.75</v>
      </c>
    </row>
    <row r="425" ht="15.75" customHeight="1">
      <c r="B425" s="3">
        <f>IFERROR(__xludf.DUMMYFUNCTION("""COMPUTED_VALUE"""),41913.645833333336)</f>
        <v>41913.64583</v>
      </c>
      <c r="C425" s="2">
        <f>IFERROR(__xludf.DUMMYFUNCTION("""COMPUTED_VALUE"""),317.25)</f>
        <v>317.25</v>
      </c>
    </row>
    <row r="426" ht="15.75" customHeight="1">
      <c r="B426" s="3">
        <f>IFERROR(__xludf.DUMMYFUNCTION("""COMPUTED_VALUE"""),41922.645833333336)</f>
        <v>41922.64583</v>
      </c>
      <c r="C426" s="2">
        <f>IFERROR(__xludf.DUMMYFUNCTION("""COMPUTED_VALUE"""),325.9)</f>
        <v>325.9</v>
      </c>
    </row>
    <row r="427" ht="15.75" customHeight="1">
      <c r="B427" s="3">
        <f>IFERROR(__xludf.DUMMYFUNCTION("""COMPUTED_VALUE"""),41929.645833333336)</f>
        <v>41929.64583</v>
      </c>
      <c r="C427" s="2">
        <f>IFERROR(__xludf.DUMMYFUNCTION("""COMPUTED_VALUE"""),331.5)</f>
        <v>331.5</v>
      </c>
    </row>
    <row r="428" ht="15.75" customHeight="1">
      <c r="B428" s="3">
        <f>IFERROR(__xludf.DUMMYFUNCTION("""COMPUTED_VALUE"""),41935.645833333336)</f>
        <v>41935.64583</v>
      </c>
      <c r="C428" s="2">
        <f>IFERROR(__xludf.DUMMYFUNCTION("""COMPUTED_VALUE"""),345.75)</f>
        <v>345.75</v>
      </c>
    </row>
    <row r="429" ht="15.75" customHeight="1">
      <c r="B429" s="3">
        <f>IFERROR(__xludf.DUMMYFUNCTION("""COMPUTED_VALUE"""),41943.645833333336)</f>
        <v>41943.64583</v>
      </c>
      <c r="C429" s="2">
        <f>IFERROR(__xludf.DUMMYFUNCTION("""COMPUTED_VALUE"""),353.6)</f>
        <v>353.6</v>
      </c>
    </row>
    <row r="430" ht="15.75" customHeight="1">
      <c r="B430" s="3">
        <f>IFERROR(__xludf.DUMMYFUNCTION("""COMPUTED_VALUE"""),41950.645833333336)</f>
        <v>41950.64583</v>
      </c>
      <c r="C430" s="2">
        <f>IFERROR(__xludf.DUMMYFUNCTION("""COMPUTED_VALUE"""),373.8)</f>
        <v>373.8</v>
      </c>
    </row>
    <row r="431" ht="15.75" customHeight="1">
      <c r="B431" s="3">
        <f>IFERROR(__xludf.DUMMYFUNCTION("""COMPUTED_VALUE"""),41957.64583333333)</f>
        <v>41957.64583</v>
      </c>
      <c r="C431" s="2">
        <f>IFERROR(__xludf.DUMMYFUNCTION("""COMPUTED_VALUE"""),379.15)</f>
        <v>379.15</v>
      </c>
    </row>
    <row r="432" ht="15.75" customHeight="1">
      <c r="B432" s="3">
        <f>IFERROR(__xludf.DUMMYFUNCTION("""COMPUTED_VALUE"""),41964.64583333333)</f>
        <v>41964.64583</v>
      </c>
      <c r="C432" s="2">
        <f>IFERROR(__xludf.DUMMYFUNCTION("""COMPUTED_VALUE"""),391.95)</f>
        <v>391.95</v>
      </c>
    </row>
    <row r="433" ht="15.75" customHeight="1">
      <c r="B433" s="3">
        <f>IFERROR(__xludf.DUMMYFUNCTION("""COMPUTED_VALUE"""),41971.64583333333)</f>
        <v>41971.64583</v>
      </c>
      <c r="C433" s="2">
        <f>IFERROR(__xludf.DUMMYFUNCTION("""COMPUTED_VALUE"""),402.4)</f>
        <v>402.4</v>
      </c>
    </row>
    <row r="434" ht="15.75" customHeight="1">
      <c r="B434" s="3">
        <f>IFERROR(__xludf.DUMMYFUNCTION("""COMPUTED_VALUE"""),41978.64583333333)</f>
        <v>41978.64583</v>
      </c>
      <c r="C434" s="2">
        <f>IFERROR(__xludf.DUMMYFUNCTION("""COMPUTED_VALUE"""),385.75)</f>
        <v>385.75</v>
      </c>
    </row>
    <row r="435" ht="15.75" customHeight="1">
      <c r="B435" s="3">
        <f>IFERROR(__xludf.DUMMYFUNCTION("""COMPUTED_VALUE"""),41985.64583333333)</f>
        <v>41985.64583</v>
      </c>
      <c r="C435" s="2">
        <f>IFERROR(__xludf.DUMMYFUNCTION("""COMPUTED_VALUE"""),380.5)</f>
        <v>380.5</v>
      </c>
    </row>
    <row r="436" ht="15.75" customHeight="1">
      <c r="B436" s="3">
        <f>IFERROR(__xludf.DUMMYFUNCTION("""COMPUTED_VALUE"""),41992.64583333333)</f>
        <v>41992.64583</v>
      </c>
      <c r="C436" s="2">
        <f>IFERROR(__xludf.DUMMYFUNCTION("""COMPUTED_VALUE"""),388.95)</f>
        <v>388.95</v>
      </c>
    </row>
    <row r="437" ht="15.75" customHeight="1">
      <c r="B437" s="3">
        <f>IFERROR(__xludf.DUMMYFUNCTION("""COMPUTED_VALUE"""),41999.64583333333)</f>
        <v>41999.64583</v>
      </c>
      <c r="C437" s="2">
        <f>IFERROR(__xludf.DUMMYFUNCTION("""COMPUTED_VALUE"""),383.7)</f>
        <v>383.7</v>
      </c>
    </row>
    <row r="438" ht="15.75" customHeight="1"/>
    <row r="439" ht="15.75" customHeight="1"/>
    <row r="440" ht="15.75" customHeight="1"/>
    <row r="441" ht="15.75" customHeight="1">
      <c r="B441" s="2" t="str">
        <f>IFERROR(__xludf.DUMMYFUNCTION("GOOGLEFINANCE(""NSE:ZEEL"", ""high"",DATE(2015,1,1),DATE(2016,1,1),""weekly"")"),"Date")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IFERROR(__xludf.DUMMYFUNCTION("""COMPUTED_VALUE"""),42006.64583333333)</f>
        <v>42006.64583</v>
      </c>
      <c r="C442" s="2">
        <f>IFERROR(__xludf.DUMMYFUNCTION("""COMPUTED_VALUE"""),384.5)</f>
        <v>384.5</v>
      </c>
    </row>
    <row r="443" ht="15.75" customHeight="1">
      <c r="B443" s="3">
        <f>IFERROR(__xludf.DUMMYFUNCTION("""COMPUTED_VALUE"""),42013.64583333333)</f>
        <v>42013.64583</v>
      </c>
      <c r="C443" s="2">
        <f>IFERROR(__xludf.DUMMYFUNCTION("""COMPUTED_VALUE"""),381.6)</f>
        <v>381.6</v>
      </c>
    </row>
    <row r="444" ht="15.75" customHeight="1">
      <c r="B444" s="3">
        <f>IFERROR(__xludf.DUMMYFUNCTION("""COMPUTED_VALUE"""),42020.64583333333)</f>
        <v>42020.64583</v>
      </c>
      <c r="C444" s="2">
        <f>IFERROR(__xludf.DUMMYFUNCTION("""COMPUTED_VALUE"""),387.8)</f>
        <v>387.8</v>
      </c>
    </row>
    <row r="445" ht="15.75" customHeight="1">
      <c r="B445" s="3">
        <f>IFERROR(__xludf.DUMMYFUNCTION("""COMPUTED_VALUE"""),42027.64583333333)</f>
        <v>42027.64583</v>
      </c>
      <c r="C445" s="2">
        <f>IFERROR(__xludf.DUMMYFUNCTION("""COMPUTED_VALUE"""),400.05)</f>
        <v>400.05</v>
      </c>
    </row>
    <row r="446" ht="15.75" customHeight="1">
      <c r="B446" s="3">
        <f>IFERROR(__xludf.DUMMYFUNCTION("""COMPUTED_VALUE"""),42034.64583333333)</f>
        <v>42034.64583</v>
      </c>
      <c r="C446" s="2">
        <f>IFERROR(__xludf.DUMMYFUNCTION("""COMPUTED_VALUE"""),391.75)</f>
        <v>391.75</v>
      </c>
    </row>
    <row r="447" ht="15.75" customHeight="1">
      <c r="B447" s="3">
        <f>IFERROR(__xludf.DUMMYFUNCTION("""COMPUTED_VALUE"""),42041.64583333333)</f>
        <v>42041.64583</v>
      </c>
      <c r="C447" s="2">
        <f>IFERROR(__xludf.DUMMYFUNCTION("""COMPUTED_VALUE"""),376.3)</f>
        <v>376.3</v>
      </c>
    </row>
    <row r="448" ht="15.75" customHeight="1">
      <c r="B448" s="3">
        <f>IFERROR(__xludf.DUMMYFUNCTION("""COMPUTED_VALUE"""),42048.64583333333)</f>
        <v>42048.64583</v>
      </c>
      <c r="C448" s="2">
        <f>IFERROR(__xludf.DUMMYFUNCTION("""COMPUTED_VALUE"""),367.05)</f>
        <v>367.05</v>
      </c>
    </row>
    <row r="449" ht="15.75" customHeight="1">
      <c r="B449" s="3">
        <f>IFERROR(__xludf.DUMMYFUNCTION("""COMPUTED_VALUE"""),42055.64583333333)</f>
        <v>42055.64583</v>
      </c>
      <c r="C449" s="2">
        <f>IFERROR(__xludf.DUMMYFUNCTION("""COMPUTED_VALUE"""),366.0)</f>
        <v>366</v>
      </c>
    </row>
    <row r="450" ht="15.75" customHeight="1">
      <c r="B450" s="3">
        <f>IFERROR(__xludf.DUMMYFUNCTION("""COMPUTED_VALUE"""),42068.64583333333)</f>
        <v>42068.64583</v>
      </c>
      <c r="C450" s="2">
        <f>IFERROR(__xludf.DUMMYFUNCTION("""COMPUTED_VALUE"""),350.35)</f>
        <v>350.35</v>
      </c>
    </row>
    <row r="451" ht="15.75" customHeight="1">
      <c r="B451" s="3">
        <f>IFERROR(__xludf.DUMMYFUNCTION("""COMPUTED_VALUE"""),42076.64583333333)</f>
        <v>42076.64583</v>
      </c>
      <c r="C451" s="2">
        <f>IFERROR(__xludf.DUMMYFUNCTION("""COMPUTED_VALUE"""),356.0)</f>
        <v>356</v>
      </c>
    </row>
    <row r="452" ht="15.75" customHeight="1">
      <c r="B452" s="3">
        <f>IFERROR(__xludf.DUMMYFUNCTION("""COMPUTED_VALUE"""),42083.64583333333)</f>
        <v>42083.64583</v>
      </c>
      <c r="C452" s="2">
        <f>IFERROR(__xludf.DUMMYFUNCTION("""COMPUTED_VALUE"""),370.95)</f>
        <v>370.95</v>
      </c>
    </row>
    <row r="453" ht="15.75" customHeight="1">
      <c r="B453" s="3">
        <f>IFERROR(__xludf.DUMMYFUNCTION("""COMPUTED_VALUE"""),42090.64583333333)</f>
        <v>42090.64583</v>
      </c>
      <c r="C453" s="2">
        <f>IFERROR(__xludf.DUMMYFUNCTION("""COMPUTED_VALUE"""),361.95)</f>
        <v>361.95</v>
      </c>
    </row>
    <row r="454" ht="15.75" customHeight="1">
      <c r="B454" s="3">
        <f>IFERROR(__xludf.DUMMYFUNCTION("""COMPUTED_VALUE"""),42095.64583333333)</f>
        <v>42095.64583</v>
      </c>
      <c r="C454" s="2">
        <f>IFERROR(__xludf.DUMMYFUNCTION("""COMPUTED_VALUE"""),344.75)</f>
        <v>344.75</v>
      </c>
    </row>
    <row r="455" ht="15.75" customHeight="1">
      <c r="B455" s="3">
        <f>IFERROR(__xludf.DUMMYFUNCTION("""COMPUTED_VALUE"""),42104.64583333333)</f>
        <v>42104.64583</v>
      </c>
      <c r="C455" s="2">
        <f>IFERROR(__xludf.DUMMYFUNCTION("""COMPUTED_VALUE"""),358.1)</f>
        <v>358.1</v>
      </c>
    </row>
    <row r="456" ht="15.75" customHeight="1">
      <c r="B456" s="3">
        <f>IFERROR(__xludf.DUMMYFUNCTION("""COMPUTED_VALUE"""),42111.64583333333)</f>
        <v>42111.64583</v>
      </c>
      <c r="C456" s="2">
        <f>IFERROR(__xludf.DUMMYFUNCTION("""COMPUTED_VALUE"""),350.9)</f>
        <v>350.9</v>
      </c>
    </row>
    <row r="457" ht="15.75" customHeight="1">
      <c r="B457" s="3">
        <f>IFERROR(__xludf.DUMMYFUNCTION("""COMPUTED_VALUE"""),42118.64583333333)</f>
        <v>42118.64583</v>
      </c>
      <c r="C457" s="2">
        <f>IFERROR(__xludf.DUMMYFUNCTION("""COMPUTED_VALUE"""),337.5)</f>
        <v>337.5</v>
      </c>
    </row>
    <row r="458" ht="15.75" customHeight="1">
      <c r="B458" s="3">
        <f>IFERROR(__xludf.DUMMYFUNCTION("""COMPUTED_VALUE"""),42124.64583333333)</f>
        <v>42124.64583</v>
      </c>
      <c r="C458" s="2">
        <f>IFERROR(__xludf.DUMMYFUNCTION("""COMPUTED_VALUE"""),325.3)</f>
        <v>325.3</v>
      </c>
    </row>
    <row r="459" ht="15.75" customHeight="1">
      <c r="B459" s="3">
        <f>IFERROR(__xludf.DUMMYFUNCTION("""COMPUTED_VALUE"""),42132.64583333333)</f>
        <v>42132.64583</v>
      </c>
      <c r="C459" s="2">
        <f>IFERROR(__xludf.DUMMYFUNCTION("""COMPUTED_VALUE"""),321.9)</f>
        <v>321.9</v>
      </c>
    </row>
    <row r="460" ht="15.75" customHeight="1">
      <c r="B460" s="3">
        <f>IFERROR(__xludf.DUMMYFUNCTION("""COMPUTED_VALUE"""),42139.64583333333)</f>
        <v>42139.64583</v>
      </c>
      <c r="C460" s="2">
        <f>IFERROR(__xludf.DUMMYFUNCTION("""COMPUTED_VALUE"""),319.4)</f>
        <v>319.4</v>
      </c>
    </row>
    <row r="461" ht="15.75" customHeight="1">
      <c r="B461" s="3">
        <f>IFERROR(__xludf.DUMMYFUNCTION("""COMPUTED_VALUE"""),42146.64583333333)</f>
        <v>42146.64583</v>
      </c>
      <c r="C461" s="2">
        <f>IFERROR(__xludf.DUMMYFUNCTION("""COMPUTED_VALUE"""),323.5)</f>
        <v>323.5</v>
      </c>
    </row>
    <row r="462" ht="15.75" customHeight="1">
      <c r="B462" s="3">
        <f>IFERROR(__xludf.DUMMYFUNCTION("""COMPUTED_VALUE"""),42153.64583333333)</f>
        <v>42153.64583</v>
      </c>
      <c r="C462" s="2">
        <f>IFERROR(__xludf.DUMMYFUNCTION("""COMPUTED_VALUE"""),326.0)</f>
        <v>326</v>
      </c>
    </row>
    <row r="463" ht="15.75" customHeight="1">
      <c r="B463" s="3">
        <f>IFERROR(__xludf.DUMMYFUNCTION("""COMPUTED_VALUE"""),42160.64583333333)</f>
        <v>42160.64583</v>
      </c>
      <c r="C463" s="2">
        <f>IFERROR(__xludf.DUMMYFUNCTION("""COMPUTED_VALUE"""),338.0)</f>
        <v>338</v>
      </c>
    </row>
    <row r="464" ht="15.75" customHeight="1">
      <c r="B464" s="3">
        <f>IFERROR(__xludf.DUMMYFUNCTION("""COMPUTED_VALUE"""),42167.64583333333)</f>
        <v>42167.64583</v>
      </c>
      <c r="C464" s="2">
        <f>IFERROR(__xludf.DUMMYFUNCTION("""COMPUTED_VALUE"""),341.9)</f>
        <v>341.9</v>
      </c>
    </row>
    <row r="465" ht="15.75" customHeight="1">
      <c r="B465" s="3">
        <f>IFERROR(__xludf.DUMMYFUNCTION("""COMPUTED_VALUE"""),42174.64583333333)</f>
        <v>42174.64583</v>
      </c>
      <c r="C465" s="2">
        <f>IFERROR(__xludf.DUMMYFUNCTION("""COMPUTED_VALUE"""),353.75)</f>
        <v>353.75</v>
      </c>
    </row>
    <row r="466" ht="15.75" customHeight="1">
      <c r="B466" s="3">
        <f>IFERROR(__xludf.DUMMYFUNCTION("""COMPUTED_VALUE"""),42181.64583333333)</f>
        <v>42181.64583</v>
      </c>
      <c r="C466" s="2">
        <f>IFERROR(__xludf.DUMMYFUNCTION("""COMPUTED_VALUE"""),362.25)</f>
        <v>362.25</v>
      </c>
    </row>
    <row r="467" ht="15.75" customHeight="1">
      <c r="B467" s="3">
        <f>IFERROR(__xludf.DUMMYFUNCTION("""COMPUTED_VALUE"""),42188.64583333333)</f>
        <v>42188.64583</v>
      </c>
      <c r="C467" s="2">
        <f>IFERROR(__xludf.DUMMYFUNCTION("""COMPUTED_VALUE"""),371.4)</f>
        <v>371.4</v>
      </c>
    </row>
    <row r="468" ht="15.75" customHeight="1">
      <c r="B468" s="3">
        <f>IFERROR(__xludf.DUMMYFUNCTION("""COMPUTED_VALUE"""),42195.64583333333)</f>
        <v>42195.64583</v>
      </c>
      <c r="C468" s="2">
        <f>IFERROR(__xludf.DUMMYFUNCTION("""COMPUTED_VALUE"""),374.8)</f>
        <v>374.8</v>
      </c>
    </row>
    <row r="469" ht="15.75" customHeight="1">
      <c r="B469" s="3">
        <f>IFERROR(__xludf.DUMMYFUNCTION("""COMPUTED_VALUE"""),42202.64583333333)</f>
        <v>42202.64583</v>
      </c>
      <c r="C469" s="2">
        <f>IFERROR(__xludf.DUMMYFUNCTION("""COMPUTED_VALUE"""),385.9)</f>
        <v>385.9</v>
      </c>
    </row>
    <row r="470" ht="15.75" customHeight="1">
      <c r="B470" s="3">
        <f>IFERROR(__xludf.DUMMYFUNCTION("""COMPUTED_VALUE"""),42209.64583333333)</f>
        <v>42209.64583</v>
      </c>
      <c r="C470" s="2">
        <f>IFERROR(__xludf.DUMMYFUNCTION("""COMPUTED_VALUE"""),409.3)</f>
        <v>409.3</v>
      </c>
    </row>
    <row r="471" ht="15.75" customHeight="1">
      <c r="B471" s="3">
        <f>IFERROR(__xludf.DUMMYFUNCTION("""COMPUTED_VALUE"""),42216.64583333333)</f>
        <v>42216.64583</v>
      </c>
      <c r="C471" s="2">
        <f>IFERROR(__xludf.DUMMYFUNCTION("""COMPUTED_VALUE"""),404.45)</f>
        <v>404.45</v>
      </c>
    </row>
    <row r="472" ht="15.75" customHeight="1">
      <c r="B472" s="3">
        <f>IFERROR(__xludf.DUMMYFUNCTION("""COMPUTED_VALUE"""),42223.64583333333)</f>
        <v>42223.64583</v>
      </c>
      <c r="C472" s="2">
        <f>IFERROR(__xludf.DUMMYFUNCTION("""COMPUTED_VALUE"""),417.7)</f>
        <v>417.7</v>
      </c>
    </row>
    <row r="473" ht="15.75" customHeight="1">
      <c r="B473" s="3">
        <f>IFERROR(__xludf.DUMMYFUNCTION("""COMPUTED_VALUE"""),42230.64583333333)</f>
        <v>42230.64583</v>
      </c>
      <c r="C473" s="2">
        <f>IFERROR(__xludf.DUMMYFUNCTION("""COMPUTED_VALUE"""),421.7)</f>
        <v>421.7</v>
      </c>
    </row>
    <row r="474" ht="15.75" customHeight="1">
      <c r="B474" s="3">
        <f>IFERROR(__xludf.DUMMYFUNCTION("""COMPUTED_VALUE"""),42237.64583333333)</f>
        <v>42237.64583</v>
      </c>
      <c r="C474" s="2">
        <f>IFERROR(__xludf.DUMMYFUNCTION("""COMPUTED_VALUE"""),418.15)</f>
        <v>418.15</v>
      </c>
    </row>
    <row r="475" ht="15.75" customHeight="1">
      <c r="B475" s="3">
        <f>IFERROR(__xludf.DUMMYFUNCTION("""COMPUTED_VALUE"""),42244.64583333333)</f>
        <v>42244.64583</v>
      </c>
      <c r="C475" s="2">
        <f>IFERROR(__xludf.DUMMYFUNCTION("""COMPUTED_VALUE"""),392.9)</f>
        <v>392.9</v>
      </c>
    </row>
    <row r="476" ht="15.75" customHeight="1">
      <c r="B476" s="3">
        <f>IFERROR(__xludf.DUMMYFUNCTION("""COMPUTED_VALUE"""),42251.64583333333)</f>
        <v>42251.64583</v>
      </c>
      <c r="C476" s="2">
        <f>IFERROR(__xludf.DUMMYFUNCTION("""COMPUTED_VALUE"""),389.0)</f>
        <v>389</v>
      </c>
    </row>
    <row r="477" ht="15.75" customHeight="1">
      <c r="B477" s="3">
        <f>IFERROR(__xludf.DUMMYFUNCTION("""COMPUTED_VALUE"""),42258.64583333333)</f>
        <v>42258.64583</v>
      </c>
      <c r="C477" s="2">
        <f>IFERROR(__xludf.DUMMYFUNCTION("""COMPUTED_VALUE"""),399.05)</f>
        <v>399.05</v>
      </c>
    </row>
    <row r="478" ht="15.75" customHeight="1">
      <c r="B478" s="3">
        <f>IFERROR(__xludf.DUMMYFUNCTION("""COMPUTED_VALUE"""),42265.64583333333)</f>
        <v>42265.64583</v>
      </c>
      <c r="C478" s="2">
        <f>IFERROR(__xludf.DUMMYFUNCTION("""COMPUTED_VALUE"""),406.8)</f>
        <v>406.8</v>
      </c>
    </row>
    <row r="479" ht="15.75" customHeight="1">
      <c r="B479" s="3">
        <f>IFERROR(__xludf.DUMMYFUNCTION("""COMPUTED_VALUE"""),42271.64583333333)</f>
        <v>42271.64583</v>
      </c>
      <c r="C479" s="2">
        <f>IFERROR(__xludf.DUMMYFUNCTION("""COMPUTED_VALUE"""),403.5)</f>
        <v>403.5</v>
      </c>
    </row>
    <row r="480" ht="15.75" customHeight="1">
      <c r="B480" s="3">
        <f>IFERROR(__xludf.DUMMYFUNCTION("""COMPUTED_VALUE"""),42278.64583333333)</f>
        <v>42278.64583</v>
      </c>
      <c r="C480" s="2">
        <f>IFERROR(__xludf.DUMMYFUNCTION("""COMPUTED_VALUE"""),403.0)</f>
        <v>403</v>
      </c>
    </row>
    <row r="481" ht="15.75" customHeight="1">
      <c r="B481" s="3">
        <f>IFERROR(__xludf.DUMMYFUNCTION("""COMPUTED_VALUE"""),42286.64583333333)</f>
        <v>42286.64583</v>
      </c>
      <c r="C481" s="2">
        <f>IFERROR(__xludf.DUMMYFUNCTION("""COMPUTED_VALUE"""),406.1)</f>
        <v>406.1</v>
      </c>
    </row>
    <row r="482" ht="15.75" customHeight="1">
      <c r="B482" s="3">
        <f>IFERROR(__xludf.DUMMYFUNCTION("""COMPUTED_VALUE"""),42300.64583333333)</f>
        <v>42300.64583</v>
      </c>
      <c r="C482" s="2">
        <f>IFERROR(__xludf.DUMMYFUNCTION("""COMPUTED_VALUE"""),440.65)</f>
        <v>440.65</v>
      </c>
    </row>
    <row r="483" ht="15.75" customHeight="1">
      <c r="B483" s="3">
        <f>IFERROR(__xludf.DUMMYFUNCTION("""COMPUTED_VALUE"""),42307.64583333333)</f>
        <v>42307.64583</v>
      </c>
      <c r="C483" s="2">
        <f>IFERROR(__xludf.DUMMYFUNCTION("""COMPUTED_VALUE"""),437.25)</f>
        <v>437.25</v>
      </c>
    </row>
    <row r="484" ht="15.75" customHeight="1">
      <c r="B484" s="3">
        <f>IFERROR(__xludf.DUMMYFUNCTION("""COMPUTED_VALUE"""),42314.64583333333)</f>
        <v>42314.64583</v>
      </c>
      <c r="C484" s="2">
        <f>IFERROR(__xludf.DUMMYFUNCTION("""COMPUTED_VALUE"""),417.9)</f>
        <v>417.9</v>
      </c>
    </row>
    <row r="485" ht="15.75" customHeight="1">
      <c r="B485" s="3">
        <f>IFERROR(__xludf.DUMMYFUNCTION("""COMPUTED_VALUE"""),42321.64583333333)</f>
        <v>42321.64583</v>
      </c>
      <c r="C485" s="2">
        <f>IFERROR(__xludf.DUMMYFUNCTION("""COMPUTED_VALUE"""),398.35)</f>
        <v>398.35</v>
      </c>
    </row>
    <row r="486" ht="15.75" customHeight="1">
      <c r="B486" s="3">
        <f>IFERROR(__xludf.DUMMYFUNCTION("""COMPUTED_VALUE"""),42328.64583333333)</f>
        <v>42328.64583</v>
      </c>
      <c r="C486" s="2">
        <f>IFERROR(__xludf.DUMMYFUNCTION("""COMPUTED_VALUE"""),400.45)</f>
        <v>400.45</v>
      </c>
    </row>
    <row r="487" ht="15.75" customHeight="1">
      <c r="B487" s="3">
        <f>IFERROR(__xludf.DUMMYFUNCTION("""COMPUTED_VALUE"""),42335.64583333333)</f>
        <v>42335.64583</v>
      </c>
      <c r="C487" s="2">
        <f>IFERROR(__xludf.DUMMYFUNCTION("""COMPUTED_VALUE"""),414.5)</f>
        <v>414.5</v>
      </c>
    </row>
    <row r="488" ht="15.75" customHeight="1">
      <c r="B488" s="3">
        <f>IFERROR(__xludf.DUMMYFUNCTION("""COMPUTED_VALUE"""),42342.64583333333)</f>
        <v>42342.64583</v>
      </c>
      <c r="C488" s="2">
        <f>IFERROR(__xludf.DUMMYFUNCTION("""COMPUTED_VALUE"""),418.9)</f>
        <v>418.9</v>
      </c>
    </row>
    <row r="489" ht="15.75" customHeight="1">
      <c r="B489" s="3">
        <f>IFERROR(__xludf.DUMMYFUNCTION("""COMPUTED_VALUE"""),42349.64583333333)</f>
        <v>42349.64583</v>
      </c>
      <c r="C489" s="2">
        <f>IFERROR(__xludf.DUMMYFUNCTION("""COMPUTED_VALUE"""),405.7)</f>
        <v>405.7</v>
      </c>
    </row>
    <row r="490" ht="15.75" customHeight="1">
      <c r="B490" s="3">
        <f>IFERROR(__xludf.DUMMYFUNCTION("""COMPUTED_VALUE"""),42356.64583333333)</f>
        <v>42356.64583</v>
      </c>
      <c r="C490" s="2">
        <f>IFERROR(__xludf.DUMMYFUNCTION("""COMPUTED_VALUE"""),417.1)</f>
        <v>417.1</v>
      </c>
    </row>
    <row r="491" ht="15.75" customHeight="1">
      <c r="B491" s="3">
        <f>IFERROR(__xludf.DUMMYFUNCTION("""COMPUTED_VALUE"""),42362.64583333333)</f>
        <v>42362.64583</v>
      </c>
      <c r="C491" s="2">
        <f>IFERROR(__xludf.DUMMYFUNCTION("""COMPUTED_VALUE"""),420.5)</f>
        <v>420.5</v>
      </c>
    </row>
    <row r="492" ht="15.75" customHeight="1">
      <c r="B492" s="3">
        <f>IFERROR(__xludf.DUMMYFUNCTION("""COMPUTED_VALUE"""),42370.64583333333)</f>
        <v>42370.64583</v>
      </c>
      <c r="C492" s="2">
        <f>IFERROR(__xludf.DUMMYFUNCTION("""COMPUTED_VALUE"""),439.35)</f>
        <v>439.35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IFERROR(__xludf.DUMMYFUNCTION("GOOGLEFINANCE(""NSE:ZEEL"", ""high"",DATE(2016,1,1),DATE(2017,1,1),""weekly"")"),"Date")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IFERROR(__xludf.DUMMYFUNCTION("""COMPUTED_VALUE"""),42377.64583333333)</f>
        <v>42377.64583</v>
      </c>
      <c r="C497" s="2">
        <f>IFERROR(__xludf.DUMMYFUNCTION("""COMPUTED_VALUE"""),432.35)</f>
        <v>432.35</v>
      </c>
    </row>
    <row r="498" ht="15.75" customHeight="1">
      <c r="B498" s="3">
        <f>IFERROR(__xludf.DUMMYFUNCTION("""COMPUTED_VALUE"""),42384.64583333333)</f>
        <v>42384.64583</v>
      </c>
      <c r="C498" s="2">
        <f>IFERROR(__xludf.DUMMYFUNCTION("""COMPUTED_VALUE"""),422.15)</f>
        <v>422.15</v>
      </c>
    </row>
    <row r="499" ht="15.75" customHeight="1">
      <c r="B499" s="3">
        <f>IFERROR(__xludf.DUMMYFUNCTION("""COMPUTED_VALUE"""),42391.64583333333)</f>
        <v>42391.64583</v>
      </c>
      <c r="C499" s="2">
        <f>IFERROR(__xludf.DUMMYFUNCTION("""COMPUTED_VALUE"""),401.3)</f>
        <v>401.3</v>
      </c>
    </row>
    <row r="500" ht="15.75" customHeight="1">
      <c r="B500" s="3">
        <f>IFERROR(__xludf.DUMMYFUNCTION("""COMPUTED_VALUE"""),42398.64583333333)</f>
        <v>42398.64583</v>
      </c>
      <c r="C500" s="2">
        <f>IFERROR(__xludf.DUMMYFUNCTION("""COMPUTED_VALUE"""),422.8)</f>
        <v>422.8</v>
      </c>
    </row>
    <row r="501" ht="15.75" customHeight="1">
      <c r="B501" s="3">
        <f>IFERROR(__xludf.DUMMYFUNCTION("""COMPUTED_VALUE"""),42405.64583333333)</f>
        <v>42405.64583</v>
      </c>
      <c r="C501" s="2">
        <f>IFERROR(__xludf.DUMMYFUNCTION("""COMPUTED_VALUE"""),422.6)</f>
        <v>422.6</v>
      </c>
    </row>
    <row r="502" ht="15.75" customHeight="1">
      <c r="B502" s="3">
        <f>IFERROR(__xludf.DUMMYFUNCTION("""COMPUTED_VALUE"""),42419.64583333333)</f>
        <v>42419.64583</v>
      </c>
      <c r="C502" s="2">
        <f>IFERROR(__xludf.DUMMYFUNCTION("""COMPUTED_VALUE"""),387.5)</f>
        <v>387.5</v>
      </c>
    </row>
    <row r="503" ht="15.75" customHeight="1">
      <c r="B503" s="3">
        <f>IFERROR(__xludf.DUMMYFUNCTION("""COMPUTED_VALUE"""),42426.64583333333)</f>
        <v>42426.64583</v>
      </c>
      <c r="C503" s="2">
        <f>IFERROR(__xludf.DUMMYFUNCTION("""COMPUTED_VALUE"""),395.0)</f>
        <v>395</v>
      </c>
    </row>
    <row r="504" ht="15.75" customHeight="1">
      <c r="B504" s="3">
        <f>IFERROR(__xludf.DUMMYFUNCTION("""COMPUTED_VALUE"""),42433.64583333333)</f>
        <v>42433.64583</v>
      </c>
      <c r="C504" s="2">
        <f>IFERROR(__xludf.DUMMYFUNCTION("""COMPUTED_VALUE"""),404.45)</f>
        <v>404.45</v>
      </c>
    </row>
    <row r="505" ht="15.75" customHeight="1">
      <c r="B505" s="3">
        <f>IFERROR(__xludf.DUMMYFUNCTION("""COMPUTED_VALUE"""),42440.64583333333)</f>
        <v>42440.64583</v>
      </c>
      <c r="C505" s="2">
        <f>IFERROR(__xludf.DUMMYFUNCTION("""COMPUTED_VALUE"""),401.8)</f>
        <v>401.8</v>
      </c>
    </row>
    <row r="506" ht="15.75" customHeight="1">
      <c r="B506" s="3">
        <f>IFERROR(__xludf.DUMMYFUNCTION("""COMPUTED_VALUE"""),42447.64583333333)</f>
        <v>42447.64583</v>
      </c>
      <c r="C506" s="2">
        <f>IFERROR(__xludf.DUMMYFUNCTION("""COMPUTED_VALUE"""),407.7)</f>
        <v>407.7</v>
      </c>
    </row>
    <row r="507" ht="15.75" customHeight="1">
      <c r="B507" s="3">
        <f>IFERROR(__xludf.DUMMYFUNCTION("""COMPUTED_VALUE"""),42452.64583333333)</f>
        <v>42452.64583</v>
      </c>
      <c r="C507" s="2">
        <f>IFERROR(__xludf.DUMMYFUNCTION("""COMPUTED_VALUE"""),395.45)</f>
        <v>395.45</v>
      </c>
    </row>
    <row r="508" ht="15.75" customHeight="1">
      <c r="B508" s="3">
        <f>IFERROR(__xludf.DUMMYFUNCTION("""COMPUTED_VALUE"""),42461.64583333333)</f>
        <v>42461.64583</v>
      </c>
      <c r="C508" s="2">
        <f>IFERROR(__xludf.DUMMYFUNCTION("""COMPUTED_VALUE"""),393.0)</f>
        <v>393</v>
      </c>
    </row>
    <row r="509" ht="15.75" customHeight="1">
      <c r="B509" s="3">
        <f>IFERROR(__xludf.DUMMYFUNCTION("""COMPUTED_VALUE"""),42468.64583333333)</f>
        <v>42468.64583</v>
      </c>
      <c r="C509" s="2">
        <f>IFERROR(__xludf.DUMMYFUNCTION("""COMPUTED_VALUE"""),396.25)</f>
        <v>396.25</v>
      </c>
    </row>
    <row r="510" ht="15.75" customHeight="1">
      <c r="B510" s="3">
        <f>IFERROR(__xludf.DUMMYFUNCTION("""COMPUTED_VALUE"""),42473.64583333333)</f>
        <v>42473.64583</v>
      </c>
      <c r="C510" s="2">
        <f>IFERROR(__xludf.DUMMYFUNCTION("""COMPUTED_VALUE"""),410.0)</f>
        <v>410</v>
      </c>
    </row>
    <row r="511" ht="15.75" customHeight="1">
      <c r="B511" s="3">
        <f>IFERROR(__xludf.DUMMYFUNCTION("""COMPUTED_VALUE"""),42482.64583333333)</f>
        <v>42482.64583</v>
      </c>
      <c r="C511" s="2">
        <f>IFERROR(__xludf.DUMMYFUNCTION("""COMPUTED_VALUE"""),411.75)</f>
        <v>411.75</v>
      </c>
    </row>
    <row r="512" ht="15.75" customHeight="1">
      <c r="B512" s="3">
        <f>IFERROR(__xludf.DUMMYFUNCTION("""COMPUTED_VALUE"""),42489.64583333333)</f>
        <v>42489.64583</v>
      </c>
      <c r="C512" s="2">
        <f>IFERROR(__xludf.DUMMYFUNCTION("""COMPUTED_VALUE"""),416.8)</f>
        <v>416.8</v>
      </c>
    </row>
    <row r="513" ht="15.75" customHeight="1">
      <c r="B513" s="3">
        <f>IFERROR(__xludf.DUMMYFUNCTION("""COMPUTED_VALUE"""),42496.64583333333)</f>
        <v>42496.64583</v>
      </c>
      <c r="C513" s="2">
        <f>IFERROR(__xludf.DUMMYFUNCTION("""COMPUTED_VALUE"""),422.9)</f>
        <v>422.9</v>
      </c>
    </row>
    <row r="514" ht="15.75" customHeight="1">
      <c r="B514" s="3">
        <f>IFERROR(__xludf.DUMMYFUNCTION("""COMPUTED_VALUE"""),42503.64583333333)</f>
        <v>42503.64583</v>
      </c>
      <c r="C514" s="2">
        <f>IFERROR(__xludf.DUMMYFUNCTION("""COMPUTED_VALUE"""),454.15)</f>
        <v>454.15</v>
      </c>
    </row>
    <row r="515" ht="15.75" customHeight="1">
      <c r="B515" s="3">
        <f>IFERROR(__xludf.DUMMYFUNCTION("""COMPUTED_VALUE"""),42510.64583333333)</f>
        <v>42510.64583</v>
      </c>
      <c r="C515" s="2">
        <f>IFERROR(__xludf.DUMMYFUNCTION("""COMPUTED_VALUE"""),458.95)</f>
        <v>458.95</v>
      </c>
    </row>
    <row r="516" ht="15.75" customHeight="1">
      <c r="B516" s="3">
        <f>IFERROR(__xludf.DUMMYFUNCTION("""COMPUTED_VALUE"""),42517.64583333333)</f>
        <v>42517.64583</v>
      </c>
      <c r="C516" s="2">
        <f>IFERROR(__xludf.DUMMYFUNCTION("""COMPUTED_VALUE"""),455.0)</f>
        <v>455</v>
      </c>
    </row>
    <row r="517" ht="15.75" customHeight="1">
      <c r="B517" s="3">
        <f>IFERROR(__xludf.DUMMYFUNCTION("""COMPUTED_VALUE"""),42524.64583333333)</f>
        <v>42524.64583</v>
      </c>
      <c r="C517" s="2">
        <f>IFERROR(__xludf.DUMMYFUNCTION("""COMPUTED_VALUE"""),461.8)</f>
        <v>461.8</v>
      </c>
    </row>
    <row r="518" ht="15.75" customHeight="1">
      <c r="B518" s="3">
        <f>IFERROR(__xludf.DUMMYFUNCTION("""COMPUTED_VALUE"""),42531.64583333333)</f>
        <v>42531.64583</v>
      </c>
      <c r="C518" s="2">
        <f>IFERROR(__xludf.DUMMYFUNCTION("""COMPUTED_VALUE"""),466.0)</f>
        <v>466</v>
      </c>
    </row>
    <row r="519" ht="15.75" customHeight="1">
      <c r="B519" s="3">
        <f>IFERROR(__xludf.DUMMYFUNCTION("""COMPUTED_VALUE"""),42538.64583333333)</f>
        <v>42538.64583</v>
      </c>
      <c r="C519" s="2">
        <f>IFERROR(__xludf.DUMMYFUNCTION("""COMPUTED_VALUE"""),466.4)</f>
        <v>466.4</v>
      </c>
    </row>
    <row r="520" ht="15.75" customHeight="1">
      <c r="B520" s="3">
        <f>IFERROR(__xludf.DUMMYFUNCTION("""COMPUTED_VALUE"""),42545.64583333333)</f>
        <v>42545.64583</v>
      </c>
      <c r="C520" s="2">
        <f>IFERROR(__xludf.DUMMYFUNCTION("""COMPUTED_VALUE"""),454.7)</f>
        <v>454.7</v>
      </c>
    </row>
    <row r="521" ht="15.75" customHeight="1">
      <c r="B521" s="3">
        <f>IFERROR(__xludf.DUMMYFUNCTION("""COMPUTED_VALUE"""),42552.64583333333)</f>
        <v>42552.64583</v>
      </c>
      <c r="C521" s="2">
        <f>IFERROR(__xludf.DUMMYFUNCTION("""COMPUTED_VALUE"""),461.5)</f>
        <v>461.5</v>
      </c>
    </row>
    <row r="522" ht="15.75" customHeight="1">
      <c r="B522" s="3">
        <f>IFERROR(__xludf.DUMMYFUNCTION("""COMPUTED_VALUE"""),42559.64583333333)</f>
        <v>42559.64583</v>
      </c>
      <c r="C522" s="2">
        <f>IFERROR(__xludf.DUMMYFUNCTION("""COMPUTED_VALUE"""),469.8)</f>
        <v>469.8</v>
      </c>
    </row>
    <row r="523" ht="15.75" customHeight="1">
      <c r="B523" s="3">
        <f>IFERROR(__xludf.DUMMYFUNCTION("""COMPUTED_VALUE"""),42566.64583333333)</f>
        <v>42566.64583</v>
      </c>
      <c r="C523" s="2">
        <f>IFERROR(__xludf.DUMMYFUNCTION("""COMPUTED_VALUE"""),474.0)</f>
        <v>474</v>
      </c>
    </row>
    <row r="524" ht="15.75" customHeight="1">
      <c r="B524" s="3">
        <f>IFERROR(__xludf.DUMMYFUNCTION("""COMPUTED_VALUE"""),42573.64583333333)</f>
        <v>42573.64583</v>
      </c>
      <c r="C524" s="2">
        <f>IFERROR(__xludf.DUMMYFUNCTION("""COMPUTED_VALUE"""),474.8)</f>
        <v>474.8</v>
      </c>
    </row>
    <row r="525" ht="15.75" customHeight="1">
      <c r="B525" s="3">
        <f>IFERROR(__xludf.DUMMYFUNCTION("""COMPUTED_VALUE"""),42580.64583333333)</f>
        <v>42580.64583</v>
      </c>
      <c r="C525" s="2">
        <f>IFERROR(__xludf.DUMMYFUNCTION("""COMPUTED_VALUE"""),500.35)</f>
        <v>500.35</v>
      </c>
    </row>
    <row r="526" ht="15.75" customHeight="1">
      <c r="B526" s="3">
        <f>IFERROR(__xludf.DUMMYFUNCTION("""COMPUTED_VALUE"""),42587.64583333333)</f>
        <v>42587.64583</v>
      </c>
      <c r="C526" s="2">
        <f>IFERROR(__xludf.DUMMYFUNCTION("""COMPUTED_VALUE"""),509.35)</f>
        <v>509.35</v>
      </c>
    </row>
    <row r="527" ht="15.75" customHeight="1">
      <c r="B527" s="3">
        <f>IFERROR(__xludf.DUMMYFUNCTION("""COMPUTED_VALUE"""),42594.64583333333)</f>
        <v>42594.64583</v>
      </c>
      <c r="C527" s="2">
        <f>IFERROR(__xludf.DUMMYFUNCTION("""COMPUTED_VALUE"""),517.8)</f>
        <v>517.8</v>
      </c>
    </row>
    <row r="528" ht="15.75" customHeight="1">
      <c r="B528" s="3">
        <f>IFERROR(__xludf.DUMMYFUNCTION("""COMPUTED_VALUE"""),42601.64583333333)</f>
        <v>42601.64583</v>
      </c>
      <c r="C528" s="2">
        <f>IFERROR(__xludf.DUMMYFUNCTION("""COMPUTED_VALUE"""),507.2)</f>
        <v>507.2</v>
      </c>
    </row>
    <row r="529" ht="15.75" customHeight="1">
      <c r="B529" s="3">
        <f>IFERROR(__xludf.DUMMYFUNCTION("""COMPUTED_VALUE"""),42608.64583333333)</f>
        <v>42608.64583</v>
      </c>
      <c r="C529" s="2">
        <f>IFERROR(__xludf.DUMMYFUNCTION("""COMPUTED_VALUE"""),525.6)</f>
        <v>525.6</v>
      </c>
    </row>
    <row r="530" ht="15.75" customHeight="1">
      <c r="B530" s="3">
        <f>IFERROR(__xludf.DUMMYFUNCTION("""COMPUTED_VALUE"""),42615.64583333333)</f>
        <v>42615.64583</v>
      </c>
      <c r="C530" s="2">
        <f>IFERROR(__xludf.DUMMYFUNCTION("""COMPUTED_VALUE"""),544.85)</f>
        <v>544.85</v>
      </c>
    </row>
    <row r="531" ht="15.75" customHeight="1">
      <c r="B531" s="3">
        <f>IFERROR(__xludf.DUMMYFUNCTION("""COMPUTED_VALUE"""),42622.64583333333)</f>
        <v>42622.64583</v>
      </c>
      <c r="C531" s="2">
        <f>IFERROR(__xludf.DUMMYFUNCTION("""COMPUTED_VALUE"""),542.4)</f>
        <v>542.4</v>
      </c>
    </row>
    <row r="532" ht="15.75" customHeight="1">
      <c r="B532" s="3">
        <f>IFERROR(__xludf.DUMMYFUNCTION("""COMPUTED_VALUE"""),42629.64583333333)</f>
        <v>42629.64583</v>
      </c>
      <c r="C532" s="2">
        <f>IFERROR(__xludf.DUMMYFUNCTION("""COMPUTED_VALUE"""),536.45)</f>
        <v>536.45</v>
      </c>
    </row>
    <row r="533" ht="15.75" customHeight="1">
      <c r="B533" s="3">
        <f>IFERROR(__xludf.DUMMYFUNCTION("""COMPUTED_VALUE"""),42636.64583333333)</f>
        <v>42636.64583</v>
      </c>
      <c r="C533" s="2">
        <f>IFERROR(__xludf.DUMMYFUNCTION("""COMPUTED_VALUE"""),535.0)</f>
        <v>535</v>
      </c>
    </row>
    <row r="534" ht="15.75" customHeight="1">
      <c r="B534" s="3">
        <f>IFERROR(__xludf.DUMMYFUNCTION("""COMPUTED_VALUE"""),42643.64583333333)</f>
        <v>42643.64583</v>
      </c>
      <c r="C534" s="2">
        <f>IFERROR(__xludf.DUMMYFUNCTION("""COMPUTED_VALUE"""),558.75)</f>
        <v>558.75</v>
      </c>
    </row>
    <row r="535" ht="15.75" customHeight="1">
      <c r="B535" s="3">
        <f>IFERROR(__xludf.DUMMYFUNCTION("""COMPUTED_VALUE"""),42650.64583333333)</f>
        <v>42650.64583</v>
      </c>
      <c r="C535" s="2">
        <f>IFERROR(__xludf.DUMMYFUNCTION("""COMPUTED_VALUE"""),589.9)</f>
        <v>589.9</v>
      </c>
    </row>
    <row r="536" ht="15.75" customHeight="1">
      <c r="B536" s="3">
        <f>IFERROR(__xludf.DUMMYFUNCTION("""COMPUTED_VALUE"""),42657.64583333333)</f>
        <v>42657.64583</v>
      </c>
      <c r="C536" s="2">
        <f>IFERROR(__xludf.DUMMYFUNCTION("""COMPUTED_VALUE"""),575.0)</f>
        <v>575</v>
      </c>
    </row>
    <row r="537" ht="15.75" customHeight="1">
      <c r="B537" s="3">
        <f>IFERROR(__xludf.DUMMYFUNCTION("""COMPUTED_VALUE"""),42664.64583333333)</f>
        <v>42664.64583</v>
      </c>
      <c r="C537" s="2">
        <f>IFERROR(__xludf.DUMMYFUNCTION("""COMPUTED_VALUE"""),531.0)</f>
        <v>531</v>
      </c>
    </row>
    <row r="538" ht="15.75" customHeight="1">
      <c r="B538" s="3">
        <f>IFERROR(__xludf.DUMMYFUNCTION("""COMPUTED_VALUE"""),42671.64583333333)</f>
        <v>42671.64583</v>
      </c>
      <c r="C538" s="2">
        <f>IFERROR(__xludf.DUMMYFUNCTION("""COMPUTED_VALUE"""),525.0)</f>
        <v>525</v>
      </c>
    </row>
    <row r="539" ht="15.75" customHeight="1">
      <c r="B539" s="3">
        <f>IFERROR(__xludf.DUMMYFUNCTION("""COMPUTED_VALUE"""),42678.64583333333)</f>
        <v>42678.64583</v>
      </c>
      <c r="C539" s="2">
        <f>IFERROR(__xludf.DUMMYFUNCTION("""COMPUTED_VALUE"""),524.0)</f>
        <v>524</v>
      </c>
    </row>
    <row r="540" ht="15.75" customHeight="1">
      <c r="B540" s="3">
        <f>IFERROR(__xludf.DUMMYFUNCTION("""COMPUTED_VALUE"""),42685.64583333333)</f>
        <v>42685.64583</v>
      </c>
      <c r="C540" s="2">
        <f>IFERROR(__xludf.DUMMYFUNCTION("""COMPUTED_VALUE"""),521.75)</f>
        <v>521.75</v>
      </c>
    </row>
    <row r="541" ht="15.75" customHeight="1">
      <c r="B541" s="3">
        <f>IFERROR(__xludf.DUMMYFUNCTION("""COMPUTED_VALUE"""),42692.64583333333)</f>
        <v>42692.64583</v>
      </c>
      <c r="C541" s="2">
        <f>IFERROR(__xludf.DUMMYFUNCTION("""COMPUTED_VALUE"""),490.0)</f>
        <v>490</v>
      </c>
    </row>
    <row r="542" ht="15.75" customHeight="1">
      <c r="B542" s="3">
        <f>IFERROR(__xludf.DUMMYFUNCTION("""COMPUTED_VALUE"""),42699.64583333333)</f>
        <v>42699.64583</v>
      </c>
      <c r="C542" s="2">
        <f>IFERROR(__xludf.DUMMYFUNCTION("""COMPUTED_VALUE"""),463.2)</f>
        <v>463.2</v>
      </c>
    </row>
    <row r="543" ht="15.75" customHeight="1">
      <c r="B543" s="3">
        <f>IFERROR(__xludf.DUMMYFUNCTION("""COMPUTED_VALUE"""),42706.64583333333)</f>
        <v>42706.64583</v>
      </c>
      <c r="C543" s="2">
        <f>IFERROR(__xludf.DUMMYFUNCTION("""COMPUTED_VALUE"""),465.95)</f>
        <v>465.95</v>
      </c>
    </row>
    <row r="544" ht="15.75" customHeight="1">
      <c r="B544" s="3">
        <f>IFERROR(__xludf.DUMMYFUNCTION("""COMPUTED_VALUE"""),42713.64583333333)</f>
        <v>42713.64583</v>
      </c>
      <c r="C544" s="2">
        <f>IFERROR(__xludf.DUMMYFUNCTION("""COMPUTED_VALUE"""),464.0)</f>
        <v>464</v>
      </c>
    </row>
    <row r="545" ht="15.75" customHeight="1">
      <c r="B545" s="3">
        <f>IFERROR(__xludf.DUMMYFUNCTION("""COMPUTED_VALUE"""),42720.64583333333)</f>
        <v>42720.64583</v>
      </c>
      <c r="C545" s="2">
        <f>IFERROR(__xludf.DUMMYFUNCTION("""COMPUTED_VALUE"""),467.9)</f>
        <v>467.9</v>
      </c>
    </row>
    <row r="546" ht="15.75" customHeight="1">
      <c r="B546" s="3">
        <f>IFERROR(__xludf.DUMMYFUNCTION("""COMPUTED_VALUE"""),42727.64583333333)</f>
        <v>42727.64583</v>
      </c>
      <c r="C546" s="2">
        <f>IFERROR(__xludf.DUMMYFUNCTION("""COMPUTED_VALUE"""),450.0)</f>
        <v>450</v>
      </c>
    </row>
    <row r="547" ht="15.75" customHeight="1">
      <c r="B547" s="3">
        <f>IFERROR(__xludf.DUMMYFUNCTION("""COMPUTED_VALUE"""),42734.64583333333)</f>
        <v>42734.64583</v>
      </c>
      <c r="C547" s="2">
        <f>IFERROR(__xludf.DUMMYFUNCTION("""COMPUTED_VALUE"""),455.2)</f>
        <v>455.2</v>
      </c>
    </row>
    <row r="548" ht="15.75" customHeight="1"/>
    <row r="549" ht="15.75" customHeight="1"/>
    <row r="550" ht="15.75" customHeight="1"/>
    <row r="551" ht="15.75" customHeight="1">
      <c r="B551" s="2" t="str">
        <f>IFERROR(__xludf.DUMMYFUNCTION("GOOGLEFINANCE(""NSE:ZEEL"", ""high"",DATE(2017,1,1),DATE(2018,1,1),""weekly"")"),"Date")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IFERROR(__xludf.DUMMYFUNCTION("""COMPUTED_VALUE"""),42741.64583333333)</f>
        <v>42741.64583</v>
      </c>
      <c r="C552" s="2">
        <f>IFERROR(__xludf.DUMMYFUNCTION("""COMPUTED_VALUE"""),474.9)</f>
        <v>474.9</v>
      </c>
    </row>
    <row r="553" ht="15.75" customHeight="1">
      <c r="B553" s="3">
        <f>IFERROR(__xludf.DUMMYFUNCTION("""COMPUTED_VALUE"""),42748.64583333333)</f>
        <v>42748.64583</v>
      </c>
      <c r="C553" s="2">
        <f>IFERROR(__xludf.DUMMYFUNCTION("""COMPUTED_VALUE"""),485.5)</f>
        <v>485.5</v>
      </c>
    </row>
    <row r="554" ht="15.75" customHeight="1">
      <c r="B554" s="3">
        <f>IFERROR(__xludf.DUMMYFUNCTION("""COMPUTED_VALUE"""),42755.64583333333)</f>
        <v>42755.64583</v>
      </c>
      <c r="C554" s="2">
        <f>IFERROR(__xludf.DUMMYFUNCTION("""COMPUTED_VALUE"""),488.3)</f>
        <v>488.3</v>
      </c>
    </row>
    <row r="555" ht="15.75" customHeight="1">
      <c r="B555" s="3">
        <f>IFERROR(__xludf.DUMMYFUNCTION("""COMPUTED_VALUE"""),42762.64583333333)</f>
        <v>42762.64583</v>
      </c>
      <c r="C555" s="2">
        <f>IFERROR(__xludf.DUMMYFUNCTION("""COMPUTED_VALUE"""),511.0)</f>
        <v>511</v>
      </c>
    </row>
    <row r="556" ht="15.75" customHeight="1">
      <c r="B556" s="3">
        <f>IFERROR(__xludf.DUMMYFUNCTION("""COMPUTED_VALUE"""),42769.64583333333)</f>
        <v>42769.64583</v>
      </c>
      <c r="C556" s="2">
        <f>IFERROR(__xludf.DUMMYFUNCTION("""COMPUTED_VALUE"""),514.15)</f>
        <v>514.15</v>
      </c>
    </row>
    <row r="557" ht="15.75" customHeight="1">
      <c r="B557" s="3">
        <f>IFERROR(__xludf.DUMMYFUNCTION("""COMPUTED_VALUE"""),42776.64583333333)</f>
        <v>42776.64583</v>
      </c>
      <c r="C557" s="2">
        <f>IFERROR(__xludf.DUMMYFUNCTION("""COMPUTED_VALUE"""),524.5)</f>
        <v>524.5</v>
      </c>
    </row>
    <row r="558" ht="15.75" customHeight="1">
      <c r="B558" s="3">
        <f>IFERROR(__xludf.DUMMYFUNCTION("""COMPUTED_VALUE"""),42783.64583333333)</f>
        <v>42783.64583</v>
      </c>
      <c r="C558" s="2">
        <f>IFERROR(__xludf.DUMMYFUNCTION("""COMPUTED_VALUE"""),526.5)</f>
        <v>526.5</v>
      </c>
    </row>
    <row r="559" ht="15.75" customHeight="1">
      <c r="B559" s="3">
        <f>IFERROR(__xludf.DUMMYFUNCTION("""COMPUTED_VALUE"""),42789.64583333333)</f>
        <v>42789.64583</v>
      </c>
      <c r="C559" s="2">
        <f>IFERROR(__xludf.DUMMYFUNCTION("""COMPUTED_VALUE"""),532.85)</f>
        <v>532.85</v>
      </c>
    </row>
    <row r="560" ht="15.75" customHeight="1">
      <c r="B560" s="3">
        <f>IFERROR(__xludf.DUMMYFUNCTION("""COMPUTED_VALUE"""),42797.64583333333)</f>
        <v>42797.64583</v>
      </c>
      <c r="C560" s="2">
        <f>IFERROR(__xludf.DUMMYFUNCTION("""COMPUTED_VALUE"""),516.05)</f>
        <v>516.05</v>
      </c>
    </row>
    <row r="561" ht="15.75" customHeight="1">
      <c r="B561" s="3">
        <f>IFERROR(__xludf.DUMMYFUNCTION("""COMPUTED_VALUE"""),42804.64583333333)</f>
        <v>42804.64583</v>
      </c>
      <c r="C561" s="2">
        <f>IFERROR(__xludf.DUMMYFUNCTION("""COMPUTED_VALUE"""),522.25)</f>
        <v>522.25</v>
      </c>
    </row>
    <row r="562" ht="15.75" customHeight="1">
      <c r="B562" s="3">
        <f>IFERROR(__xludf.DUMMYFUNCTION("""COMPUTED_VALUE"""),42811.64583333333)</f>
        <v>42811.64583</v>
      </c>
      <c r="C562" s="2">
        <f>IFERROR(__xludf.DUMMYFUNCTION("""COMPUTED_VALUE"""),528.15)</f>
        <v>528.15</v>
      </c>
    </row>
    <row r="563" ht="15.75" customHeight="1">
      <c r="B563" s="3">
        <f>IFERROR(__xludf.DUMMYFUNCTION("""COMPUTED_VALUE"""),42818.64583333333)</f>
        <v>42818.64583</v>
      </c>
      <c r="C563" s="2">
        <f>IFERROR(__xludf.DUMMYFUNCTION("""COMPUTED_VALUE"""),526.65)</f>
        <v>526.65</v>
      </c>
    </row>
    <row r="564" ht="15.75" customHeight="1">
      <c r="B564" s="3">
        <f>IFERROR(__xludf.DUMMYFUNCTION("""COMPUTED_VALUE"""),42825.64583333333)</f>
        <v>42825.64583</v>
      </c>
      <c r="C564" s="2">
        <f>IFERROR(__xludf.DUMMYFUNCTION("""COMPUTED_VALUE"""),541.0)</f>
        <v>541</v>
      </c>
    </row>
    <row r="565" ht="15.75" customHeight="1">
      <c r="B565" s="3">
        <f>IFERROR(__xludf.DUMMYFUNCTION("""COMPUTED_VALUE"""),42832.64583333333)</f>
        <v>42832.64583</v>
      </c>
      <c r="C565" s="2">
        <f>IFERROR(__xludf.DUMMYFUNCTION("""COMPUTED_VALUE"""),554.85)</f>
        <v>554.85</v>
      </c>
    </row>
    <row r="566" ht="15.75" customHeight="1">
      <c r="B566" s="3">
        <f>IFERROR(__xludf.DUMMYFUNCTION("""COMPUTED_VALUE"""),42838.64583333333)</f>
        <v>42838.64583</v>
      </c>
      <c r="C566" s="2">
        <f>IFERROR(__xludf.DUMMYFUNCTION("""COMPUTED_VALUE"""),555.0)</f>
        <v>555</v>
      </c>
    </row>
    <row r="567" ht="15.75" customHeight="1">
      <c r="B567" s="3">
        <f>IFERROR(__xludf.DUMMYFUNCTION("""COMPUTED_VALUE"""),42846.64583333333)</f>
        <v>42846.64583</v>
      </c>
      <c r="C567" s="2">
        <f>IFERROR(__xludf.DUMMYFUNCTION("""COMPUTED_VALUE"""),537.6)</f>
        <v>537.6</v>
      </c>
    </row>
    <row r="568" ht="15.75" customHeight="1">
      <c r="B568" s="3">
        <f>IFERROR(__xludf.DUMMYFUNCTION("""COMPUTED_VALUE"""),42853.64583333333)</f>
        <v>42853.64583</v>
      </c>
      <c r="C568" s="2">
        <f>IFERROR(__xludf.DUMMYFUNCTION("""COMPUTED_VALUE"""),536.25)</f>
        <v>536.25</v>
      </c>
    </row>
    <row r="569" ht="15.75" customHeight="1">
      <c r="B569" s="3">
        <f>IFERROR(__xludf.DUMMYFUNCTION("""COMPUTED_VALUE"""),42860.64583333333)</f>
        <v>42860.64583</v>
      </c>
      <c r="C569" s="2">
        <f>IFERROR(__xludf.DUMMYFUNCTION("""COMPUTED_VALUE"""),538.0)</f>
        <v>538</v>
      </c>
    </row>
    <row r="570" ht="15.75" customHeight="1">
      <c r="B570" s="3">
        <f>IFERROR(__xludf.DUMMYFUNCTION("""COMPUTED_VALUE"""),42867.64583333333)</f>
        <v>42867.64583</v>
      </c>
      <c r="C570" s="2">
        <f>IFERROR(__xludf.DUMMYFUNCTION("""COMPUTED_VALUE"""),548.25)</f>
        <v>548.25</v>
      </c>
    </row>
    <row r="571" ht="15.75" customHeight="1">
      <c r="B571" s="3">
        <f>IFERROR(__xludf.DUMMYFUNCTION("""COMPUTED_VALUE"""),42874.64583333333)</f>
        <v>42874.64583</v>
      </c>
      <c r="C571" s="2">
        <f>IFERROR(__xludf.DUMMYFUNCTION("""COMPUTED_VALUE"""),531.6)</f>
        <v>531.6</v>
      </c>
    </row>
    <row r="572" ht="15.75" customHeight="1">
      <c r="B572" s="3">
        <f>IFERROR(__xludf.DUMMYFUNCTION("""COMPUTED_VALUE"""),42881.64583333333)</f>
        <v>42881.64583</v>
      </c>
      <c r="C572" s="2">
        <f>IFERROR(__xludf.DUMMYFUNCTION("""COMPUTED_VALUE"""),523.9)</f>
        <v>523.9</v>
      </c>
    </row>
    <row r="573" ht="15.75" customHeight="1">
      <c r="B573" s="3">
        <f>IFERROR(__xludf.DUMMYFUNCTION("""COMPUTED_VALUE"""),42888.64583333333)</f>
        <v>42888.64583</v>
      </c>
      <c r="C573" s="2">
        <f>IFERROR(__xludf.DUMMYFUNCTION("""COMPUTED_VALUE"""),528.9)</f>
        <v>528.9</v>
      </c>
    </row>
    <row r="574" ht="15.75" customHeight="1">
      <c r="B574" s="3">
        <f>IFERROR(__xludf.DUMMYFUNCTION("""COMPUTED_VALUE"""),42895.64583333333)</f>
        <v>42895.64583</v>
      </c>
      <c r="C574" s="2">
        <f>IFERROR(__xludf.DUMMYFUNCTION("""COMPUTED_VALUE"""),529.4)</f>
        <v>529.4</v>
      </c>
    </row>
    <row r="575" ht="15.75" customHeight="1">
      <c r="B575" s="3">
        <f>IFERROR(__xludf.DUMMYFUNCTION("""COMPUTED_VALUE"""),42902.64583333333)</f>
        <v>42902.64583</v>
      </c>
      <c r="C575" s="2">
        <f>IFERROR(__xludf.DUMMYFUNCTION("""COMPUTED_VALUE"""),525.0)</f>
        <v>525</v>
      </c>
    </row>
    <row r="576" ht="15.75" customHeight="1">
      <c r="B576" s="3">
        <f>IFERROR(__xludf.DUMMYFUNCTION("""COMPUTED_VALUE"""),42909.64583333333)</f>
        <v>42909.64583</v>
      </c>
      <c r="C576" s="2">
        <f>IFERROR(__xludf.DUMMYFUNCTION("""COMPUTED_VALUE"""),516.9)</f>
        <v>516.9</v>
      </c>
    </row>
    <row r="577" ht="15.75" customHeight="1">
      <c r="B577" s="3">
        <f>IFERROR(__xludf.DUMMYFUNCTION("""COMPUTED_VALUE"""),42916.64583333333)</f>
        <v>42916.64583</v>
      </c>
      <c r="C577" s="2">
        <f>IFERROR(__xludf.DUMMYFUNCTION("""COMPUTED_VALUE"""),511.5)</f>
        <v>511.5</v>
      </c>
    </row>
    <row r="578" ht="15.75" customHeight="1">
      <c r="B578" s="3">
        <f>IFERROR(__xludf.DUMMYFUNCTION("""COMPUTED_VALUE"""),42923.64583333333)</f>
        <v>42923.64583</v>
      </c>
      <c r="C578" s="2">
        <f>IFERROR(__xludf.DUMMYFUNCTION("""COMPUTED_VALUE"""),508.75)</f>
        <v>508.75</v>
      </c>
    </row>
    <row r="579" ht="15.75" customHeight="1">
      <c r="B579" s="3">
        <f>IFERROR(__xludf.DUMMYFUNCTION("""COMPUTED_VALUE"""),42930.64583333333)</f>
        <v>42930.64583</v>
      </c>
      <c r="C579" s="2">
        <f>IFERROR(__xludf.DUMMYFUNCTION("""COMPUTED_VALUE"""),519.15)</f>
        <v>519.15</v>
      </c>
    </row>
    <row r="580" ht="15.75" customHeight="1">
      <c r="B580" s="3">
        <f>IFERROR(__xludf.DUMMYFUNCTION("""COMPUTED_VALUE"""),42937.64583333333)</f>
        <v>42937.64583</v>
      </c>
      <c r="C580" s="2">
        <f>IFERROR(__xludf.DUMMYFUNCTION("""COMPUTED_VALUE"""),557.65)</f>
        <v>557.65</v>
      </c>
    </row>
    <row r="581" ht="15.75" customHeight="1">
      <c r="B581" s="3">
        <f>IFERROR(__xludf.DUMMYFUNCTION("""COMPUTED_VALUE"""),42944.64583333333)</f>
        <v>42944.64583</v>
      </c>
      <c r="C581" s="2">
        <f>IFERROR(__xludf.DUMMYFUNCTION("""COMPUTED_VALUE"""),560.0)</f>
        <v>560</v>
      </c>
    </row>
    <row r="582" ht="15.75" customHeight="1">
      <c r="B582" s="3">
        <f>IFERROR(__xludf.DUMMYFUNCTION("""COMPUTED_VALUE"""),42951.64583333333)</f>
        <v>42951.64583</v>
      </c>
      <c r="C582" s="2">
        <f>IFERROR(__xludf.DUMMYFUNCTION("""COMPUTED_VALUE"""),550.5)</f>
        <v>550.5</v>
      </c>
    </row>
    <row r="583" ht="15.75" customHeight="1">
      <c r="B583" s="3">
        <f>IFERROR(__xludf.DUMMYFUNCTION("""COMPUTED_VALUE"""),42958.64583333333)</f>
        <v>42958.64583</v>
      </c>
      <c r="C583" s="2">
        <f>IFERROR(__xludf.DUMMYFUNCTION("""COMPUTED_VALUE"""),545.3)</f>
        <v>545.3</v>
      </c>
    </row>
    <row r="584" ht="15.75" customHeight="1">
      <c r="B584" s="3">
        <f>IFERROR(__xludf.DUMMYFUNCTION("""COMPUTED_VALUE"""),42965.64583333333)</f>
        <v>42965.64583</v>
      </c>
      <c r="C584" s="2">
        <f>IFERROR(__xludf.DUMMYFUNCTION("""COMPUTED_VALUE"""),529.9)</f>
        <v>529.9</v>
      </c>
    </row>
    <row r="585" ht="15.75" customHeight="1">
      <c r="B585" s="3">
        <f>IFERROR(__xludf.DUMMYFUNCTION("""COMPUTED_VALUE"""),42971.64583333333)</f>
        <v>42971.64583</v>
      </c>
      <c r="C585" s="2">
        <f>IFERROR(__xludf.DUMMYFUNCTION("""COMPUTED_VALUE"""),519.5)</f>
        <v>519.5</v>
      </c>
    </row>
    <row r="586" ht="15.75" customHeight="1">
      <c r="B586" s="3">
        <f>IFERROR(__xludf.DUMMYFUNCTION("""COMPUTED_VALUE"""),42979.64583333333)</f>
        <v>42979.64583</v>
      </c>
      <c r="C586" s="2">
        <f>IFERROR(__xludf.DUMMYFUNCTION("""COMPUTED_VALUE"""),527.0)</f>
        <v>527</v>
      </c>
    </row>
    <row r="587" ht="15.75" customHeight="1">
      <c r="B587" s="3">
        <f>IFERROR(__xludf.DUMMYFUNCTION("""COMPUTED_VALUE"""),42986.64583333333)</f>
        <v>42986.64583</v>
      </c>
      <c r="C587" s="2">
        <f>IFERROR(__xludf.DUMMYFUNCTION("""COMPUTED_VALUE"""),526.3)</f>
        <v>526.3</v>
      </c>
    </row>
    <row r="588" ht="15.75" customHeight="1">
      <c r="B588" s="3">
        <f>IFERROR(__xludf.DUMMYFUNCTION("""COMPUTED_VALUE"""),42993.64583333333)</f>
        <v>42993.64583</v>
      </c>
      <c r="C588" s="2">
        <f>IFERROR(__xludf.DUMMYFUNCTION("""COMPUTED_VALUE"""),536.9)</f>
        <v>536.9</v>
      </c>
    </row>
    <row r="589" ht="15.75" customHeight="1">
      <c r="B589" s="3">
        <f>IFERROR(__xludf.DUMMYFUNCTION("""COMPUTED_VALUE"""),43000.64583333333)</f>
        <v>43000.64583</v>
      </c>
      <c r="C589" s="2">
        <f>IFERROR(__xludf.DUMMYFUNCTION("""COMPUTED_VALUE"""),551.05)</f>
        <v>551.05</v>
      </c>
    </row>
    <row r="590" ht="15.75" customHeight="1">
      <c r="B590" s="3">
        <f>IFERROR(__xludf.DUMMYFUNCTION("""COMPUTED_VALUE"""),43007.64583333333)</f>
        <v>43007.64583</v>
      </c>
      <c r="C590" s="2">
        <f>IFERROR(__xludf.DUMMYFUNCTION("""COMPUTED_VALUE"""),529.65)</f>
        <v>529.65</v>
      </c>
    </row>
    <row r="591" ht="15.75" customHeight="1">
      <c r="B591" s="3">
        <f>IFERROR(__xludf.DUMMYFUNCTION("""COMPUTED_VALUE"""),43014.64583333333)</f>
        <v>43014.64583</v>
      </c>
      <c r="C591" s="2">
        <f>IFERROR(__xludf.DUMMYFUNCTION("""COMPUTED_VALUE"""),524.5)</f>
        <v>524.5</v>
      </c>
    </row>
    <row r="592" ht="15.75" customHeight="1">
      <c r="B592" s="3">
        <f>IFERROR(__xludf.DUMMYFUNCTION("""COMPUTED_VALUE"""),43021.64583333333)</f>
        <v>43021.64583</v>
      </c>
      <c r="C592" s="2">
        <f>IFERROR(__xludf.DUMMYFUNCTION("""COMPUTED_VALUE"""),531.45)</f>
        <v>531.45</v>
      </c>
    </row>
    <row r="593" ht="15.75" customHeight="1">
      <c r="B593" s="3">
        <f>IFERROR(__xludf.DUMMYFUNCTION("""COMPUTED_VALUE"""),43027.83333333333)</f>
        <v>43027.83333</v>
      </c>
      <c r="C593" s="2">
        <f>IFERROR(__xludf.DUMMYFUNCTION("""COMPUTED_VALUE"""),515.3)</f>
        <v>515.3</v>
      </c>
    </row>
    <row r="594" ht="15.75" customHeight="1">
      <c r="B594" s="3">
        <f>IFERROR(__xludf.DUMMYFUNCTION("""COMPUTED_VALUE"""),43035.64583333333)</f>
        <v>43035.64583</v>
      </c>
      <c r="C594" s="2">
        <f>IFERROR(__xludf.DUMMYFUNCTION("""COMPUTED_VALUE"""),543.75)</f>
        <v>543.75</v>
      </c>
    </row>
    <row r="595" ht="15.75" customHeight="1">
      <c r="B595" s="3">
        <f>IFERROR(__xludf.DUMMYFUNCTION("""COMPUTED_VALUE"""),43042.64583333333)</f>
        <v>43042.64583</v>
      </c>
      <c r="C595" s="2">
        <f>IFERROR(__xludf.DUMMYFUNCTION("""COMPUTED_VALUE"""),550.75)</f>
        <v>550.75</v>
      </c>
    </row>
    <row r="596" ht="15.75" customHeight="1">
      <c r="B596" s="3">
        <f>IFERROR(__xludf.DUMMYFUNCTION("""COMPUTED_VALUE"""),43049.64583333333)</f>
        <v>43049.64583</v>
      </c>
      <c r="C596" s="2">
        <f>IFERROR(__xludf.DUMMYFUNCTION("""COMPUTED_VALUE"""),546.7)</f>
        <v>546.7</v>
      </c>
    </row>
    <row r="597" ht="15.75" customHeight="1">
      <c r="B597" s="3">
        <f>IFERROR(__xludf.DUMMYFUNCTION("""COMPUTED_VALUE"""),43056.64583333333)</f>
        <v>43056.64583</v>
      </c>
      <c r="C597" s="2">
        <f>IFERROR(__xludf.DUMMYFUNCTION("""COMPUTED_VALUE"""),547.6)</f>
        <v>547.6</v>
      </c>
    </row>
    <row r="598" ht="15.75" customHeight="1">
      <c r="B598" s="3">
        <f>IFERROR(__xludf.DUMMYFUNCTION("""COMPUTED_VALUE"""),43063.64583333333)</f>
        <v>43063.64583</v>
      </c>
      <c r="C598" s="2">
        <f>IFERROR(__xludf.DUMMYFUNCTION("""COMPUTED_VALUE"""),569.7)</f>
        <v>569.7</v>
      </c>
    </row>
    <row r="599" ht="15.75" customHeight="1">
      <c r="B599" s="3">
        <f>IFERROR(__xludf.DUMMYFUNCTION("""COMPUTED_VALUE"""),43070.64583333333)</f>
        <v>43070.64583</v>
      </c>
      <c r="C599" s="2">
        <f>IFERROR(__xludf.DUMMYFUNCTION("""COMPUTED_VALUE"""),596.65)</f>
        <v>596.65</v>
      </c>
    </row>
    <row r="600" ht="15.75" customHeight="1">
      <c r="B600" s="3">
        <f>IFERROR(__xludf.DUMMYFUNCTION("""COMPUTED_VALUE"""),43077.64583333333)</f>
        <v>43077.64583</v>
      </c>
      <c r="C600" s="2">
        <f>IFERROR(__xludf.DUMMYFUNCTION("""COMPUTED_VALUE"""),578.9)</f>
        <v>578.9</v>
      </c>
    </row>
    <row r="601" ht="15.75" customHeight="1">
      <c r="B601" s="3">
        <f>IFERROR(__xludf.DUMMYFUNCTION("""COMPUTED_VALUE"""),43084.64583333333)</f>
        <v>43084.64583</v>
      </c>
      <c r="C601" s="2">
        <f>IFERROR(__xludf.DUMMYFUNCTION("""COMPUTED_VALUE"""),580.0)</f>
        <v>580</v>
      </c>
    </row>
    <row r="602" ht="15.75" customHeight="1">
      <c r="B602" s="3">
        <f>IFERROR(__xludf.DUMMYFUNCTION("""COMPUTED_VALUE"""),43091.64583333333)</f>
        <v>43091.64583</v>
      </c>
      <c r="C602" s="2">
        <f>IFERROR(__xludf.DUMMYFUNCTION("""COMPUTED_VALUE"""),594.3)</f>
        <v>594.3</v>
      </c>
    </row>
    <row r="603" ht="15.75" customHeight="1">
      <c r="B603" s="3">
        <f>IFERROR(__xludf.DUMMYFUNCTION("""COMPUTED_VALUE"""),43098.64583333333)</f>
        <v>43098.64583</v>
      </c>
      <c r="C603" s="2">
        <f>IFERROR(__xludf.DUMMYFUNCTION("""COMPUTED_VALUE"""),592.9)</f>
        <v>592.9</v>
      </c>
    </row>
    <row r="604" ht="15.75" customHeight="1"/>
    <row r="605" ht="15.75" customHeight="1"/>
    <row r="606" ht="15.75" customHeight="1">
      <c r="B606" s="2" t="str">
        <f>IFERROR(__xludf.DUMMYFUNCTION("GOOGLEFINANCE(""NSE:ZEEL"", ""high"",DATE(2018,1,1),DATE(2019,1,1),""weekly"")"),"Date")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IFERROR(__xludf.DUMMYFUNCTION("""COMPUTED_VALUE"""),43105.64583333333)</f>
        <v>43105.64583</v>
      </c>
      <c r="C607" s="2">
        <f>IFERROR(__xludf.DUMMYFUNCTION("""COMPUTED_VALUE"""),590.05)</f>
        <v>590.05</v>
      </c>
    </row>
    <row r="608" ht="15.75" customHeight="1">
      <c r="B608" s="3">
        <f>IFERROR(__xludf.DUMMYFUNCTION("""COMPUTED_VALUE"""),43112.64583333333)</f>
        <v>43112.64583</v>
      </c>
      <c r="C608" s="2">
        <f>IFERROR(__xludf.DUMMYFUNCTION("""COMPUTED_VALUE"""),599.05)</f>
        <v>599.05</v>
      </c>
    </row>
    <row r="609" ht="15.75" customHeight="1">
      <c r="B609" s="3">
        <f>IFERROR(__xludf.DUMMYFUNCTION("""COMPUTED_VALUE"""),43119.64583333333)</f>
        <v>43119.64583</v>
      </c>
      <c r="C609" s="2">
        <f>IFERROR(__xludf.DUMMYFUNCTION("""COMPUTED_VALUE"""),618.3)</f>
        <v>618.3</v>
      </c>
    </row>
    <row r="610" ht="15.75" customHeight="1">
      <c r="B610" s="3">
        <f>IFERROR(__xludf.DUMMYFUNCTION("""COMPUTED_VALUE"""),43125.64583333333)</f>
        <v>43125.64583</v>
      </c>
      <c r="C610" s="2">
        <f>IFERROR(__xludf.DUMMYFUNCTION("""COMPUTED_VALUE"""),616.7)</f>
        <v>616.7</v>
      </c>
    </row>
    <row r="611" ht="15.75" customHeight="1">
      <c r="B611" s="3">
        <f>IFERROR(__xludf.DUMMYFUNCTION("""COMPUTED_VALUE"""),43133.64583333333)</f>
        <v>43133.64583</v>
      </c>
      <c r="C611" s="2">
        <f>IFERROR(__xludf.DUMMYFUNCTION("""COMPUTED_VALUE"""),619.0)</f>
        <v>619</v>
      </c>
    </row>
    <row r="612" ht="15.75" customHeight="1">
      <c r="B612" s="3">
        <f>IFERROR(__xludf.DUMMYFUNCTION("""COMPUTED_VALUE"""),43140.64583333333)</f>
        <v>43140.64583</v>
      </c>
      <c r="C612" s="2">
        <f>IFERROR(__xludf.DUMMYFUNCTION("""COMPUTED_VALUE"""),592.3)</f>
        <v>592.3</v>
      </c>
    </row>
    <row r="613" ht="15.75" customHeight="1">
      <c r="B613" s="3">
        <f>IFERROR(__xludf.DUMMYFUNCTION("""COMPUTED_VALUE"""),43147.64583333333)</f>
        <v>43147.64583</v>
      </c>
      <c r="C613" s="2">
        <f>IFERROR(__xludf.DUMMYFUNCTION("""COMPUTED_VALUE"""),589.8)</f>
        <v>589.8</v>
      </c>
    </row>
    <row r="614" ht="15.75" customHeight="1">
      <c r="B614" s="3">
        <f>IFERROR(__xludf.DUMMYFUNCTION("""COMPUTED_VALUE"""),43154.64583333333)</f>
        <v>43154.64583</v>
      </c>
      <c r="C614" s="2">
        <f>IFERROR(__xludf.DUMMYFUNCTION("""COMPUTED_VALUE"""),577.75)</f>
        <v>577.75</v>
      </c>
    </row>
    <row r="615" ht="15.75" customHeight="1">
      <c r="B615" s="3">
        <f>IFERROR(__xludf.DUMMYFUNCTION("""COMPUTED_VALUE"""),43160.64583333333)</f>
        <v>43160.64583</v>
      </c>
      <c r="C615" s="2">
        <f>IFERROR(__xludf.DUMMYFUNCTION("""COMPUTED_VALUE"""),589.0)</f>
        <v>589</v>
      </c>
    </row>
    <row r="616" ht="15.75" customHeight="1">
      <c r="B616" s="3">
        <f>IFERROR(__xludf.DUMMYFUNCTION("""COMPUTED_VALUE"""),43168.64583333333)</f>
        <v>43168.64583</v>
      </c>
      <c r="C616" s="2">
        <f>IFERROR(__xludf.DUMMYFUNCTION("""COMPUTED_VALUE"""),572.5)</f>
        <v>572.5</v>
      </c>
    </row>
    <row r="617" ht="15.75" customHeight="1">
      <c r="B617" s="3">
        <f>IFERROR(__xludf.DUMMYFUNCTION("""COMPUTED_VALUE"""),43175.64583333333)</f>
        <v>43175.64583</v>
      </c>
      <c r="C617" s="2">
        <f>IFERROR(__xludf.DUMMYFUNCTION("""COMPUTED_VALUE"""),581.85)</f>
        <v>581.85</v>
      </c>
    </row>
    <row r="618" ht="15.75" customHeight="1">
      <c r="B618" s="3">
        <f>IFERROR(__xludf.DUMMYFUNCTION("""COMPUTED_VALUE"""),43182.64583333333)</f>
        <v>43182.64583</v>
      </c>
      <c r="C618" s="2">
        <f>IFERROR(__xludf.DUMMYFUNCTION("""COMPUTED_VALUE"""),579.8)</f>
        <v>579.8</v>
      </c>
    </row>
    <row r="619" ht="15.75" customHeight="1">
      <c r="B619" s="3">
        <f>IFERROR(__xludf.DUMMYFUNCTION("""COMPUTED_VALUE"""),43187.64583333333)</f>
        <v>43187.64583</v>
      </c>
      <c r="C619" s="2">
        <f>IFERROR(__xludf.DUMMYFUNCTION("""COMPUTED_VALUE"""),597.0)</f>
        <v>597</v>
      </c>
    </row>
    <row r="620" ht="15.75" customHeight="1">
      <c r="B620" s="3">
        <f>IFERROR(__xludf.DUMMYFUNCTION("""COMPUTED_VALUE"""),43196.64583333333)</f>
        <v>43196.64583</v>
      </c>
      <c r="C620" s="2">
        <f>IFERROR(__xludf.DUMMYFUNCTION("""COMPUTED_VALUE"""),588.9)</f>
        <v>588.9</v>
      </c>
    </row>
    <row r="621" ht="15.75" customHeight="1">
      <c r="B621" s="3">
        <f>IFERROR(__xludf.DUMMYFUNCTION("""COMPUTED_VALUE"""),43203.64583333333)</f>
        <v>43203.64583</v>
      </c>
      <c r="C621" s="2">
        <f>IFERROR(__xludf.DUMMYFUNCTION("""COMPUTED_VALUE"""),589.9)</f>
        <v>589.9</v>
      </c>
    </row>
    <row r="622" ht="15.75" customHeight="1">
      <c r="B622" s="3">
        <f>IFERROR(__xludf.DUMMYFUNCTION("""COMPUTED_VALUE"""),43210.64583333333)</f>
        <v>43210.64583</v>
      </c>
      <c r="C622" s="2">
        <f>IFERROR(__xludf.DUMMYFUNCTION("""COMPUTED_VALUE"""),598.7)</f>
        <v>598.7</v>
      </c>
    </row>
    <row r="623" ht="15.75" customHeight="1">
      <c r="B623" s="3">
        <f>IFERROR(__xludf.DUMMYFUNCTION("""COMPUTED_VALUE"""),43217.64583333333)</f>
        <v>43217.64583</v>
      </c>
      <c r="C623" s="2">
        <f>IFERROR(__xludf.DUMMYFUNCTION("""COMPUTED_VALUE"""),602.0)</f>
        <v>602</v>
      </c>
    </row>
    <row r="624" ht="15.75" customHeight="1">
      <c r="B624" s="3">
        <f>IFERROR(__xludf.DUMMYFUNCTION("""COMPUTED_VALUE"""),43224.64583333333)</f>
        <v>43224.64583</v>
      </c>
      <c r="C624" s="2">
        <f>IFERROR(__xludf.DUMMYFUNCTION("""COMPUTED_VALUE"""),609.75)</f>
        <v>609.75</v>
      </c>
    </row>
    <row r="625" ht="15.75" customHeight="1">
      <c r="B625" s="3">
        <f>IFERROR(__xludf.DUMMYFUNCTION("""COMPUTED_VALUE"""),43231.64583333333)</f>
        <v>43231.64583</v>
      </c>
      <c r="C625" s="2">
        <f>IFERROR(__xludf.DUMMYFUNCTION("""COMPUTED_VALUE"""),604.9)</f>
        <v>604.9</v>
      </c>
    </row>
    <row r="626" ht="15.75" customHeight="1">
      <c r="B626" s="3">
        <f>IFERROR(__xludf.DUMMYFUNCTION("""COMPUTED_VALUE"""),43238.64583333333)</f>
        <v>43238.64583</v>
      </c>
      <c r="C626" s="2">
        <f>IFERROR(__xludf.DUMMYFUNCTION("""COMPUTED_VALUE"""),596.0)</f>
        <v>596</v>
      </c>
    </row>
    <row r="627" ht="15.75" customHeight="1">
      <c r="B627" s="3">
        <f>IFERROR(__xludf.DUMMYFUNCTION("""COMPUTED_VALUE"""),43245.64583333333)</f>
        <v>43245.64583</v>
      </c>
      <c r="C627" s="2">
        <f>IFERROR(__xludf.DUMMYFUNCTION("""COMPUTED_VALUE"""),569.95)</f>
        <v>569.95</v>
      </c>
    </row>
    <row r="628" ht="15.75" customHeight="1">
      <c r="B628" s="3">
        <f>IFERROR(__xludf.DUMMYFUNCTION("""COMPUTED_VALUE"""),43252.64583333333)</f>
        <v>43252.64583</v>
      </c>
      <c r="C628" s="2">
        <f>IFERROR(__xludf.DUMMYFUNCTION("""COMPUTED_VALUE"""),578.25)</f>
        <v>578.25</v>
      </c>
    </row>
    <row r="629" ht="15.75" customHeight="1">
      <c r="B629" s="3">
        <f>IFERROR(__xludf.DUMMYFUNCTION("""COMPUTED_VALUE"""),43259.64583333333)</f>
        <v>43259.64583</v>
      </c>
      <c r="C629" s="2">
        <f>IFERROR(__xludf.DUMMYFUNCTION("""COMPUTED_VALUE"""),567.25)</f>
        <v>567.25</v>
      </c>
    </row>
    <row r="630" ht="15.75" customHeight="1">
      <c r="B630" s="3">
        <f>IFERROR(__xludf.DUMMYFUNCTION("""COMPUTED_VALUE"""),43266.64583333333)</f>
        <v>43266.64583</v>
      </c>
      <c r="C630" s="2">
        <f>IFERROR(__xludf.DUMMYFUNCTION("""COMPUTED_VALUE"""),570.3)</f>
        <v>570.3</v>
      </c>
    </row>
    <row r="631" ht="15.75" customHeight="1">
      <c r="B631" s="3">
        <f>IFERROR(__xludf.DUMMYFUNCTION("""COMPUTED_VALUE"""),43273.64583333333)</f>
        <v>43273.64583</v>
      </c>
      <c r="C631" s="2">
        <f>IFERROR(__xludf.DUMMYFUNCTION("""COMPUTED_VALUE"""),575.0)</f>
        <v>575</v>
      </c>
    </row>
    <row r="632" ht="15.75" customHeight="1">
      <c r="B632" s="3">
        <f>IFERROR(__xludf.DUMMYFUNCTION("""COMPUTED_VALUE"""),43280.64583333333)</f>
        <v>43280.64583</v>
      </c>
      <c r="C632" s="2">
        <f>IFERROR(__xludf.DUMMYFUNCTION("""COMPUTED_VALUE"""),569.8)</f>
        <v>569.8</v>
      </c>
    </row>
    <row r="633" ht="15.75" customHeight="1">
      <c r="B633" s="3">
        <f>IFERROR(__xludf.DUMMYFUNCTION("""COMPUTED_VALUE"""),43287.64583333333)</f>
        <v>43287.64583</v>
      </c>
      <c r="C633" s="2">
        <f>IFERROR(__xludf.DUMMYFUNCTION("""COMPUTED_VALUE"""),553.6)</f>
        <v>553.6</v>
      </c>
    </row>
    <row r="634" ht="15.75" customHeight="1">
      <c r="B634" s="3">
        <f>IFERROR(__xludf.DUMMYFUNCTION("""COMPUTED_VALUE"""),43294.64583333333)</f>
        <v>43294.64583</v>
      </c>
      <c r="C634" s="2">
        <f>IFERROR(__xludf.DUMMYFUNCTION("""COMPUTED_VALUE"""),547.75)</f>
        <v>547.75</v>
      </c>
    </row>
    <row r="635" ht="15.75" customHeight="1">
      <c r="B635" s="3">
        <f>IFERROR(__xludf.DUMMYFUNCTION("""COMPUTED_VALUE"""),43301.64583333333)</f>
        <v>43301.64583</v>
      </c>
      <c r="C635" s="2">
        <f>IFERROR(__xludf.DUMMYFUNCTION("""COMPUTED_VALUE"""),532.7)</f>
        <v>532.7</v>
      </c>
    </row>
    <row r="636" ht="15.75" customHeight="1">
      <c r="B636" s="3">
        <f>IFERROR(__xludf.DUMMYFUNCTION("""COMPUTED_VALUE"""),43308.64583333333)</f>
        <v>43308.64583</v>
      </c>
      <c r="C636" s="2">
        <f>IFERROR(__xludf.DUMMYFUNCTION("""COMPUTED_VALUE"""),533.8)</f>
        <v>533.8</v>
      </c>
    </row>
    <row r="637" ht="15.75" customHeight="1">
      <c r="B637" s="3">
        <f>IFERROR(__xludf.DUMMYFUNCTION("""COMPUTED_VALUE"""),43315.64583333333)</f>
        <v>43315.64583</v>
      </c>
      <c r="C637" s="2">
        <f>IFERROR(__xludf.DUMMYFUNCTION("""COMPUTED_VALUE"""),534.5)</f>
        <v>534.5</v>
      </c>
    </row>
    <row r="638" ht="15.75" customHeight="1">
      <c r="B638" s="3">
        <f>IFERROR(__xludf.DUMMYFUNCTION("""COMPUTED_VALUE"""),43322.64583333333)</f>
        <v>43322.64583</v>
      </c>
      <c r="C638" s="2">
        <f>IFERROR(__xludf.DUMMYFUNCTION("""COMPUTED_VALUE"""),540.75)</f>
        <v>540.75</v>
      </c>
    </row>
    <row r="639" ht="15.75" customHeight="1">
      <c r="B639" s="3">
        <f>IFERROR(__xludf.DUMMYFUNCTION("""COMPUTED_VALUE"""),43329.64583333333)</f>
        <v>43329.64583</v>
      </c>
      <c r="C639" s="2">
        <f>IFERROR(__xludf.DUMMYFUNCTION("""COMPUTED_VALUE"""),520.0)</f>
        <v>520</v>
      </c>
    </row>
    <row r="640" ht="15.75" customHeight="1">
      <c r="B640" s="3">
        <f>IFERROR(__xludf.DUMMYFUNCTION("""COMPUTED_VALUE"""),43336.64583333333)</f>
        <v>43336.64583</v>
      </c>
      <c r="C640" s="2">
        <f>IFERROR(__xludf.DUMMYFUNCTION("""COMPUTED_VALUE"""),516.65)</f>
        <v>516.65</v>
      </c>
    </row>
    <row r="641" ht="15.75" customHeight="1">
      <c r="B641" s="3">
        <f>IFERROR(__xludf.DUMMYFUNCTION("""COMPUTED_VALUE"""),43343.64583333333)</f>
        <v>43343.64583</v>
      </c>
      <c r="C641" s="2">
        <f>IFERROR(__xludf.DUMMYFUNCTION("""COMPUTED_VALUE"""),518.4)</f>
        <v>518.4</v>
      </c>
    </row>
    <row r="642" ht="15.75" customHeight="1">
      <c r="B642" s="3">
        <f>IFERROR(__xludf.DUMMYFUNCTION("""COMPUTED_VALUE"""),43350.64583333333)</f>
        <v>43350.64583</v>
      </c>
      <c r="C642" s="2">
        <f>IFERROR(__xludf.DUMMYFUNCTION("""COMPUTED_VALUE"""),505.0)</f>
        <v>505</v>
      </c>
    </row>
    <row r="643" ht="15.75" customHeight="1">
      <c r="B643" s="3">
        <f>IFERROR(__xludf.DUMMYFUNCTION("""COMPUTED_VALUE"""),43357.64583333333)</f>
        <v>43357.64583</v>
      </c>
      <c r="C643" s="2">
        <f>IFERROR(__xludf.DUMMYFUNCTION("""COMPUTED_VALUE"""),480.0)</f>
        <v>480</v>
      </c>
    </row>
    <row r="644" ht="15.75" customHeight="1">
      <c r="B644" s="3">
        <f>IFERROR(__xludf.DUMMYFUNCTION("""COMPUTED_VALUE"""),43364.64583333333)</f>
        <v>43364.64583</v>
      </c>
      <c r="C644" s="2">
        <f>IFERROR(__xludf.DUMMYFUNCTION("""COMPUTED_VALUE"""),478.8)</f>
        <v>478.8</v>
      </c>
    </row>
    <row r="645" ht="15.75" customHeight="1">
      <c r="B645" s="3">
        <f>IFERROR(__xludf.DUMMYFUNCTION("""COMPUTED_VALUE"""),43371.64583333333)</f>
        <v>43371.64583</v>
      </c>
      <c r="C645" s="2">
        <f>IFERROR(__xludf.DUMMYFUNCTION("""COMPUTED_VALUE"""),455.65)</f>
        <v>455.65</v>
      </c>
    </row>
    <row r="646" ht="15.75" customHeight="1">
      <c r="B646" s="3">
        <f>IFERROR(__xludf.DUMMYFUNCTION("""COMPUTED_VALUE"""),43378.64583333333)</f>
        <v>43378.64583</v>
      </c>
      <c r="C646" s="2">
        <f>IFERROR(__xludf.DUMMYFUNCTION("""COMPUTED_VALUE"""),443.75)</f>
        <v>443.75</v>
      </c>
    </row>
    <row r="647" ht="15.75" customHeight="1">
      <c r="B647" s="3">
        <f>IFERROR(__xludf.DUMMYFUNCTION("""COMPUTED_VALUE"""),43385.64583333333)</f>
        <v>43385.64583</v>
      </c>
      <c r="C647" s="2">
        <f>IFERROR(__xludf.DUMMYFUNCTION("""COMPUTED_VALUE"""),480.0)</f>
        <v>480</v>
      </c>
    </row>
    <row r="648" ht="15.75" customHeight="1">
      <c r="B648" s="3">
        <f>IFERROR(__xludf.DUMMYFUNCTION("""COMPUTED_VALUE"""),43392.64583333333)</f>
        <v>43392.64583</v>
      </c>
      <c r="C648" s="2">
        <f>IFERROR(__xludf.DUMMYFUNCTION("""COMPUTED_VALUE"""),477.8)</f>
        <v>477.8</v>
      </c>
    </row>
    <row r="649" ht="15.75" customHeight="1">
      <c r="B649" s="3">
        <f>IFERROR(__xludf.DUMMYFUNCTION("""COMPUTED_VALUE"""),43399.64583333333)</f>
        <v>43399.64583</v>
      </c>
      <c r="C649" s="2">
        <f>IFERROR(__xludf.DUMMYFUNCTION("""COMPUTED_VALUE"""),461.9)</f>
        <v>461.9</v>
      </c>
    </row>
    <row r="650" ht="15.75" customHeight="1">
      <c r="B650" s="3">
        <f>IFERROR(__xludf.DUMMYFUNCTION("""COMPUTED_VALUE"""),43406.64583333333)</f>
        <v>43406.64583</v>
      </c>
      <c r="C650" s="2">
        <f>IFERROR(__xludf.DUMMYFUNCTION("""COMPUTED_VALUE"""),456.5)</f>
        <v>456.5</v>
      </c>
    </row>
    <row r="651" ht="15.75" customHeight="1">
      <c r="B651" s="3">
        <f>IFERROR(__xludf.DUMMYFUNCTION("""COMPUTED_VALUE"""),43413.64583333333)</f>
        <v>43413.64583</v>
      </c>
      <c r="C651" s="2">
        <f>IFERROR(__xludf.DUMMYFUNCTION("""COMPUTED_VALUE"""),451.3)</f>
        <v>451.3</v>
      </c>
    </row>
    <row r="652" ht="15.75" customHeight="1">
      <c r="B652" s="3">
        <f>IFERROR(__xludf.DUMMYFUNCTION("""COMPUTED_VALUE"""),43420.64583333333)</f>
        <v>43420.64583</v>
      </c>
      <c r="C652" s="2">
        <f>IFERROR(__xludf.DUMMYFUNCTION("""COMPUTED_VALUE"""),470.0)</f>
        <v>470</v>
      </c>
    </row>
    <row r="653" ht="15.75" customHeight="1">
      <c r="B653" s="3">
        <f>IFERROR(__xludf.DUMMYFUNCTION("""COMPUTED_VALUE"""),43426.64583333333)</f>
        <v>43426.64583</v>
      </c>
      <c r="C653" s="2">
        <f>IFERROR(__xludf.DUMMYFUNCTION("""COMPUTED_VALUE"""),460.35)</f>
        <v>460.35</v>
      </c>
    </row>
    <row r="654" ht="15.75" customHeight="1">
      <c r="B654" s="3">
        <f>IFERROR(__xludf.DUMMYFUNCTION("""COMPUTED_VALUE"""),43434.64583333333)</f>
        <v>43434.64583</v>
      </c>
      <c r="C654" s="2">
        <f>IFERROR(__xludf.DUMMYFUNCTION("""COMPUTED_VALUE"""),496.7)</f>
        <v>496.7</v>
      </c>
    </row>
    <row r="655" ht="15.75" customHeight="1">
      <c r="B655" s="3">
        <f>IFERROR(__xludf.DUMMYFUNCTION("""COMPUTED_VALUE"""),43441.64583333333)</f>
        <v>43441.64583</v>
      </c>
      <c r="C655" s="2">
        <f>IFERROR(__xludf.DUMMYFUNCTION("""COMPUTED_VALUE"""),499.35)</f>
        <v>499.35</v>
      </c>
    </row>
    <row r="656" ht="15.75" customHeight="1">
      <c r="B656" s="3">
        <f>IFERROR(__xludf.DUMMYFUNCTION("""COMPUTED_VALUE"""),43448.64583333333)</f>
        <v>43448.64583</v>
      </c>
      <c r="C656" s="2">
        <f>IFERROR(__xludf.DUMMYFUNCTION("""COMPUTED_VALUE"""),496.0)</f>
        <v>496</v>
      </c>
    </row>
    <row r="657" ht="15.75" customHeight="1">
      <c r="B657" s="3">
        <f>IFERROR(__xludf.DUMMYFUNCTION("""COMPUTED_VALUE"""),43455.64583333333)</f>
        <v>43455.64583</v>
      </c>
      <c r="C657" s="2">
        <f>IFERROR(__xludf.DUMMYFUNCTION("""COMPUTED_VALUE"""),506.9)</f>
        <v>506.9</v>
      </c>
    </row>
    <row r="658" ht="15.75" customHeight="1">
      <c r="B658" s="3">
        <f>IFERROR(__xludf.DUMMYFUNCTION("""COMPUTED_VALUE"""),43462.64583333333)</f>
        <v>43462.64583</v>
      </c>
      <c r="C658" s="2">
        <f>IFERROR(__xludf.DUMMYFUNCTION("""COMPUTED_VALUE"""),478.7)</f>
        <v>478.7</v>
      </c>
    </row>
    <row r="659" ht="15.75" customHeight="1"/>
    <row r="660" ht="15.75" customHeight="1"/>
    <row r="661" ht="15.75" customHeight="1">
      <c r="B661" s="2" t="str">
        <f>IFERROR(__xludf.DUMMYFUNCTION("GOOGLEFINANCE(""NSE:ZEEL"", ""high"",DATE(2019,1,1),DATE(2020,1,1),""weekly"")"),"Date")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IFERROR(__xludf.DUMMYFUNCTION("""COMPUTED_VALUE"""),43469.64583333333)</f>
        <v>43469.64583</v>
      </c>
      <c r="C662" s="2">
        <f>IFERROR(__xludf.DUMMYFUNCTION("""COMPUTED_VALUE"""),483.0)</f>
        <v>483</v>
      </c>
    </row>
    <row r="663" ht="15.75" customHeight="1">
      <c r="B663" s="3">
        <f>IFERROR(__xludf.DUMMYFUNCTION("""COMPUTED_VALUE"""),43476.64583333333)</f>
        <v>43476.64583</v>
      </c>
      <c r="C663" s="2">
        <f>IFERROR(__xludf.DUMMYFUNCTION("""COMPUTED_VALUE"""),469.0)</f>
        <v>469</v>
      </c>
    </row>
    <row r="664" ht="15.75" customHeight="1">
      <c r="B664" s="3">
        <f>IFERROR(__xludf.DUMMYFUNCTION("""COMPUTED_VALUE"""),43483.64583333333)</f>
        <v>43483.64583</v>
      </c>
      <c r="C664" s="2">
        <f>IFERROR(__xludf.DUMMYFUNCTION("""COMPUTED_VALUE"""),475.75)</f>
        <v>475.75</v>
      </c>
    </row>
    <row r="665" ht="15.75" customHeight="1">
      <c r="B665" s="3">
        <f>IFERROR(__xludf.DUMMYFUNCTION("""COMPUTED_VALUE"""),43490.64583333333)</f>
        <v>43490.64583</v>
      </c>
      <c r="C665" s="2">
        <f>IFERROR(__xludf.DUMMYFUNCTION("""COMPUTED_VALUE"""),445.0)</f>
        <v>445</v>
      </c>
    </row>
    <row r="666" ht="15.75" customHeight="1">
      <c r="B666" s="3">
        <f>IFERROR(__xludf.DUMMYFUNCTION("""COMPUTED_VALUE"""),43497.64583333333)</f>
        <v>43497.64583</v>
      </c>
      <c r="C666" s="2">
        <f>IFERROR(__xludf.DUMMYFUNCTION("""COMPUTED_VALUE"""),399.85)</f>
        <v>399.85</v>
      </c>
    </row>
    <row r="667" ht="15.75" customHeight="1">
      <c r="B667" s="3">
        <f>IFERROR(__xludf.DUMMYFUNCTION("""COMPUTED_VALUE"""),43504.64583333333)</f>
        <v>43504.64583</v>
      </c>
      <c r="C667" s="2">
        <f>IFERROR(__xludf.DUMMYFUNCTION("""COMPUTED_VALUE"""),411.5)</f>
        <v>411.5</v>
      </c>
    </row>
    <row r="668" ht="15.75" customHeight="1">
      <c r="B668" s="3">
        <f>IFERROR(__xludf.DUMMYFUNCTION("""COMPUTED_VALUE"""),43511.64583333333)</f>
        <v>43511.64583</v>
      </c>
      <c r="C668" s="2">
        <f>IFERROR(__xludf.DUMMYFUNCTION("""COMPUTED_VALUE"""),441.0)</f>
        <v>441</v>
      </c>
    </row>
    <row r="669" ht="15.75" customHeight="1">
      <c r="B669" s="3">
        <f>IFERROR(__xludf.DUMMYFUNCTION("""COMPUTED_VALUE"""),43518.64583333333)</f>
        <v>43518.64583</v>
      </c>
      <c r="C669" s="2">
        <f>IFERROR(__xludf.DUMMYFUNCTION("""COMPUTED_VALUE"""),454.9)</f>
        <v>454.9</v>
      </c>
    </row>
    <row r="670" ht="15.75" customHeight="1">
      <c r="B670" s="3">
        <f>IFERROR(__xludf.DUMMYFUNCTION("""COMPUTED_VALUE"""),43525.64583333333)</f>
        <v>43525.64583</v>
      </c>
      <c r="C670" s="2">
        <f>IFERROR(__xludf.DUMMYFUNCTION("""COMPUTED_VALUE"""),488.95)</f>
        <v>488.95</v>
      </c>
    </row>
    <row r="671" ht="15.75" customHeight="1">
      <c r="B671" s="3">
        <f>IFERROR(__xludf.DUMMYFUNCTION("""COMPUTED_VALUE"""),43532.64583333333)</f>
        <v>43532.64583</v>
      </c>
      <c r="C671" s="2">
        <f>IFERROR(__xludf.DUMMYFUNCTION("""COMPUTED_VALUE"""),487.3)</f>
        <v>487.3</v>
      </c>
    </row>
    <row r="672" ht="15.75" customHeight="1">
      <c r="B672" s="3">
        <f>IFERROR(__xludf.DUMMYFUNCTION("""COMPUTED_VALUE"""),43539.64583333333)</f>
        <v>43539.64583</v>
      </c>
      <c r="C672" s="2">
        <f>IFERROR(__xludf.DUMMYFUNCTION("""COMPUTED_VALUE"""),472.65)</f>
        <v>472.65</v>
      </c>
    </row>
    <row r="673" ht="15.75" customHeight="1">
      <c r="B673" s="3">
        <f>IFERROR(__xludf.DUMMYFUNCTION("""COMPUTED_VALUE"""),43546.64583333333)</f>
        <v>43546.64583</v>
      </c>
      <c r="C673" s="2">
        <f>IFERROR(__xludf.DUMMYFUNCTION("""COMPUTED_VALUE"""),467.8)</f>
        <v>467.8</v>
      </c>
    </row>
    <row r="674" ht="15.75" customHeight="1">
      <c r="B674" s="3">
        <f>IFERROR(__xludf.DUMMYFUNCTION("""COMPUTED_VALUE"""),43553.64583333333)</f>
        <v>43553.64583</v>
      </c>
      <c r="C674" s="2">
        <f>IFERROR(__xludf.DUMMYFUNCTION("""COMPUTED_VALUE"""),453.8)</f>
        <v>453.8</v>
      </c>
    </row>
    <row r="675" ht="15.75" customHeight="1">
      <c r="B675" s="3">
        <f>IFERROR(__xludf.DUMMYFUNCTION("""COMPUTED_VALUE"""),43560.64583333333)</f>
        <v>43560.64583</v>
      </c>
      <c r="C675" s="2">
        <f>IFERROR(__xludf.DUMMYFUNCTION("""COMPUTED_VALUE"""),444.7)</f>
        <v>444.7</v>
      </c>
    </row>
    <row r="676" ht="15.75" customHeight="1">
      <c r="B676" s="3">
        <f>IFERROR(__xludf.DUMMYFUNCTION("""COMPUTED_VALUE"""),43567.64583333333)</f>
        <v>43567.64583</v>
      </c>
      <c r="C676" s="2">
        <f>IFERROR(__xludf.DUMMYFUNCTION("""COMPUTED_VALUE"""),419.45)</f>
        <v>419.45</v>
      </c>
    </row>
    <row r="677" ht="15.75" customHeight="1">
      <c r="B677" s="3">
        <f>IFERROR(__xludf.DUMMYFUNCTION("""COMPUTED_VALUE"""),43573.64583333333)</f>
        <v>43573.64583</v>
      </c>
      <c r="C677" s="2">
        <f>IFERROR(__xludf.DUMMYFUNCTION("""COMPUTED_VALUE"""),424.5)</f>
        <v>424.5</v>
      </c>
    </row>
    <row r="678" ht="15.75" customHeight="1">
      <c r="B678" s="3">
        <f>IFERROR(__xludf.DUMMYFUNCTION("""COMPUTED_VALUE"""),43581.64583333333)</f>
        <v>43581.64583</v>
      </c>
      <c r="C678" s="2">
        <f>IFERROR(__xludf.DUMMYFUNCTION("""COMPUTED_VALUE"""),425.95)</f>
        <v>425.95</v>
      </c>
    </row>
    <row r="679" ht="15.75" customHeight="1">
      <c r="B679" s="3">
        <f>IFERROR(__xludf.DUMMYFUNCTION("""COMPUTED_VALUE"""),43588.64583333333)</f>
        <v>43588.64583</v>
      </c>
      <c r="C679" s="2">
        <f>IFERROR(__xludf.DUMMYFUNCTION("""COMPUTED_VALUE"""),439.5)</f>
        <v>439.5</v>
      </c>
    </row>
    <row r="680" ht="15.75" customHeight="1">
      <c r="B680" s="3">
        <f>IFERROR(__xludf.DUMMYFUNCTION("""COMPUTED_VALUE"""),43595.64583333333)</f>
        <v>43595.64583</v>
      </c>
      <c r="C680" s="2">
        <f>IFERROR(__xludf.DUMMYFUNCTION("""COMPUTED_VALUE"""),410.85)</f>
        <v>410.85</v>
      </c>
    </row>
    <row r="681" ht="15.75" customHeight="1">
      <c r="B681" s="3">
        <f>IFERROR(__xludf.DUMMYFUNCTION("""COMPUTED_VALUE"""),43602.64583333333)</f>
        <v>43602.64583</v>
      </c>
      <c r="C681" s="2">
        <f>IFERROR(__xludf.DUMMYFUNCTION("""COMPUTED_VALUE"""),377.8)</f>
        <v>377.8</v>
      </c>
    </row>
    <row r="682" ht="15.75" customHeight="1">
      <c r="B682" s="3">
        <f>IFERROR(__xludf.DUMMYFUNCTION("""COMPUTED_VALUE"""),43609.64583333333)</f>
        <v>43609.64583</v>
      </c>
      <c r="C682" s="2">
        <f>IFERROR(__xludf.DUMMYFUNCTION("""COMPUTED_VALUE"""),394.95)</f>
        <v>394.95</v>
      </c>
    </row>
    <row r="683" ht="15.75" customHeight="1">
      <c r="B683" s="3">
        <f>IFERROR(__xludf.DUMMYFUNCTION("""COMPUTED_VALUE"""),43616.64583333333)</f>
        <v>43616.64583</v>
      </c>
      <c r="C683" s="2">
        <f>IFERROR(__xludf.DUMMYFUNCTION("""COMPUTED_VALUE"""),384.8)</f>
        <v>384.8</v>
      </c>
    </row>
    <row r="684" ht="15.75" customHeight="1">
      <c r="B684" s="3">
        <f>IFERROR(__xludf.DUMMYFUNCTION("""COMPUTED_VALUE"""),43623.64583333333)</f>
        <v>43623.64583</v>
      </c>
      <c r="C684" s="2">
        <f>IFERROR(__xludf.DUMMYFUNCTION("""COMPUTED_VALUE"""),366.0)</f>
        <v>366</v>
      </c>
    </row>
    <row r="685" ht="15.75" customHeight="1">
      <c r="B685" s="3">
        <f>IFERROR(__xludf.DUMMYFUNCTION("""COMPUTED_VALUE"""),43630.64583333333)</f>
        <v>43630.64583</v>
      </c>
      <c r="C685" s="2">
        <f>IFERROR(__xludf.DUMMYFUNCTION("""COMPUTED_VALUE"""),354.0)</f>
        <v>354</v>
      </c>
    </row>
    <row r="686" ht="15.75" customHeight="1">
      <c r="B686" s="3">
        <f>IFERROR(__xludf.DUMMYFUNCTION("""COMPUTED_VALUE"""),43637.64583333333)</f>
        <v>43637.64583</v>
      </c>
      <c r="C686" s="2">
        <f>IFERROR(__xludf.DUMMYFUNCTION("""COMPUTED_VALUE"""),358.2)</f>
        <v>358.2</v>
      </c>
    </row>
    <row r="687" ht="15.75" customHeight="1">
      <c r="B687" s="3">
        <f>IFERROR(__xludf.DUMMYFUNCTION("""COMPUTED_VALUE"""),43644.64583333333)</f>
        <v>43644.64583</v>
      </c>
      <c r="C687" s="2">
        <f>IFERROR(__xludf.DUMMYFUNCTION("""COMPUTED_VALUE"""),351.0)</f>
        <v>351</v>
      </c>
    </row>
    <row r="688" ht="15.75" customHeight="1">
      <c r="B688" s="3">
        <f>IFERROR(__xludf.DUMMYFUNCTION("""COMPUTED_VALUE"""),43651.64583333333)</f>
        <v>43651.64583</v>
      </c>
      <c r="C688" s="2">
        <f>IFERROR(__xludf.DUMMYFUNCTION("""COMPUTED_VALUE"""),369.0)</f>
        <v>369</v>
      </c>
    </row>
    <row r="689" ht="15.75" customHeight="1">
      <c r="B689" s="3">
        <f>IFERROR(__xludf.DUMMYFUNCTION("""COMPUTED_VALUE"""),43658.64583333333)</f>
        <v>43658.64583</v>
      </c>
      <c r="C689" s="2">
        <f>IFERROR(__xludf.DUMMYFUNCTION("""COMPUTED_VALUE"""),358.65)</f>
        <v>358.65</v>
      </c>
    </row>
    <row r="690" ht="15.75" customHeight="1">
      <c r="B690" s="3">
        <f>IFERROR(__xludf.DUMMYFUNCTION("""COMPUTED_VALUE"""),43665.64583333333)</f>
        <v>43665.64583</v>
      </c>
      <c r="C690" s="2">
        <f>IFERROR(__xludf.DUMMYFUNCTION("""COMPUTED_VALUE"""),364.95)</f>
        <v>364.95</v>
      </c>
    </row>
    <row r="691" ht="15.75" customHeight="1">
      <c r="B691" s="3">
        <f>IFERROR(__xludf.DUMMYFUNCTION("""COMPUTED_VALUE"""),43672.64583333333)</f>
        <v>43672.64583</v>
      </c>
      <c r="C691" s="2">
        <f>IFERROR(__xludf.DUMMYFUNCTION("""COMPUTED_VALUE"""),405.2)</f>
        <v>405.2</v>
      </c>
    </row>
    <row r="692" ht="15.75" customHeight="1">
      <c r="B692" s="3">
        <f>IFERROR(__xludf.DUMMYFUNCTION("""COMPUTED_VALUE"""),43679.64583333333)</f>
        <v>43679.64583</v>
      </c>
      <c r="C692" s="2">
        <f>IFERROR(__xludf.DUMMYFUNCTION("""COMPUTED_VALUE"""),402.55)</f>
        <v>402.55</v>
      </c>
    </row>
    <row r="693" ht="15.75" customHeight="1">
      <c r="B693" s="3">
        <f>IFERROR(__xludf.DUMMYFUNCTION("""COMPUTED_VALUE"""),43686.64583333333)</f>
        <v>43686.64583</v>
      </c>
      <c r="C693" s="2">
        <f>IFERROR(__xludf.DUMMYFUNCTION("""COMPUTED_VALUE"""),341.5)</f>
        <v>341.5</v>
      </c>
    </row>
    <row r="694" ht="15.75" customHeight="1">
      <c r="B694" s="3">
        <f>IFERROR(__xludf.DUMMYFUNCTION("""COMPUTED_VALUE"""),43693.64583333333)</f>
        <v>43693.64583</v>
      </c>
      <c r="C694" s="2">
        <f>IFERROR(__xludf.DUMMYFUNCTION("""COMPUTED_VALUE"""),347.8)</f>
        <v>347.8</v>
      </c>
    </row>
    <row r="695" ht="15.75" customHeight="1">
      <c r="B695" s="3">
        <f>IFERROR(__xludf.DUMMYFUNCTION("""COMPUTED_VALUE"""),43700.64583333333)</f>
        <v>43700.64583</v>
      </c>
      <c r="C695" s="2">
        <f>IFERROR(__xludf.DUMMYFUNCTION("""COMPUTED_VALUE"""),354.85)</f>
        <v>354.85</v>
      </c>
    </row>
    <row r="696" ht="15.75" customHeight="1">
      <c r="B696" s="3">
        <f>IFERROR(__xludf.DUMMYFUNCTION("""COMPUTED_VALUE"""),43707.64583333333)</f>
        <v>43707.64583</v>
      </c>
      <c r="C696" s="2">
        <f>IFERROR(__xludf.DUMMYFUNCTION("""COMPUTED_VALUE"""),376.0)</f>
        <v>376</v>
      </c>
    </row>
    <row r="697" ht="15.75" customHeight="1">
      <c r="B697" s="3">
        <f>IFERROR(__xludf.DUMMYFUNCTION("""COMPUTED_VALUE"""),43714.64583333333)</f>
        <v>43714.64583</v>
      </c>
      <c r="C697" s="2">
        <f>IFERROR(__xludf.DUMMYFUNCTION("""COMPUTED_VALUE"""),369.95)</f>
        <v>369.95</v>
      </c>
    </row>
    <row r="698" ht="15.75" customHeight="1">
      <c r="B698" s="3">
        <f>IFERROR(__xludf.DUMMYFUNCTION("""COMPUTED_VALUE"""),43721.64583333333)</f>
        <v>43721.64583</v>
      </c>
      <c r="C698" s="2">
        <f>IFERROR(__xludf.DUMMYFUNCTION("""COMPUTED_VALUE"""),367.4)</f>
        <v>367.4</v>
      </c>
    </row>
    <row r="699" ht="15.75" customHeight="1">
      <c r="B699" s="3">
        <f>IFERROR(__xludf.DUMMYFUNCTION("""COMPUTED_VALUE"""),43728.64583333333)</f>
        <v>43728.64583</v>
      </c>
      <c r="C699" s="2">
        <f>IFERROR(__xludf.DUMMYFUNCTION("""COMPUTED_VALUE"""),356.8)</f>
        <v>356.8</v>
      </c>
    </row>
    <row r="700" ht="15.75" customHeight="1">
      <c r="B700" s="3">
        <f>IFERROR(__xludf.DUMMYFUNCTION("""COMPUTED_VALUE"""),43735.64583333333)</f>
        <v>43735.64583</v>
      </c>
      <c r="C700" s="2">
        <f>IFERROR(__xludf.DUMMYFUNCTION("""COMPUTED_VALUE"""),312.0)</f>
        <v>312</v>
      </c>
    </row>
    <row r="701" ht="15.75" customHeight="1">
      <c r="B701" s="3">
        <f>IFERROR(__xludf.DUMMYFUNCTION("""COMPUTED_VALUE"""),43742.64583333333)</f>
        <v>43742.64583</v>
      </c>
      <c r="C701" s="2">
        <f>IFERROR(__xludf.DUMMYFUNCTION("""COMPUTED_VALUE"""),275.0)</f>
        <v>275</v>
      </c>
    </row>
    <row r="702" ht="15.75" customHeight="1">
      <c r="B702" s="3">
        <f>IFERROR(__xludf.DUMMYFUNCTION("""COMPUTED_VALUE"""),43749.64583333333)</f>
        <v>43749.64583</v>
      </c>
      <c r="C702" s="2">
        <f>IFERROR(__xludf.DUMMYFUNCTION("""COMPUTED_VALUE"""),258.0)</f>
        <v>258</v>
      </c>
    </row>
    <row r="703" ht="15.75" customHeight="1">
      <c r="B703" s="3">
        <f>IFERROR(__xludf.DUMMYFUNCTION("""COMPUTED_VALUE"""),43756.64583333333)</f>
        <v>43756.64583</v>
      </c>
      <c r="C703" s="2">
        <f>IFERROR(__xludf.DUMMYFUNCTION("""COMPUTED_VALUE"""),274.0)</f>
        <v>274</v>
      </c>
    </row>
    <row r="704" ht="15.75" customHeight="1">
      <c r="B704" s="3">
        <f>IFERROR(__xludf.DUMMYFUNCTION("""COMPUTED_VALUE"""),43763.79166666667)</f>
        <v>43763.79167</v>
      </c>
      <c r="C704" s="2">
        <f>IFERROR(__xludf.DUMMYFUNCTION("""COMPUTED_VALUE"""),255.0)</f>
        <v>255</v>
      </c>
    </row>
    <row r="705" ht="15.75" customHeight="1">
      <c r="B705" s="3">
        <f>IFERROR(__xludf.DUMMYFUNCTION("""COMPUTED_VALUE"""),43770.64583333333)</f>
        <v>43770.64583</v>
      </c>
      <c r="C705" s="2">
        <f>IFERROR(__xludf.DUMMYFUNCTION("""COMPUTED_VALUE"""),314.5)</f>
        <v>314.5</v>
      </c>
    </row>
    <row r="706" ht="15.75" customHeight="1">
      <c r="B706" s="3">
        <f>IFERROR(__xludf.DUMMYFUNCTION("""COMPUTED_VALUE"""),43777.64583333333)</f>
        <v>43777.64583</v>
      </c>
      <c r="C706" s="2">
        <f>IFERROR(__xludf.DUMMYFUNCTION("""COMPUTED_VALUE"""),307.65)</f>
        <v>307.65</v>
      </c>
    </row>
    <row r="707" ht="15.75" customHeight="1">
      <c r="B707" s="3">
        <f>IFERROR(__xludf.DUMMYFUNCTION("""COMPUTED_VALUE"""),43784.64583333333)</f>
        <v>43784.64583</v>
      </c>
      <c r="C707" s="2">
        <f>IFERROR(__xludf.DUMMYFUNCTION("""COMPUTED_VALUE"""),307.9)</f>
        <v>307.9</v>
      </c>
    </row>
    <row r="708" ht="15.75" customHeight="1">
      <c r="B708" s="3">
        <f>IFERROR(__xludf.DUMMYFUNCTION("""COMPUTED_VALUE"""),43791.64583333333)</f>
        <v>43791.64583</v>
      </c>
      <c r="C708" s="2">
        <f>IFERROR(__xludf.DUMMYFUNCTION("""COMPUTED_VALUE"""),364.0)</f>
        <v>364</v>
      </c>
    </row>
    <row r="709" ht="15.75" customHeight="1">
      <c r="B709" s="3">
        <f>IFERROR(__xludf.DUMMYFUNCTION("""COMPUTED_VALUE"""),43798.64583333333)</f>
        <v>43798.64583</v>
      </c>
      <c r="C709" s="2">
        <f>IFERROR(__xludf.DUMMYFUNCTION("""COMPUTED_VALUE"""),354.9)</f>
        <v>354.9</v>
      </c>
    </row>
    <row r="710" ht="15.75" customHeight="1">
      <c r="B710" s="3">
        <f>IFERROR(__xludf.DUMMYFUNCTION("""COMPUTED_VALUE"""),43805.64583333333)</f>
        <v>43805.64583</v>
      </c>
      <c r="C710" s="2">
        <f>IFERROR(__xludf.DUMMYFUNCTION("""COMPUTED_VALUE"""),307.0)</f>
        <v>307</v>
      </c>
    </row>
    <row r="711" ht="15.75" customHeight="1">
      <c r="B711" s="3">
        <f>IFERROR(__xludf.DUMMYFUNCTION("""COMPUTED_VALUE"""),43812.64583333333)</f>
        <v>43812.64583</v>
      </c>
      <c r="C711" s="2">
        <f>IFERROR(__xludf.DUMMYFUNCTION("""COMPUTED_VALUE"""),297.0)</f>
        <v>297</v>
      </c>
    </row>
    <row r="712" ht="15.75" customHeight="1">
      <c r="B712" s="3">
        <f>IFERROR(__xludf.DUMMYFUNCTION("""COMPUTED_VALUE"""),43819.64583333333)</f>
        <v>43819.64583</v>
      </c>
      <c r="C712" s="2">
        <f>IFERROR(__xludf.DUMMYFUNCTION("""COMPUTED_VALUE"""),287.95)</f>
        <v>287.95</v>
      </c>
    </row>
    <row r="713" ht="15.75" customHeight="1">
      <c r="B713" s="3">
        <f>IFERROR(__xludf.DUMMYFUNCTION("""COMPUTED_VALUE"""),43826.64583333333)</f>
        <v>43826.64583</v>
      </c>
      <c r="C713" s="2">
        <f>IFERROR(__xludf.DUMMYFUNCTION("""COMPUTED_VALUE"""),304.9)</f>
        <v>304.9</v>
      </c>
    </row>
    <row r="714" ht="15.75" customHeight="1"/>
    <row r="715" ht="15.75" customHeight="1"/>
    <row r="716" ht="15.75" customHeight="1">
      <c r="B716" s="2" t="str">
        <f>IFERROR(__xludf.DUMMYFUNCTION("GOOGLEFINANCE(""NSE:ZEEL"", ""high"",DATE(2020,1,1),DATE(2021,1,1),""weekly"")"),"Date")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IFERROR(__xludf.DUMMYFUNCTION("""COMPUTED_VALUE"""),43833.64583333333)</f>
        <v>43833.64583</v>
      </c>
      <c r="C717" s="2">
        <f>IFERROR(__xludf.DUMMYFUNCTION("""COMPUTED_VALUE"""),304.5)</f>
        <v>304.5</v>
      </c>
    </row>
    <row r="718" ht="15.75" customHeight="1">
      <c r="B718" s="3">
        <f>IFERROR(__xludf.DUMMYFUNCTION("""COMPUTED_VALUE"""),43840.64583333333)</f>
        <v>43840.64583</v>
      </c>
      <c r="C718" s="2">
        <f>IFERROR(__xludf.DUMMYFUNCTION("""COMPUTED_VALUE"""),275.2)</f>
        <v>275.2</v>
      </c>
    </row>
    <row r="719" ht="15.75" customHeight="1">
      <c r="B719" s="3">
        <f>IFERROR(__xludf.DUMMYFUNCTION("""COMPUTED_VALUE"""),43847.64583333333)</f>
        <v>43847.64583</v>
      </c>
      <c r="C719" s="2">
        <f>IFERROR(__xludf.DUMMYFUNCTION("""COMPUTED_VALUE"""),284.45)</f>
        <v>284.45</v>
      </c>
    </row>
    <row r="720" ht="15.75" customHeight="1">
      <c r="B720" s="3">
        <f>IFERROR(__xludf.DUMMYFUNCTION("""COMPUTED_VALUE"""),43854.64583333333)</f>
        <v>43854.64583</v>
      </c>
      <c r="C720" s="2">
        <f>IFERROR(__xludf.DUMMYFUNCTION("""COMPUTED_VALUE"""),304.0)</f>
        <v>304</v>
      </c>
    </row>
    <row r="721" ht="15.75" customHeight="1">
      <c r="B721" s="3">
        <f>IFERROR(__xludf.DUMMYFUNCTION("""COMPUTED_VALUE"""),43862.70833333333)</f>
        <v>43862.70833</v>
      </c>
      <c r="C721" s="2">
        <f>IFERROR(__xludf.DUMMYFUNCTION("""COMPUTED_VALUE"""),281.9)</f>
        <v>281.9</v>
      </c>
    </row>
    <row r="722" ht="15.75" customHeight="1">
      <c r="B722" s="3">
        <f>IFERROR(__xludf.DUMMYFUNCTION("""COMPUTED_VALUE"""),43868.64583333333)</f>
        <v>43868.64583</v>
      </c>
      <c r="C722" s="2">
        <f>IFERROR(__xludf.DUMMYFUNCTION("""COMPUTED_VALUE"""),268.0)</f>
        <v>268</v>
      </c>
    </row>
    <row r="723" ht="15.75" customHeight="1">
      <c r="B723" s="3">
        <f>IFERROR(__xludf.DUMMYFUNCTION("""COMPUTED_VALUE"""),43875.64583333333)</f>
        <v>43875.64583</v>
      </c>
      <c r="C723" s="2">
        <f>IFERROR(__xludf.DUMMYFUNCTION("""COMPUTED_VALUE"""),249.75)</f>
        <v>249.75</v>
      </c>
    </row>
    <row r="724" ht="15.75" customHeight="1">
      <c r="B724" s="3">
        <f>IFERROR(__xludf.DUMMYFUNCTION("""COMPUTED_VALUE"""),43881.64583333333)</f>
        <v>43881.64583</v>
      </c>
      <c r="C724" s="2">
        <f>IFERROR(__xludf.DUMMYFUNCTION("""COMPUTED_VALUE"""),260.85)</f>
        <v>260.85</v>
      </c>
    </row>
    <row r="725" ht="15.75" customHeight="1">
      <c r="B725" s="3">
        <f>IFERROR(__xludf.DUMMYFUNCTION("""COMPUTED_VALUE"""),43889.64583333333)</f>
        <v>43889.64583</v>
      </c>
      <c r="C725" s="2">
        <f>IFERROR(__xludf.DUMMYFUNCTION("""COMPUTED_VALUE"""),257.3)</f>
        <v>257.3</v>
      </c>
    </row>
    <row r="726" ht="15.75" customHeight="1">
      <c r="B726" s="3">
        <f>IFERROR(__xludf.DUMMYFUNCTION("""COMPUTED_VALUE"""),43896.64583333333)</f>
        <v>43896.64583</v>
      </c>
      <c r="C726" s="2">
        <f>IFERROR(__xludf.DUMMYFUNCTION("""COMPUTED_VALUE"""),255.95)</f>
        <v>255.95</v>
      </c>
    </row>
    <row r="727" ht="15.75" customHeight="1">
      <c r="B727" s="3">
        <f>IFERROR(__xludf.DUMMYFUNCTION("""COMPUTED_VALUE"""),43903.64583333333)</f>
        <v>43903.64583</v>
      </c>
      <c r="C727" s="2">
        <f>IFERROR(__xludf.DUMMYFUNCTION("""COMPUTED_VALUE"""),215.95)</f>
        <v>215.95</v>
      </c>
    </row>
    <row r="728" ht="15.75" customHeight="1">
      <c r="B728" s="3">
        <f>IFERROR(__xludf.DUMMYFUNCTION("""COMPUTED_VALUE"""),43910.64583333333)</f>
        <v>43910.64583</v>
      </c>
      <c r="C728" s="2">
        <f>IFERROR(__xludf.DUMMYFUNCTION("""COMPUTED_VALUE"""),185.0)</f>
        <v>185</v>
      </c>
    </row>
    <row r="729" ht="15.75" customHeight="1">
      <c r="B729" s="3">
        <f>IFERROR(__xludf.DUMMYFUNCTION("""COMPUTED_VALUE"""),43917.64583333333)</f>
        <v>43917.64583</v>
      </c>
      <c r="C729" s="2">
        <f>IFERROR(__xludf.DUMMYFUNCTION("""COMPUTED_VALUE"""),144.7)</f>
        <v>144.7</v>
      </c>
    </row>
    <row r="730" ht="15.75" customHeight="1">
      <c r="B730" s="3">
        <f>IFERROR(__xludf.DUMMYFUNCTION("""COMPUTED_VALUE"""),43924.64583333333)</f>
        <v>43924.64583</v>
      </c>
      <c r="C730" s="2">
        <f>IFERROR(__xludf.DUMMYFUNCTION("""COMPUTED_VALUE"""),135.0)</f>
        <v>135</v>
      </c>
    </row>
    <row r="731" ht="15.75" customHeight="1">
      <c r="B731" s="3">
        <f>IFERROR(__xludf.DUMMYFUNCTION("""COMPUTED_VALUE"""),43930.64583333333)</f>
        <v>43930.64583</v>
      </c>
      <c r="C731" s="2">
        <f>IFERROR(__xludf.DUMMYFUNCTION("""COMPUTED_VALUE"""),151.3)</f>
        <v>151.3</v>
      </c>
    </row>
    <row r="732" ht="15.75" customHeight="1">
      <c r="B732" s="3">
        <f>IFERROR(__xludf.DUMMYFUNCTION("""COMPUTED_VALUE"""),43938.64583333333)</f>
        <v>43938.64583</v>
      </c>
      <c r="C732" s="2">
        <f>IFERROR(__xludf.DUMMYFUNCTION("""COMPUTED_VALUE"""),143.0)</f>
        <v>143</v>
      </c>
    </row>
    <row r="733" ht="15.75" customHeight="1">
      <c r="B733" s="3">
        <f>IFERROR(__xludf.DUMMYFUNCTION("""COMPUTED_VALUE"""),43945.64583333333)</f>
        <v>43945.64583</v>
      </c>
      <c r="C733" s="2">
        <f>IFERROR(__xludf.DUMMYFUNCTION("""COMPUTED_VALUE"""),173.4)</f>
        <v>173.4</v>
      </c>
    </row>
    <row r="734" ht="15.75" customHeight="1">
      <c r="B734" s="3">
        <f>IFERROR(__xludf.DUMMYFUNCTION("""COMPUTED_VALUE"""),43951.64583333333)</f>
        <v>43951.64583</v>
      </c>
      <c r="C734" s="2">
        <f>IFERROR(__xludf.DUMMYFUNCTION("""COMPUTED_VALUE"""),166.0)</f>
        <v>166</v>
      </c>
    </row>
    <row r="735" ht="15.75" customHeight="1">
      <c r="B735" s="3">
        <f>IFERROR(__xludf.DUMMYFUNCTION("""COMPUTED_VALUE"""),43959.64583333333)</f>
        <v>43959.64583</v>
      </c>
      <c r="C735" s="2">
        <f>IFERROR(__xludf.DUMMYFUNCTION("""COMPUTED_VALUE"""),158.75)</f>
        <v>158.75</v>
      </c>
    </row>
    <row r="736" ht="15.75" customHeight="1">
      <c r="B736" s="3">
        <f>IFERROR(__xludf.DUMMYFUNCTION("""COMPUTED_VALUE"""),43966.64583333333)</f>
        <v>43966.64583</v>
      </c>
      <c r="C736" s="2">
        <f>IFERROR(__xludf.DUMMYFUNCTION("""COMPUTED_VALUE"""),172.95)</f>
        <v>172.95</v>
      </c>
    </row>
    <row r="737" ht="15.75" customHeight="1">
      <c r="B737" s="3">
        <f>IFERROR(__xludf.DUMMYFUNCTION("""COMPUTED_VALUE"""),43973.64583333333)</f>
        <v>43973.64583</v>
      </c>
      <c r="C737" s="2">
        <f>IFERROR(__xludf.DUMMYFUNCTION("""COMPUTED_VALUE"""),165.0)</f>
        <v>165</v>
      </c>
    </row>
    <row r="738" ht="15.75" customHeight="1">
      <c r="B738" s="3">
        <f>IFERROR(__xludf.DUMMYFUNCTION("""COMPUTED_VALUE"""),43980.64583333333)</f>
        <v>43980.64583</v>
      </c>
      <c r="C738" s="2">
        <f>IFERROR(__xludf.DUMMYFUNCTION("""COMPUTED_VALUE"""),189.05)</f>
        <v>189.05</v>
      </c>
    </row>
    <row r="739" ht="15.75" customHeight="1">
      <c r="B739" s="3">
        <f>IFERROR(__xludf.DUMMYFUNCTION("""COMPUTED_VALUE"""),43987.64583333333)</f>
        <v>43987.64583</v>
      </c>
      <c r="C739" s="2">
        <f>IFERROR(__xludf.DUMMYFUNCTION("""COMPUTED_VALUE"""),210.45)</f>
        <v>210.45</v>
      </c>
    </row>
    <row r="740" ht="15.75" customHeight="1">
      <c r="B740" s="3">
        <f>IFERROR(__xludf.DUMMYFUNCTION("""COMPUTED_VALUE"""),43994.64583333333)</f>
        <v>43994.64583</v>
      </c>
      <c r="C740" s="2">
        <f>IFERROR(__xludf.DUMMYFUNCTION("""COMPUTED_VALUE"""),210.5)</f>
        <v>210.5</v>
      </c>
    </row>
    <row r="741" ht="15.75" customHeight="1">
      <c r="B741" s="3">
        <f>IFERROR(__xludf.DUMMYFUNCTION("""COMPUTED_VALUE"""),44001.64583333333)</f>
        <v>44001.64583</v>
      </c>
      <c r="C741" s="2">
        <f>IFERROR(__xludf.DUMMYFUNCTION("""COMPUTED_VALUE"""),178.2)</f>
        <v>178.2</v>
      </c>
    </row>
    <row r="742" ht="15.75" customHeight="1">
      <c r="B742" s="3">
        <f>IFERROR(__xludf.DUMMYFUNCTION("""COMPUTED_VALUE"""),44008.64583333333)</f>
        <v>44008.64583</v>
      </c>
      <c r="C742" s="2">
        <f>IFERROR(__xludf.DUMMYFUNCTION("""COMPUTED_VALUE"""),186.9)</f>
        <v>186.9</v>
      </c>
    </row>
    <row r="743" ht="15.75" customHeight="1">
      <c r="B743" s="3">
        <f>IFERROR(__xludf.DUMMYFUNCTION("""COMPUTED_VALUE"""),44015.64583333333)</f>
        <v>44015.64583</v>
      </c>
      <c r="C743" s="2">
        <f>IFERROR(__xludf.DUMMYFUNCTION("""COMPUTED_VALUE"""),179.25)</f>
        <v>179.25</v>
      </c>
    </row>
    <row r="744" ht="15.75" customHeight="1">
      <c r="B744" s="3">
        <f>IFERROR(__xludf.DUMMYFUNCTION("""COMPUTED_VALUE"""),44022.64583333333)</f>
        <v>44022.64583</v>
      </c>
      <c r="C744" s="2">
        <f>IFERROR(__xludf.DUMMYFUNCTION("""COMPUTED_VALUE"""),183.3)</f>
        <v>183.3</v>
      </c>
    </row>
    <row r="745" ht="15.75" customHeight="1">
      <c r="B745" s="3">
        <f>IFERROR(__xludf.DUMMYFUNCTION("""COMPUTED_VALUE"""),44029.64583333333)</f>
        <v>44029.64583</v>
      </c>
      <c r="C745" s="2">
        <f>IFERROR(__xludf.DUMMYFUNCTION("""COMPUTED_VALUE"""),174.9)</f>
        <v>174.9</v>
      </c>
    </row>
    <row r="746" ht="15.75" customHeight="1">
      <c r="B746" s="3">
        <f>IFERROR(__xludf.DUMMYFUNCTION("""COMPUTED_VALUE"""),44036.64583333333)</f>
        <v>44036.64583</v>
      </c>
      <c r="C746" s="2">
        <f>IFERROR(__xludf.DUMMYFUNCTION("""COMPUTED_VALUE"""),167.75)</f>
        <v>167.75</v>
      </c>
    </row>
    <row r="747" ht="15.75" customHeight="1">
      <c r="B747" s="3">
        <f>IFERROR(__xludf.DUMMYFUNCTION("""COMPUTED_VALUE"""),44043.64583333333)</f>
        <v>44043.64583</v>
      </c>
      <c r="C747" s="2">
        <f>IFERROR(__xludf.DUMMYFUNCTION("""COMPUTED_VALUE"""),155.1)</f>
        <v>155.1</v>
      </c>
    </row>
    <row r="748" ht="15.75" customHeight="1">
      <c r="B748" s="3">
        <f>IFERROR(__xludf.DUMMYFUNCTION("""COMPUTED_VALUE"""),44050.64583333333)</f>
        <v>44050.64583</v>
      </c>
      <c r="C748" s="2">
        <f>IFERROR(__xludf.DUMMYFUNCTION("""COMPUTED_VALUE"""),152.6)</f>
        <v>152.6</v>
      </c>
    </row>
    <row r="749" ht="15.75" customHeight="1">
      <c r="B749" s="3">
        <f>IFERROR(__xludf.DUMMYFUNCTION("""COMPUTED_VALUE"""),44057.64583333333)</f>
        <v>44057.64583</v>
      </c>
      <c r="C749" s="2">
        <f>IFERROR(__xludf.DUMMYFUNCTION("""COMPUTED_VALUE"""),167.5)</f>
        <v>167.5</v>
      </c>
    </row>
    <row r="750" ht="15.75" customHeight="1">
      <c r="B750" s="3">
        <f>IFERROR(__xludf.DUMMYFUNCTION("""COMPUTED_VALUE"""),44064.64583333333)</f>
        <v>44064.64583</v>
      </c>
      <c r="C750" s="2">
        <f>IFERROR(__xludf.DUMMYFUNCTION("""COMPUTED_VALUE"""),207.0)</f>
        <v>207</v>
      </c>
    </row>
    <row r="751" ht="15.75" customHeight="1">
      <c r="B751" s="3">
        <f>IFERROR(__xludf.DUMMYFUNCTION("""COMPUTED_VALUE"""),44071.64583333333)</f>
        <v>44071.64583</v>
      </c>
      <c r="C751" s="2">
        <f>IFERROR(__xludf.DUMMYFUNCTION("""COMPUTED_VALUE"""),218.5)</f>
        <v>218.5</v>
      </c>
    </row>
    <row r="752" ht="15.75" customHeight="1">
      <c r="B752" s="3">
        <f>IFERROR(__xludf.DUMMYFUNCTION("""COMPUTED_VALUE"""),44078.64583333333)</f>
        <v>44078.64583</v>
      </c>
      <c r="C752" s="2">
        <f>IFERROR(__xludf.DUMMYFUNCTION("""COMPUTED_VALUE"""),225.35)</f>
        <v>225.35</v>
      </c>
    </row>
    <row r="753" ht="15.75" customHeight="1">
      <c r="B753" s="3">
        <f>IFERROR(__xludf.DUMMYFUNCTION("""COMPUTED_VALUE"""),44085.64583333333)</f>
        <v>44085.64583</v>
      </c>
      <c r="C753" s="2">
        <f>IFERROR(__xludf.DUMMYFUNCTION("""COMPUTED_VALUE"""),228.9)</f>
        <v>228.9</v>
      </c>
    </row>
    <row r="754" ht="15.75" customHeight="1">
      <c r="B754" s="3">
        <f>IFERROR(__xludf.DUMMYFUNCTION("""COMPUTED_VALUE"""),44092.64583333333)</f>
        <v>44092.64583</v>
      </c>
      <c r="C754" s="2">
        <f>IFERROR(__xludf.DUMMYFUNCTION("""COMPUTED_VALUE"""),226.65)</f>
        <v>226.65</v>
      </c>
    </row>
    <row r="755" ht="15.75" customHeight="1">
      <c r="B755" s="3">
        <f>IFERROR(__xludf.DUMMYFUNCTION("""COMPUTED_VALUE"""),44099.64583333333)</f>
        <v>44099.64583</v>
      </c>
      <c r="C755" s="2">
        <f>IFERROR(__xludf.DUMMYFUNCTION("""COMPUTED_VALUE"""),224.8)</f>
        <v>224.8</v>
      </c>
    </row>
    <row r="756" ht="15.75" customHeight="1">
      <c r="B756" s="3">
        <f>IFERROR(__xludf.DUMMYFUNCTION("""COMPUTED_VALUE"""),44105.64583333333)</f>
        <v>44105.64583</v>
      </c>
      <c r="C756" s="2">
        <f>IFERROR(__xludf.DUMMYFUNCTION("""COMPUTED_VALUE"""),215.0)</f>
        <v>215</v>
      </c>
    </row>
    <row r="757" ht="15.75" customHeight="1">
      <c r="B757" s="3">
        <f>IFERROR(__xludf.DUMMYFUNCTION("""COMPUTED_VALUE"""),44113.64583333333)</f>
        <v>44113.64583</v>
      </c>
      <c r="C757" s="2">
        <f>IFERROR(__xludf.DUMMYFUNCTION("""COMPUTED_VALUE"""),219.55)</f>
        <v>219.55</v>
      </c>
    </row>
    <row r="758" ht="15.75" customHeight="1">
      <c r="B758" s="3">
        <f>IFERROR(__xludf.DUMMYFUNCTION("""COMPUTED_VALUE"""),44120.64583333333)</f>
        <v>44120.64583</v>
      </c>
      <c r="C758" s="2">
        <f>IFERROR(__xludf.DUMMYFUNCTION("""COMPUTED_VALUE"""),198.0)</f>
        <v>198</v>
      </c>
    </row>
    <row r="759" ht="15.75" customHeight="1">
      <c r="B759" s="3">
        <f>IFERROR(__xludf.DUMMYFUNCTION("""COMPUTED_VALUE"""),44127.64583333333)</f>
        <v>44127.64583</v>
      </c>
      <c r="C759" s="2">
        <f>IFERROR(__xludf.DUMMYFUNCTION("""COMPUTED_VALUE"""),189.2)</f>
        <v>189.2</v>
      </c>
    </row>
    <row r="760" ht="15.75" customHeight="1">
      <c r="B760" s="3">
        <f>IFERROR(__xludf.DUMMYFUNCTION("""COMPUTED_VALUE"""),44134.64583333333)</f>
        <v>44134.64583</v>
      </c>
      <c r="C760" s="2">
        <f>IFERROR(__xludf.DUMMYFUNCTION("""COMPUTED_VALUE"""),189.65)</f>
        <v>189.65</v>
      </c>
    </row>
    <row r="761" ht="15.75" customHeight="1">
      <c r="B761" s="3">
        <f>IFERROR(__xludf.DUMMYFUNCTION("""COMPUTED_VALUE"""),44141.64583333333)</f>
        <v>44141.64583</v>
      </c>
      <c r="C761" s="2">
        <f>IFERROR(__xludf.DUMMYFUNCTION("""COMPUTED_VALUE"""),195.0)</f>
        <v>195</v>
      </c>
    </row>
    <row r="762" ht="15.75" customHeight="1">
      <c r="B762" s="3">
        <f>IFERROR(__xludf.DUMMYFUNCTION("""COMPUTED_VALUE"""),44155.64583333333)</f>
        <v>44155.64583</v>
      </c>
      <c r="C762" s="2">
        <f>IFERROR(__xludf.DUMMYFUNCTION("""COMPUTED_VALUE"""),195.2)</f>
        <v>195.2</v>
      </c>
    </row>
    <row r="763" ht="15.75" customHeight="1">
      <c r="B763" s="3">
        <f>IFERROR(__xludf.DUMMYFUNCTION("""COMPUTED_VALUE"""),44162.64583333333)</f>
        <v>44162.64583</v>
      </c>
      <c r="C763" s="2">
        <f>IFERROR(__xludf.DUMMYFUNCTION("""COMPUTED_VALUE"""),201.0)</f>
        <v>201</v>
      </c>
    </row>
    <row r="764" ht="15.75" customHeight="1">
      <c r="B764" s="3">
        <f>IFERROR(__xludf.DUMMYFUNCTION("""COMPUTED_VALUE"""),44169.64583333333)</f>
        <v>44169.64583</v>
      </c>
      <c r="C764" s="2">
        <f>IFERROR(__xludf.DUMMYFUNCTION("""COMPUTED_VALUE"""),212.3)</f>
        <v>212.3</v>
      </c>
    </row>
    <row r="765" ht="15.75" customHeight="1">
      <c r="B765" s="3">
        <f>IFERROR(__xludf.DUMMYFUNCTION("""COMPUTED_VALUE"""),44176.64583333333)</f>
        <v>44176.64583</v>
      </c>
      <c r="C765" s="2">
        <f>IFERROR(__xludf.DUMMYFUNCTION("""COMPUTED_VALUE"""),219.95)</f>
        <v>219.95</v>
      </c>
    </row>
    <row r="766" ht="15.75" customHeight="1">
      <c r="B766" s="3">
        <f>IFERROR(__xludf.DUMMYFUNCTION("""COMPUTED_VALUE"""),44183.64583333333)</f>
        <v>44183.64583</v>
      </c>
      <c r="C766" s="2">
        <f>IFERROR(__xludf.DUMMYFUNCTION("""COMPUTED_VALUE"""),238.2)</f>
        <v>238.2</v>
      </c>
    </row>
    <row r="767" ht="15.75" customHeight="1">
      <c r="B767" s="3">
        <f>IFERROR(__xludf.DUMMYFUNCTION("""COMPUTED_VALUE"""),44189.64583333333)</f>
        <v>44189.64583</v>
      </c>
      <c r="C767" s="2">
        <f>IFERROR(__xludf.DUMMYFUNCTION("""COMPUTED_VALUE"""),228.2)</f>
        <v>228.2</v>
      </c>
    </row>
    <row r="768" ht="15.75" customHeight="1">
      <c r="B768" s="3">
        <f>IFERROR(__xludf.DUMMYFUNCTION("""COMPUTED_VALUE"""),44197.64583333333)</f>
        <v>44197.64583</v>
      </c>
      <c r="C768" s="2">
        <f>IFERROR(__xludf.DUMMYFUNCTION("""COMPUTED_VALUE"""),226.6)</f>
        <v>226.6</v>
      </c>
    </row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IFERROR(__xludf.DUMMYFUNCTION("GOOGLEFINANCE(""NSE:BPCL"",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IFERROR(__xludf.DUMMYFUNCTION("""COMPUTED_VALUE"""),33.2)</f>
        <v>33.2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IFERROR(__xludf.DUMMYFUNCTION("""COMPUTED_VALUE"""),34.17)</f>
        <v>34.17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IFERROR(__xludf.DUMMYFUNCTION("""COMPUTED_VALUE"""),37.13)</f>
        <v>37.13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IFERROR(__xludf.DUMMYFUNCTION("""COMPUTED_VALUE"""),37.58)</f>
        <v>37.58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IFERROR(__xludf.DUMMYFUNCTION("""COMPUTED_VALUE"""),39.57)</f>
        <v>39.57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IFERROR(__xludf.DUMMYFUNCTION("""COMPUTED_VALUE"""),54.79)</f>
        <v>54.79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IFERROR(__xludf.DUMMYFUNCTION("""COMPUTED_VALUE"""),53.5)</f>
        <v>53.5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IFERROR(__xludf.DUMMYFUNCTION("""COMPUTED_VALUE"""),51.67)</f>
        <v>51.67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IFERROR(__xludf.DUMMYFUNCTION("""COMPUTED_VALUE"""),53.29)</f>
        <v>53.29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IFERROR(__xludf.DUMMYFUNCTION("""COMPUTED_VALUE"""),56.12)</f>
        <v>56.12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IFERROR(__xludf.DUMMYFUNCTION("""COMPUTED_VALUE"""),53.97)</f>
        <v>53.97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IFERROR(__xludf.DUMMYFUNCTION("""COMPUTED_VALUE"""),54.65)</f>
        <v>54.65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IFERROR(__xludf.DUMMYFUNCTION("""COMPUTED_VALUE"""),55.42)</f>
        <v>55.42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IFERROR(__xludf.DUMMYFUNCTION("""COMPUTED_VALUE"""),58.45)</f>
        <v>58.45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IFERROR(__xludf.DUMMYFUNCTION("""COMPUTED_VALUE"""),53.83)</f>
        <v>53.83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IFERROR(__xludf.DUMMYFUNCTION("""COMPUTED_VALUE"""),55.0)</f>
        <v>55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IFERROR(__xludf.DUMMYFUNCTION("""COMPUTED_VALUE"""),49.95)</f>
        <v>49.95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IFERROR(__xludf.DUMMYFUNCTION("""COMPUTED_VALUE"""),50.13)</f>
        <v>50.13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IFERROR(__xludf.DUMMYFUNCTION("""COMPUTED_VALUE"""),52.14)</f>
        <v>52.14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IFERROR(__xludf.DUMMYFUNCTION("""COMPUTED_VALUE"""),50.93)</f>
        <v>50.93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IFERROR(__xludf.DUMMYFUNCTION("""COMPUTED_VALUE"""),50.0)</f>
        <v>50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IFERROR(__xludf.DUMMYFUNCTION("""COMPUTED_VALUE"""),45.83)</f>
        <v>45.83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IFERROR(__xludf.DUMMYFUNCTION("""COMPUTED_VALUE"""),44.18)</f>
        <v>44.18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IFERROR(__xludf.DUMMYFUNCTION("""COMPUTED_VALUE"""),49.07)</f>
        <v>49.07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IFERROR(__xludf.DUMMYFUNCTION("""COMPUTED_VALUE"""),49.33)</f>
        <v>49.33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IFERROR(__xludf.DUMMYFUNCTION("""COMPUTED_VALUE"""),45.13)</f>
        <v>45.13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IFERROR(__xludf.DUMMYFUNCTION("""COMPUTED_VALUE"""),47.84)</f>
        <v>47.84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IFERROR(__xludf.DUMMYFUNCTION("""COMPUTED_VALUE"""),48.53)</f>
        <v>48.53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IFERROR(__xludf.DUMMYFUNCTION("""COMPUTED_VALUE"""),51.83)</f>
        <v>51.83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IFERROR(__xludf.DUMMYFUNCTION("""COMPUTED_VALUE"""),51.9)</f>
        <v>51.9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IFERROR(__xludf.DUMMYFUNCTION("""COMPUTED_VALUE"""),50.67)</f>
        <v>50.67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IFERROR(__xludf.DUMMYFUNCTION("""COMPUTED_VALUE"""),53.33)</f>
        <v>53.33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IFERROR(__xludf.DUMMYFUNCTION("""COMPUTED_VALUE"""),48.92)</f>
        <v>48.92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IFERROR(__xludf.DUMMYFUNCTION("""COMPUTED_VALUE"""),49.43)</f>
        <v>49.43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IFERROR(__xludf.DUMMYFUNCTION("""COMPUTED_VALUE"""),49.83)</f>
        <v>49.83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IFERROR(__xludf.DUMMYFUNCTION("""COMPUTED_VALUE"""),46.17)</f>
        <v>46.17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IFERROR(__xludf.DUMMYFUNCTION("""COMPUTED_VALUE"""),39.95)</f>
        <v>39.95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IFERROR(__xludf.DUMMYFUNCTION("""COMPUTED_VALUE"""),34.63)</f>
        <v>34.63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IFERROR(__xludf.DUMMYFUNCTION("""COMPUTED_VALUE"""),32.65)</f>
        <v>32.65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IFERROR(__xludf.DUMMYFUNCTION("""COMPUTED_VALUE"""),30.53)</f>
        <v>30.53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IFERROR(__xludf.DUMMYFUNCTION("""COMPUTED_VALUE"""),36.67)</f>
        <v>36.67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IFERROR(__xludf.DUMMYFUNCTION("""COMPUTED_VALUE"""),34.0)</f>
        <v>34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IFERROR(__xludf.DUMMYFUNCTION("""COMPUTED_VALUE"""),32.7)</f>
        <v>32.7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IFERROR(__xludf.DUMMYFUNCTION("""COMPUTED_VALUE"""),34.17)</f>
        <v>34.17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IFERROR(__xludf.DUMMYFUNCTION("""COMPUTED_VALUE"""),32.98)</f>
        <v>32.98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IFERROR(__xludf.DUMMYFUNCTION("""COMPUTED_VALUE"""),32.06)</f>
        <v>32.06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IFERROR(__xludf.DUMMYFUNCTION("""COMPUTED_VALUE"""),31.44)</f>
        <v>31.44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IFERROR(__xludf.DUMMYFUNCTION("""COMPUTED_VALUE"""),32.08)</f>
        <v>32.08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IFERROR(__xludf.DUMMYFUNCTION("""COMPUTED_VALUE"""),38.98)</f>
        <v>38.98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IFERROR(__xludf.DUMMYFUNCTION("""COMPUTED_VALUE"""),38.57)</f>
        <v>38.57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IFERROR(__xludf.DUMMYFUNCTION("""COMPUTED_VALUE"""),37.58)</f>
        <v>37.58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IFERROR(__xludf.DUMMYFUNCTION("""COMPUTED_VALUE"""),37.28)</f>
        <v>37.28</v>
      </c>
    </row>
    <row r="54" ht="15.75" customHeight="1"/>
    <row r="55" ht="15.75" customHeight="1"/>
    <row r="56" ht="15.75" customHeight="1">
      <c r="B56" s="2" t="str">
        <f>IFERROR(__xludf.DUMMYFUNCTION("GOOGLEFINANCE(""NSE:BPCL"",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IFERROR(__xludf.DUMMYFUNCTION("""COMPUTED_VALUE"""),40.07)</f>
        <v>40.07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IFERROR(__xludf.DUMMYFUNCTION("""COMPUTED_VALUE"""),39.4)</f>
        <v>39.4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IFERROR(__xludf.DUMMYFUNCTION("""COMPUTED_VALUE"""),38.63)</f>
        <v>38.63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IFERROR(__xludf.DUMMYFUNCTION("""COMPUTED_VALUE"""),39.0)</f>
        <v>39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IFERROR(__xludf.DUMMYFUNCTION("""COMPUTED_VALUE"""),38.33)</f>
        <v>38.33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IFERROR(__xludf.DUMMYFUNCTION("""COMPUTED_VALUE"""),34.67)</f>
        <v>34.67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IFERROR(__xludf.DUMMYFUNCTION("""COMPUTED_VALUE"""),35.25)</f>
        <v>35.25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IFERROR(__xludf.DUMMYFUNCTION("""COMPUTED_VALUE"""),37.49)</f>
        <v>37.49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IFERROR(__xludf.DUMMYFUNCTION("""COMPUTED_VALUE"""),38.1)</f>
        <v>38.1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IFERROR(__xludf.DUMMYFUNCTION("""COMPUTED_VALUE"""),37.73)</f>
        <v>37.73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IFERROR(__xludf.DUMMYFUNCTION("""COMPUTED_VALUE"""),35.99)</f>
        <v>35.99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IFERROR(__xludf.DUMMYFUNCTION("""COMPUTED_VALUE"""),37.88)</f>
        <v>37.88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IFERROR(__xludf.DUMMYFUNCTION("""COMPUTED_VALUE"""),39.17)</f>
        <v>39.17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IFERROR(__xludf.DUMMYFUNCTION("""COMPUTED_VALUE"""),39.97)</f>
        <v>39.97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IFERROR(__xludf.DUMMYFUNCTION("""COMPUTED_VALUE"""),38.67)</f>
        <v>38.67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IFERROR(__xludf.DUMMYFUNCTION("""COMPUTED_VALUE"""),39.38)</f>
        <v>39.38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IFERROR(__xludf.DUMMYFUNCTION("""COMPUTED_VALUE"""),39.0)</f>
        <v>39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IFERROR(__xludf.DUMMYFUNCTION("""COMPUTED_VALUE"""),42.14)</f>
        <v>42.14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IFERROR(__xludf.DUMMYFUNCTION("""COMPUTED_VALUE"""),41.67)</f>
        <v>41.67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IFERROR(__xludf.DUMMYFUNCTION("""COMPUTED_VALUE"""),42.15)</f>
        <v>42.15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IFERROR(__xludf.DUMMYFUNCTION("""COMPUTED_VALUE"""),45.45)</f>
        <v>45.45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IFERROR(__xludf.DUMMYFUNCTION("""COMPUTED_VALUE"""),45.83)</f>
        <v>45.83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IFERROR(__xludf.DUMMYFUNCTION("""COMPUTED_VALUE"""),45.28)</f>
        <v>45.28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IFERROR(__xludf.DUMMYFUNCTION("""COMPUTED_VALUE"""),46.6)</f>
        <v>46.6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IFERROR(__xludf.DUMMYFUNCTION("""COMPUTED_VALUE"""),49.23)</f>
        <v>49.23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IFERROR(__xludf.DUMMYFUNCTION("""COMPUTED_VALUE"""),48.8)</f>
        <v>48.8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IFERROR(__xludf.DUMMYFUNCTION("""COMPUTED_VALUE"""),51.13)</f>
        <v>51.13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IFERROR(__xludf.DUMMYFUNCTION("""COMPUTED_VALUE"""),49.79)</f>
        <v>49.79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IFERROR(__xludf.DUMMYFUNCTION("""COMPUTED_VALUE"""),44.97)</f>
        <v>44.97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IFERROR(__xludf.DUMMYFUNCTION("""COMPUTED_VALUE"""),47.11)</f>
        <v>47.11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IFERROR(__xludf.DUMMYFUNCTION("""COMPUTED_VALUE"""),47.5)</f>
        <v>47.5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IFERROR(__xludf.DUMMYFUNCTION("""COMPUTED_VALUE"""),48.5)</f>
        <v>48.5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IFERROR(__xludf.DUMMYFUNCTION("""COMPUTED_VALUE"""),52.5)</f>
        <v>52.5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IFERROR(__xludf.DUMMYFUNCTION("""COMPUTED_VALUE"""),57.67)</f>
        <v>57.67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IFERROR(__xludf.DUMMYFUNCTION("""COMPUTED_VALUE"""),57.95)</f>
        <v>57.95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IFERROR(__xludf.DUMMYFUNCTION("""COMPUTED_VALUE"""),61.5)</f>
        <v>61.5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IFERROR(__xludf.DUMMYFUNCTION("""COMPUTED_VALUE"""),58.33)</f>
        <v>58.33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IFERROR(__xludf.DUMMYFUNCTION("""COMPUTED_VALUE"""),60.83)</f>
        <v>60.83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IFERROR(__xludf.DUMMYFUNCTION("""COMPUTED_VALUE"""),62.73)</f>
        <v>62.73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IFERROR(__xludf.DUMMYFUNCTION("""COMPUTED_VALUE"""),64.08)</f>
        <v>64.08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IFERROR(__xludf.DUMMYFUNCTION("""COMPUTED_VALUE"""),61.17)</f>
        <v>61.17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IFERROR(__xludf.DUMMYFUNCTION("""COMPUTED_VALUE"""),57.67)</f>
        <v>57.67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IFERROR(__xludf.DUMMYFUNCTION("""COMPUTED_VALUE"""),61.23)</f>
        <v>61.23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IFERROR(__xludf.DUMMYFUNCTION("""COMPUTED_VALUE"""),60.78)</f>
        <v>60.78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IFERROR(__xludf.DUMMYFUNCTION("""COMPUTED_VALUE"""),60.11)</f>
        <v>60.11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IFERROR(__xludf.DUMMYFUNCTION("""COMPUTED_VALUE"""),63.9)</f>
        <v>63.9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IFERROR(__xludf.DUMMYFUNCTION("""COMPUTED_VALUE"""),66.42)</f>
        <v>66.42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IFERROR(__xludf.DUMMYFUNCTION("""COMPUTED_VALUE"""),77.82)</f>
        <v>77.82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IFERROR(__xludf.DUMMYFUNCTION("""COMPUTED_VALUE"""),74.64)</f>
        <v>74.64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IFERROR(__xludf.DUMMYFUNCTION("GOOGLEFINANCE(""NSE:BPCL"",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IFERROR(__xludf.DUMMYFUNCTION("""COMPUTED_VALUE"""),80.42)</f>
        <v>80.42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IFERROR(__xludf.DUMMYFUNCTION("""COMPUTED_VALUE"""),88.83)</f>
        <v>88.83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IFERROR(__xludf.DUMMYFUNCTION("""COMPUTED_VALUE"""),88.47)</f>
        <v>88.47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IFERROR(__xludf.DUMMYFUNCTION("""COMPUTED_VALUE"""),81.24)</f>
        <v>81.24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IFERROR(__xludf.DUMMYFUNCTION("""COMPUTED_VALUE"""),86.03)</f>
        <v>86.03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IFERROR(__xludf.DUMMYFUNCTION("""COMPUTED_VALUE"""),78.78)</f>
        <v>78.78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IFERROR(__xludf.DUMMYFUNCTION("""COMPUTED_VALUE"""),83.66)</f>
        <v>83.66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IFERROR(__xludf.DUMMYFUNCTION("""COMPUTED_VALUE"""),82.5)</f>
        <v>82.5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IFERROR(__xludf.DUMMYFUNCTION("""COMPUTED_VALUE"""),78.33)</f>
        <v>78.33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IFERROR(__xludf.DUMMYFUNCTION("""COMPUTED_VALUE"""),83.75)</f>
        <v>83.75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IFERROR(__xludf.DUMMYFUNCTION("""COMPUTED_VALUE"""),86.5)</f>
        <v>86.5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IFERROR(__xludf.DUMMYFUNCTION("""COMPUTED_VALUE"""),80.49)</f>
        <v>80.49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IFERROR(__xludf.DUMMYFUNCTION("""COMPUTED_VALUE"""),79.28)</f>
        <v>79.28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IFERROR(__xludf.DUMMYFUNCTION("""COMPUTED_VALUE"""),83.33)</f>
        <v>83.33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IFERROR(__xludf.DUMMYFUNCTION("""COMPUTED_VALUE"""),84.05)</f>
        <v>84.05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IFERROR(__xludf.DUMMYFUNCTION("""COMPUTED_VALUE"""),85.54)</f>
        <v>85.54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IFERROR(__xludf.DUMMYFUNCTION("""COMPUTED_VALUE"""),83.17)</f>
        <v>83.17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IFERROR(__xludf.DUMMYFUNCTION("""COMPUTED_VALUE"""),79.66)</f>
        <v>79.66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IFERROR(__xludf.DUMMYFUNCTION("""COMPUTED_VALUE"""),83.33)</f>
        <v>83.33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IFERROR(__xludf.DUMMYFUNCTION("""COMPUTED_VALUE"""),62.0)</f>
        <v>62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IFERROR(__xludf.DUMMYFUNCTION("""COMPUTED_VALUE"""),57.83)</f>
        <v>57.83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IFERROR(__xludf.DUMMYFUNCTION("""COMPUTED_VALUE"""),56.5)</f>
        <v>56.5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IFERROR(__xludf.DUMMYFUNCTION("""COMPUTED_VALUE"""),61.47)</f>
        <v>61.47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IFERROR(__xludf.DUMMYFUNCTION("""COMPUTED_VALUE"""),62.67)</f>
        <v>62.67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IFERROR(__xludf.DUMMYFUNCTION("""COMPUTED_VALUE"""),59.42)</f>
        <v>59.42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IFERROR(__xludf.DUMMYFUNCTION("""COMPUTED_VALUE"""),60.83)</f>
        <v>60.83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IFERROR(__xludf.DUMMYFUNCTION("""COMPUTED_VALUE"""),60.83)</f>
        <v>60.83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IFERROR(__xludf.DUMMYFUNCTION("""COMPUTED_VALUE"""),54.83)</f>
        <v>54.83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IFERROR(__xludf.DUMMYFUNCTION("""COMPUTED_VALUE"""),57.48)</f>
        <v>57.48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IFERROR(__xludf.DUMMYFUNCTION("""COMPUTED_VALUE"""),62.5)</f>
        <v>62.5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IFERROR(__xludf.DUMMYFUNCTION("""COMPUTED_VALUE"""),59.33)</f>
        <v>59.33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IFERROR(__xludf.DUMMYFUNCTION("""COMPUTED_VALUE"""),58.32)</f>
        <v>58.32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IFERROR(__xludf.DUMMYFUNCTION("""COMPUTED_VALUE"""),58.0)</f>
        <v>58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IFERROR(__xludf.DUMMYFUNCTION("""COMPUTED_VALUE"""),60.4)</f>
        <v>60.4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IFERROR(__xludf.DUMMYFUNCTION("""COMPUTED_VALUE"""),59.98)</f>
        <v>59.98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IFERROR(__xludf.DUMMYFUNCTION("""COMPUTED_VALUE"""),58.15)</f>
        <v>58.15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IFERROR(__xludf.DUMMYFUNCTION("""COMPUTED_VALUE"""),62.4)</f>
        <v>62.4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IFERROR(__xludf.DUMMYFUNCTION("""COMPUTED_VALUE"""),62.3)</f>
        <v>62.3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IFERROR(__xludf.DUMMYFUNCTION("""COMPUTED_VALUE"""),61.87)</f>
        <v>61.87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IFERROR(__xludf.DUMMYFUNCTION("""COMPUTED_VALUE"""),59.63)</f>
        <v>59.63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IFERROR(__xludf.DUMMYFUNCTION("""COMPUTED_VALUE"""),60.67)</f>
        <v>60.67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IFERROR(__xludf.DUMMYFUNCTION("""COMPUTED_VALUE"""),59.05)</f>
        <v>59.05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IFERROR(__xludf.DUMMYFUNCTION("""COMPUTED_VALUE"""),66.67)</f>
        <v>66.67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IFERROR(__xludf.DUMMYFUNCTION("""COMPUTED_VALUE"""),70.0)</f>
        <v>70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IFERROR(__xludf.DUMMYFUNCTION("""COMPUTED_VALUE"""),73.3)</f>
        <v>73.3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IFERROR(__xludf.DUMMYFUNCTION("""COMPUTED_VALUE"""),68.15)</f>
        <v>68.15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IFERROR(__xludf.DUMMYFUNCTION("""COMPUTED_VALUE"""),76.65)</f>
        <v>76.65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IFERROR(__xludf.DUMMYFUNCTION("""COMPUTED_VALUE"""),74.0)</f>
        <v>74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IFERROR(__xludf.DUMMYFUNCTION("""COMPUTED_VALUE"""),74.33)</f>
        <v>74.33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IFERROR(__xludf.DUMMYFUNCTION("""COMPUTED_VALUE"""),75.17)</f>
        <v>75.17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IFERROR(__xludf.DUMMYFUNCTION("""COMPUTED_VALUE"""),77.83)</f>
        <v>77.83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IFERROR(__xludf.DUMMYFUNCTION("GOOGLEFINANCE(""NSE:BPCL"",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IFERROR(__xludf.DUMMYFUNCTION("""COMPUTED_VALUE"""),79.15)</f>
        <v>79.15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IFERROR(__xludf.DUMMYFUNCTION("""COMPUTED_VALUE"""),77.33)</f>
        <v>77.33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IFERROR(__xludf.DUMMYFUNCTION("""COMPUTED_VALUE"""),71.67)</f>
        <v>71.67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IFERROR(__xludf.DUMMYFUNCTION("""COMPUTED_VALUE"""),70.82)</f>
        <v>70.82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IFERROR(__xludf.DUMMYFUNCTION("""COMPUTED_VALUE"""),76.5)</f>
        <v>76.5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IFERROR(__xludf.DUMMYFUNCTION("""COMPUTED_VALUE"""),76.63)</f>
        <v>76.63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IFERROR(__xludf.DUMMYFUNCTION("""COMPUTED_VALUE"""),76.33)</f>
        <v>76.33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IFERROR(__xludf.DUMMYFUNCTION("""COMPUTED_VALUE"""),72.48)</f>
        <v>72.48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IFERROR(__xludf.DUMMYFUNCTION("""COMPUTED_VALUE"""),75.17)</f>
        <v>75.17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IFERROR(__xludf.DUMMYFUNCTION("""COMPUTED_VALUE"""),69.07)</f>
        <v>69.07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IFERROR(__xludf.DUMMYFUNCTION("""COMPUTED_VALUE"""),69.17)</f>
        <v>69.17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IFERROR(__xludf.DUMMYFUNCTION("""COMPUTED_VALUE"""),65.83)</f>
        <v>65.83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IFERROR(__xludf.DUMMYFUNCTION("""COMPUTED_VALUE"""),63.0)</f>
        <v>63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IFERROR(__xludf.DUMMYFUNCTION("""COMPUTED_VALUE"""),62.33)</f>
        <v>62.33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IFERROR(__xludf.DUMMYFUNCTION("""COMPUTED_VALUE"""),61.98)</f>
        <v>61.98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IFERROR(__xludf.DUMMYFUNCTION("""COMPUTED_VALUE"""),63.63)</f>
        <v>63.63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IFERROR(__xludf.DUMMYFUNCTION("""COMPUTED_VALUE"""),61.49)</f>
        <v>61.49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IFERROR(__xludf.DUMMYFUNCTION("""COMPUTED_VALUE"""),63.33)</f>
        <v>63.33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IFERROR(__xludf.DUMMYFUNCTION("""COMPUTED_VALUE"""),63.32)</f>
        <v>63.32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IFERROR(__xludf.DUMMYFUNCTION("""COMPUTED_VALUE"""),64.17)</f>
        <v>64.17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IFERROR(__xludf.DUMMYFUNCTION("""COMPUTED_VALUE"""),67.0)</f>
        <v>67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IFERROR(__xludf.DUMMYFUNCTION("""COMPUTED_VALUE"""),65.0)</f>
        <v>65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IFERROR(__xludf.DUMMYFUNCTION("""COMPUTED_VALUE"""),63.5)</f>
        <v>63.5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IFERROR(__xludf.DUMMYFUNCTION("""COMPUTED_VALUE"""),63.75)</f>
        <v>63.75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IFERROR(__xludf.DUMMYFUNCTION("""COMPUTED_VALUE"""),63.14)</f>
        <v>63.14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IFERROR(__xludf.DUMMYFUNCTION("""COMPUTED_VALUE"""),62.42)</f>
        <v>62.42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IFERROR(__xludf.DUMMYFUNCTION("""COMPUTED_VALUE"""),60.83)</f>
        <v>60.83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IFERROR(__xludf.DUMMYFUNCTION("""COMPUTED_VALUE"""),59.15)</f>
        <v>59.15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IFERROR(__xludf.DUMMYFUNCTION("""COMPUTED_VALUE"""),62.17)</f>
        <v>62.17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IFERROR(__xludf.DUMMYFUNCTION("""COMPUTED_VALUE"""),65.67)</f>
        <v>65.67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IFERROR(__xludf.DUMMYFUNCTION("""COMPUTED_VALUE"""),61.67)</f>
        <v>61.67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IFERROR(__xludf.DUMMYFUNCTION("""COMPUTED_VALUE"""),61.0)</f>
        <v>61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IFERROR(__xludf.DUMMYFUNCTION("""COMPUTED_VALUE"""),62.33)</f>
        <v>62.33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IFERROR(__xludf.DUMMYFUNCTION("""COMPUTED_VALUE"""),65.32)</f>
        <v>65.32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IFERROR(__xludf.DUMMYFUNCTION("""COMPUTED_VALUE"""),64.65)</f>
        <v>64.65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IFERROR(__xludf.DUMMYFUNCTION("""COMPUTED_VALUE"""),65.0)</f>
        <v>65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IFERROR(__xludf.DUMMYFUNCTION("""COMPUTED_VALUE"""),69.17)</f>
        <v>69.17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IFERROR(__xludf.DUMMYFUNCTION("""COMPUTED_VALUE"""),70.33)</f>
        <v>70.33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IFERROR(__xludf.DUMMYFUNCTION("""COMPUTED_VALUE"""),71.57)</f>
        <v>71.57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IFERROR(__xludf.DUMMYFUNCTION("""COMPUTED_VALUE"""),69.83)</f>
        <v>69.83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IFERROR(__xludf.DUMMYFUNCTION("""COMPUTED_VALUE"""),67.83)</f>
        <v>67.83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IFERROR(__xludf.DUMMYFUNCTION("""COMPUTED_VALUE"""),69.16)</f>
        <v>69.16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IFERROR(__xludf.DUMMYFUNCTION("""COMPUTED_VALUE"""),63.5)</f>
        <v>63.5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IFERROR(__xludf.DUMMYFUNCTION("""COMPUTED_VALUE"""),73.07)</f>
        <v>73.07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IFERROR(__xludf.DUMMYFUNCTION("""COMPUTED_VALUE"""),74.52)</f>
        <v>74.52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IFERROR(__xludf.DUMMYFUNCTION("""COMPUTED_VALUE"""),75.83)</f>
        <v>75.83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IFERROR(__xludf.DUMMYFUNCTION("""COMPUTED_VALUE"""),73.33)</f>
        <v>73.33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IFERROR(__xludf.DUMMYFUNCTION("""COMPUTED_VALUE"""),70.08)</f>
        <v>70.08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IFERROR(__xludf.DUMMYFUNCTION("""COMPUTED_VALUE"""),72.98)</f>
        <v>72.98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IFERROR(__xludf.DUMMYFUNCTION("""COMPUTED_VALUE"""),73.67)</f>
        <v>73.67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IFERROR(__xludf.DUMMYFUNCTION("GOOGLEFINANCE(""NSE:BPCL"",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IFERROR(__xludf.DUMMYFUNCTION("""COMPUTED_VALUE"""),77.83)</f>
        <v>77.83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IFERROR(__xludf.DUMMYFUNCTION("""COMPUTED_VALUE"""),78.33)</f>
        <v>78.33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IFERROR(__xludf.DUMMYFUNCTION("""COMPUTED_VALUE"""),78.52)</f>
        <v>78.52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IFERROR(__xludf.DUMMYFUNCTION("""COMPUTED_VALUE"""),78.18)</f>
        <v>78.18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IFERROR(__xludf.DUMMYFUNCTION("""COMPUTED_VALUE"""),74.33)</f>
        <v>74.33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IFERROR(__xludf.DUMMYFUNCTION("""COMPUTED_VALUE"""),73.83)</f>
        <v>73.83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IFERROR(__xludf.DUMMYFUNCTION("""COMPUTED_VALUE"""),76.67)</f>
        <v>76.67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IFERROR(__xludf.DUMMYFUNCTION("""COMPUTED_VALUE"""),75.67)</f>
        <v>75.67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IFERROR(__xludf.DUMMYFUNCTION("""COMPUTED_VALUE"""),76.49)</f>
        <v>76.49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IFERROR(__xludf.DUMMYFUNCTION("""COMPUTED_VALUE"""),71.83)</f>
        <v>71.83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IFERROR(__xludf.DUMMYFUNCTION("""COMPUTED_VALUE"""),70.42)</f>
        <v>70.42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IFERROR(__xludf.DUMMYFUNCTION("""COMPUTED_VALUE"""),73.67)</f>
        <v>73.67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IFERROR(__xludf.DUMMYFUNCTION("""COMPUTED_VALUE"""),73.16)</f>
        <v>73.16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IFERROR(__xludf.DUMMYFUNCTION("""COMPUTED_VALUE"""),79.0)</f>
        <v>79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IFERROR(__xludf.DUMMYFUNCTION("""COMPUTED_VALUE"""),78.33)</f>
        <v>78.33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IFERROR(__xludf.DUMMYFUNCTION("""COMPUTED_VALUE"""),76.65)</f>
        <v>76.65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IFERROR(__xludf.DUMMYFUNCTION("""COMPUTED_VALUE"""),84.17)</f>
        <v>84.17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IFERROR(__xludf.DUMMYFUNCTION("""COMPUTED_VALUE"""),82.5)</f>
        <v>82.5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IFERROR(__xludf.DUMMYFUNCTION("""COMPUTED_VALUE"""),73.17)</f>
        <v>73.17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IFERROR(__xludf.DUMMYFUNCTION("""COMPUTED_VALUE"""),72.5)</f>
        <v>72.5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IFERROR(__xludf.DUMMYFUNCTION("""COMPUTED_VALUE"""),71.48)</f>
        <v>71.48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IFERROR(__xludf.DUMMYFUNCTION("""COMPUTED_VALUE"""),64.99)</f>
        <v>64.99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IFERROR(__xludf.DUMMYFUNCTION("""COMPUTED_VALUE"""),57.0)</f>
        <v>57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IFERROR(__xludf.DUMMYFUNCTION("""COMPUTED_VALUE"""),66.98)</f>
        <v>66.98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IFERROR(__xludf.DUMMYFUNCTION("""COMPUTED_VALUE"""),61.47)</f>
        <v>61.47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IFERROR(__xludf.DUMMYFUNCTION("""COMPUTED_VALUE"""),60.0)</f>
        <v>60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IFERROR(__xludf.DUMMYFUNCTION("""COMPUTED_VALUE"""),59.01)</f>
        <v>59.01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IFERROR(__xludf.DUMMYFUNCTION("""COMPUTED_VALUE"""),53.17)</f>
        <v>53.17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IFERROR(__xludf.DUMMYFUNCTION("""COMPUTED_VALUE"""),53.98)</f>
        <v>53.98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IFERROR(__xludf.DUMMYFUNCTION("""COMPUTED_VALUE"""),53.15)</f>
        <v>53.15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IFERROR(__xludf.DUMMYFUNCTION("""COMPUTED_VALUE"""),51.98)</f>
        <v>51.98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IFERROR(__xludf.DUMMYFUNCTION("""COMPUTED_VALUE"""),65.78)</f>
        <v>65.78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IFERROR(__xludf.DUMMYFUNCTION("""COMPUTED_VALUE"""),64.28)</f>
        <v>64.28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IFERROR(__xludf.DUMMYFUNCTION("""COMPUTED_VALUE"""),63.32)</f>
        <v>63.32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IFERROR(__xludf.DUMMYFUNCTION("""COMPUTED_VALUE"""),65.13)</f>
        <v>65.13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IFERROR(__xludf.DUMMYFUNCTION("""COMPUTED_VALUE"""),66.67)</f>
        <v>66.67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IFERROR(__xludf.DUMMYFUNCTION("""COMPUTED_VALUE"""),65.23)</f>
        <v>65.23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IFERROR(__xludf.DUMMYFUNCTION("""COMPUTED_VALUE"""),64.67)</f>
        <v>64.67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IFERROR(__xludf.DUMMYFUNCTION("""COMPUTED_VALUE"""),66.5)</f>
        <v>66.5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IFERROR(__xludf.DUMMYFUNCTION("""COMPUTED_VALUE"""),70.15)</f>
        <v>70.15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IFERROR(__xludf.DUMMYFUNCTION("""COMPUTED_VALUE"""),67.62)</f>
        <v>67.62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IFERROR(__xludf.DUMMYFUNCTION("""COMPUTED_VALUE"""),69.73)</f>
        <v>69.73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IFERROR(__xludf.DUMMYFUNCTION("""COMPUTED_VALUE"""),68.67)</f>
        <v>68.67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IFERROR(__xludf.DUMMYFUNCTION("""COMPUTED_VALUE"""),63.49)</f>
        <v>63.49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IFERROR(__xludf.DUMMYFUNCTION("""COMPUTED_VALUE"""),63.53)</f>
        <v>63.53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IFERROR(__xludf.DUMMYFUNCTION("""COMPUTED_VALUE"""),63.0)</f>
        <v>63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IFERROR(__xludf.DUMMYFUNCTION("""COMPUTED_VALUE"""),57.67)</f>
        <v>57.67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IFERROR(__xludf.DUMMYFUNCTION("""COMPUTED_VALUE"""),56.08)</f>
        <v>56.08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IFERROR(__xludf.DUMMYFUNCTION("""COMPUTED_VALUE"""),55.3)</f>
        <v>55.3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IFERROR(__xludf.DUMMYFUNCTION("""COMPUTED_VALUE"""),58.5)</f>
        <v>58.5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IFERROR(__xludf.DUMMYFUNCTION("GOOGLEFINANCE(""NSE:BPCL"",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IFERROR(__xludf.DUMMYFUNCTION("""COMPUTED_VALUE"""),59.9)</f>
        <v>59.9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IFERROR(__xludf.DUMMYFUNCTION("""COMPUTED_VALUE"""),62.22)</f>
        <v>62.22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IFERROR(__xludf.DUMMYFUNCTION("""COMPUTED_VALUE"""),62.47)</f>
        <v>62.47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IFERROR(__xludf.DUMMYFUNCTION("""COMPUTED_VALUE"""),61.67)</f>
        <v>61.67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IFERROR(__xludf.DUMMYFUNCTION("""COMPUTED_VALUE"""),60.83)</f>
        <v>60.83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IFERROR(__xludf.DUMMYFUNCTION("""COMPUTED_VALUE"""),59.99)</f>
        <v>59.99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IFERROR(__xludf.DUMMYFUNCTION("""COMPUTED_VALUE"""),57.82)</f>
        <v>57.82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IFERROR(__xludf.DUMMYFUNCTION("""COMPUTED_VALUE"""),58.33)</f>
        <v>58.33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IFERROR(__xludf.DUMMYFUNCTION("""COMPUTED_VALUE"""),53.67)</f>
        <v>53.67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IFERROR(__xludf.DUMMYFUNCTION("""COMPUTED_VALUE"""),51.5)</f>
        <v>51.5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IFERROR(__xludf.DUMMYFUNCTION("""COMPUTED_VALUE"""),59.8)</f>
        <v>59.8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IFERROR(__xludf.DUMMYFUNCTION("""COMPUTED_VALUE"""),53.91)</f>
        <v>53.91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IFERROR(__xludf.DUMMYFUNCTION("""COMPUTED_VALUE"""),53.38)</f>
        <v>53.38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IFERROR(__xludf.DUMMYFUNCTION("""COMPUTED_VALUE"""),50.88)</f>
        <v>50.88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IFERROR(__xludf.DUMMYFUNCTION("""COMPUTED_VALUE"""),55.25)</f>
        <v>55.25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IFERROR(__xludf.DUMMYFUNCTION("""COMPUTED_VALUE"""),56.5)</f>
        <v>56.5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IFERROR(__xludf.DUMMYFUNCTION("""COMPUTED_VALUE"""),57.99)</f>
        <v>57.99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IFERROR(__xludf.DUMMYFUNCTION("""COMPUTED_VALUE"""),58.33)</f>
        <v>58.33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IFERROR(__xludf.DUMMYFUNCTION("""COMPUTED_VALUE"""),60.0)</f>
        <v>60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IFERROR(__xludf.DUMMYFUNCTION("""COMPUTED_VALUE"""),63.63)</f>
        <v>63.63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IFERROR(__xludf.DUMMYFUNCTION("""COMPUTED_VALUE"""),66.67)</f>
        <v>66.67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IFERROR(__xludf.DUMMYFUNCTION("""COMPUTED_VALUE"""),61.67)</f>
        <v>61.67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IFERROR(__xludf.DUMMYFUNCTION("""COMPUTED_VALUE"""),61.5)</f>
        <v>61.5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IFERROR(__xludf.DUMMYFUNCTION("""COMPUTED_VALUE"""),58.13)</f>
        <v>58.13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IFERROR(__xludf.DUMMYFUNCTION("""COMPUTED_VALUE"""),61.67)</f>
        <v>61.67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IFERROR(__xludf.DUMMYFUNCTION("""COMPUTED_VALUE"""),59.13)</f>
        <v>59.13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IFERROR(__xludf.DUMMYFUNCTION("""COMPUTED_VALUE"""),61.65)</f>
        <v>61.65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IFERROR(__xludf.DUMMYFUNCTION("""COMPUTED_VALUE"""),58.17)</f>
        <v>58.17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IFERROR(__xludf.DUMMYFUNCTION("""COMPUTED_VALUE"""),56.65)</f>
        <v>56.65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IFERROR(__xludf.DUMMYFUNCTION("""COMPUTED_VALUE"""),53.94)</f>
        <v>53.94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IFERROR(__xludf.DUMMYFUNCTION("""COMPUTED_VALUE"""),53.83)</f>
        <v>53.83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IFERROR(__xludf.DUMMYFUNCTION("""COMPUTED_VALUE"""),54.25)</f>
        <v>54.25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IFERROR(__xludf.DUMMYFUNCTION("""COMPUTED_VALUE"""),54.33)</f>
        <v>54.33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IFERROR(__xludf.DUMMYFUNCTION("""COMPUTED_VALUE"""),53.13)</f>
        <v>53.13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IFERROR(__xludf.DUMMYFUNCTION("""COMPUTED_VALUE"""),52.7)</f>
        <v>52.7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IFERROR(__xludf.DUMMYFUNCTION("""COMPUTED_VALUE"""),53.15)</f>
        <v>53.15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IFERROR(__xludf.DUMMYFUNCTION("""COMPUTED_VALUE"""),54.11)</f>
        <v>54.11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IFERROR(__xludf.DUMMYFUNCTION("""COMPUTED_VALUE"""),54.0)</f>
        <v>54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IFERROR(__xludf.DUMMYFUNCTION("""COMPUTED_VALUE"""),66.5)</f>
        <v>66.5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IFERROR(__xludf.DUMMYFUNCTION("""COMPUTED_VALUE"""),64.75)</f>
        <v>64.75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IFERROR(__xludf.DUMMYFUNCTION("""COMPUTED_VALUE"""),64.17)</f>
        <v>64.17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IFERROR(__xludf.DUMMYFUNCTION("""COMPUTED_VALUE"""),63.5)</f>
        <v>63.5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IFERROR(__xludf.DUMMYFUNCTION("""COMPUTED_VALUE"""),60.98)</f>
        <v>60.98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IFERROR(__xludf.DUMMYFUNCTION("""COMPUTED_VALUE"""),60.62)</f>
        <v>60.62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IFERROR(__xludf.DUMMYFUNCTION("""COMPUTED_VALUE"""),77.5)</f>
        <v>77.5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IFERROR(__xludf.DUMMYFUNCTION("""COMPUTED_VALUE"""),75.81)</f>
        <v>75.81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IFERROR(__xludf.DUMMYFUNCTION("""COMPUTED_VALUE"""),69.31)</f>
        <v>69.31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IFERROR(__xludf.DUMMYFUNCTION("""COMPUTED_VALUE"""),73.25)</f>
        <v>73.25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IFERROR(__xludf.DUMMYFUNCTION("""COMPUTED_VALUE"""),75.62)</f>
        <v>75.62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IFERROR(__xludf.DUMMYFUNCTION("""COMPUTED_VALUE"""),72.67)</f>
        <v>72.67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IFERROR(__xludf.DUMMYFUNCTION("""COMPUTED_VALUE"""),80.83)</f>
        <v>80.83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IFERROR(__xludf.DUMMYFUNCTION("GOOGLEFINANCE(""NSE:BPCL"",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IFERROR(__xludf.DUMMYFUNCTION("""COMPUTED_VALUE"""),92.8)</f>
        <v>92.8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IFERROR(__xludf.DUMMYFUNCTION("""COMPUTED_VALUE"""),88.33)</f>
        <v>88.33</v>
      </c>
    </row>
    <row r="334" ht="15.75" customHeight="1">
      <c r="B334" s="3">
        <f>IFERROR(__xludf.DUMMYFUNCTION("""COMPUTED_VALUE"""),39464.645833333336)</f>
        <v>39464.64583</v>
      </c>
      <c r="C334" s="2">
        <f>IFERROR(__xludf.DUMMYFUNCTION("""COMPUTED_VALUE"""),79.16)</f>
        <v>79.16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IFERROR(__xludf.DUMMYFUNCTION("""COMPUTED_VALUE"""),74.0)</f>
        <v>74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IFERROR(__xludf.DUMMYFUNCTION("""COMPUTED_VALUE"""),68.67)</f>
        <v>68.67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IFERROR(__xludf.DUMMYFUNCTION("""COMPUTED_VALUE"""),74.12)</f>
        <v>74.12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IFERROR(__xludf.DUMMYFUNCTION("""COMPUTED_VALUE"""),79.9)</f>
        <v>79.9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IFERROR(__xludf.DUMMYFUNCTION("""COMPUTED_VALUE"""),80.5)</f>
        <v>80.5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IFERROR(__xludf.DUMMYFUNCTION("""COMPUTED_VALUE"""),78.77)</f>
        <v>78.77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IFERROR(__xludf.DUMMYFUNCTION("""COMPUTED_VALUE"""),79.3)</f>
        <v>79.3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IFERROR(__xludf.DUMMYFUNCTION("""COMPUTED_VALUE"""),75.38)</f>
        <v>75.38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IFERROR(__xludf.DUMMYFUNCTION("""COMPUTED_VALUE"""),69.97)</f>
        <v>69.97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IFERROR(__xludf.DUMMYFUNCTION("""COMPUTED_VALUE"""),74.81)</f>
        <v>74.81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IFERROR(__xludf.DUMMYFUNCTION("""COMPUTED_VALUE"""),73.33)</f>
        <v>73.33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IFERROR(__xludf.DUMMYFUNCTION("""COMPUTED_VALUE"""),69.72)</f>
        <v>69.72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IFERROR(__xludf.DUMMYFUNCTION("""COMPUTED_VALUE"""),69.67)</f>
        <v>69.67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IFERROR(__xludf.DUMMYFUNCTION("""COMPUTED_VALUE"""),68.32)</f>
        <v>68.32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IFERROR(__xludf.DUMMYFUNCTION("""COMPUTED_VALUE"""),69.98)</f>
        <v>69.98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IFERROR(__xludf.DUMMYFUNCTION("""COMPUTED_VALUE"""),68.62)</f>
        <v>68.62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IFERROR(__xludf.DUMMYFUNCTION("""COMPUTED_VALUE"""),62.17)</f>
        <v>62.17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IFERROR(__xludf.DUMMYFUNCTION("""COMPUTED_VALUE"""),61.5)</f>
        <v>61.5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IFERROR(__xludf.DUMMYFUNCTION("""COMPUTED_VALUE"""),62.42)</f>
        <v>62.42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IFERROR(__xludf.DUMMYFUNCTION("""COMPUTED_VALUE"""),61.95)</f>
        <v>61.95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IFERROR(__xludf.DUMMYFUNCTION("""COMPUTED_VALUE"""),48.5)</f>
        <v>48.5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IFERROR(__xludf.DUMMYFUNCTION("""COMPUTED_VALUE"""),48.5)</f>
        <v>48.5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IFERROR(__xludf.DUMMYFUNCTION("""COMPUTED_VALUE"""),46.28)</f>
        <v>46.28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IFERROR(__xludf.DUMMYFUNCTION("""COMPUTED_VALUE"""),43.71)</f>
        <v>43.71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IFERROR(__xludf.DUMMYFUNCTION("""COMPUTED_VALUE"""),46.83)</f>
        <v>46.83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IFERROR(__xludf.DUMMYFUNCTION("""COMPUTED_VALUE"""),47.83)</f>
        <v>47.83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IFERROR(__xludf.DUMMYFUNCTION("""COMPUTED_VALUE"""),56.5)</f>
        <v>56.5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IFERROR(__xludf.DUMMYFUNCTION("""COMPUTED_VALUE"""),56.0)</f>
        <v>56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IFERROR(__xludf.DUMMYFUNCTION("""COMPUTED_VALUE"""),61.0)</f>
        <v>61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IFERROR(__xludf.DUMMYFUNCTION("""COMPUTED_VALUE"""),55.12)</f>
        <v>55.12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IFERROR(__xludf.DUMMYFUNCTION("""COMPUTED_VALUE"""),53.0)</f>
        <v>53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IFERROR(__xludf.DUMMYFUNCTION("""COMPUTED_VALUE"""),51.21)</f>
        <v>51.21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IFERROR(__xludf.DUMMYFUNCTION("""COMPUTED_VALUE"""),62.48)</f>
        <v>62.48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IFERROR(__xludf.DUMMYFUNCTION("""COMPUTED_VALUE"""),61.67)</f>
        <v>61.67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IFERROR(__xludf.DUMMYFUNCTION("""COMPUTED_VALUE"""),62.45)</f>
        <v>62.45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IFERROR(__xludf.DUMMYFUNCTION("""COMPUTED_VALUE"""),59.16)</f>
        <v>59.16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IFERROR(__xludf.DUMMYFUNCTION("""COMPUTED_VALUE"""),62.88)</f>
        <v>62.88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IFERROR(__xludf.DUMMYFUNCTION("""COMPUTED_VALUE"""),64.32)</f>
        <v>64.32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IFERROR(__xludf.DUMMYFUNCTION("""COMPUTED_VALUE"""),62.98)</f>
        <v>62.98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IFERROR(__xludf.DUMMYFUNCTION("""COMPUTED_VALUE"""),61.16)</f>
        <v>61.16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IFERROR(__xludf.DUMMYFUNCTION("""COMPUTED_VALUE"""),54.9)</f>
        <v>54.9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IFERROR(__xludf.DUMMYFUNCTION("""COMPUTED_VALUE"""),56.4)</f>
        <v>56.4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IFERROR(__xludf.DUMMYFUNCTION("""COMPUTED_VALUE"""),56.32)</f>
        <v>56.32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IFERROR(__xludf.DUMMYFUNCTION("""COMPUTED_VALUE"""),55.0)</f>
        <v>55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IFERROR(__xludf.DUMMYFUNCTION("""COMPUTED_VALUE"""),61.65)</f>
        <v>61.65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IFERROR(__xludf.DUMMYFUNCTION("""COMPUTED_VALUE"""),62.67)</f>
        <v>62.67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IFERROR(__xludf.DUMMYFUNCTION("""COMPUTED_VALUE"""),60.0)</f>
        <v>60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IFERROR(__xludf.DUMMYFUNCTION("""COMPUTED_VALUE"""),64.82)</f>
        <v>64.82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IFERROR(__xludf.DUMMYFUNCTION("""COMPUTED_VALUE"""),66.67)</f>
        <v>66.67</v>
      </c>
    </row>
    <row r="384" ht="15.75" customHeight="1"/>
    <row r="385" ht="15.75" customHeight="1"/>
    <row r="386" ht="15.75" customHeight="1">
      <c r="B386" s="2" t="str">
        <f>IFERROR(__xludf.DUMMYFUNCTION("GOOGLEFINANCE(""NSE:BPCL"",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IFERROR(__xludf.DUMMYFUNCTION("""COMPUTED_VALUE"""),64.92)</f>
        <v>64.92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IFERROR(__xludf.DUMMYFUNCTION("""COMPUTED_VALUE"""),63.83)</f>
        <v>63.83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IFERROR(__xludf.DUMMYFUNCTION("""COMPUTED_VALUE"""),64.63)</f>
        <v>64.63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IFERROR(__xludf.DUMMYFUNCTION("""COMPUTED_VALUE"""),65.98)</f>
        <v>65.98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IFERROR(__xludf.DUMMYFUNCTION("""COMPUTED_VALUE"""),70.55)</f>
        <v>70.55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IFERROR(__xludf.DUMMYFUNCTION("""COMPUTED_VALUE"""),65.81)</f>
        <v>65.81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IFERROR(__xludf.DUMMYFUNCTION("""COMPUTED_VALUE"""),69.67)</f>
        <v>69.67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IFERROR(__xludf.DUMMYFUNCTION("""COMPUTED_VALUE"""),70.32)</f>
        <v>70.32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IFERROR(__xludf.DUMMYFUNCTION("""COMPUTED_VALUE"""),68.8)</f>
        <v>68.8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IFERROR(__xludf.DUMMYFUNCTION("""COMPUTED_VALUE"""),65.32)</f>
        <v>65.32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IFERROR(__xludf.DUMMYFUNCTION("""COMPUTED_VALUE"""),62.83)</f>
        <v>62.83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IFERROR(__xludf.DUMMYFUNCTION("""COMPUTED_VALUE"""),60.29)</f>
        <v>60.29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IFERROR(__xludf.DUMMYFUNCTION("""COMPUTED_VALUE"""),61.42)</f>
        <v>61.42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IFERROR(__xludf.DUMMYFUNCTION("""COMPUTED_VALUE"""),63.66)</f>
        <v>63.66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IFERROR(__xludf.DUMMYFUNCTION("""COMPUTED_VALUE"""),65.44)</f>
        <v>65.44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IFERROR(__xludf.DUMMYFUNCTION("""COMPUTED_VALUE"""),66.56)</f>
        <v>66.56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IFERROR(__xludf.DUMMYFUNCTION("""COMPUTED_VALUE"""),66.17)</f>
        <v>66.17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IFERROR(__xludf.DUMMYFUNCTION("""COMPUTED_VALUE"""),65.12)</f>
        <v>65.12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IFERROR(__xludf.DUMMYFUNCTION("""COMPUTED_VALUE"""),64.83)</f>
        <v>64.83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IFERROR(__xludf.DUMMYFUNCTION("""COMPUTED_VALUE"""),62.38)</f>
        <v>62.38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IFERROR(__xludf.DUMMYFUNCTION("""COMPUTED_VALUE"""),75.98)</f>
        <v>75.98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IFERROR(__xludf.DUMMYFUNCTION("""COMPUTED_VALUE"""),86.07)</f>
        <v>86.07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IFERROR(__xludf.DUMMYFUNCTION("""COMPUTED_VALUE"""),81.33)</f>
        <v>81.33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IFERROR(__xludf.DUMMYFUNCTION("""COMPUTED_VALUE"""),82.0)</f>
        <v>82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IFERROR(__xludf.DUMMYFUNCTION("""COMPUTED_VALUE"""),80.78)</f>
        <v>80.78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IFERROR(__xludf.DUMMYFUNCTION("""COMPUTED_VALUE"""),72.67)</f>
        <v>72.67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IFERROR(__xludf.DUMMYFUNCTION("""COMPUTED_VALUE"""),78.83)</f>
        <v>78.83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IFERROR(__xludf.DUMMYFUNCTION("""COMPUTED_VALUE"""),80.0)</f>
        <v>80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IFERROR(__xludf.DUMMYFUNCTION("""COMPUTED_VALUE"""),78.09)</f>
        <v>78.09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IFERROR(__xludf.DUMMYFUNCTION("""COMPUTED_VALUE"""),77.33)</f>
        <v>77.33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IFERROR(__xludf.DUMMYFUNCTION("""COMPUTED_VALUE"""),83.17)</f>
        <v>83.17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IFERROR(__xludf.DUMMYFUNCTION("""COMPUTED_VALUE"""),88.83)</f>
        <v>88.83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IFERROR(__xludf.DUMMYFUNCTION("""COMPUTED_VALUE"""),90.72)</f>
        <v>90.72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IFERROR(__xludf.DUMMYFUNCTION("""COMPUTED_VALUE"""),89.12)</f>
        <v>89.12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IFERROR(__xludf.DUMMYFUNCTION("""COMPUTED_VALUE"""),89.17)</f>
        <v>89.17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IFERROR(__xludf.DUMMYFUNCTION("""COMPUTED_VALUE"""),95.67)</f>
        <v>95.67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IFERROR(__xludf.DUMMYFUNCTION("""COMPUTED_VALUE"""),100.2)</f>
        <v>100.2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IFERROR(__xludf.DUMMYFUNCTION("""COMPUTED_VALUE"""),97.58)</f>
        <v>97.58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IFERROR(__xludf.DUMMYFUNCTION("""COMPUTED_VALUE"""),99.08)</f>
        <v>99.08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IFERROR(__xludf.DUMMYFUNCTION("""COMPUTED_VALUE"""),98.15)</f>
        <v>98.15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IFERROR(__xludf.DUMMYFUNCTION("""COMPUTED_VALUE"""),96.0)</f>
        <v>96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IFERROR(__xludf.DUMMYFUNCTION("""COMPUTED_VALUE"""),89.73)</f>
        <v>89.73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IFERROR(__xludf.DUMMYFUNCTION("""COMPUTED_VALUE"""),88.17)</f>
        <v>88.17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IFERROR(__xludf.DUMMYFUNCTION("""COMPUTED_VALUE"""),86.98)</f>
        <v>86.98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IFERROR(__xludf.DUMMYFUNCTION("""COMPUTED_VALUE"""),90.23)</f>
        <v>90.23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IFERROR(__xludf.DUMMYFUNCTION("""COMPUTED_VALUE"""),88.33)</f>
        <v>88.33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IFERROR(__xludf.DUMMYFUNCTION("""COMPUTED_VALUE"""),98.78)</f>
        <v>98.78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IFERROR(__xludf.DUMMYFUNCTION("""COMPUTED_VALUE"""),105.08)</f>
        <v>105.08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IFERROR(__xludf.DUMMYFUNCTION("""COMPUTED_VALUE"""),107.58)</f>
        <v>107.58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IFERROR(__xludf.DUMMYFUNCTION("""COMPUTED_VALUE"""),105.58)</f>
        <v>105.58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IFERROR(__xludf.DUMMYFUNCTION("""COMPUTED_VALUE"""),102.8)</f>
        <v>102.8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IFERROR(__xludf.DUMMYFUNCTION("""COMPUTED_VALUE"""),106.5)</f>
        <v>106.5</v>
      </c>
    </row>
    <row r="439" ht="15.75" customHeight="1"/>
    <row r="440" ht="15.75" customHeight="1"/>
    <row r="441" ht="15.75" customHeight="1">
      <c r="B441" s="2" t="str">
        <f>IFERROR(__xludf.DUMMYFUNCTION("GOOGLEFINANCE(""NSE:BPCL"",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IFERROR(__xludf.DUMMYFUNCTION("""COMPUTED_VALUE"""),109.6)</f>
        <v>109.6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IFERROR(__xludf.DUMMYFUNCTION("""COMPUTED_VALUE"""),107.08)</f>
        <v>107.08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IFERROR(__xludf.DUMMYFUNCTION("""COMPUTED_VALUE"""),104.9)</f>
        <v>104.9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IFERROR(__xludf.DUMMYFUNCTION("""COMPUTED_VALUE"""),95.83)</f>
        <v>95.83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IFERROR(__xludf.DUMMYFUNCTION("""COMPUTED_VALUE"""),97.58)</f>
        <v>97.58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IFERROR(__xludf.DUMMYFUNCTION("""COMPUTED_VALUE"""),102.17)</f>
        <v>102.17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IFERROR(__xludf.DUMMYFUNCTION("""COMPUTED_VALUE"""),100.0)</f>
        <v>100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IFERROR(__xludf.DUMMYFUNCTION("""COMPUTED_VALUE"""),95.17)</f>
        <v>95.17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IFERROR(__xludf.DUMMYFUNCTION("""COMPUTED_VALUE"""),91.97)</f>
        <v>91.97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IFERROR(__xludf.DUMMYFUNCTION("""COMPUTED_VALUE"""),91.47)</f>
        <v>91.47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IFERROR(__xludf.DUMMYFUNCTION("""COMPUTED_VALUE"""),89.17)</f>
        <v>89.17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IFERROR(__xludf.DUMMYFUNCTION("""COMPUTED_VALUE"""),88.72)</f>
        <v>88.72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IFERROR(__xludf.DUMMYFUNCTION("""COMPUTED_VALUE"""),86.32)</f>
        <v>86.32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IFERROR(__xludf.DUMMYFUNCTION("""COMPUTED_VALUE"""),85.17)</f>
        <v>85.17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IFERROR(__xludf.DUMMYFUNCTION("""COMPUTED_VALUE"""),84.67)</f>
        <v>84.67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IFERROR(__xludf.DUMMYFUNCTION("""COMPUTED_VALUE"""),86.98)</f>
        <v>86.98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IFERROR(__xludf.DUMMYFUNCTION("""COMPUTED_VALUE"""),94.12)</f>
        <v>94.12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IFERROR(__xludf.DUMMYFUNCTION("""COMPUTED_VALUE"""),93.33)</f>
        <v>93.33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IFERROR(__xludf.DUMMYFUNCTION("""COMPUTED_VALUE"""),93.83)</f>
        <v>93.83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IFERROR(__xludf.DUMMYFUNCTION("""COMPUTED_VALUE"""),96.33)</f>
        <v>96.33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IFERROR(__xludf.DUMMYFUNCTION("""COMPUTED_VALUE"""),99.33)</f>
        <v>99.33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IFERROR(__xludf.DUMMYFUNCTION("""COMPUTED_VALUE"""),98.1)</f>
        <v>98.1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IFERROR(__xludf.DUMMYFUNCTION("""COMPUTED_VALUE"""),94.39)</f>
        <v>94.39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IFERROR(__xludf.DUMMYFUNCTION("""COMPUTED_VALUE"""),105.77)</f>
        <v>105.77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IFERROR(__xludf.DUMMYFUNCTION("""COMPUTED_VALUE"""),112.97)</f>
        <v>112.97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IFERROR(__xludf.DUMMYFUNCTION("""COMPUTED_VALUE"""),119.15)</f>
        <v>119.15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IFERROR(__xludf.DUMMYFUNCTION("""COMPUTED_VALUE"""),119.82)</f>
        <v>119.82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IFERROR(__xludf.DUMMYFUNCTION("""COMPUTED_VALUE"""),111.57)</f>
        <v>111.57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IFERROR(__xludf.DUMMYFUNCTION("""COMPUTED_VALUE"""),109.13)</f>
        <v>109.13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IFERROR(__xludf.DUMMYFUNCTION("""COMPUTED_VALUE"""),110.3)</f>
        <v>110.3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IFERROR(__xludf.DUMMYFUNCTION("""COMPUTED_VALUE"""),115.3)</f>
        <v>115.3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IFERROR(__xludf.DUMMYFUNCTION("""COMPUTED_VALUE"""),117.62)</f>
        <v>117.62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IFERROR(__xludf.DUMMYFUNCTION("""COMPUTED_VALUE"""),133.63)</f>
        <v>133.63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IFERROR(__xludf.DUMMYFUNCTION("""COMPUTED_VALUE"""),140.0)</f>
        <v>140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IFERROR(__xludf.DUMMYFUNCTION("""COMPUTED_VALUE"""),128.91)</f>
        <v>128.91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IFERROR(__xludf.DUMMYFUNCTION("""COMPUTED_VALUE"""),129.92)</f>
        <v>129.92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IFERROR(__xludf.DUMMYFUNCTION("""COMPUTED_VALUE"""),136.33)</f>
        <v>136.33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IFERROR(__xludf.DUMMYFUNCTION("""COMPUTED_VALUE"""),133.5)</f>
        <v>133.5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IFERROR(__xludf.DUMMYFUNCTION("""COMPUTED_VALUE"""),129.37)</f>
        <v>129.37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IFERROR(__xludf.DUMMYFUNCTION("""COMPUTED_VALUE"""),127.33)</f>
        <v>127.33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IFERROR(__xludf.DUMMYFUNCTION("""COMPUTED_VALUE"""),121.17)</f>
        <v>121.17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IFERROR(__xludf.DUMMYFUNCTION("""COMPUTED_VALUE"""),123.6)</f>
        <v>123.6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IFERROR(__xludf.DUMMYFUNCTION("""COMPUTED_VALUE"""),129.62)</f>
        <v>129.62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IFERROR(__xludf.DUMMYFUNCTION("""COMPUTED_VALUE"""),130.83)</f>
        <v>130.83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IFERROR(__xludf.DUMMYFUNCTION("""COMPUTED_VALUE"""),124.23)</f>
        <v>124.23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IFERROR(__xludf.DUMMYFUNCTION("""COMPUTED_VALUE"""),120.33)</f>
        <v>120.33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IFERROR(__xludf.DUMMYFUNCTION("""COMPUTED_VALUE"""),118.67)</f>
        <v>118.67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IFERROR(__xludf.DUMMYFUNCTION("""COMPUTED_VALUE"""),116.43)</f>
        <v>116.43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IFERROR(__xludf.DUMMYFUNCTION("""COMPUTED_VALUE"""),120.32)</f>
        <v>120.32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IFERROR(__xludf.DUMMYFUNCTION("""COMPUTED_VALUE"""),117.17)</f>
        <v>117.17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IFERROR(__xludf.DUMMYFUNCTION("""COMPUTED_VALUE"""),112.47)</f>
        <v>112.47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IFERROR(__xludf.DUMMYFUNCTION("GOOGLEFINANCE(""NSE:BPCL"",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IFERROR(__xludf.DUMMYFUNCTION("""COMPUTED_VALUE"""),111.65)</f>
        <v>111.65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IFERROR(__xludf.DUMMYFUNCTION("""COMPUTED_VALUE"""),104.33)</f>
        <v>104.33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IFERROR(__xludf.DUMMYFUNCTION("""COMPUTED_VALUE"""),102.77)</f>
        <v>102.77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IFERROR(__xludf.DUMMYFUNCTION("""COMPUTED_VALUE"""),107.5)</f>
        <v>107.5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IFERROR(__xludf.DUMMYFUNCTION("""COMPUTED_VALUE"""),107.4)</f>
        <v>107.4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IFERROR(__xludf.DUMMYFUNCTION("""COMPUTED_VALUE"""),102.53)</f>
        <v>102.53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IFERROR(__xludf.DUMMYFUNCTION("""COMPUTED_VALUE"""),103.5)</f>
        <v>103.5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IFERROR(__xludf.DUMMYFUNCTION("""COMPUTED_VALUE"""),98.67)</f>
        <v>98.67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IFERROR(__xludf.DUMMYFUNCTION("""COMPUTED_VALUE"""),98.75)</f>
        <v>98.75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IFERROR(__xludf.DUMMYFUNCTION("""COMPUTED_VALUE"""),95.41)</f>
        <v>95.41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IFERROR(__xludf.DUMMYFUNCTION("""COMPUTED_VALUE"""),98.33)</f>
        <v>98.33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IFERROR(__xludf.DUMMYFUNCTION("""COMPUTED_VALUE"""),99.57)</f>
        <v>99.57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IFERROR(__xludf.DUMMYFUNCTION("""COMPUTED_VALUE"""),103.95)</f>
        <v>103.95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IFERROR(__xludf.DUMMYFUNCTION("""COMPUTED_VALUE"""),102.8)</f>
        <v>102.8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IFERROR(__xludf.DUMMYFUNCTION("""COMPUTED_VALUE"""),100.97)</f>
        <v>100.97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IFERROR(__xludf.DUMMYFUNCTION("""COMPUTED_VALUE"""),103.63)</f>
        <v>103.63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IFERROR(__xludf.DUMMYFUNCTION("""COMPUTED_VALUE"""),106.32)</f>
        <v>106.32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IFERROR(__xludf.DUMMYFUNCTION("""COMPUTED_VALUE"""),112.42)</f>
        <v>112.42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IFERROR(__xludf.DUMMYFUNCTION("""COMPUTED_VALUE"""),111.65)</f>
        <v>111.65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IFERROR(__xludf.DUMMYFUNCTION("""COMPUTED_VALUE"""),113.43)</f>
        <v>113.43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IFERROR(__xludf.DUMMYFUNCTION("""COMPUTED_VALUE"""),105.47)</f>
        <v>105.47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IFERROR(__xludf.DUMMYFUNCTION("""COMPUTED_VALUE"""),106.43)</f>
        <v>106.43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IFERROR(__xludf.DUMMYFUNCTION("""COMPUTED_VALUE"""),104.22)</f>
        <v>104.22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IFERROR(__xludf.DUMMYFUNCTION("""COMPUTED_VALUE"""),106.35)</f>
        <v>106.35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IFERROR(__xludf.DUMMYFUNCTION("""COMPUTED_VALUE"""),106.89)</f>
        <v>106.89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IFERROR(__xludf.DUMMYFUNCTION("""COMPUTED_VALUE"""),114.45)</f>
        <v>114.45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IFERROR(__xludf.DUMMYFUNCTION("""COMPUTED_VALUE"""),132.82)</f>
        <v>132.82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IFERROR(__xludf.DUMMYFUNCTION("""COMPUTED_VALUE"""),112.99)</f>
        <v>112.99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IFERROR(__xludf.DUMMYFUNCTION("""COMPUTED_VALUE"""),112.78)</f>
        <v>112.78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IFERROR(__xludf.DUMMYFUNCTION("""COMPUTED_VALUE"""),112.67)</f>
        <v>112.67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IFERROR(__xludf.DUMMYFUNCTION("""COMPUTED_VALUE"""),118.17)</f>
        <v>118.17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IFERROR(__xludf.DUMMYFUNCTION("""COMPUTED_VALUE"""),119.08)</f>
        <v>119.08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IFERROR(__xludf.DUMMYFUNCTION("""COMPUTED_VALUE"""),116.5)</f>
        <v>116.5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IFERROR(__xludf.DUMMYFUNCTION("""COMPUTED_VALUE"""),116.25)</f>
        <v>116.25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IFERROR(__xludf.DUMMYFUNCTION("""COMPUTED_VALUE"""),114.57)</f>
        <v>114.57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IFERROR(__xludf.DUMMYFUNCTION("""COMPUTED_VALUE"""),113.48)</f>
        <v>113.48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IFERROR(__xludf.DUMMYFUNCTION("""COMPUTED_VALUE"""),114.91)</f>
        <v>114.91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IFERROR(__xludf.DUMMYFUNCTION("""COMPUTED_VALUE"""),112.3)</f>
        <v>112.3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IFERROR(__xludf.DUMMYFUNCTION("""COMPUTED_VALUE"""),111.15)</f>
        <v>111.15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IFERROR(__xludf.DUMMYFUNCTION("""COMPUTED_VALUE"""),115.67)</f>
        <v>115.67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IFERROR(__xludf.DUMMYFUNCTION("""COMPUTED_VALUE"""),113.27)</f>
        <v>113.27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IFERROR(__xludf.DUMMYFUNCTION("""COMPUTED_VALUE"""),109.65)</f>
        <v>109.65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IFERROR(__xludf.DUMMYFUNCTION("""COMPUTED_VALUE"""),111.52)</f>
        <v>111.52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IFERROR(__xludf.DUMMYFUNCTION("""COMPUTED_VALUE"""),107.4)</f>
        <v>107.4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IFERROR(__xludf.DUMMYFUNCTION("""COMPUTED_VALUE"""),104.33)</f>
        <v>104.33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IFERROR(__xludf.DUMMYFUNCTION("""COMPUTED_VALUE"""),93.73)</f>
        <v>93.73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IFERROR(__xludf.DUMMYFUNCTION("""COMPUTED_VALUE"""),87.89)</f>
        <v>87.89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IFERROR(__xludf.DUMMYFUNCTION("""COMPUTED_VALUE"""),94.4)</f>
        <v>94.4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IFERROR(__xludf.DUMMYFUNCTION("""COMPUTED_VALUE"""),93.69)</f>
        <v>93.69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IFERROR(__xludf.DUMMYFUNCTION("""COMPUTED_VALUE"""),92.63)</f>
        <v>92.63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IFERROR(__xludf.DUMMYFUNCTION("""COMPUTED_VALUE"""),90.17)</f>
        <v>90.17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IFERROR(__xludf.DUMMYFUNCTION("""COMPUTED_VALUE"""),85.75)</f>
        <v>85.75</v>
      </c>
    </row>
    <row r="549" ht="15.75" customHeight="1"/>
    <row r="550" ht="15.75" customHeight="1"/>
    <row r="551" ht="15.75" customHeight="1">
      <c r="B551" s="2" t="str">
        <f>IFERROR(__xludf.DUMMYFUNCTION("GOOGLEFINANCE(""NSE:BPCL"",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IFERROR(__xludf.DUMMYFUNCTION("""COMPUTED_VALUE"""),86.5)</f>
        <v>86.5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IFERROR(__xludf.DUMMYFUNCTION("""COMPUTED_VALUE"""),94.22)</f>
        <v>94.22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IFERROR(__xludf.DUMMYFUNCTION("""COMPUTED_VALUE"""),98.31)</f>
        <v>98.31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IFERROR(__xludf.DUMMYFUNCTION("""COMPUTED_VALUE"""),98.03)</f>
        <v>98.03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IFERROR(__xludf.DUMMYFUNCTION("""COMPUTED_VALUE"""),104.65)</f>
        <v>104.65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IFERROR(__xludf.DUMMYFUNCTION("""COMPUTED_VALUE"""),104.17)</f>
        <v>104.17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IFERROR(__xludf.DUMMYFUNCTION("""COMPUTED_VALUE"""),111.47)</f>
        <v>111.47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IFERROR(__xludf.DUMMYFUNCTION("""COMPUTED_VALUE"""),113.67)</f>
        <v>113.67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IFERROR(__xludf.DUMMYFUNCTION("""COMPUTED_VALUE"""),114.83)</f>
        <v>114.83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IFERROR(__xludf.DUMMYFUNCTION("""COMPUTED_VALUE"""),117.12)</f>
        <v>117.12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IFERROR(__xludf.DUMMYFUNCTION("""COMPUTED_VALUE"""),117.32)</f>
        <v>117.32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IFERROR(__xludf.DUMMYFUNCTION("""COMPUTED_VALUE"""),118.12)</f>
        <v>118.12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IFERROR(__xludf.DUMMYFUNCTION("""COMPUTED_VALUE"""),115.63)</f>
        <v>115.63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IFERROR(__xludf.DUMMYFUNCTION("""COMPUTED_VALUE"""),118.13)</f>
        <v>118.13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IFERROR(__xludf.DUMMYFUNCTION("""COMPUTED_VALUE"""),113.17)</f>
        <v>113.17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IFERROR(__xludf.DUMMYFUNCTION("""COMPUTED_VALUE"""),118.97)</f>
        <v>118.97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IFERROR(__xludf.DUMMYFUNCTION("""COMPUTED_VALUE"""),128.33)</f>
        <v>128.33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IFERROR(__xludf.DUMMYFUNCTION("""COMPUTED_VALUE"""),126.6)</f>
        <v>126.6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IFERROR(__xludf.DUMMYFUNCTION("""COMPUTED_VALUE"""),122.82)</f>
        <v>122.82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IFERROR(__xludf.DUMMYFUNCTION("""COMPUTED_VALUE"""),120.2)</f>
        <v>120.2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IFERROR(__xludf.DUMMYFUNCTION("""COMPUTED_VALUE"""),125.17)</f>
        <v>125.17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IFERROR(__xludf.DUMMYFUNCTION("""COMPUTED_VALUE"""),129.17)</f>
        <v>129.17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IFERROR(__xludf.DUMMYFUNCTION("""COMPUTED_VALUE"""),128.08)</f>
        <v>128.08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IFERROR(__xludf.DUMMYFUNCTION("""COMPUTED_VALUE"""),129.05)</f>
        <v>129.05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IFERROR(__xludf.DUMMYFUNCTION("""COMPUTED_VALUE"""),131.56)</f>
        <v>131.56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IFERROR(__xludf.DUMMYFUNCTION("""COMPUTED_VALUE"""),131.07)</f>
        <v>131.07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IFERROR(__xludf.DUMMYFUNCTION("""COMPUTED_VALUE"""),127.1)</f>
        <v>127.1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IFERROR(__xludf.DUMMYFUNCTION("""COMPUTED_VALUE"""),123.3)</f>
        <v>123.3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IFERROR(__xludf.DUMMYFUNCTION("""COMPUTED_VALUE"""),118.33)</f>
        <v>118.33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IFERROR(__xludf.DUMMYFUNCTION("""COMPUTED_VALUE"""),119.47)</f>
        <v>119.47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IFERROR(__xludf.DUMMYFUNCTION("""COMPUTED_VALUE"""),119.33)</f>
        <v>119.33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IFERROR(__xludf.DUMMYFUNCTION("""COMPUTED_VALUE"""),119.33)</f>
        <v>119.33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IFERROR(__xludf.DUMMYFUNCTION("""COMPUTED_VALUE"""),125.63)</f>
        <v>125.63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IFERROR(__xludf.DUMMYFUNCTION("""COMPUTED_VALUE"""),119.1)</f>
        <v>119.1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IFERROR(__xludf.DUMMYFUNCTION("""COMPUTED_VALUE"""),119.5)</f>
        <v>119.5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IFERROR(__xludf.DUMMYFUNCTION("""COMPUTED_VALUE"""),122.93)</f>
        <v>122.93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IFERROR(__xludf.DUMMYFUNCTION("""COMPUTED_VALUE"""),120.83)</f>
        <v>120.83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IFERROR(__xludf.DUMMYFUNCTION("""COMPUTED_VALUE"""),117.7)</f>
        <v>117.7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IFERROR(__xludf.DUMMYFUNCTION("""COMPUTED_VALUE"""),117.33)</f>
        <v>117.33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IFERROR(__xludf.DUMMYFUNCTION("""COMPUTED_VALUE"""),116.3)</f>
        <v>116.3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IFERROR(__xludf.DUMMYFUNCTION("""COMPUTED_VALUE"""),114.63)</f>
        <v>114.63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IFERROR(__xludf.DUMMYFUNCTION("""COMPUTED_VALUE"""),113.67)</f>
        <v>113.67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IFERROR(__xludf.DUMMYFUNCTION("""COMPUTED_VALUE"""),110.75)</f>
        <v>110.75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IFERROR(__xludf.DUMMYFUNCTION("""COMPUTED_VALUE"""),116.5)</f>
        <v>116.5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IFERROR(__xludf.DUMMYFUNCTION("""COMPUTED_VALUE"""),121.97)</f>
        <v>121.97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IFERROR(__xludf.DUMMYFUNCTION("""COMPUTED_VALUE"""),121.0)</f>
        <v>121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IFERROR(__xludf.DUMMYFUNCTION("""COMPUTED_VALUE"""),119.95)</f>
        <v>119.95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IFERROR(__xludf.DUMMYFUNCTION("""COMPUTED_VALUE"""),120.67)</f>
        <v>120.67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IFERROR(__xludf.DUMMYFUNCTION("GOOGLEFINANCE(""NSE:BPCL"",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IFERROR(__xludf.DUMMYFUNCTION("""COMPUTED_VALUE"""),126.57)</f>
        <v>126.57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IFERROR(__xludf.DUMMYFUNCTION("""COMPUTED_VALUE"""),131.95)</f>
        <v>131.95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IFERROR(__xludf.DUMMYFUNCTION("""COMPUTED_VALUE"""),146.0)</f>
        <v>146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IFERROR(__xludf.DUMMYFUNCTION("""COMPUTED_VALUE"""),149.67)</f>
        <v>149.67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IFERROR(__xludf.DUMMYFUNCTION("""COMPUTED_VALUE"""),141.93)</f>
        <v>141.93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IFERROR(__xludf.DUMMYFUNCTION("""COMPUTED_VALUE"""),143.05)</f>
        <v>143.05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IFERROR(__xludf.DUMMYFUNCTION("""COMPUTED_VALUE"""),137.63)</f>
        <v>137.63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IFERROR(__xludf.DUMMYFUNCTION("""COMPUTED_VALUE"""),132.93)</f>
        <v>132.93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IFERROR(__xludf.DUMMYFUNCTION("""COMPUTED_VALUE"""),130.25)</f>
        <v>130.25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IFERROR(__xludf.DUMMYFUNCTION("""COMPUTED_VALUE"""),136.17)</f>
        <v>136.17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IFERROR(__xludf.DUMMYFUNCTION("""COMPUTED_VALUE"""),136.82)</f>
        <v>136.82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IFERROR(__xludf.DUMMYFUNCTION("""COMPUTED_VALUE"""),132.33)</f>
        <v>132.33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IFERROR(__xludf.DUMMYFUNCTION("""COMPUTED_VALUE"""),127.93)</f>
        <v>127.93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IFERROR(__xludf.DUMMYFUNCTION("""COMPUTED_VALUE"""),127.5)</f>
        <v>127.5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IFERROR(__xludf.DUMMYFUNCTION("""COMPUTED_VALUE"""),128.45)</f>
        <v>128.45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IFERROR(__xludf.DUMMYFUNCTION("""COMPUTED_VALUE"""),137.13)</f>
        <v>137.13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IFERROR(__xludf.DUMMYFUNCTION("""COMPUTED_VALUE"""),140.77)</f>
        <v>140.77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IFERROR(__xludf.DUMMYFUNCTION("""COMPUTED_VALUE"""),140.67)</f>
        <v>140.67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IFERROR(__xludf.DUMMYFUNCTION("""COMPUTED_VALUE"""),142.77)</f>
        <v>142.77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IFERROR(__xludf.DUMMYFUNCTION("""COMPUTED_VALUE"""),139.95)</f>
        <v>139.95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IFERROR(__xludf.DUMMYFUNCTION("""COMPUTED_VALUE"""),129.48)</f>
        <v>129.48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IFERROR(__xludf.DUMMYFUNCTION("""COMPUTED_VALUE"""),127.1)</f>
        <v>127.1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IFERROR(__xludf.DUMMYFUNCTION("""COMPUTED_VALUE"""),126.6)</f>
        <v>126.6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IFERROR(__xludf.DUMMYFUNCTION("""COMPUTED_VALUE"""),124.23)</f>
        <v>124.23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IFERROR(__xludf.DUMMYFUNCTION("""COMPUTED_VALUE"""),123.08)</f>
        <v>123.08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IFERROR(__xludf.DUMMYFUNCTION("""COMPUTED_VALUE"""),126.68)</f>
        <v>126.68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IFERROR(__xludf.DUMMYFUNCTION("""COMPUTED_VALUE"""),120.7)</f>
        <v>120.7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IFERROR(__xludf.DUMMYFUNCTION("""COMPUTED_VALUE"""),116.77)</f>
        <v>116.77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IFERROR(__xludf.DUMMYFUNCTION("""COMPUTED_VALUE"""),121.33)</f>
        <v>121.33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IFERROR(__xludf.DUMMYFUNCTION("""COMPUTED_VALUE"""),116.83)</f>
        <v>116.83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IFERROR(__xludf.DUMMYFUNCTION("""COMPUTED_VALUE"""),98.65)</f>
        <v>98.65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IFERROR(__xludf.DUMMYFUNCTION("""COMPUTED_VALUE"""),101.93)</f>
        <v>101.93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IFERROR(__xludf.DUMMYFUNCTION("""COMPUTED_VALUE"""),101.23)</f>
        <v>101.23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IFERROR(__xludf.DUMMYFUNCTION("""COMPUTED_VALUE"""),104.0)</f>
        <v>104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IFERROR(__xludf.DUMMYFUNCTION("""COMPUTED_VALUE"""),101.17)</f>
        <v>101.17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IFERROR(__xludf.DUMMYFUNCTION("""COMPUTED_VALUE"""),105.62)</f>
        <v>105.62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IFERROR(__xludf.DUMMYFUNCTION("""COMPUTED_VALUE"""),115.52)</f>
        <v>115.52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IFERROR(__xludf.DUMMYFUNCTION("""COMPUTED_VALUE"""),113.47)</f>
        <v>113.47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IFERROR(__xludf.DUMMYFUNCTION("""COMPUTED_VALUE"""),117.0)</f>
        <v>117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IFERROR(__xludf.DUMMYFUNCTION("""COMPUTED_VALUE"""),118.9)</f>
        <v>118.9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IFERROR(__xludf.DUMMYFUNCTION("""COMPUTED_VALUE"""),121.63)</f>
        <v>121.63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IFERROR(__xludf.DUMMYFUNCTION("""COMPUTED_VALUE"""),123.87)</f>
        <v>123.87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IFERROR(__xludf.DUMMYFUNCTION("""COMPUTED_VALUE"""),122.5)</f>
        <v>122.5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IFERROR(__xludf.DUMMYFUNCTION("""COMPUTED_VALUE"""),127.15)</f>
        <v>127.15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IFERROR(__xludf.DUMMYFUNCTION("""COMPUTED_VALUE"""),116.6)</f>
        <v>116.6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IFERROR(__xludf.DUMMYFUNCTION("""COMPUTED_VALUE"""),118.55)</f>
        <v>118.55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IFERROR(__xludf.DUMMYFUNCTION("""COMPUTED_VALUE"""),117.23)</f>
        <v>117.23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IFERROR(__xludf.DUMMYFUNCTION("""COMPUTED_VALUE"""),121.87)</f>
        <v>121.87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IFERROR(__xludf.DUMMYFUNCTION("""COMPUTED_VALUE"""),124.97)</f>
        <v>124.97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IFERROR(__xludf.DUMMYFUNCTION("""COMPUTED_VALUE"""),116.83)</f>
        <v>116.83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IFERROR(__xludf.DUMMYFUNCTION("""COMPUTED_VALUE"""),120.27)</f>
        <v>120.27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IFERROR(__xludf.DUMMYFUNCTION("GOOGLEFINANCE(""NSE:BPCL"",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IFERROR(__xludf.DUMMYFUNCTION("""COMPUTED_VALUE"""),118.23)</f>
        <v>118.23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IFERROR(__xludf.DUMMYFUNCTION("""COMPUTED_VALUE"""),112.3)</f>
        <v>112.3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IFERROR(__xludf.DUMMYFUNCTION("""COMPUTED_VALUE"""),114.27)</f>
        <v>114.27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IFERROR(__xludf.DUMMYFUNCTION("""COMPUTED_VALUE"""),116.57)</f>
        <v>116.57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IFERROR(__xludf.DUMMYFUNCTION("""COMPUTED_VALUE"""),121.67)</f>
        <v>121.67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IFERROR(__xludf.DUMMYFUNCTION("""COMPUTED_VALUE"""),122.0)</f>
        <v>122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IFERROR(__xludf.DUMMYFUNCTION("""COMPUTED_VALUE"""),123.6)</f>
        <v>123.6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IFERROR(__xludf.DUMMYFUNCTION("""COMPUTED_VALUE"""),120.85)</f>
        <v>120.85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IFERROR(__xludf.DUMMYFUNCTION("""COMPUTED_VALUE"""),128.33)</f>
        <v>128.33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IFERROR(__xludf.DUMMYFUNCTION("""COMPUTED_VALUE"""),139.92)</f>
        <v>139.92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IFERROR(__xludf.DUMMYFUNCTION("""COMPUTED_VALUE"""),152.93)</f>
        <v>152.93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IFERROR(__xludf.DUMMYFUNCTION("""COMPUTED_VALUE"""),154.83)</f>
        <v>154.83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IFERROR(__xludf.DUMMYFUNCTION("""COMPUTED_VALUE"""),156.45)</f>
        <v>156.45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IFERROR(__xludf.DUMMYFUNCTION("""COMPUTED_VALUE"""),152.53)</f>
        <v>152.53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IFERROR(__xludf.DUMMYFUNCTION("""COMPUTED_VALUE"""),150.67)</f>
        <v>150.67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IFERROR(__xludf.DUMMYFUNCTION("""COMPUTED_VALUE"""),164.57)</f>
        <v>164.57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IFERROR(__xludf.DUMMYFUNCTION("""COMPUTED_VALUE"""),157.57)</f>
        <v>157.57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IFERROR(__xludf.DUMMYFUNCTION("""COMPUTED_VALUE"""),163.3)</f>
        <v>163.3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IFERROR(__xludf.DUMMYFUNCTION("""COMPUTED_VALUE"""),193.0)</f>
        <v>193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IFERROR(__xludf.DUMMYFUNCTION("""COMPUTED_VALUE"""),196.33)</f>
        <v>196.33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IFERROR(__xludf.DUMMYFUNCTION("""COMPUTED_VALUE"""),193.22)</f>
        <v>193.22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IFERROR(__xludf.DUMMYFUNCTION("""COMPUTED_VALUE"""),216.67)</f>
        <v>216.67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IFERROR(__xludf.DUMMYFUNCTION("""COMPUTED_VALUE"""),211.68)</f>
        <v>211.68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IFERROR(__xludf.DUMMYFUNCTION("""COMPUTED_VALUE"""),206.43)</f>
        <v>206.43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IFERROR(__xludf.DUMMYFUNCTION("""COMPUTED_VALUE"""),196.32)</f>
        <v>196.32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IFERROR(__xludf.DUMMYFUNCTION("""COMPUTED_VALUE"""),204.0)</f>
        <v>204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IFERROR(__xludf.DUMMYFUNCTION("""COMPUTED_VALUE"""),201.67)</f>
        <v>201.67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IFERROR(__xludf.DUMMYFUNCTION("""COMPUTED_VALUE"""),197.93)</f>
        <v>197.93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IFERROR(__xludf.DUMMYFUNCTION("""COMPUTED_VALUE"""),204.33)</f>
        <v>204.33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IFERROR(__xludf.DUMMYFUNCTION("""COMPUTED_VALUE"""),197.67)</f>
        <v>197.67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IFERROR(__xludf.DUMMYFUNCTION("""COMPUTED_VALUE"""),202.63)</f>
        <v>202.63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IFERROR(__xludf.DUMMYFUNCTION("""COMPUTED_VALUE"""),205.17)</f>
        <v>205.17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IFERROR(__xludf.DUMMYFUNCTION("""COMPUTED_VALUE"""),231.13)</f>
        <v>231.13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IFERROR(__xludf.DUMMYFUNCTION("""COMPUTED_VALUE"""),233.1)</f>
        <v>233.1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IFERROR(__xludf.DUMMYFUNCTION("""COMPUTED_VALUE"""),240.95)</f>
        <v>240.95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IFERROR(__xludf.DUMMYFUNCTION("""COMPUTED_VALUE"""),235.65)</f>
        <v>235.65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IFERROR(__xludf.DUMMYFUNCTION("""COMPUTED_VALUE"""),230.6)</f>
        <v>230.6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IFERROR(__xludf.DUMMYFUNCTION("""COMPUTED_VALUE"""),225.1)</f>
        <v>225.1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IFERROR(__xludf.DUMMYFUNCTION("""COMPUTED_VALUE"""),221.58)</f>
        <v>221.58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IFERROR(__xludf.DUMMYFUNCTION("""COMPUTED_VALUE"""),228.1)</f>
        <v>228.1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IFERROR(__xludf.DUMMYFUNCTION("""COMPUTED_VALUE"""),227.17)</f>
        <v>227.17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IFERROR(__xludf.DUMMYFUNCTION("""COMPUTED_VALUE"""),238.35)</f>
        <v>238.35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IFERROR(__xludf.DUMMYFUNCTION("""COMPUTED_VALUE"""),242.97)</f>
        <v>242.97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IFERROR(__xludf.DUMMYFUNCTION("""COMPUTED_VALUE"""),255.33)</f>
        <v>255.33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IFERROR(__xludf.DUMMYFUNCTION("""COMPUTED_VALUE"""),259.0)</f>
        <v>259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IFERROR(__xludf.DUMMYFUNCTION("""COMPUTED_VALUE"""),246.93)</f>
        <v>246.93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IFERROR(__xludf.DUMMYFUNCTION("""COMPUTED_VALUE"""),261.67)</f>
        <v>261.67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IFERROR(__xludf.DUMMYFUNCTION("""COMPUTED_VALUE"""),253.83)</f>
        <v>253.83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IFERROR(__xludf.DUMMYFUNCTION("""COMPUTED_VALUE"""),238.67)</f>
        <v>238.67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IFERROR(__xludf.DUMMYFUNCTION("""COMPUTED_VALUE"""),222.67)</f>
        <v>222.67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IFERROR(__xludf.DUMMYFUNCTION("""COMPUTED_VALUE"""),220.83)</f>
        <v>220.83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IFERROR(__xludf.DUMMYFUNCTION("GOOGLEFINANCE(""NSE:BPCL"",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IFERROR(__xludf.DUMMYFUNCTION("""COMPUTED_VALUE"""),220.57)</f>
        <v>220.57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IFERROR(__xludf.DUMMYFUNCTION("""COMPUTED_VALUE"""),229.33)</f>
        <v>229.33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IFERROR(__xludf.DUMMYFUNCTION("""COMPUTED_VALUE"""),230.33)</f>
        <v>230.33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IFERROR(__xludf.DUMMYFUNCTION("""COMPUTED_VALUE"""),227.45)</f>
        <v>227.45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IFERROR(__xludf.DUMMYFUNCTION("""COMPUTED_VALUE"""),254.42)</f>
        <v>254.42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IFERROR(__xludf.DUMMYFUNCTION("""COMPUTED_VALUE"""),257.6)</f>
        <v>257.6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IFERROR(__xludf.DUMMYFUNCTION("""COMPUTED_VALUE"""),244.57)</f>
        <v>244.57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IFERROR(__xludf.DUMMYFUNCTION("""COMPUTED_VALUE"""),252.42)</f>
        <v>252.42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IFERROR(__xludf.DUMMYFUNCTION("""COMPUTED_VALUE"""),263.27)</f>
        <v>263.27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IFERROR(__xludf.DUMMYFUNCTION("""COMPUTED_VALUE"""),260.27)</f>
        <v>260.27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IFERROR(__xludf.DUMMYFUNCTION("""COMPUTED_VALUE"""),260.67)</f>
        <v>260.67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IFERROR(__xludf.DUMMYFUNCTION("""COMPUTED_VALUE"""),258.05)</f>
        <v>258.05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IFERROR(__xludf.DUMMYFUNCTION("""COMPUTED_VALUE"""),272.67)</f>
        <v>272.67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IFERROR(__xludf.DUMMYFUNCTION("""COMPUTED_VALUE"""),278.33)</f>
        <v>278.33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IFERROR(__xludf.DUMMYFUNCTION("""COMPUTED_VALUE"""),276.3)</f>
        <v>276.3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IFERROR(__xludf.DUMMYFUNCTION("""COMPUTED_VALUE"""),272.87)</f>
        <v>272.87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IFERROR(__xludf.DUMMYFUNCTION("""COMPUTED_VALUE"""),261.05)</f>
        <v>261.05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IFERROR(__xludf.DUMMYFUNCTION("""COMPUTED_VALUE"""),264.13)</f>
        <v>264.13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IFERROR(__xludf.DUMMYFUNCTION("""COMPUTED_VALUE"""),256.63)</f>
        <v>256.63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IFERROR(__xludf.DUMMYFUNCTION("""COMPUTED_VALUE"""),265.42)</f>
        <v>265.42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IFERROR(__xludf.DUMMYFUNCTION("""COMPUTED_VALUE"""),285.0)</f>
        <v>285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IFERROR(__xludf.DUMMYFUNCTION("""COMPUTED_VALUE"""),292.12)</f>
        <v>292.12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IFERROR(__xludf.DUMMYFUNCTION("""COMPUTED_VALUE"""),287.33)</f>
        <v>287.33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IFERROR(__xludf.DUMMYFUNCTION("""COMPUTED_VALUE"""),283.27)</f>
        <v>283.27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IFERROR(__xludf.DUMMYFUNCTION("""COMPUTED_VALUE"""),291.0)</f>
        <v>291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IFERROR(__xludf.DUMMYFUNCTION("""COMPUTED_VALUE"""),304.93)</f>
        <v>304.93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IFERROR(__xludf.DUMMYFUNCTION("""COMPUTED_VALUE"""),317.55)</f>
        <v>317.55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IFERROR(__xludf.DUMMYFUNCTION("""COMPUTED_VALUE"""),316.87)</f>
        <v>316.87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IFERROR(__xludf.DUMMYFUNCTION("""COMPUTED_VALUE"""),329.0)</f>
        <v>329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IFERROR(__xludf.DUMMYFUNCTION("""COMPUTED_VALUE"""),324.67)</f>
        <v>324.67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IFERROR(__xludf.DUMMYFUNCTION("""COMPUTED_VALUE"""),321.0)</f>
        <v>321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IFERROR(__xludf.DUMMYFUNCTION("""COMPUTED_VALUE"""),326.52)</f>
        <v>326.52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IFERROR(__xludf.DUMMYFUNCTION("""COMPUTED_VALUE"""),306.3)</f>
        <v>306.3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IFERROR(__xludf.DUMMYFUNCTION("""COMPUTED_VALUE"""),294.83)</f>
        <v>294.83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IFERROR(__xludf.DUMMYFUNCTION("""COMPUTED_VALUE"""),295.67)</f>
        <v>295.67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IFERROR(__xludf.DUMMYFUNCTION("""COMPUTED_VALUE"""),286.37)</f>
        <v>286.37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IFERROR(__xludf.DUMMYFUNCTION("""COMPUTED_VALUE"""),295.83)</f>
        <v>295.83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IFERROR(__xludf.DUMMYFUNCTION("""COMPUTED_VALUE"""),297.43)</f>
        <v>297.43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IFERROR(__xludf.DUMMYFUNCTION("""COMPUTED_VALUE"""),299.65)</f>
        <v>299.65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IFERROR(__xludf.DUMMYFUNCTION("""COMPUTED_VALUE"""),294.67)</f>
        <v>294.67</v>
      </c>
    </row>
    <row r="757" ht="15.75" customHeight="1">
      <c r="B757" s="3">
        <f>IFERROR(__xludf.DUMMYFUNCTION("""COMPUTED_VALUE"""),42300.64583333333)</f>
        <v>42300.64583</v>
      </c>
      <c r="C757" s="2">
        <f>IFERROR(__xludf.DUMMYFUNCTION("""COMPUTED_VALUE"""),308.53)</f>
        <v>308.53</v>
      </c>
    </row>
    <row r="758" ht="15.75" customHeight="1">
      <c r="B758" s="3">
        <f>IFERROR(__xludf.DUMMYFUNCTION("""COMPUTED_VALUE"""),42307.64583333333)</f>
        <v>42307.64583</v>
      </c>
      <c r="C758" s="2">
        <f>IFERROR(__xludf.DUMMYFUNCTION("""COMPUTED_VALUE"""),307.13)</f>
        <v>307.13</v>
      </c>
    </row>
    <row r="759" ht="15.75" customHeight="1">
      <c r="B759" s="3">
        <f>IFERROR(__xludf.DUMMYFUNCTION("""COMPUTED_VALUE"""),42314.64583333333)</f>
        <v>42314.64583</v>
      </c>
      <c r="C759" s="2">
        <f>IFERROR(__xludf.DUMMYFUNCTION("""COMPUTED_VALUE"""),299.83)</f>
        <v>299.83</v>
      </c>
    </row>
    <row r="760" ht="15.75" customHeight="1">
      <c r="B760" s="3">
        <f>IFERROR(__xludf.DUMMYFUNCTION("""COMPUTED_VALUE"""),42321.64583333333)</f>
        <v>42321.64583</v>
      </c>
      <c r="C760" s="2">
        <f>IFERROR(__xludf.DUMMYFUNCTION("""COMPUTED_VALUE"""),303.75)</f>
        <v>303.75</v>
      </c>
    </row>
    <row r="761" ht="15.75" customHeight="1">
      <c r="B761" s="3">
        <f>IFERROR(__xludf.DUMMYFUNCTION("""COMPUTED_VALUE"""),42328.64583333333)</f>
        <v>42328.64583</v>
      </c>
      <c r="C761" s="2">
        <f>IFERROR(__xludf.DUMMYFUNCTION("""COMPUTED_VALUE"""),308.02)</f>
        <v>308.02</v>
      </c>
    </row>
    <row r="762" ht="15.75" customHeight="1">
      <c r="B762" s="3">
        <f>IFERROR(__xludf.DUMMYFUNCTION("""COMPUTED_VALUE"""),42335.64583333333)</f>
        <v>42335.64583</v>
      </c>
      <c r="C762" s="2">
        <f>IFERROR(__xludf.DUMMYFUNCTION("""COMPUTED_VALUE"""),307.3)</f>
        <v>307.3</v>
      </c>
    </row>
    <row r="763" ht="15.75" customHeight="1">
      <c r="B763" s="3">
        <f>IFERROR(__xludf.DUMMYFUNCTION("""COMPUTED_VALUE"""),42342.64583333333)</f>
        <v>42342.64583</v>
      </c>
      <c r="C763" s="2">
        <f>IFERROR(__xludf.DUMMYFUNCTION("""COMPUTED_VALUE"""),315.63)</f>
        <v>315.63</v>
      </c>
    </row>
    <row r="764" ht="15.75" customHeight="1">
      <c r="B764" s="3">
        <f>IFERROR(__xludf.DUMMYFUNCTION("""COMPUTED_VALUE"""),42349.64583333333)</f>
        <v>42349.64583</v>
      </c>
      <c r="C764" s="2">
        <f>IFERROR(__xludf.DUMMYFUNCTION("""COMPUTED_VALUE"""),308.6)</f>
        <v>308.6</v>
      </c>
    </row>
    <row r="765" ht="15.75" customHeight="1">
      <c r="B765" s="3">
        <f>IFERROR(__xludf.DUMMYFUNCTION("""COMPUTED_VALUE"""),42356.64583333333)</f>
        <v>42356.64583</v>
      </c>
      <c r="C765" s="2">
        <f>IFERROR(__xludf.DUMMYFUNCTION("""COMPUTED_VALUE"""),305.67)</f>
        <v>305.67</v>
      </c>
    </row>
    <row r="766" ht="15.75" customHeight="1">
      <c r="B766" s="3">
        <f>IFERROR(__xludf.DUMMYFUNCTION("""COMPUTED_VALUE"""),42362.64583333333)</f>
        <v>42362.64583</v>
      </c>
      <c r="C766" s="2">
        <f>IFERROR(__xludf.DUMMYFUNCTION("""COMPUTED_VALUE"""),303.3)</f>
        <v>303.3</v>
      </c>
    </row>
    <row r="767" ht="15.75" customHeight="1">
      <c r="B767" s="3">
        <f>IFERROR(__xludf.DUMMYFUNCTION("""COMPUTED_VALUE"""),42370.64583333333)</f>
        <v>42370.64583</v>
      </c>
      <c r="C767" s="2">
        <f>IFERROR(__xludf.DUMMYFUNCTION("""COMPUTED_VALUE"""),305.3)</f>
        <v>305.3</v>
      </c>
    </row>
    <row r="768" ht="15.75" customHeight="1"/>
    <row r="769" ht="15.75" customHeight="1"/>
    <row r="770" ht="15.75" customHeight="1"/>
    <row r="771" ht="15.75" customHeight="1">
      <c r="B771" s="2" t="str">
        <f>IFERROR(__xludf.DUMMYFUNCTION("GOOGLEFINANCE(""NSE:BPCL"",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IFERROR(__xludf.DUMMYFUNCTION("""COMPUTED_VALUE"""),306.5)</f>
        <v>306.5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IFERROR(__xludf.DUMMYFUNCTION("""COMPUTED_VALUE"""),315.67)</f>
        <v>315.67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IFERROR(__xludf.DUMMYFUNCTION("""COMPUTED_VALUE"""),313.08)</f>
        <v>313.08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IFERROR(__xludf.DUMMYFUNCTION("""COMPUTED_VALUE"""),302.17)</f>
        <v>302.17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IFERROR(__xludf.DUMMYFUNCTION("""COMPUTED_VALUE"""),297.75)</f>
        <v>297.75</v>
      </c>
    </row>
    <row r="777" ht="15.75" customHeight="1">
      <c r="B777" s="3">
        <f>IFERROR(__xludf.DUMMYFUNCTION("""COMPUTED_VALUE"""),42419.64583333333)</f>
        <v>42419.64583</v>
      </c>
      <c r="C777" s="2">
        <f>IFERROR(__xludf.DUMMYFUNCTION("""COMPUTED_VALUE"""),269.53)</f>
        <v>269.53</v>
      </c>
    </row>
    <row r="778" ht="15.75" customHeight="1">
      <c r="B778" s="3">
        <f>IFERROR(__xludf.DUMMYFUNCTION("""COMPUTED_VALUE"""),42426.64583333333)</f>
        <v>42426.64583</v>
      </c>
      <c r="C778" s="2">
        <f>IFERROR(__xludf.DUMMYFUNCTION("""COMPUTED_VALUE"""),259.0)</f>
        <v>259</v>
      </c>
    </row>
    <row r="779" ht="15.75" customHeight="1">
      <c r="B779" s="3">
        <f>IFERROR(__xludf.DUMMYFUNCTION("""COMPUTED_VALUE"""),42433.64583333333)</f>
        <v>42433.64583</v>
      </c>
      <c r="C779" s="2">
        <f>IFERROR(__xludf.DUMMYFUNCTION("""COMPUTED_VALUE"""),272.63)</f>
        <v>272.63</v>
      </c>
    </row>
    <row r="780" ht="15.75" customHeight="1">
      <c r="B780" s="3">
        <f>IFERROR(__xludf.DUMMYFUNCTION("""COMPUTED_VALUE"""),42440.64583333333)</f>
        <v>42440.64583</v>
      </c>
      <c r="C780" s="2">
        <f>IFERROR(__xludf.DUMMYFUNCTION("""COMPUTED_VALUE"""),278.28)</f>
        <v>278.28</v>
      </c>
    </row>
    <row r="781" ht="15.75" customHeight="1">
      <c r="B781" s="3">
        <f>IFERROR(__xludf.DUMMYFUNCTION("""COMPUTED_VALUE"""),42447.64583333333)</f>
        <v>42447.64583</v>
      </c>
      <c r="C781" s="2">
        <f>IFERROR(__xludf.DUMMYFUNCTION("""COMPUTED_VALUE"""),289.8)</f>
        <v>289.8</v>
      </c>
    </row>
    <row r="782" ht="15.75" customHeight="1">
      <c r="B782" s="3">
        <f>IFERROR(__xludf.DUMMYFUNCTION("""COMPUTED_VALUE"""),42452.64583333333)</f>
        <v>42452.64583</v>
      </c>
      <c r="C782" s="2">
        <f>IFERROR(__xludf.DUMMYFUNCTION("""COMPUTED_VALUE"""),295.93)</f>
        <v>295.93</v>
      </c>
    </row>
    <row r="783" ht="15.75" customHeight="1">
      <c r="B783" s="3">
        <f>IFERROR(__xludf.DUMMYFUNCTION("""COMPUTED_VALUE"""),42461.64583333333)</f>
        <v>42461.64583</v>
      </c>
      <c r="C783" s="2">
        <f>IFERROR(__xludf.DUMMYFUNCTION("""COMPUTED_VALUE"""),307.3)</f>
        <v>307.3</v>
      </c>
    </row>
    <row r="784" ht="15.75" customHeight="1">
      <c r="B784" s="3">
        <f>IFERROR(__xludf.DUMMYFUNCTION("""COMPUTED_VALUE"""),42468.64583333333)</f>
        <v>42468.64583</v>
      </c>
      <c r="C784" s="2">
        <f>IFERROR(__xludf.DUMMYFUNCTION("""COMPUTED_VALUE"""),303.3)</f>
        <v>303.3</v>
      </c>
    </row>
    <row r="785" ht="15.75" customHeight="1">
      <c r="B785" s="3">
        <f>IFERROR(__xludf.DUMMYFUNCTION("""COMPUTED_VALUE"""),42473.64583333333)</f>
        <v>42473.64583</v>
      </c>
      <c r="C785" s="2">
        <f>IFERROR(__xludf.DUMMYFUNCTION("""COMPUTED_VALUE"""),313.27)</f>
        <v>313.27</v>
      </c>
    </row>
    <row r="786" ht="15.75" customHeight="1">
      <c r="B786" s="3">
        <f>IFERROR(__xludf.DUMMYFUNCTION("""COMPUTED_VALUE"""),42482.64583333333)</f>
        <v>42482.64583</v>
      </c>
      <c r="C786" s="2">
        <f>IFERROR(__xludf.DUMMYFUNCTION("""COMPUTED_VALUE"""),328.32)</f>
        <v>328.32</v>
      </c>
    </row>
    <row r="787" ht="15.75" customHeight="1">
      <c r="B787" s="3">
        <f>IFERROR(__xludf.DUMMYFUNCTION("""COMPUTED_VALUE"""),42489.64583333333)</f>
        <v>42489.64583</v>
      </c>
      <c r="C787" s="2">
        <f>IFERROR(__xludf.DUMMYFUNCTION("""COMPUTED_VALUE"""),331.58)</f>
        <v>331.58</v>
      </c>
    </row>
    <row r="788" ht="15.75" customHeight="1">
      <c r="B788" s="3">
        <f>IFERROR(__xludf.DUMMYFUNCTION("""COMPUTED_VALUE"""),42496.64583333333)</f>
        <v>42496.64583</v>
      </c>
      <c r="C788" s="2">
        <f>IFERROR(__xludf.DUMMYFUNCTION("""COMPUTED_VALUE"""),329.07)</f>
        <v>329.07</v>
      </c>
    </row>
    <row r="789" ht="15.75" customHeight="1">
      <c r="B789" s="3">
        <f>IFERROR(__xludf.DUMMYFUNCTION("""COMPUTED_VALUE"""),42503.64583333333)</f>
        <v>42503.64583</v>
      </c>
      <c r="C789" s="2">
        <f>IFERROR(__xludf.DUMMYFUNCTION("""COMPUTED_VALUE"""),316.67)</f>
        <v>316.67</v>
      </c>
    </row>
    <row r="790" ht="15.75" customHeight="1">
      <c r="B790" s="3">
        <f>IFERROR(__xludf.DUMMYFUNCTION("""COMPUTED_VALUE"""),42510.64583333333)</f>
        <v>42510.64583</v>
      </c>
      <c r="C790" s="2">
        <f>IFERROR(__xludf.DUMMYFUNCTION("""COMPUTED_VALUE"""),319.37)</f>
        <v>319.37</v>
      </c>
    </row>
    <row r="791" ht="15.75" customHeight="1">
      <c r="B791" s="3">
        <f>IFERROR(__xludf.DUMMYFUNCTION("""COMPUTED_VALUE"""),42517.64583333333)</f>
        <v>42517.64583</v>
      </c>
      <c r="C791" s="2">
        <f>IFERROR(__xludf.DUMMYFUNCTION("""COMPUTED_VALUE"""),341.57)</f>
        <v>341.57</v>
      </c>
    </row>
    <row r="792" ht="15.75" customHeight="1">
      <c r="B792" s="3">
        <f>IFERROR(__xludf.DUMMYFUNCTION("""COMPUTED_VALUE"""),42524.64583333333)</f>
        <v>42524.64583</v>
      </c>
      <c r="C792" s="2">
        <f>IFERROR(__xludf.DUMMYFUNCTION("""COMPUTED_VALUE"""),344.65)</f>
        <v>344.65</v>
      </c>
    </row>
    <row r="793" ht="15.75" customHeight="1">
      <c r="B793" s="3">
        <f>IFERROR(__xludf.DUMMYFUNCTION("""COMPUTED_VALUE"""),42531.64583333333)</f>
        <v>42531.64583</v>
      </c>
      <c r="C793" s="2">
        <f>IFERROR(__xludf.DUMMYFUNCTION("""COMPUTED_VALUE"""),336.43)</f>
        <v>336.43</v>
      </c>
    </row>
    <row r="794" ht="15.75" customHeight="1">
      <c r="B794" s="3">
        <f>IFERROR(__xludf.DUMMYFUNCTION("""COMPUTED_VALUE"""),42538.64583333333)</f>
        <v>42538.64583</v>
      </c>
      <c r="C794" s="2">
        <f>IFERROR(__xludf.DUMMYFUNCTION("""COMPUTED_VALUE"""),340.0)</f>
        <v>340</v>
      </c>
    </row>
    <row r="795" ht="15.75" customHeight="1">
      <c r="B795" s="3">
        <f>IFERROR(__xludf.DUMMYFUNCTION("""COMPUTED_VALUE"""),42545.64583333333)</f>
        <v>42545.64583</v>
      </c>
      <c r="C795" s="2">
        <f>IFERROR(__xludf.DUMMYFUNCTION("""COMPUTED_VALUE"""),343.5)</f>
        <v>343.5</v>
      </c>
    </row>
    <row r="796" ht="15.75" customHeight="1">
      <c r="B796" s="3">
        <f>IFERROR(__xludf.DUMMYFUNCTION("""COMPUTED_VALUE"""),42552.64583333333)</f>
        <v>42552.64583</v>
      </c>
      <c r="C796" s="2">
        <f>IFERROR(__xludf.DUMMYFUNCTION("""COMPUTED_VALUE"""),367.43)</f>
        <v>367.43</v>
      </c>
    </row>
    <row r="797" ht="15.75" customHeight="1">
      <c r="B797" s="3">
        <f>IFERROR(__xludf.DUMMYFUNCTION("""COMPUTED_VALUE"""),42559.64583333333)</f>
        <v>42559.64583</v>
      </c>
      <c r="C797" s="2">
        <f>IFERROR(__xludf.DUMMYFUNCTION("""COMPUTED_VALUE"""),374.63)</f>
        <v>374.63</v>
      </c>
    </row>
    <row r="798" ht="15.75" customHeight="1">
      <c r="B798" s="3">
        <f>IFERROR(__xludf.DUMMYFUNCTION("""COMPUTED_VALUE"""),42566.64583333333)</f>
        <v>42566.64583</v>
      </c>
      <c r="C798" s="2">
        <f>IFERROR(__xludf.DUMMYFUNCTION("""COMPUTED_VALUE"""),385.33)</f>
        <v>385.33</v>
      </c>
    </row>
    <row r="799" ht="15.75" customHeight="1">
      <c r="B799" s="3">
        <f>IFERROR(__xludf.DUMMYFUNCTION("""COMPUTED_VALUE"""),42573.64583333333)</f>
        <v>42573.64583</v>
      </c>
      <c r="C799" s="2">
        <f>IFERROR(__xludf.DUMMYFUNCTION("""COMPUTED_VALUE"""),393.73)</f>
        <v>393.73</v>
      </c>
    </row>
    <row r="800" ht="15.75" customHeight="1">
      <c r="B800" s="3">
        <f>IFERROR(__xludf.DUMMYFUNCTION("""COMPUTED_VALUE"""),42580.64583333333)</f>
        <v>42580.64583</v>
      </c>
      <c r="C800" s="2">
        <f>IFERROR(__xludf.DUMMYFUNCTION("""COMPUTED_VALUE"""),401.23)</f>
        <v>401.23</v>
      </c>
    </row>
    <row r="801" ht="15.75" customHeight="1">
      <c r="B801" s="3">
        <f>IFERROR(__xludf.DUMMYFUNCTION("""COMPUTED_VALUE"""),42587.64583333333)</f>
        <v>42587.64583</v>
      </c>
      <c r="C801" s="2">
        <f>IFERROR(__xludf.DUMMYFUNCTION("""COMPUTED_VALUE"""),402.33)</f>
        <v>402.33</v>
      </c>
    </row>
    <row r="802" ht="15.75" customHeight="1">
      <c r="B802" s="3">
        <f>IFERROR(__xludf.DUMMYFUNCTION("""COMPUTED_VALUE"""),42594.64583333333)</f>
        <v>42594.64583</v>
      </c>
      <c r="C802" s="2">
        <f>IFERROR(__xludf.DUMMYFUNCTION("""COMPUTED_VALUE"""),411.8)</f>
        <v>411.8</v>
      </c>
    </row>
    <row r="803" ht="15.75" customHeight="1">
      <c r="B803" s="3">
        <f>IFERROR(__xludf.DUMMYFUNCTION("""COMPUTED_VALUE"""),42601.64583333333)</f>
        <v>42601.64583</v>
      </c>
      <c r="C803" s="2">
        <f>IFERROR(__xludf.DUMMYFUNCTION("""COMPUTED_VALUE"""),401.67)</f>
        <v>401.67</v>
      </c>
    </row>
    <row r="804" ht="15.75" customHeight="1">
      <c r="B804" s="3">
        <f>IFERROR(__xludf.DUMMYFUNCTION("""COMPUTED_VALUE"""),42608.64583333333)</f>
        <v>42608.64583</v>
      </c>
      <c r="C804" s="2">
        <f>IFERROR(__xludf.DUMMYFUNCTION("""COMPUTED_VALUE"""),403.6)</f>
        <v>403.6</v>
      </c>
    </row>
    <row r="805" ht="15.75" customHeight="1">
      <c r="B805" s="3">
        <f>IFERROR(__xludf.DUMMYFUNCTION("""COMPUTED_VALUE"""),42615.64583333333)</f>
        <v>42615.64583</v>
      </c>
      <c r="C805" s="2">
        <f>IFERROR(__xludf.DUMMYFUNCTION("""COMPUTED_VALUE"""),407.57)</f>
        <v>407.57</v>
      </c>
    </row>
    <row r="806" ht="15.75" customHeight="1">
      <c r="B806" s="3">
        <f>IFERROR(__xludf.DUMMYFUNCTION("""COMPUTED_VALUE"""),42622.64583333333)</f>
        <v>42622.64583</v>
      </c>
      <c r="C806" s="2">
        <f>IFERROR(__xludf.DUMMYFUNCTION("""COMPUTED_VALUE"""),399.97)</f>
        <v>399.97</v>
      </c>
    </row>
    <row r="807" ht="15.75" customHeight="1">
      <c r="B807" s="3">
        <f>IFERROR(__xludf.DUMMYFUNCTION("""COMPUTED_VALUE"""),42629.64583333333)</f>
        <v>42629.64583</v>
      </c>
      <c r="C807" s="2">
        <f>IFERROR(__xludf.DUMMYFUNCTION("""COMPUTED_VALUE"""),390.4)</f>
        <v>390.4</v>
      </c>
    </row>
    <row r="808" ht="15.75" customHeight="1">
      <c r="B808" s="3">
        <f>IFERROR(__xludf.DUMMYFUNCTION("""COMPUTED_VALUE"""),42636.64583333333)</f>
        <v>42636.64583</v>
      </c>
      <c r="C808" s="2">
        <f>IFERROR(__xludf.DUMMYFUNCTION("""COMPUTED_VALUE"""),405.43)</f>
        <v>405.43</v>
      </c>
    </row>
    <row r="809" ht="15.75" customHeight="1">
      <c r="B809" s="3">
        <f>IFERROR(__xludf.DUMMYFUNCTION("""COMPUTED_VALUE"""),42643.64583333333)</f>
        <v>42643.64583</v>
      </c>
      <c r="C809" s="2">
        <f>IFERROR(__xludf.DUMMYFUNCTION("""COMPUTED_VALUE"""),419.07)</f>
        <v>419.07</v>
      </c>
    </row>
    <row r="810" ht="15.75" customHeight="1">
      <c r="B810" s="3">
        <f>IFERROR(__xludf.DUMMYFUNCTION("""COMPUTED_VALUE"""),42650.64583333333)</f>
        <v>42650.64583</v>
      </c>
      <c r="C810" s="2">
        <f>IFERROR(__xludf.DUMMYFUNCTION("""COMPUTED_VALUE"""),455.73)</f>
        <v>455.73</v>
      </c>
    </row>
    <row r="811" ht="15.75" customHeight="1">
      <c r="B811" s="3">
        <f>IFERROR(__xludf.DUMMYFUNCTION("""COMPUTED_VALUE"""),42657.64583333333)</f>
        <v>42657.64583</v>
      </c>
      <c r="C811" s="2">
        <f>IFERROR(__xludf.DUMMYFUNCTION("""COMPUTED_VALUE"""),448.27)</f>
        <v>448.27</v>
      </c>
    </row>
    <row r="812" ht="15.75" customHeight="1">
      <c r="B812" s="3">
        <f>IFERROR(__xludf.DUMMYFUNCTION("""COMPUTED_VALUE"""),42664.64583333333)</f>
        <v>42664.64583</v>
      </c>
      <c r="C812" s="2">
        <f>IFERROR(__xludf.DUMMYFUNCTION("""COMPUTED_VALUE"""),449.8)</f>
        <v>449.8</v>
      </c>
    </row>
    <row r="813" ht="15.75" customHeight="1">
      <c r="B813" s="3">
        <f>IFERROR(__xludf.DUMMYFUNCTION("""COMPUTED_VALUE"""),42671.64583333333)</f>
        <v>42671.64583</v>
      </c>
      <c r="C813" s="2">
        <f>IFERROR(__xludf.DUMMYFUNCTION("""COMPUTED_VALUE"""),458.63)</f>
        <v>458.63</v>
      </c>
    </row>
    <row r="814" ht="15.75" customHeight="1">
      <c r="B814" s="3">
        <f>IFERROR(__xludf.DUMMYFUNCTION("""COMPUTED_VALUE"""),42678.64583333333)</f>
        <v>42678.64583</v>
      </c>
      <c r="C814" s="2">
        <f>IFERROR(__xludf.DUMMYFUNCTION("""COMPUTED_VALUE"""),453.23)</f>
        <v>453.23</v>
      </c>
    </row>
    <row r="815" ht="15.75" customHeight="1">
      <c r="B815" s="3">
        <f>IFERROR(__xludf.DUMMYFUNCTION("""COMPUTED_VALUE"""),42685.64583333333)</f>
        <v>42685.64583</v>
      </c>
      <c r="C815" s="2">
        <f>IFERROR(__xludf.DUMMYFUNCTION("""COMPUTED_VALUE"""),448.63)</f>
        <v>448.63</v>
      </c>
    </row>
    <row r="816" ht="15.75" customHeight="1">
      <c r="B816" s="3">
        <f>IFERROR(__xludf.DUMMYFUNCTION("""COMPUTED_VALUE"""),42692.64583333333)</f>
        <v>42692.64583</v>
      </c>
      <c r="C816" s="2">
        <f>IFERROR(__xludf.DUMMYFUNCTION("""COMPUTED_VALUE"""),440.7)</f>
        <v>440.7</v>
      </c>
    </row>
    <row r="817" ht="15.75" customHeight="1">
      <c r="B817" s="3">
        <f>IFERROR(__xludf.DUMMYFUNCTION("""COMPUTED_VALUE"""),42699.64583333333)</f>
        <v>42699.64583</v>
      </c>
      <c r="C817" s="2">
        <f>IFERROR(__xludf.DUMMYFUNCTION("""COMPUTED_VALUE"""),431.67)</f>
        <v>431.67</v>
      </c>
    </row>
    <row r="818" ht="15.75" customHeight="1">
      <c r="B818" s="3">
        <f>IFERROR(__xludf.DUMMYFUNCTION("""COMPUTED_VALUE"""),42706.64583333333)</f>
        <v>42706.64583</v>
      </c>
      <c r="C818" s="2">
        <f>IFERROR(__xludf.DUMMYFUNCTION("""COMPUTED_VALUE"""),442.5)</f>
        <v>442.5</v>
      </c>
    </row>
    <row r="819" ht="15.75" customHeight="1">
      <c r="B819" s="3">
        <f>IFERROR(__xludf.DUMMYFUNCTION("""COMPUTED_VALUE"""),42713.64583333333)</f>
        <v>42713.64583</v>
      </c>
      <c r="C819" s="2">
        <f>IFERROR(__xludf.DUMMYFUNCTION("""COMPUTED_VALUE"""),427.9)</f>
        <v>427.9</v>
      </c>
    </row>
    <row r="820" ht="15.75" customHeight="1">
      <c r="B820" s="3">
        <f>IFERROR(__xludf.DUMMYFUNCTION("""COMPUTED_VALUE"""),42720.64583333333)</f>
        <v>42720.64583</v>
      </c>
      <c r="C820" s="2">
        <f>IFERROR(__xludf.DUMMYFUNCTION("""COMPUTED_VALUE"""),422.0)</f>
        <v>422</v>
      </c>
    </row>
    <row r="821" ht="15.75" customHeight="1">
      <c r="B821" s="3">
        <f>IFERROR(__xludf.DUMMYFUNCTION("""COMPUTED_VALUE"""),42727.64583333333)</f>
        <v>42727.64583</v>
      </c>
      <c r="C821" s="2">
        <f>IFERROR(__xludf.DUMMYFUNCTION("""COMPUTED_VALUE"""),415.33)</f>
        <v>415.33</v>
      </c>
    </row>
    <row r="822" ht="15.75" customHeight="1">
      <c r="B822" s="3">
        <f>IFERROR(__xludf.DUMMYFUNCTION("""COMPUTED_VALUE"""),42734.64583333333)</f>
        <v>42734.64583</v>
      </c>
      <c r="C822" s="2">
        <f>IFERROR(__xludf.DUMMYFUNCTION("""COMPUTED_VALUE"""),430.0)</f>
        <v>430</v>
      </c>
    </row>
    <row r="823" ht="15.75" customHeight="1"/>
    <row r="824" ht="15.75" customHeight="1"/>
    <row r="825" ht="15.75" customHeight="1"/>
    <row r="826" ht="15.75" customHeight="1">
      <c r="B826" s="2" t="str">
        <f>IFERROR(__xludf.DUMMYFUNCTION("GOOGLEFINANCE(""NSE:BPCL"",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IFERROR(__xludf.DUMMYFUNCTION("""COMPUTED_VALUE"""),454.0)</f>
        <v>454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IFERROR(__xludf.DUMMYFUNCTION("""COMPUTED_VALUE"""),450.67)</f>
        <v>450.67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IFERROR(__xludf.DUMMYFUNCTION("""COMPUTED_VALUE"""),451.13)</f>
        <v>451.13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IFERROR(__xludf.DUMMYFUNCTION("""COMPUTED_VALUE"""),484.53)</f>
        <v>484.53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IFERROR(__xludf.DUMMYFUNCTION("""COMPUTED_VALUE"""),475.33)</f>
        <v>475.33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IFERROR(__xludf.DUMMYFUNCTION("""COMPUTED_VALUE"""),488.67)</f>
        <v>488.67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IFERROR(__xludf.DUMMYFUNCTION("""COMPUTED_VALUE"""),479.27)</f>
        <v>479.27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IFERROR(__xludf.DUMMYFUNCTION("""COMPUTED_VALUE"""),481.1)</f>
        <v>481.1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IFERROR(__xludf.DUMMYFUNCTION("""COMPUTED_VALUE"""),483.2)</f>
        <v>483.2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IFERROR(__xludf.DUMMYFUNCTION("""COMPUTED_VALUE"""),433.57)</f>
        <v>433.57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IFERROR(__xludf.DUMMYFUNCTION("""COMPUTED_VALUE"""),433.33)</f>
        <v>433.33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IFERROR(__xludf.DUMMYFUNCTION("""COMPUTED_VALUE"""),440.0)</f>
        <v>440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IFERROR(__xludf.DUMMYFUNCTION("""COMPUTED_VALUE"""),438.67)</f>
        <v>438.67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IFERROR(__xludf.DUMMYFUNCTION("""COMPUTED_VALUE"""),453.0)</f>
        <v>453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IFERROR(__xludf.DUMMYFUNCTION("""COMPUTED_VALUE"""),494.63)</f>
        <v>494.63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IFERROR(__xludf.DUMMYFUNCTION("""COMPUTED_VALUE"""),492.0)</f>
        <v>492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IFERROR(__xludf.DUMMYFUNCTION("""COMPUTED_VALUE"""),496.6)</f>
        <v>496.6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IFERROR(__xludf.DUMMYFUNCTION("""COMPUTED_VALUE"""),502.37)</f>
        <v>502.37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IFERROR(__xludf.DUMMYFUNCTION("""COMPUTED_VALUE"""),490.63)</f>
        <v>490.63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IFERROR(__xludf.DUMMYFUNCTION("""COMPUTED_VALUE"""),490.67)</f>
        <v>490.67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IFERROR(__xludf.DUMMYFUNCTION("""COMPUTED_VALUE"""),502.63)</f>
        <v>502.63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IFERROR(__xludf.DUMMYFUNCTION("""COMPUTED_VALUE"""),512.83)</f>
        <v>512.83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IFERROR(__xludf.DUMMYFUNCTION("""COMPUTED_VALUE"""),491.73)</f>
        <v>491.73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IFERROR(__xludf.DUMMYFUNCTION("""COMPUTED_VALUE"""),472.43)</f>
        <v>472.43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IFERROR(__xludf.DUMMYFUNCTION("""COMPUTED_VALUE"""),452.47)</f>
        <v>452.47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IFERROR(__xludf.DUMMYFUNCTION("""COMPUTED_VALUE"""),427.53)</f>
        <v>427.53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IFERROR(__xludf.DUMMYFUNCTION("""COMPUTED_VALUE"""),446.5)</f>
        <v>446.5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IFERROR(__xludf.DUMMYFUNCTION("""COMPUTED_VALUE"""),465.75)</f>
        <v>465.75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IFERROR(__xludf.DUMMYFUNCTION("""COMPUTED_VALUE"""),475.0)</f>
        <v>475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IFERROR(__xludf.DUMMYFUNCTION("""COMPUTED_VALUE"""),480.5)</f>
        <v>480.5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IFERROR(__xludf.DUMMYFUNCTION("""COMPUTED_VALUE"""),525.5)</f>
        <v>525.5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IFERROR(__xludf.DUMMYFUNCTION("""COMPUTED_VALUE"""),529.0)</f>
        <v>529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IFERROR(__xludf.DUMMYFUNCTION("""COMPUTED_VALUE"""),511.6)</f>
        <v>511.6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IFERROR(__xludf.DUMMYFUNCTION("""COMPUTED_VALUE"""),515.8)</f>
        <v>515.8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IFERROR(__xludf.DUMMYFUNCTION("""COMPUTED_VALUE"""),539.85)</f>
        <v>539.85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IFERROR(__xludf.DUMMYFUNCTION("""COMPUTED_VALUE"""),546.1)</f>
        <v>546.1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IFERROR(__xludf.DUMMYFUNCTION("""COMPUTED_VALUE"""),540.4)</f>
        <v>540.4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IFERROR(__xludf.DUMMYFUNCTION("""COMPUTED_VALUE"""),508.2)</f>
        <v>508.2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IFERROR(__xludf.DUMMYFUNCTION("""COMPUTED_VALUE"""),492.5)</f>
        <v>492.5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IFERROR(__xludf.DUMMYFUNCTION("""COMPUTED_VALUE"""),493.4)</f>
        <v>493.4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IFERROR(__xludf.DUMMYFUNCTION("""COMPUTED_VALUE"""),496.0)</f>
        <v>496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IFERROR(__xludf.DUMMYFUNCTION("""COMPUTED_VALUE"""),519.45)</f>
        <v>519.45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IFERROR(__xludf.DUMMYFUNCTION("""COMPUTED_VALUE"""),548.75)</f>
        <v>548.75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IFERROR(__xludf.DUMMYFUNCTION("""COMPUTED_VALUE"""),551.55)</f>
        <v>551.55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IFERROR(__xludf.DUMMYFUNCTION("""COMPUTED_VALUE"""),533.25)</f>
        <v>533.25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IFERROR(__xludf.DUMMYFUNCTION("""COMPUTED_VALUE"""),517.8)</f>
        <v>517.8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IFERROR(__xludf.DUMMYFUNCTION("""COMPUTED_VALUE"""),514.5)</f>
        <v>514.5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IFERROR(__xludf.DUMMYFUNCTION("""COMPUTED_VALUE"""),516.5)</f>
        <v>516.5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IFERROR(__xludf.DUMMYFUNCTION("""COMPUTED_VALUE"""),515.9)</f>
        <v>515.9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IFERROR(__xludf.DUMMYFUNCTION("""COMPUTED_VALUE"""),525.0)</f>
        <v>525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IFERROR(__xludf.DUMMYFUNCTION("""COMPUTED_VALUE"""),540.5)</f>
        <v>540.5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IFERROR(__xludf.DUMMYFUNCTION("""COMPUTED_VALUE"""),542.5)</f>
        <v>542.5</v>
      </c>
    </row>
    <row r="879" ht="15.75" customHeight="1"/>
    <row r="880" ht="15.75" customHeight="1"/>
    <row r="881" ht="15.75" customHeight="1">
      <c r="B881" s="2" t="str">
        <f>IFERROR(__xludf.DUMMYFUNCTION("GOOGLEFINANCE(""NSE:BPCL"",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IFERROR(__xludf.DUMMYFUNCTION("""COMPUTED_VALUE"""),523.0)</f>
        <v>523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IFERROR(__xludf.DUMMYFUNCTION("""COMPUTED_VALUE"""),501.5)</f>
        <v>501.5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IFERROR(__xludf.DUMMYFUNCTION("""COMPUTED_VALUE"""),493.9)</f>
        <v>493.9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IFERROR(__xludf.DUMMYFUNCTION("""COMPUTED_VALUE"""),486.5)</f>
        <v>486.5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IFERROR(__xludf.DUMMYFUNCTION("""COMPUTED_VALUE"""),493.9)</f>
        <v>493.9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IFERROR(__xludf.DUMMYFUNCTION("""COMPUTED_VALUE"""),494.0)</f>
        <v>494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IFERROR(__xludf.DUMMYFUNCTION("""COMPUTED_VALUE"""),481.8)</f>
        <v>481.8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IFERROR(__xludf.DUMMYFUNCTION("""COMPUTED_VALUE"""),468.25)</f>
        <v>468.25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IFERROR(__xludf.DUMMYFUNCTION("""COMPUTED_VALUE"""),443.9)</f>
        <v>443.9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IFERROR(__xludf.DUMMYFUNCTION("""COMPUTED_VALUE"""),455.0)</f>
        <v>455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IFERROR(__xludf.DUMMYFUNCTION("""COMPUTED_VALUE"""),468.4)</f>
        <v>468.4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IFERROR(__xludf.DUMMYFUNCTION("""COMPUTED_VALUE"""),446.0)</f>
        <v>446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IFERROR(__xludf.DUMMYFUNCTION("""COMPUTED_VALUE"""),430.0)</f>
        <v>430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IFERROR(__xludf.DUMMYFUNCTION("""COMPUTED_VALUE"""),435.2)</f>
        <v>435.2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IFERROR(__xludf.DUMMYFUNCTION("""COMPUTED_VALUE"""),454.5)</f>
        <v>454.5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IFERROR(__xludf.DUMMYFUNCTION("""COMPUTED_VALUE"""),412.4)</f>
        <v>412.4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IFERROR(__xludf.DUMMYFUNCTION("""COMPUTED_VALUE"""),394.75)</f>
        <v>394.75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IFERROR(__xludf.DUMMYFUNCTION("""COMPUTED_VALUE"""),396.45)</f>
        <v>396.45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IFERROR(__xludf.DUMMYFUNCTION("""COMPUTED_VALUE"""),400.5)</f>
        <v>400.5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IFERROR(__xludf.DUMMYFUNCTION("""COMPUTED_VALUE"""),413.0)</f>
        <v>413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IFERROR(__xludf.DUMMYFUNCTION("""COMPUTED_VALUE"""),400.45)</f>
        <v>400.45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IFERROR(__xludf.DUMMYFUNCTION("""COMPUTED_VALUE"""),411.5)</f>
        <v>411.5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IFERROR(__xludf.DUMMYFUNCTION("""COMPUTED_VALUE"""),417.85)</f>
        <v>417.85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IFERROR(__xludf.DUMMYFUNCTION("""COMPUTED_VALUE"""),421.45)</f>
        <v>421.45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IFERROR(__xludf.DUMMYFUNCTION("""COMPUTED_VALUE"""),429.15)</f>
        <v>429.15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IFERROR(__xludf.DUMMYFUNCTION("""COMPUTED_VALUE"""),425.0)</f>
        <v>425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IFERROR(__xludf.DUMMYFUNCTION("""COMPUTED_VALUE"""),381.4)</f>
        <v>381.4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IFERROR(__xludf.DUMMYFUNCTION("""COMPUTED_VALUE"""),389.0)</f>
        <v>389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IFERROR(__xludf.DUMMYFUNCTION("""COMPUTED_VALUE"""),404.85)</f>
        <v>404.85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IFERROR(__xludf.DUMMYFUNCTION("""COMPUTED_VALUE"""),400.5)</f>
        <v>400.5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IFERROR(__xludf.DUMMYFUNCTION("""COMPUTED_VALUE"""),407.5)</f>
        <v>407.5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IFERROR(__xludf.DUMMYFUNCTION("""COMPUTED_VALUE"""),404.0)</f>
        <v>404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IFERROR(__xludf.DUMMYFUNCTION("""COMPUTED_VALUE"""),400.4)</f>
        <v>400.4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IFERROR(__xludf.DUMMYFUNCTION("""COMPUTED_VALUE"""),382.25)</f>
        <v>382.25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IFERROR(__xludf.DUMMYFUNCTION("""COMPUTED_VALUE"""),366.3)</f>
        <v>366.3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IFERROR(__xludf.DUMMYFUNCTION("""COMPUTED_VALUE"""),365.5)</f>
        <v>365.5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IFERROR(__xludf.DUMMYFUNCTION("""COMPUTED_VALUE"""),357.05)</f>
        <v>357.05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IFERROR(__xludf.DUMMYFUNCTION("""COMPUTED_VALUE"""),378.95)</f>
        <v>378.95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IFERROR(__xludf.DUMMYFUNCTION("""COMPUTED_VALUE"""),383.45)</f>
        <v>383.45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IFERROR(__xludf.DUMMYFUNCTION("""COMPUTED_VALUE"""),383.8)</f>
        <v>383.8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IFERROR(__xludf.DUMMYFUNCTION("""COMPUTED_VALUE"""),295.7)</f>
        <v>295.7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IFERROR(__xludf.DUMMYFUNCTION("""COMPUTED_VALUE"""),305.5)</f>
        <v>305.5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IFERROR(__xludf.DUMMYFUNCTION("""COMPUTED_VALUE"""),286.95)</f>
        <v>286.95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IFERROR(__xludf.DUMMYFUNCTION("""COMPUTED_VALUE"""),308.0)</f>
        <v>308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IFERROR(__xludf.DUMMYFUNCTION("""COMPUTED_VALUE"""),302.45)</f>
        <v>302.45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IFERROR(__xludf.DUMMYFUNCTION("""COMPUTED_VALUE"""),329.4)</f>
        <v>329.4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IFERROR(__xludf.DUMMYFUNCTION("""COMPUTED_VALUE"""),342.85)</f>
        <v>342.85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IFERROR(__xludf.DUMMYFUNCTION("""COMPUTED_VALUE"""),336.5)</f>
        <v>336.5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IFERROR(__xludf.DUMMYFUNCTION("""COMPUTED_VALUE"""),338.35)</f>
        <v>338.35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IFERROR(__xludf.DUMMYFUNCTION("""COMPUTED_VALUE"""),349.4)</f>
        <v>349.4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IFERROR(__xludf.DUMMYFUNCTION("""COMPUTED_VALUE"""),376.1)</f>
        <v>376.1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IFERROR(__xludf.DUMMYFUNCTION("""COMPUTED_VALUE"""),376.5)</f>
        <v>376.5</v>
      </c>
    </row>
    <row r="934" ht="15.75" customHeight="1"/>
    <row r="935" ht="15.75" customHeight="1"/>
    <row r="936" ht="15.75" customHeight="1">
      <c r="B936" s="2" t="str">
        <f>IFERROR(__xludf.DUMMYFUNCTION("GOOGLEFINANCE(""NSE:BPCL"",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IFERROR(__xludf.DUMMYFUNCTION("""COMPUTED_VALUE"""),369.3)</f>
        <v>369.3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IFERROR(__xludf.DUMMYFUNCTION("""COMPUTED_VALUE"""),362.8)</f>
        <v>362.8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IFERROR(__xludf.DUMMYFUNCTION("""COMPUTED_VALUE"""),357.7)</f>
        <v>357.7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IFERROR(__xludf.DUMMYFUNCTION("""COMPUTED_VALUE"""),360.35)</f>
        <v>360.35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IFERROR(__xludf.DUMMYFUNCTION("""COMPUTED_VALUE"""),357.9)</f>
        <v>357.9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IFERROR(__xludf.DUMMYFUNCTION("""COMPUTED_VALUE"""),346.8)</f>
        <v>346.8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IFERROR(__xludf.DUMMYFUNCTION("""COMPUTED_VALUE"""),343.5)</f>
        <v>343.5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IFERROR(__xludf.DUMMYFUNCTION("""COMPUTED_VALUE"""),347.0)</f>
        <v>347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IFERROR(__xludf.DUMMYFUNCTION("""COMPUTED_VALUE"""),347.55)</f>
        <v>347.55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IFERROR(__xludf.DUMMYFUNCTION("""COMPUTED_VALUE"""),376.95)</f>
        <v>376.95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IFERROR(__xludf.DUMMYFUNCTION("""COMPUTED_VALUE"""),398.3)</f>
        <v>398.3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IFERROR(__xludf.DUMMYFUNCTION("""COMPUTED_VALUE"""),409.9)</f>
        <v>409.9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IFERROR(__xludf.DUMMYFUNCTION("""COMPUTED_VALUE"""),398.9)</f>
        <v>398.9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IFERROR(__xludf.DUMMYFUNCTION("""COMPUTED_VALUE"""),399.5)</f>
        <v>399.5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IFERROR(__xludf.DUMMYFUNCTION("""COMPUTED_VALUE"""),367.8)</f>
        <v>367.8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IFERROR(__xludf.DUMMYFUNCTION("""COMPUTED_VALUE"""),365.0)</f>
        <v>365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IFERROR(__xludf.DUMMYFUNCTION("""COMPUTED_VALUE"""),372.3)</f>
        <v>372.3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IFERROR(__xludf.DUMMYFUNCTION("""COMPUTED_VALUE"""),386.5)</f>
        <v>386.5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IFERROR(__xludf.DUMMYFUNCTION("""COMPUTED_VALUE"""),392.0)</f>
        <v>392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IFERROR(__xludf.DUMMYFUNCTION("""COMPUTED_VALUE"""),378.85)</f>
        <v>378.85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IFERROR(__xludf.DUMMYFUNCTION("""COMPUTED_VALUE"""),411.45)</f>
        <v>411.45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IFERROR(__xludf.DUMMYFUNCTION("""COMPUTED_VALUE"""),421.7)</f>
        <v>421.7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IFERROR(__xludf.DUMMYFUNCTION("""COMPUTED_VALUE"""),419.9)</f>
        <v>419.9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IFERROR(__xludf.DUMMYFUNCTION("""COMPUTED_VALUE"""),401.75)</f>
        <v>401.75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IFERROR(__xludf.DUMMYFUNCTION("""COMPUTED_VALUE"""),387.35)</f>
        <v>387.35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IFERROR(__xludf.DUMMYFUNCTION("""COMPUTED_VALUE"""),398.0)</f>
        <v>398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IFERROR(__xludf.DUMMYFUNCTION("""COMPUTED_VALUE"""),392.85)</f>
        <v>392.85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IFERROR(__xludf.DUMMYFUNCTION("""COMPUTED_VALUE"""),367.85)</f>
        <v>367.85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IFERROR(__xludf.DUMMYFUNCTION("""COMPUTED_VALUE"""),359.0)</f>
        <v>359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IFERROR(__xludf.DUMMYFUNCTION("""COMPUTED_VALUE"""),360.0)</f>
        <v>360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IFERROR(__xludf.DUMMYFUNCTION("""COMPUTED_VALUE"""),347.2)</f>
        <v>347.2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IFERROR(__xludf.DUMMYFUNCTION("""COMPUTED_VALUE"""),350.9)</f>
        <v>350.9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IFERROR(__xludf.DUMMYFUNCTION("""COMPUTED_VALUE"""),357.85)</f>
        <v>357.85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IFERROR(__xludf.DUMMYFUNCTION("""COMPUTED_VALUE"""),354.1)</f>
        <v>354.1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IFERROR(__xludf.DUMMYFUNCTION("""COMPUTED_VALUE"""),357.4)</f>
        <v>357.4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IFERROR(__xludf.DUMMYFUNCTION("""COMPUTED_VALUE"""),385.0)</f>
        <v>385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IFERROR(__xludf.DUMMYFUNCTION("""COMPUTED_VALUE"""),412.0)</f>
        <v>412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IFERROR(__xludf.DUMMYFUNCTION("""COMPUTED_VALUE"""),455.8)</f>
        <v>455.8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IFERROR(__xludf.DUMMYFUNCTION("""COMPUTED_VALUE"""),482.05)</f>
        <v>482.05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IFERROR(__xludf.DUMMYFUNCTION("""COMPUTED_VALUE"""),545.0)</f>
        <v>545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IFERROR(__xludf.DUMMYFUNCTION("""COMPUTED_VALUE"""),507.45)</f>
        <v>507.45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IFERROR(__xludf.DUMMYFUNCTION("""COMPUTED_VALUE"""),534.9)</f>
        <v>534.9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IFERROR(__xludf.DUMMYFUNCTION("""COMPUTED_VALUE"""),538.6)</f>
        <v>538.6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IFERROR(__xludf.DUMMYFUNCTION("""COMPUTED_VALUE"""),534.6)</f>
        <v>534.6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IFERROR(__xludf.DUMMYFUNCTION("""COMPUTED_VALUE"""),527.45)</f>
        <v>527.45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IFERROR(__xludf.DUMMYFUNCTION("""COMPUTED_VALUE"""),523.0)</f>
        <v>523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IFERROR(__xludf.DUMMYFUNCTION("""COMPUTED_VALUE"""),549.0)</f>
        <v>549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IFERROR(__xludf.DUMMYFUNCTION("""COMPUTED_VALUE"""),518.45)</f>
        <v>518.45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IFERROR(__xludf.DUMMYFUNCTION("""COMPUTED_VALUE"""),509.5)</f>
        <v>509.5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IFERROR(__xludf.DUMMYFUNCTION("""COMPUTED_VALUE"""),503.7)</f>
        <v>503.7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IFERROR(__xludf.DUMMYFUNCTION("""COMPUTED_VALUE"""),503.5)</f>
        <v>503.5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IFERROR(__xludf.DUMMYFUNCTION("""COMPUTED_VALUE"""),499.45)</f>
        <v>499.45</v>
      </c>
    </row>
    <row r="989" ht="15.75" customHeight="1"/>
    <row r="990" ht="15.75" customHeight="1"/>
    <row r="991" ht="15.75" customHeight="1">
      <c r="B991" s="2" t="str">
        <f>IFERROR(__xludf.DUMMYFUNCTION("GOOGLEFINANCE(""NSE:BPCL"",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IFERROR(__xludf.DUMMYFUNCTION("""COMPUTED_VALUE"""),496.0)</f>
        <v>496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IFERROR(__xludf.DUMMYFUNCTION("""COMPUTED_VALUE"""),480.0)</f>
        <v>480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IFERROR(__xludf.DUMMYFUNCTION("""COMPUTED_VALUE"""),478.75)</f>
        <v>478.75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IFERROR(__xludf.DUMMYFUNCTION("""COMPUTED_VALUE"""),473.2)</f>
        <v>473.2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IFERROR(__xludf.DUMMYFUNCTION("""COMPUTED_VALUE"""),486.9)</f>
        <v>486.9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IFERROR(__xludf.DUMMYFUNCTION("""COMPUTED_VALUE"""),510.0)</f>
        <v>510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IFERROR(__xludf.DUMMYFUNCTION("""COMPUTED_VALUE"""),495.55)</f>
        <v>495.55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IFERROR(__xludf.DUMMYFUNCTION("""COMPUTED_VALUE"""),481.0)</f>
        <v>481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IFERROR(__xludf.DUMMYFUNCTION("""COMPUTED_VALUE"""),475.7)</f>
        <v>475.7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IFERROR(__xludf.DUMMYFUNCTION("""COMPUTED_VALUE"""),441.85)</f>
        <v>441.85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IFERROR(__xludf.DUMMYFUNCTION("""COMPUTED_VALUE"""),454.4)</f>
        <v>454.4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IFERROR(__xludf.DUMMYFUNCTION("""COMPUTED_VALUE"""),387.25)</f>
        <v>387.25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IFERROR(__xludf.DUMMYFUNCTION("""COMPUTED_VALUE"""),304.0)</f>
        <v>304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IFERROR(__xludf.DUMMYFUNCTION("""COMPUTED_VALUE"""),329.7)</f>
        <v>329.7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IFERROR(__xludf.DUMMYFUNCTION("""COMPUTED_VALUE"""),364.2)</f>
        <v>364.2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IFERROR(__xludf.DUMMYFUNCTION("""COMPUTED_VALUE"""),370.35)</f>
        <v>370.35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IFERROR(__xludf.DUMMYFUNCTION("""COMPUTED_VALUE"""),372.9)</f>
        <v>372.9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IFERROR(__xludf.DUMMYFUNCTION("""COMPUTED_VALUE"""),374.85)</f>
        <v>374.85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IFERROR(__xludf.DUMMYFUNCTION("""COMPUTED_VALUE"""),364.2)</f>
        <v>364.2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IFERROR(__xludf.DUMMYFUNCTION("""COMPUTED_VALUE"""),330.35)</f>
        <v>330.35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IFERROR(__xludf.DUMMYFUNCTION("""COMPUTED_VALUE"""),324.0)</f>
        <v>324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IFERROR(__xludf.DUMMYFUNCTION("""COMPUTED_VALUE"""),347.15)</f>
        <v>347.15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IFERROR(__xludf.DUMMYFUNCTION("""COMPUTED_VALUE"""),372.5)</f>
        <v>372.5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IFERROR(__xludf.DUMMYFUNCTION("""COMPUTED_VALUE"""),402.05)</f>
        <v>402.05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IFERROR(__xludf.DUMMYFUNCTION("""COMPUTED_VALUE"""),384.5)</f>
        <v>384.5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IFERROR(__xludf.DUMMYFUNCTION("""COMPUTED_VALUE"""),396.95)</f>
        <v>396.95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IFERROR(__xludf.DUMMYFUNCTION("""COMPUTED_VALUE"""),395.6)</f>
        <v>395.6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IFERROR(__xludf.DUMMYFUNCTION("""COMPUTED_VALUE"""),396.75)</f>
        <v>396.75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IFERROR(__xludf.DUMMYFUNCTION("""COMPUTED_VALUE"""),447.4)</f>
        <v>447.4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IFERROR(__xludf.DUMMYFUNCTION("""COMPUTED_VALUE"""),481.0)</f>
        <v>481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IFERROR(__xludf.DUMMYFUNCTION("""COMPUTED_VALUE"""),473.7)</f>
        <v>473.7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IFERROR(__xludf.DUMMYFUNCTION("""COMPUTED_VALUE"""),428.25)</f>
        <v>428.25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IFERROR(__xludf.DUMMYFUNCTION("""COMPUTED_VALUE"""),434.1)</f>
        <v>434.1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IFERROR(__xludf.DUMMYFUNCTION("""COMPUTED_VALUE"""),419.85)</f>
        <v>419.85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IFERROR(__xludf.DUMMYFUNCTION("""COMPUTED_VALUE"""),422.0)</f>
        <v>422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IFERROR(__xludf.DUMMYFUNCTION("""COMPUTED_VALUE"""),426.4)</f>
        <v>426.4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IFERROR(__xludf.DUMMYFUNCTION("""COMPUTED_VALUE"""),436.0)</f>
        <v>436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IFERROR(__xludf.DUMMYFUNCTION("""COMPUTED_VALUE"""),429.5)</f>
        <v>429.5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IFERROR(__xludf.DUMMYFUNCTION("""COMPUTED_VALUE"""),415.7)</f>
        <v>415.7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IFERROR(__xludf.DUMMYFUNCTION("""COMPUTED_VALUE"""),394.5)</f>
        <v>394.5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IFERROR(__xludf.DUMMYFUNCTION("""COMPUTED_VALUE"""),360.4)</f>
        <v>360.4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IFERROR(__xludf.DUMMYFUNCTION("""COMPUTED_VALUE"""),349.8)</f>
        <v>349.8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IFERROR(__xludf.DUMMYFUNCTION("""COMPUTED_VALUE"""),363.05)</f>
        <v>363.05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IFERROR(__xludf.DUMMYFUNCTION("""COMPUTED_VALUE"""),359.45)</f>
        <v>359.45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IFERROR(__xludf.DUMMYFUNCTION("""COMPUTED_VALUE"""),370.05)</f>
        <v>370.05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IFERROR(__xludf.DUMMYFUNCTION("""COMPUTED_VALUE"""),415.0)</f>
        <v>415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IFERROR(__xludf.DUMMYFUNCTION("""COMPUTED_VALUE"""),399.5)</f>
        <v>399.5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IFERROR(__xludf.DUMMYFUNCTION("""COMPUTED_VALUE"""),398.8)</f>
        <v>398.8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IFERROR(__xludf.DUMMYFUNCTION("""COMPUTED_VALUE"""),407.4)</f>
        <v>407.4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IFERROR(__xludf.DUMMYFUNCTION("""COMPUTED_VALUE"""),409.25)</f>
        <v>409.25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IFERROR(__xludf.DUMMYFUNCTION("""COMPUTED_VALUE"""),393.0)</f>
        <v>393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IFERROR(__xludf.DUMMYFUNCTION("""COMPUTED_VALUE"""),385.6)</f>
        <v>385.6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IFERROR(__xludf.DUMMYFUNCTION("GOOGLEFINANCE(""NSE:HCLTECH"",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IFERROR(__xludf.DUMMYFUNCTION("""COMPUTED_VALUE"""),38.92)</f>
        <v>38.92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IFERROR(__xludf.DUMMYFUNCTION("""COMPUTED_VALUE"""),41.2)</f>
        <v>41.2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IFERROR(__xludf.DUMMYFUNCTION("""COMPUTED_VALUE"""),36.0)</f>
        <v>36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IFERROR(__xludf.DUMMYFUNCTION("""COMPUTED_VALUE"""),32.1)</f>
        <v>32.1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IFERROR(__xludf.DUMMYFUNCTION("""COMPUTED_VALUE"""),31.35)</f>
        <v>31.35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IFERROR(__xludf.DUMMYFUNCTION("""COMPUTED_VALUE"""),35.63)</f>
        <v>35.63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IFERROR(__xludf.DUMMYFUNCTION("""COMPUTED_VALUE"""),37.23)</f>
        <v>37.23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IFERROR(__xludf.DUMMYFUNCTION("""COMPUTED_VALUE"""),35.35)</f>
        <v>35.35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IFERROR(__xludf.DUMMYFUNCTION("""COMPUTED_VALUE"""),35.59)</f>
        <v>35.59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IFERROR(__xludf.DUMMYFUNCTION("""COMPUTED_VALUE"""),37.15)</f>
        <v>37.15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IFERROR(__xludf.DUMMYFUNCTION("""COMPUTED_VALUE"""),36.99)</f>
        <v>36.99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IFERROR(__xludf.DUMMYFUNCTION("""COMPUTED_VALUE"""),36.05)</f>
        <v>36.05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IFERROR(__xludf.DUMMYFUNCTION("""COMPUTED_VALUE"""),34.25)</f>
        <v>34.25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IFERROR(__xludf.DUMMYFUNCTION("""COMPUTED_VALUE"""),32.92)</f>
        <v>32.92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IFERROR(__xludf.DUMMYFUNCTION("""COMPUTED_VALUE"""),32.84)</f>
        <v>32.84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IFERROR(__xludf.DUMMYFUNCTION("""COMPUTED_VALUE"""),35.0)</f>
        <v>35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IFERROR(__xludf.DUMMYFUNCTION("""COMPUTED_VALUE"""),32.13)</f>
        <v>32.13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IFERROR(__xludf.DUMMYFUNCTION("""COMPUTED_VALUE"""),31.38)</f>
        <v>31.38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IFERROR(__xludf.DUMMYFUNCTION("""COMPUTED_VALUE"""),32.03)</f>
        <v>32.03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IFERROR(__xludf.DUMMYFUNCTION("""COMPUTED_VALUE"""),31.61)</f>
        <v>31.61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IFERROR(__xludf.DUMMYFUNCTION("""COMPUTED_VALUE"""),29.36)</f>
        <v>29.36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IFERROR(__xludf.DUMMYFUNCTION("""COMPUTED_VALUE"""),29.38)</f>
        <v>29.38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IFERROR(__xludf.DUMMYFUNCTION("""COMPUTED_VALUE"""),29.63)</f>
        <v>29.63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IFERROR(__xludf.DUMMYFUNCTION("""COMPUTED_VALUE"""),29.24)</f>
        <v>29.24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IFERROR(__xludf.DUMMYFUNCTION("""COMPUTED_VALUE"""),27.88)</f>
        <v>27.88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IFERROR(__xludf.DUMMYFUNCTION("""COMPUTED_VALUE"""),28.75)</f>
        <v>28.75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IFERROR(__xludf.DUMMYFUNCTION("""COMPUTED_VALUE"""),30.86)</f>
        <v>30.86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IFERROR(__xludf.DUMMYFUNCTION("""COMPUTED_VALUE"""),31.36)</f>
        <v>31.36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IFERROR(__xludf.DUMMYFUNCTION("""COMPUTED_VALUE"""),30.6)</f>
        <v>30.6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IFERROR(__xludf.DUMMYFUNCTION("""COMPUTED_VALUE"""),27.94)</f>
        <v>27.94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IFERROR(__xludf.DUMMYFUNCTION("""COMPUTED_VALUE"""),24.88)</f>
        <v>24.88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IFERROR(__xludf.DUMMYFUNCTION("""COMPUTED_VALUE"""),25.0)</f>
        <v>25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IFERROR(__xludf.DUMMYFUNCTION("""COMPUTED_VALUE"""),24.25)</f>
        <v>24.25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IFERROR(__xludf.DUMMYFUNCTION("""COMPUTED_VALUE"""),26.88)</f>
        <v>26.88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IFERROR(__xludf.DUMMYFUNCTION("""COMPUTED_VALUE"""),25.75)</f>
        <v>25.75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IFERROR(__xludf.DUMMYFUNCTION("""COMPUTED_VALUE"""),28.03)</f>
        <v>28.03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IFERROR(__xludf.DUMMYFUNCTION("""COMPUTED_VALUE"""),27.73)</f>
        <v>27.73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IFERROR(__xludf.DUMMYFUNCTION("""COMPUTED_VALUE"""),27.46)</f>
        <v>27.46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IFERROR(__xludf.DUMMYFUNCTION("""COMPUTED_VALUE"""),28.24)</f>
        <v>28.24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IFERROR(__xludf.DUMMYFUNCTION("""COMPUTED_VALUE"""),27.25)</f>
        <v>27.25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IFERROR(__xludf.DUMMYFUNCTION("""COMPUTED_VALUE"""),25.93)</f>
        <v>25.93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IFERROR(__xludf.DUMMYFUNCTION("""COMPUTED_VALUE"""),27.68)</f>
        <v>27.68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IFERROR(__xludf.DUMMYFUNCTION("""COMPUTED_VALUE"""),27.38)</f>
        <v>27.38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IFERROR(__xludf.DUMMYFUNCTION("""COMPUTED_VALUE"""),20.96)</f>
        <v>20.96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IFERROR(__xludf.DUMMYFUNCTION("""COMPUTED_VALUE"""),20.74)</f>
        <v>20.74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IFERROR(__xludf.DUMMYFUNCTION("""COMPUTED_VALUE"""),21.73)</f>
        <v>21.73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IFERROR(__xludf.DUMMYFUNCTION("""COMPUTED_VALUE"""),23.74)</f>
        <v>23.74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IFERROR(__xludf.DUMMYFUNCTION("""COMPUTED_VALUE"""),24.09)</f>
        <v>24.09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IFERROR(__xludf.DUMMYFUNCTION("""COMPUTED_VALUE"""),24.8)</f>
        <v>24.8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IFERROR(__xludf.DUMMYFUNCTION("""COMPUTED_VALUE"""),24.71)</f>
        <v>24.71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IFERROR(__xludf.DUMMYFUNCTION("""COMPUTED_VALUE"""),24.21)</f>
        <v>24.21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IFERROR(__xludf.DUMMYFUNCTION("""COMPUTED_VALUE"""),24.22)</f>
        <v>24.22</v>
      </c>
    </row>
    <row r="54" ht="15.75" customHeight="1"/>
    <row r="55" ht="15.75" customHeight="1"/>
    <row r="56" ht="15.75" customHeight="1">
      <c r="B56" s="2" t="str">
        <f>IFERROR(__xludf.DUMMYFUNCTION("GOOGLEFINANCE(""NSE:HCLTECH"",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IFERROR(__xludf.DUMMYFUNCTION("""COMPUTED_VALUE"""),24.13)</f>
        <v>24.13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IFERROR(__xludf.DUMMYFUNCTION("""COMPUTED_VALUE"""),23.38)</f>
        <v>23.38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IFERROR(__xludf.DUMMYFUNCTION("""COMPUTED_VALUE"""),22.24)</f>
        <v>22.24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IFERROR(__xludf.DUMMYFUNCTION("""COMPUTED_VALUE"""),21.19)</f>
        <v>21.19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IFERROR(__xludf.DUMMYFUNCTION("""COMPUTED_VALUE"""),20.55)</f>
        <v>20.55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IFERROR(__xludf.DUMMYFUNCTION("""COMPUTED_VALUE"""),21.71)</f>
        <v>21.71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IFERROR(__xludf.DUMMYFUNCTION("""COMPUTED_VALUE"""),21.25)</f>
        <v>21.25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IFERROR(__xludf.DUMMYFUNCTION("""COMPUTED_VALUE"""),21.75)</f>
        <v>21.75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IFERROR(__xludf.DUMMYFUNCTION("""COMPUTED_VALUE"""),22.15)</f>
        <v>22.15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IFERROR(__xludf.DUMMYFUNCTION("""COMPUTED_VALUE"""),22.46)</f>
        <v>22.46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IFERROR(__xludf.DUMMYFUNCTION("""COMPUTED_VALUE"""),19.69)</f>
        <v>19.69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IFERROR(__xludf.DUMMYFUNCTION("""COMPUTED_VALUE"""),20.85)</f>
        <v>20.85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IFERROR(__xludf.DUMMYFUNCTION("""COMPUTED_VALUE"""),20.68)</f>
        <v>20.68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IFERROR(__xludf.DUMMYFUNCTION("""COMPUTED_VALUE"""),22.13)</f>
        <v>22.13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IFERROR(__xludf.DUMMYFUNCTION("""COMPUTED_VALUE"""),19.25)</f>
        <v>19.25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IFERROR(__xludf.DUMMYFUNCTION("""COMPUTED_VALUE"""),19.66)</f>
        <v>19.66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IFERROR(__xludf.DUMMYFUNCTION("""COMPUTED_VALUE"""),18.16)</f>
        <v>18.16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IFERROR(__xludf.DUMMYFUNCTION("""COMPUTED_VALUE"""),18.28)</f>
        <v>18.28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IFERROR(__xludf.DUMMYFUNCTION("""COMPUTED_VALUE"""),17.96)</f>
        <v>17.96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IFERROR(__xludf.DUMMYFUNCTION("""COMPUTED_VALUE"""),17.99)</f>
        <v>17.99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IFERROR(__xludf.DUMMYFUNCTION("""COMPUTED_VALUE"""),15.83)</f>
        <v>15.83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IFERROR(__xludf.DUMMYFUNCTION("""COMPUTED_VALUE"""),18.46)</f>
        <v>18.46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IFERROR(__xludf.DUMMYFUNCTION("""COMPUTED_VALUE"""),18.88)</f>
        <v>18.88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IFERROR(__xludf.DUMMYFUNCTION("""COMPUTED_VALUE"""),19.38)</f>
        <v>19.38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IFERROR(__xludf.DUMMYFUNCTION("""COMPUTED_VALUE"""),19.3)</f>
        <v>19.3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IFERROR(__xludf.DUMMYFUNCTION("""COMPUTED_VALUE"""),19.54)</f>
        <v>19.54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IFERROR(__xludf.DUMMYFUNCTION("""COMPUTED_VALUE"""),22.05)</f>
        <v>22.05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IFERROR(__xludf.DUMMYFUNCTION("""COMPUTED_VALUE"""),21.3)</f>
        <v>21.3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IFERROR(__xludf.DUMMYFUNCTION("""COMPUTED_VALUE"""),21.43)</f>
        <v>21.43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IFERROR(__xludf.DUMMYFUNCTION("""COMPUTED_VALUE"""),21.61)</f>
        <v>21.61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IFERROR(__xludf.DUMMYFUNCTION("""COMPUTED_VALUE"""),22.61)</f>
        <v>22.61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IFERROR(__xludf.DUMMYFUNCTION("""COMPUTED_VALUE"""),22.37)</f>
        <v>22.37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IFERROR(__xludf.DUMMYFUNCTION("""COMPUTED_VALUE"""),22.23)</f>
        <v>22.23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IFERROR(__xludf.DUMMYFUNCTION("""COMPUTED_VALUE"""),24.61)</f>
        <v>24.61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IFERROR(__xludf.DUMMYFUNCTION("""COMPUTED_VALUE"""),27.13)</f>
        <v>27.13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IFERROR(__xludf.DUMMYFUNCTION("""COMPUTED_VALUE"""),28.59)</f>
        <v>28.59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IFERROR(__xludf.DUMMYFUNCTION("""COMPUTED_VALUE"""),24.81)</f>
        <v>24.81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IFERROR(__xludf.DUMMYFUNCTION("""COMPUTED_VALUE"""),21.24)</f>
        <v>21.24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IFERROR(__xludf.DUMMYFUNCTION("""COMPUTED_VALUE"""),22.8)</f>
        <v>22.8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IFERROR(__xludf.DUMMYFUNCTION("""COMPUTED_VALUE"""),25.88)</f>
        <v>25.88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IFERROR(__xludf.DUMMYFUNCTION("""COMPUTED_VALUE"""),26.03)</f>
        <v>26.03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IFERROR(__xludf.DUMMYFUNCTION("""COMPUTED_VALUE"""),27.35)</f>
        <v>27.35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IFERROR(__xludf.DUMMYFUNCTION("""COMPUTED_VALUE"""),32.5)</f>
        <v>32.5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IFERROR(__xludf.DUMMYFUNCTION("""COMPUTED_VALUE"""),31.88)</f>
        <v>31.88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IFERROR(__xludf.DUMMYFUNCTION("""COMPUTED_VALUE"""),34.97)</f>
        <v>34.97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IFERROR(__xludf.DUMMYFUNCTION("""COMPUTED_VALUE"""),37.13)</f>
        <v>37.13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IFERROR(__xludf.DUMMYFUNCTION("""COMPUTED_VALUE"""),35.75)</f>
        <v>35.75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IFERROR(__xludf.DUMMYFUNCTION("""COMPUTED_VALUE"""),36.25)</f>
        <v>36.25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IFERROR(__xludf.DUMMYFUNCTION("""COMPUTED_VALUE"""),36.99)</f>
        <v>36.99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IFERROR(__xludf.DUMMYFUNCTION("GOOGLEFINANCE(""NSE:HCLTECH"",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IFERROR(__xludf.DUMMYFUNCTION("""COMPUTED_VALUE"""),39.85)</f>
        <v>39.85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IFERROR(__xludf.DUMMYFUNCTION("""COMPUTED_VALUE"""),42.5)</f>
        <v>42.5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IFERROR(__xludf.DUMMYFUNCTION("""COMPUTED_VALUE"""),43.13)</f>
        <v>43.13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IFERROR(__xludf.DUMMYFUNCTION("""COMPUTED_VALUE"""),40.87)</f>
        <v>40.87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IFERROR(__xludf.DUMMYFUNCTION("""COMPUTED_VALUE"""),40.87)</f>
        <v>40.87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IFERROR(__xludf.DUMMYFUNCTION("""COMPUTED_VALUE"""),38.38)</f>
        <v>38.38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IFERROR(__xludf.DUMMYFUNCTION("""COMPUTED_VALUE"""),38.0)</f>
        <v>38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IFERROR(__xludf.DUMMYFUNCTION("""COMPUTED_VALUE"""),39.73)</f>
        <v>39.73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IFERROR(__xludf.DUMMYFUNCTION("""COMPUTED_VALUE"""),36.88)</f>
        <v>36.88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IFERROR(__xludf.DUMMYFUNCTION("""COMPUTED_VALUE"""),37.3)</f>
        <v>37.3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IFERROR(__xludf.DUMMYFUNCTION("""COMPUTED_VALUE"""),36.48)</f>
        <v>36.48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IFERROR(__xludf.DUMMYFUNCTION("""COMPUTED_VALUE"""),36.1)</f>
        <v>36.1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IFERROR(__xludf.DUMMYFUNCTION("""COMPUTED_VALUE"""),33.86)</f>
        <v>33.86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IFERROR(__xludf.DUMMYFUNCTION("""COMPUTED_VALUE"""),33.69)</f>
        <v>33.69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IFERROR(__xludf.DUMMYFUNCTION("""COMPUTED_VALUE"""),35.44)</f>
        <v>35.44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IFERROR(__xludf.DUMMYFUNCTION("""COMPUTED_VALUE"""),38.19)</f>
        <v>38.19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IFERROR(__xludf.DUMMYFUNCTION("""COMPUTED_VALUE"""),37.63)</f>
        <v>37.63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IFERROR(__xludf.DUMMYFUNCTION("""COMPUTED_VALUE"""),36.88)</f>
        <v>36.88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IFERROR(__xludf.DUMMYFUNCTION("""COMPUTED_VALUE"""),38.32)</f>
        <v>38.32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IFERROR(__xludf.DUMMYFUNCTION("""COMPUTED_VALUE"""),38.96)</f>
        <v>38.96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IFERROR(__xludf.DUMMYFUNCTION("""COMPUTED_VALUE"""),43.63)</f>
        <v>43.63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IFERROR(__xludf.DUMMYFUNCTION("""COMPUTED_VALUE"""),39.42)</f>
        <v>39.42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IFERROR(__xludf.DUMMYFUNCTION("""COMPUTED_VALUE"""),39.38)</f>
        <v>39.38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IFERROR(__xludf.DUMMYFUNCTION("""COMPUTED_VALUE"""),37.75)</f>
        <v>37.75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IFERROR(__xludf.DUMMYFUNCTION("""COMPUTED_VALUE"""),38.38)</f>
        <v>38.38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IFERROR(__xludf.DUMMYFUNCTION("""COMPUTED_VALUE"""),39.16)</f>
        <v>39.16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IFERROR(__xludf.DUMMYFUNCTION("""COMPUTED_VALUE"""),38.26)</f>
        <v>38.26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IFERROR(__xludf.DUMMYFUNCTION("""COMPUTED_VALUE"""),38.55)</f>
        <v>38.55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IFERROR(__xludf.DUMMYFUNCTION("""COMPUTED_VALUE"""),39.09)</f>
        <v>39.09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IFERROR(__xludf.DUMMYFUNCTION("""COMPUTED_VALUE"""),40.0)</f>
        <v>40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IFERROR(__xludf.DUMMYFUNCTION("""COMPUTED_VALUE"""),39.94)</f>
        <v>39.94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IFERROR(__xludf.DUMMYFUNCTION("""COMPUTED_VALUE"""),41.55)</f>
        <v>41.55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IFERROR(__xludf.DUMMYFUNCTION("""COMPUTED_VALUE"""),40.48)</f>
        <v>40.48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IFERROR(__xludf.DUMMYFUNCTION("""COMPUTED_VALUE"""),41.1)</f>
        <v>41.1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IFERROR(__xludf.DUMMYFUNCTION("""COMPUTED_VALUE"""),40.59)</f>
        <v>40.59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IFERROR(__xludf.DUMMYFUNCTION("""COMPUTED_VALUE"""),42.25)</f>
        <v>42.25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IFERROR(__xludf.DUMMYFUNCTION("""COMPUTED_VALUE"""),45.13)</f>
        <v>45.13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IFERROR(__xludf.DUMMYFUNCTION("""COMPUTED_VALUE"""),45.13)</f>
        <v>45.13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IFERROR(__xludf.DUMMYFUNCTION("""COMPUTED_VALUE"""),46.96)</f>
        <v>46.96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IFERROR(__xludf.DUMMYFUNCTION("""COMPUTED_VALUE"""),50.88)</f>
        <v>50.88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IFERROR(__xludf.DUMMYFUNCTION("""COMPUTED_VALUE"""),50.0)</f>
        <v>50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IFERROR(__xludf.DUMMYFUNCTION("""COMPUTED_VALUE"""),47.11)</f>
        <v>47.11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IFERROR(__xludf.DUMMYFUNCTION("""COMPUTED_VALUE"""),46.88)</f>
        <v>46.88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IFERROR(__xludf.DUMMYFUNCTION("""COMPUTED_VALUE"""),45.88)</f>
        <v>45.88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IFERROR(__xludf.DUMMYFUNCTION("""COMPUTED_VALUE"""),46.74)</f>
        <v>46.74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IFERROR(__xludf.DUMMYFUNCTION("""COMPUTED_VALUE"""),47.23)</f>
        <v>47.23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IFERROR(__xludf.DUMMYFUNCTION("""COMPUTED_VALUE"""),47.36)</f>
        <v>47.36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IFERROR(__xludf.DUMMYFUNCTION("""COMPUTED_VALUE"""),46.63)</f>
        <v>46.63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IFERROR(__xludf.DUMMYFUNCTION("""COMPUTED_VALUE"""),44.5)</f>
        <v>44.5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IFERROR(__xludf.DUMMYFUNCTION("""COMPUTED_VALUE"""),46.05)</f>
        <v>46.05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IFERROR(__xludf.DUMMYFUNCTION("""COMPUTED_VALUE"""),45.25)</f>
        <v>45.25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IFERROR(__xludf.DUMMYFUNCTION("GOOGLEFINANCE(""NSE:HCLTECH"",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IFERROR(__xludf.DUMMYFUNCTION("""COMPUTED_VALUE"""),44.0)</f>
        <v>44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IFERROR(__xludf.DUMMYFUNCTION("""COMPUTED_VALUE"""),41.25)</f>
        <v>41.25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IFERROR(__xludf.DUMMYFUNCTION("""COMPUTED_VALUE"""),39.87)</f>
        <v>39.87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IFERROR(__xludf.DUMMYFUNCTION("""COMPUTED_VALUE"""),41.5)</f>
        <v>41.5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IFERROR(__xludf.DUMMYFUNCTION("""COMPUTED_VALUE"""),43.75)</f>
        <v>43.75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IFERROR(__xludf.DUMMYFUNCTION("""COMPUTED_VALUE"""),44.88)</f>
        <v>44.88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IFERROR(__xludf.DUMMYFUNCTION("""COMPUTED_VALUE"""),45.13)</f>
        <v>45.13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IFERROR(__xludf.DUMMYFUNCTION("""COMPUTED_VALUE"""),42.91)</f>
        <v>42.91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IFERROR(__xludf.DUMMYFUNCTION("""COMPUTED_VALUE"""),43.63)</f>
        <v>43.63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IFERROR(__xludf.DUMMYFUNCTION("""COMPUTED_VALUE"""),45.86)</f>
        <v>45.86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IFERROR(__xludf.DUMMYFUNCTION("""COMPUTED_VALUE"""),46.97)</f>
        <v>46.97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IFERROR(__xludf.DUMMYFUNCTION("""COMPUTED_VALUE"""),46.44)</f>
        <v>46.44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IFERROR(__xludf.DUMMYFUNCTION("""COMPUTED_VALUE"""),48.31)</f>
        <v>48.31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IFERROR(__xludf.DUMMYFUNCTION("""COMPUTED_VALUE"""),49.1)</f>
        <v>49.1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IFERROR(__xludf.DUMMYFUNCTION("""COMPUTED_VALUE"""),47.25)</f>
        <v>47.25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IFERROR(__xludf.DUMMYFUNCTION("""COMPUTED_VALUE"""),47.48)</f>
        <v>47.48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IFERROR(__xludf.DUMMYFUNCTION("""COMPUTED_VALUE"""),50.88)</f>
        <v>50.88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IFERROR(__xludf.DUMMYFUNCTION("""COMPUTED_VALUE"""),43.75)</f>
        <v>43.75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IFERROR(__xludf.DUMMYFUNCTION("""COMPUTED_VALUE"""),44.88)</f>
        <v>44.88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IFERROR(__xludf.DUMMYFUNCTION("""COMPUTED_VALUE"""),45.88)</f>
        <v>45.88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IFERROR(__xludf.DUMMYFUNCTION("""COMPUTED_VALUE"""),47.51)</f>
        <v>47.51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IFERROR(__xludf.DUMMYFUNCTION("""COMPUTED_VALUE"""),47.38)</f>
        <v>47.38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IFERROR(__xludf.DUMMYFUNCTION("""COMPUTED_VALUE"""),47.88)</f>
        <v>47.88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IFERROR(__xludf.DUMMYFUNCTION("""COMPUTED_VALUE"""),50.24)</f>
        <v>50.24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IFERROR(__xludf.DUMMYFUNCTION("""COMPUTED_VALUE"""),49.63)</f>
        <v>49.63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IFERROR(__xludf.DUMMYFUNCTION("""COMPUTED_VALUE"""),49.63)</f>
        <v>49.63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IFERROR(__xludf.DUMMYFUNCTION("""COMPUTED_VALUE"""),48.69)</f>
        <v>48.69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IFERROR(__xludf.DUMMYFUNCTION("""COMPUTED_VALUE"""),49.69)</f>
        <v>49.69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IFERROR(__xludf.DUMMYFUNCTION("""COMPUTED_VALUE"""),51.69)</f>
        <v>51.69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IFERROR(__xludf.DUMMYFUNCTION("""COMPUTED_VALUE"""),56.5)</f>
        <v>56.5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IFERROR(__xludf.DUMMYFUNCTION("""COMPUTED_VALUE"""),55.69)</f>
        <v>55.69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IFERROR(__xludf.DUMMYFUNCTION("""COMPUTED_VALUE"""),57.23)</f>
        <v>57.23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IFERROR(__xludf.DUMMYFUNCTION("""COMPUTED_VALUE"""),62.21)</f>
        <v>62.21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IFERROR(__xludf.DUMMYFUNCTION("""COMPUTED_VALUE"""),57.75)</f>
        <v>57.75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IFERROR(__xludf.DUMMYFUNCTION("""COMPUTED_VALUE"""),57.13)</f>
        <v>57.13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IFERROR(__xludf.DUMMYFUNCTION("""COMPUTED_VALUE"""),59.0)</f>
        <v>59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IFERROR(__xludf.DUMMYFUNCTION("""COMPUTED_VALUE"""),60.49)</f>
        <v>60.49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IFERROR(__xludf.DUMMYFUNCTION("""COMPUTED_VALUE"""),58.61)</f>
        <v>58.61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IFERROR(__xludf.DUMMYFUNCTION("""COMPUTED_VALUE"""),62.5)</f>
        <v>62.5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IFERROR(__xludf.DUMMYFUNCTION("""COMPUTED_VALUE"""),59.38)</f>
        <v>59.38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IFERROR(__xludf.DUMMYFUNCTION("""COMPUTED_VALUE"""),59.63)</f>
        <v>59.63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IFERROR(__xludf.DUMMYFUNCTION("""COMPUTED_VALUE"""),59.86)</f>
        <v>59.86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IFERROR(__xludf.DUMMYFUNCTION("""COMPUTED_VALUE"""),54.98)</f>
        <v>54.98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IFERROR(__xludf.DUMMYFUNCTION("""COMPUTED_VALUE"""),60.85)</f>
        <v>60.85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IFERROR(__xludf.DUMMYFUNCTION("""COMPUTED_VALUE"""),63.13)</f>
        <v>63.13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IFERROR(__xludf.DUMMYFUNCTION("""COMPUTED_VALUE"""),66.13)</f>
        <v>66.13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IFERROR(__xludf.DUMMYFUNCTION("""COMPUTED_VALUE"""),66.5)</f>
        <v>66.5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IFERROR(__xludf.DUMMYFUNCTION("""COMPUTED_VALUE"""),68.93)</f>
        <v>68.93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IFERROR(__xludf.DUMMYFUNCTION("""COMPUTED_VALUE"""),69.25)</f>
        <v>69.25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IFERROR(__xludf.DUMMYFUNCTION("""COMPUTED_VALUE"""),67.72)</f>
        <v>67.72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IFERROR(__xludf.DUMMYFUNCTION("GOOGLEFINANCE(""NSE:HCLTECH"",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IFERROR(__xludf.DUMMYFUNCTION("""COMPUTED_VALUE"""),74.06)</f>
        <v>74.06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IFERROR(__xludf.DUMMYFUNCTION("""COMPUTED_VALUE"""),75.79)</f>
        <v>75.79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IFERROR(__xludf.DUMMYFUNCTION("""COMPUTED_VALUE"""),77.25)</f>
        <v>77.25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IFERROR(__xludf.DUMMYFUNCTION("""COMPUTED_VALUE"""),78.74)</f>
        <v>78.74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IFERROR(__xludf.DUMMYFUNCTION("""COMPUTED_VALUE"""),81.18)</f>
        <v>81.18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IFERROR(__xludf.DUMMYFUNCTION("""COMPUTED_VALUE"""),77.88)</f>
        <v>77.88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IFERROR(__xludf.DUMMYFUNCTION("""COMPUTED_VALUE"""),80.63)</f>
        <v>80.63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IFERROR(__xludf.DUMMYFUNCTION("""COMPUTED_VALUE"""),78.13)</f>
        <v>78.13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IFERROR(__xludf.DUMMYFUNCTION("""COMPUTED_VALUE"""),79.36)</f>
        <v>79.36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IFERROR(__xludf.DUMMYFUNCTION("""COMPUTED_VALUE"""),80.63)</f>
        <v>80.63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IFERROR(__xludf.DUMMYFUNCTION("""COMPUTED_VALUE"""),77.72)</f>
        <v>77.72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IFERROR(__xludf.DUMMYFUNCTION("""COMPUTED_VALUE"""),79.38)</f>
        <v>79.38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IFERROR(__xludf.DUMMYFUNCTION("""COMPUTED_VALUE"""),88.5)</f>
        <v>88.5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IFERROR(__xludf.DUMMYFUNCTION("""COMPUTED_VALUE"""),85.0)</f>
        <v>85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IFERROR(__xludf.DUMMYFUNCTION("""COMPUTED_VALUE"""),78.61)</f>
        <v>78.61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IFERROR(__xludf.DUMMYFUNCTION("""COMPUTED_VALUE"""),84.21)</f>
        <v>84.21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IFERROR(__xludf.DUMMYFUNCTION("""COMPUTED_VALUE"""),74.94)</f>
        <v>74.94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IFERROR(__xludf.DUMMYFUNCTION("""COMPUTED_VALUE"""),75.63)</f>
        <v>75.63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IFERROR(__xludf.DUMMYFUNCTION("""COMPUTED_VALUE"""),72.25)</f>
        <v>72.25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IFERROR(__xludf.DUMMYFUNCTION("""COMPUTED_VALUE"""),68.25)</f>
        <v>68.25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IFERROR(__xludf.DUMMYFUNCTION("""COMPUTED_VALUE"""),66.38)</f>
        <v>66.38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IFERROR(__xludf.DUMMYFUNCTION("""COMPUTED_VALUE"""),64.38)</f>
        <v>64.38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IFERROR(__xludf.DUMMYFUNCTION("""COMPUTED_VALUE"""),56.75)</f>
        <v>56.75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IFERROR(__xludf.DUMMYFUNCTION("""COMPUTED_VALUE"""),60.63)</f>
        <v>60.63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IFERROR(__xludf.DUMMYFUNCTION("""COMPUTED_VALUE"""),63.67)</f>
        <v>63.67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IFERROR(__xludf.DUMMYFUNCTION("""COMPUTED_VALUE"""),68.13)</f>
        <v>68.13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IFERROR(__xludf.DUMMYFUNCTION("""COMPUTED_VALUE"""),70.63)</f>
        <v>70.63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IFERROR(__xludf.DUMMYFUNCTION("""COMPUTED_VALUE"""),77.13)</f>
        <v>77.13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IFERROR(__xludf.DUMMYFUNCTION("""COMPUTED_VALUE"""),70.0)</f>
        <v>70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IFERROR(__xludf.DUMMYFUNCTION("""COMPUTED_VALUE"""),69.06)</f>
        <v>69.06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IFERROR(__xludf.DUMMYFUNCTION("""COMPUTED_VALUE"""),74.88)</f>
        <v>74.88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IFERROR(__xludf.DUMMYFUNCTION("""COMPUTED_VALUE"""),75.24)</f>
        <v>75.24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IFERROR(__xludf.DUMMYFUNCTION("""COMPUTED_VALUE"""),75.54)</f>
        <v>75.54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IFERROR(__xludf.DUMMYFUNCTION("""COMPUTED_VALUE"""),73.13)</f>
        <v>73.13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IFERROR(__xludf.DUMMYFUNCTION("""COMPUTED_VALUE"""),73.63)</f>
        <v>73.63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IFERROR(__xludf.DUMMYFUNCTION("""COMPUTED_VALUE"""),72.75)</f>
        <v>72.75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IFERROR(__xludf.DUMMYFUNCTION("""COMPUTED_VALUE"""),71.11)</f>
        <v>71.11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IFERROR(__xludf.DUMMYFUNCTION("""COMPUTED_VALUE"""),80.14)</f>
        <v>80.14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IFERROR(__xludf.DUMMYFUNCTION("""COMPUTED_VALUE"""),70.61)</f>
        <v>70.61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IFERROR(__xludf.DUMMYFUNCTION("""COMPUTED_VALUE"""),74.38)</f>
        <v>74.38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IFERROR(__xludf.DUMMYFUNCTION("""COMPUTED_VALUE"""),80.25)</f>
        <v>80.25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IFERROR(__xludf.DUMMYFUNCTION("""COMPUTED_VALUE"""),80.13)</f>
        <v>80.13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IFERROR(__xludf.DUMMYFUNCTION("""COMPUTED_VALUE"""),78.3)</f>
        <v>78.3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IFERROR(__xludf.DUMMYFUNCTION("""COMPUTED_VALUE"""),79.98)</f>
        <v>79.98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IFERROR(__xludf.DUMMYFUNCTION("""COMPUTED_VALUE"""),81.88)</f>
        <v>81.88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IFERROR(__xludf.DUMMYFUNCTION("""COMPUTED_VALUE"""),80.75)</f>
        <v>80.75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IFERROR(__xludf.DUMMYFUNCTION("""COMPUTED_VALUE"""),81.18)</f>
        <v>81.18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IFERROR(__xludf.DUMMYFUNCTION("""COMPUTED_VALUE"""),90.63)</f>
        <v>90.63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IFERROR(__xludf.DUMMYFUNCTION("""COMPUTED_VALUE"""),79.25)</f>
        <v>79.25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IFERROR(__xludf.DUMMYFUNCTION("""COMPUTED_VALUE"""),80.88)</f>
        <v>80.88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IFERROR(__xludf.DUMMYFUNCTION("GOOGLEFINANCE(""NSE:HCLTECH"",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IFERROR(__xludf.DUMMYFUNCTION("""COMPUTED_VALUE"""),81.04)</f>
        <v>81.04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IFERROR(__xludf.DUMMYFUNCTION("""COMPUTED_VALUE"""),79.38)</f>
        <v>79.38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IFERROR(__xludf.DUMMYFUNCTION("""COMPUTED_VALUE"""),83.61)</f>
        <v>83.61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IFERROR(__xludf.DUMMYFUNCTION("""COMPUTED_VALUE"""),83.81)</f>
        <v>83.81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IFERROR(__xludf.DUMMYFUNCTION("""COMPUTED_VALUE"""),83.49)</f>
        <v>83.49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IFERROR(__xludf.DUMMYFUNCTION("""COMPUTED_VALUE"""),84.4)</f>
        <v>84.4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IFERROR(__xludf.DUMMYFUNCTION("""COMPUTED_VALUE"""),85.63)</f>
        <v>85.63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IFERROR(__xludf.DUMMYFUNCTION("""COMPUTED_VALUE"""),89.35)</f>
        <v>89.35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IFERROR(__xludf.DUMMYFUNCTION("""COMPUTED_VALUE"""),85.5)</f>
        <v>85.5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IFERROR(__xludf.DUMMYFUNCTION("""COMPUTED_VALUE"""),79.98)</f>
        <v>79.98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IFERROR(__xludf.DUMMYFUNCTION("""COMPUTED_VALUE"""),81.88)</f>
        <v>81.88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IFERROR(__xludf.DUMMYFUNCTION("""COMPUTED_VALUE"""),76.95)</f>
        <v>76.95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IFERROR(__xludf.DUMMYFUNCTION("""COMPUTED_VALUE"""),76.97)</f>
        <v>76.97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IFERROR(__xludf.DUMMYFUNCTION("""COMPUTED_VALUE"""),73.18)</f>
        <v>73.18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IFERROR(__xludf.DUMMYFUNCTION("""COMPUTED_VALUE"""),77.47)</f>
        <v>77.47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IFERROR(__xludf.DUMMYFUNCTION("""COMPUTED_VALUE"""),84.75)</f>
        <v>84.75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IFERROR(__xludf.DUMMYFUNCTION("""COMPUTED_VALUE"""),85.5)</f>
        <v>85.5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IFERROR(__xludf.DUMMYFUNCTION("""COMPUTED_VALUE"""),86.7)</f>
        <v>86.7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IFERROR(__xludf.DUMMYFUNCTION("""COMPUTED_VALUE"""),85.98)</f>
        <v>85.98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IFERROR(__xludf.DUMMYFUNCTION("""COMPUTED_VALUE"""),88.75)</f>
        <v>88.75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IFERROR(__xludf.DUMMYFUNCTION("""COMPUTED_VALUE"""),88.86)</f>
        <v>88.86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IFERROR(__xludf.DUMMYFUNCTION("""COMPUTED_VALUE"""),89.05)</f>
        <v>89.05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IFERROR(__xludf.DUMMYFUNCTION("""COMPUTED_VALUE"""),90.6)</f>
        <v>90.6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IFERROR(__xludf.DUMMYFUNCTION("""COMPUTED_VALUE"""),91.36)</f>
        <v>91.36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IFERROR(__xludf.DUMMYFUNCTION("""COMPUTED_VALUE"""),87.25)</f>
        <v>87.25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IFERROR(__xludf.DUMMYFUNCTION("""COMPUTED_VALUE"""),87.55)</f>
        <v>87.55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IFERROR(__xludf.DUMMYFUNCTION("""COMPUTED_VALUE"""),87.0)</f>
        <v>87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IFERROR(__xludf.DUMMYFUNCTION("""COMPUTED_VALUE"""),86.75)</f>
        <v>86.75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IFERROR(__xludf.DUMMYFUNCTION("""COMPUTED_VALUE"""),84.95)</f>
        <v>84.95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IFERROR(__xludf.DUMMYFUNCTION("""COMPUTED_VALUE"""),84.2)</f>
        <v>84.2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IFERROR(__xludf.DUMMYFUNCTION("""COMPUTED_VALUE"""),80.1)</f>
        <v>80.1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IFERROR(__xludf.DUMMYFUNCTION("""COMPUTED_VALUE"""),80.88)</f>
        <v>80.88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IFERROR(__xludf.DUMMYFUNCTION("""COMPUTED_VALUE"""),83.48)</f>
        <v>83.48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IFERROR(__xludf.DUMMYFUNCTION("""COMPUTED_VALUE"""),81.98)</f>
        <v>81.98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IFERROR(__xludf.DUMMYFUNCTION("""COMPUTED_VALUE"""),76.55)</f>
        <v>76.55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IFERROR(__xludf.DUMMYFUNCTION("""COMPUTED_VALUE"""),79.5)</f>
        <v>79.5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IFERROR(__xludf.DUMMYFUNCTION("""COMPUTED_VALUE"""),77.25)</f>
        <v>77.25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IFERROR(__xludf.DUMMYFUNCTION("""COMPUTED_VALUE"""),72.22)</f>
        <v>72.22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IFERROR(__xludf.DUMMYFUNCTION("""COMPUTED_VALUE"""),78.13)</f>
        <v>78.13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IFERROR(__xludf.DUMMYFUNCTION("""COMPUTED_VALUE"""),77.47)</f>
        <v>77.47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IFERROR(__xludf.DUMMYFUNCTION("""COMPUTED_VALUE"""),83.0)</f>
        <v>83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IFERROR(__xludf.DUMMYFUNCTION("""COMPUTED_VALUE"""),79.25)</f>
        <v>79.25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IFERROR(__xludf.DUMMYFUNCTION("""COMPUTED_VALUE"""),80.0)</f>
        <v>80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IFERROR(__xludf.DUMMYFUNCTION("""COMPUTED_VALUE"""),79.6)</f>
        <v>79.6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IFERROR(__xludf.DUMMYFUNCTION("""COMPUTED_VALUE"""),76.25)</f>
        <v>76.25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IFERROR(__xludf.DUMMYFUNCTION("""COMPUTED_VALUE"""),76.41)</f>
        <v>76.41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IFERROR(__xludf.DUMMYFUNCTION("""COMPUTED_VALUE"""),82.75)</f>
        <v>82.75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IFERROR(__xludf.DUMMYFUNCTION("""COMPUTED_VALUE"""),81.13)</f>
        <v>81.13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IFERROR(__xludf.DUMMYFUNCTION("""COMPUTED_VALUE"""),80.75)</f>
        <v>80.75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IFERROR(__xludf.DUMMYFUNCTION("""COMPUTED_VALUE"""),78.5)</f>
        <v>78.5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IFERROR(__xludf.DUMMYFUNCTION("""COMPUTED_VALUE"""),83.75)</f>
        <v>83.75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IFERROR(__xludf.DUMMYFUNCTION("GOOGLEFINANCE(""NSE:HCLTECH"",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IFERROR(__xludf.DUMMYFUNCTION("""COMPUTED_VALUE"""),83.88)</f>
        <v>83.88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IFERROR(__xludf.DUMMYFUNCTION("""COMPUTED_VALUE"""),79.0)</f>
        <v>79</v>
      </c>
    </row>
    <row r="334" ht="15.75" customHeight="1">
      <c r="B334" s="3">
        <f>IFERROR(__xludf.DUMMYFUNCTION("""COMPUTED_VALUE"""),39464.645833333336)</f>
        <v>39464.64583</v>
      </c>
      <c r="C334" s="2">
        <f>IFERROR(__xludf.DUMMYFUNCTION("""COMPUTED_VALUE"""),73.0)</f>
        <v>73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IFERROR(__xludf.DUMMYFUNCTION("""COMPUTED_VALUE"""),66.59)</f>
        <v>66.59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IFERROR(__xludf.DUMMYFUNCTION("""COMPUTED_VALUE"""),67.25)</f>
        <v>67.25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IFERROR(__xludf.DUMMYFUNCTION("""COMPUTED_VALUE"""),71.0)</f>
        <v>71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IFERROR(__xludf.DUMMYFUNCTION("""COMPUTED_VALUE"""),68.93)</f>
        <v>68.93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IFERROR(__xludf.DUMMYFUNCTION("""COMPUTED_VALUE"""),72.45)</f>
        <v>72.45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IFERROR(__xludf.DUMMYFUNCTION("""COMPUTED_VALUE"""),75.0)</f>
        <v>75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IFERROR(__xludf.DUMMYFUNCTION("""COMPUTED_VALUE"""),70.75)</f>
        <v>70.75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IFERROR(__xludf.DUMMYFUNCTION("""COMPUTED_VALUE"""),72.53)</f>
        <v>72.53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IFERROR(__xludf.DUMMYFUNCTION("""COMPUTED_VALUE"""),67.0)</f>
        <v>67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IFERROR(__xludf.DUMMYFUNCTION("""COMPUTED_VALUE"""),73.0)</f>
        <v>73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IFERROR(__xludf.DUMMYFUNCTION("""COMPUTED_VALUE"""),68.5)</f>
        <v>68.5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IFERROR(__xludf.DUMMYFUNCTION("""COMPUTED_VALUE"""),62.73)</f>
        <v>62.73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IFERROR(__xludf.DUMMYFUNCTION("""COMPUTED_VALUE"""),67.75)</f>
        <v>67.75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IFERROR(__xludf.DUMMYFUNCTION("""COMPUTED_VALUE"""),69.55)</f>
        <v>69.55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IFERROR(__xludf.DUMMYFUNCTION("""COMPUTED_VALUE"""),74.86)</f>
        <v>74.86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IFERROR(__xludf.DUMMYFUNCTION("""COMPUTED_VALUE"""),74.99)</f>
        <v>74.99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IFERROR(__xludf.DUMMYFUNCTION("""COMPUTED_VALUE"""),78.72)</f>
        <v>78.72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IFERROR(__xludf.DUMMYFUNCTION("""COMPUTED_VALUE"""),75.38)</f>
        <v>75.38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IFERROR(__xludf.DUMMYFUNCTION("""COMPUTED_VALUE"""),81.08)</f>
        <v>81.08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IFERROR(__xludf.DUMMYFUNCTION("""COMPUTED_VALUE"""),79.75)</f>
        <v>79.75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IFERROR(__xludf.DUMMYFUNCTION("""COMPUTED_VALUE"""),76.74)</f>
        <v>76.74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IFERROR(__xludf.DUMMYFUNCTION("""COMPUTED_VALUE"""),74.75)</f>
        <v>74.75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IFERROR(__xludf.DUMMYFUNCTION("""COMPUTED_VALUE"""),71.29)</f>
        <v>71.29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IFERROR(__xludf.DUMMYFUNCTION("""COMPUTED_VALUE"""),66.0)</f>
        <v>66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IFERROR(__xludf.DUMMYFUNCTION("""COMPUTED_VALUE"""),65.0)</f>
        <v>65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IFERROR(__xludf.DUMMYFUNCTION("""COMPUTED_VALUE"""),58.0)</f>
        <v>58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IFERROR(__xludf.DUMMYFUNCTION("""COMPUTED_VALUE"""),55.11)</f>
        <v>55.11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IFERROR(__xludf.DUMMYFUNCTION("""COMPUTED_VALUE"""),52.5)</f>
        <v>52.5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IFERROR(__xludf.DUMMYFUNCTION("""COMPUTED_VALUE"""),62.43)</f>
        <v>62.43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IFERROR(__xludf.DUMMYFUNCTION("""COMPUTED_VALUE"""),59.5)</f>
        <v>59.5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IFERROR(__xludf.DUMMYFUNCTION("""COMPUTED_VALUE"""),60.11)</f>
        <v>60.11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IFERROR(__xludf.DUMMYFUNCTION("""COMPUTED_VALUE"""),59.0)</f>
        <v>59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IFERROR(__xludf.DUMMYFUNCTION("""COMPUTED_VALUE"""),63.74)</f>
        <v>63.74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IFERROR(__xludf.DUMMYFUNCTION("""COMPUTED_VALUE"""),65.75)</f>
        <v>65.75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IFERROR(__xludf.DUMMYFUNCTION("""COMPUTED_VALUE"""),58.65)</f>
        <v>58.65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IFERROR(__xludf.DUMMYFUNCTION("""COMPUTED_VALUE"""),59.5)</f>
        <v>59.5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IFERROR(__xludf.DUMMYFUNCTION("""COMPUTED_VALUE"""),53.23)</f>
        <v>53.23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IFERROR(__xludf.DUMMYFUNCTION("""COMPUTED_VALUE"""),51.73)</f>
        <v>51.73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IFERROR(__xludf.DUMMYFUNCTION("""COMPUTED_VALUE"""),46.0)</f>
        <v>46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IFERROR(__xludf.DUMMYFUNCTION("""COMPUTED_VALUE"""),47.45)</f>
        <v>47.45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IFERROR(__xludf.DUMMYFUNCTION("""COMPUTED_VALUE"""),44.0)</f>
        <v>44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IFERROR(__xludf.DUMMYFUNCTION("""COMPUTED_VALUE"""),46.18)</f>
        <v>46.18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IFERROR(__xludf.DUMMYFUNCTION("""COMPUTED_VALUE"""),43.5)</f>
        <v>43.5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IFERROR(__xludf.DUMMYFUNCTION("""COMPUTED_VALUE"""),39.13)</f>
        <v>39.13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IFERROR(__xludf.DUMMYFUNCTION("""COMPUTED_VALUE"""),41.2)</f>
        <v>41.2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IFERROR(__xludf.DUMMYFUNCTION("""COMPUTED_VALUE"""),35.13)</f>
        <v>35.13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IFERROR(__xludf.DUMMYFUNCTION("""COMPUTED_VALUE"""),31.25)</f>
        <v>31.25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IFERROR(__xludf.DUMMYFUNCTION("""COMPUTED_VALUE"""),35.38)</f>
        <v>35.38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IFERROR(__xludf.DUMMYFUNCTION("""COMPUTED_VALUE"""),36.1)</f>
        <v>36.1</v>
      </c>
    </row>
    <row r="384" ht="15.75" customHeight="1"/>
    <row r="385" ht="15.75" customHeight="1"/>
    <row r="386" ht="15.75" customHeight="1">
      <c r="B386" s="2" t="str">
        <f>IFERROR(__xludf.DUMMYFUNCTION("GOOGLEFINANCE(""NSE:HCLTECH"",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IFERROR(__xludf.DUMMYFUNCTION("""COMPUTED_VALUE"""),31.63)</f>
        <v>31.63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IFERROR(__xludf.DUMMYFUNCTION("""COMPUTED_VALUE"""),34.0)</f>
        <v>34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IFERROR(__xludf.DUMMYFUNCTION("""COMPUTED_VALUE"""),30.63)</f>
        <v>30.63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IFERROR(__xludf.DUMMYFUNCTION("""COMPUTED_VALUE"""),30.25)</f>
        <v>30.25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IFERROR(__xludf.DUMMYFUNCTION("""COMPUTED_VALUE"""),29.5)</f>
        <v>29.5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IFERROR(__xludf.DUMMYFUNCTION("""COMPUTED_VALUE"""),32.2)</f>
        <v>32.2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IFERROR(__xludf.DUMMYFUNCTION("""COMPUTED_VALUE"""),32.35)</f>
        <v>32.35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IFERROR(__xludf.DUMMYFUNCTION("""COMPUTED_VALUE"""),28.78)</f>
        <v>28.78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IFERROR(__xludf.DUMMYFUNCTION("""COMPUTED_VALUE"""),26.25)</f>
        <v>26.25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IFERROR(__xludf.DUMMYFUNCTION("""COMPUTED_VALUE"""),24.98)</f>
        <v>24.98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IFERROR(__xludf.DUMMYFUNCTION("""COMPUTED_VALUE"""),24.38)</f>
        <v>24.38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IFERROR(__xludf.DUMMYFUNCTION("""COMPUTED_VALUE"""),26.49)</f>
        <v>26.49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IFERROR(__xludf.DUMMYFUNCTION("""COMPUTED_VALUE"""),26.46)</f>
        <v>26.46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IFERROR(__xludf.DUMMYFUNCTION("""COMPUTED_VALUE"""),27.35)</f>
        <v>27.35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IFERROR(__xludf.DUMMYFUNCTION("""COMPUTED_VALUE"""),32.0)</f>
        <v>32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IFERROR(__xludf.DUMMYFUNCTION("""COMPUTED_VALUE"""),33.6)</f>
        <v>33.6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IFERROR(__xludf.DUMMYFUNCTION("""COMPUTED_VALUE"""),35.88)</f>
        <v>35.88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IFERROR(__xludf.DUMMYFUNCTION("""COMPUTED_VALUE"""),32.92)</f>
        <v>32.92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IFERROR(__xludf.DUMMYFUNCTION("""COMPUTED_VALUE"""),40.45)</f>
        <v>40.45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IFERROR(__xludf.DUMMYFUNCTION("""COMPUTED_VALUE"""),38.35)</f>
        <v>38.35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IFERROR(__xludf.DUMMYFUNCTION("""COMPUTED_VALUE"""),47.7)</f>
        <v>47.7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IFERROR(__xludf.DUMMYFUNCTION("""COMPUTED_VALUE"""),44.98)</f>
        <v>44.98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IFERROR(__xludf.DUMMYFUNCTION("""COMPUTED_VALUE"""),45.68)</f>
        <v>45.68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IFERROR(__xludf.DUMMYFUNCTION("""COMPUTED_VALUE"""),53.24)</f>
        <v>53.24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IFERROR(__xludf.DUMMYFUNCTION("""COMPUTED_VALUE"""),52.75)</f>
        <v>52.75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IFERROR(__xludf.DUMMYFUNCTION("""COMPUTED_VALUE"""),49.95)</f>
        <v>49.95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IFERROR(__xludf.DUMMYFUNCTION("""COMPUTED_VALUE"""),49.15)</f>
        <v>49.15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IFERROR(__xludf.DUMMYFUNCTION("""COMPUTED_VALUE"""),49.68)</f>
        <v>49.68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IFERROR(__xludf.DUMMYFUNCTION("""COMPUTED_VALUE"""),54.7)</f>
        <v>54.7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IFERROR(__xludf.DUMMYFUNCTION("""COMPUTED_VALUE"""),59.98)</f>
        <v>59.98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IFERROR(__xludf.DUMMYFUNCTION("""COMPUTED_VALUE"""),64.25)</f>
        <v>64.25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IFERROR(__xludf.DUMMYFUNCTION("""COMPUTED_VALUE"""),64.93)</f>
        <v>64.93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IFERROR(__xludf.DUMMYFUNCTION("""COMPUTED_VALUE"""),71.24)</f>
        <v>71.24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IFERROR(__xludf.DUMMYFUNCTION("""COMPUTED_VALUE"""),70.63)</f>
        <v>70.63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IFERROR(__xludf.DUMMYFUNCTION("""COMPUTED_VALUE"""),79.97)</f>
        <v>79.97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IFERROR(__xludf.DUMMYFUNCTION("""COMPUTED_VALUE"""),78.24)</f>
        <v>78.24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IFERROR(__xludf.DUMMYFUNCTION("""COMPUTED_VALUE"""),79.5)</f>
        <v>79.5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IFERROR(__xludf.DUMMYFUNCTION("""COMPUTED_VALUE"""),88.05)</f>
        <v>88.05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IFERROR(__xludf.DUMMYFUNCTION("""COMPUTED_VALUE"""),87.25)</f>
        <v>87.25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IFERROR(__xludf.DUMMYFUNCTION("""COMPUTED_VALUE"""),86.45)</f>
        <v>86.45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IFERROR(__xludf.DUMMYFUNCTION("""COMPUTED_VALUE"""),85.16)</f>
        <v>85.16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IFERROR(__xludf.DUMMYFUNCTION("""COMPUTED_VALUE"""),83.88)</f>
        <v>83.88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IFERROR(__xludf.DUMMYFUNCTION("""COMPUTED_VALUE"""),83.23)</f>
        <v>83.23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IFERROR(__xludf.DUMMYFUNCTION("""COMPUTED_VALUE"""),78.25)</f>
        <v>78.25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IFERROR(__xludf.DUMMYFUNCTION("""COMPUTED_VALUE"""),85.74)</f>
        <v>85.74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IFERROR(__xludf.DUMMYFUNCTION("""COMPUTED_VALUE"""),86.15)</f>
        <v>86.15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IFERROR(__xludf.DUMMYFUNCTION("""COMPUTED_VALUE"""),88.99)</f>
        <v>88.99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IFERROR(__xludf.DUMMYFUNCTION("""COMPUTED_VALUE"""),86.23)</f>
        <v>86.23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IFERROR(__xludf.DUMMYFUNCTION("""COMPUTED_VALUE"""),89.63)</f>
        <v>89.63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IFERROR(__xludf.DUMMYFUNCTION("""COMPUTED_VALUE"""),97.0)</f>
        <v>97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IFERROR(__xludf.DUMMYFUNCTION("""COMPUTED_VALUE"""),94.25)</f>
        <v>94.25</v>
      </c>
    </row>
    <row r="438" ht="15.75" customHeight="1"/>
    <row r="439" ht="15.75" customHeight="1"/>
    <row r="440" ht="15.75" customHeight="1"/>
    <row r="441" ht="15.75" customHeight="1">
      <c r="B441" s="2" t="str">
        <f>IFERROR(__xludf.DUMMYFUNCTION("GOOGLEFINANCE(""NSE:HCLTECH"",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IFERROR(__xludf.DUMMYFUNCTION("""COMPUTED_VALUE"""),95.73)</f>
        <v>95.73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IFERROR(__xludf.DUMMYFUNCTION("""COMPUTED_VALUE"""),95.94)</f>
        <v>95.94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IFERROR(__xludf.DUMMYFUNCTION("""COMPUTED_VALUE"""),97.23)</f>
        <v>97.23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IFERROR(__xludf.DUMMYFUNCTION("""COMPUTED_VALUE"""),94.54)</f>
        <v>94.54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IFERROR(__xludf.DUMMYFUNCTION("""COMPUTED_VALUE"""),88.5)</f>
        <v>88.5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IFERROR(__xludf.DUMMYFUNCTION("""COMPUTED_VALUE"""),92.2)</f>
        <v>92.2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IFERROR(__xludf.DUMMYFUNCTION("""COMPUTED_VALUE"""),92.94)</f>
        <v>92.94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IFERROR(__xludf.DUMMYFUNCTION("""COMPUTED_VALUE"""),96.25)</f>
        <v>96.25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IFERROR(__xludf.DUMMYFUNCTION("""COMPUTED_VALUE"""),90.93)</f>
        <v>90.93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IFERROR(__xludf.DUMMYFUNCTION("""COMPUTED_VALUE"""),95.81)</f>
        <v>95.81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IFERROR(__xludf.DUMMYFUNCTION("""COMPUTED_VALUE"""),94.25)</f>
        <v>94.25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IFERROR(__xludf.DUMMYFUNCTION("""COMPUTED_VALUE"""),93.63)</f>
        <v>93.63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IFERROR(__xludf.DUMMYFUNCTION("""COMPUTED_VALUE"""),90.69)</f>
        <v>90.69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IFERROR(__xludf.DUMMYFUNCTION("""COMPUTED_VALUE"""),90.81)</f>
        <v>90.81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IFERROR(__xludf.DUMMYFUNCTION("""COMPUTED_VALUE"""),97.5)</f>
        <v>97.5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IFERROR(__xludf.DUMMYFUNCTION("""COMPUTED_VALUE"""),99.5)</f>
        <v>99.5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IFERROR(__xludf.DUMMYFUNCTION("""COMPUTED_VALUE"""),102.13)</f>
        <v>102.13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IFERROR(__xludf.DUMMYFUNCTION("""COMPUTED_VALUE"""),102.5)</f>
        <v>102.5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IFERROR(__xludf.DUMMYFUNCTION("""COMPUTED_VALUE"""),101.1)</f>
        <v>101.1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IFERROR(__xludf.DUMMYFUNCTION("""COMPUTED_VALUE"""),94.88)</f>
        <v>94.88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IFERROR(__xludf.DUMMYFUNCTION("""COMPUTED_VALUE"""),99.35)</f>
        <v>99.35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IFERROR(__xludf.DUMMYFUNCTION("""COMPUTED_VALUE"""),95.5)</f>
        <v>95.5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IFERROR(__xludf.DUMMYFUNCTION("""COMPUTED_VALUE"""),99.5)</f>
        <v>99.5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IFERROR(__xludf.DUMMYFUNCTION("""COMPUTED_VALUE"""),98.84)</f>
        <v>98.84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IFERROR(__xludf.DUMMYFUNCTION("""COMPUTED_VALUE"""),91.63)</f>
        <v>91.63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IFERROR(__xludf.DUMMYFUNCTION("""COMPUTED_VALUE"""),91.18)</f>
        <v>91.18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IFERROR(__xludf.DUMMYFUNCTION("""COMPUTED_VALUE"""),93.5)</f>
        <v>93.5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IFERROR(__xludf.DUMMYFUNCTION("""COMPUTED_VALUE"""),95.16)</f>
        <v>95.16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IFERROR(__xludf.DUMMYFUNCTION("""COMPUTED_VALUE"""),98.96)</f>
        <v>98.96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IFERROR(__xludf.DUMMYFUNCTION("""COMPUTED_VALUE"""),104.5)</f>
        <v>104.5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IFERROR(__xludf.DUMMYFUNCTION("""COMPUTED_VALUE"""),104.5)</f>
        <v>104.5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IFERROR(__xludf.DUMMYFUNCTION("""COMPUTED_VALUE"""),103.88)</f>
        <v>103.88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IFERROR(__xludf.DUMMYFUNCTION("""COMPUTED_VALUE"""),105.41)</f>
        <v>105.41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IFERROR(__xludf.DUMMYFUNCTION("""COMPUTED_VALUE"""),102.45)</f>
        <v>102.45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IFERROR(__xludf.DUMMYFUNCTION("""COMPUTED_VALUE"""),102.85)</f>
        <v>102.85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IFERROR(__xludf.DUMMYFUNCTION("""COMPUTED_VALUE"""),106.46)</f>
        <v>106.46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IFERROR(__xludf.DUMMYFUNCTION("""COMPUTED_VALUE"""),107.99)</f>
        <v>107.99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IFERROR(__xludf.DUMMYFUNCTION("""COMPUTED_VALUE"""),108.21)</f>
        <v>108.21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IFERROR(__xludf.DUMMYFUNCTION("""COMPUTED_VALUE"""),110.85)</f>
        <v>110.85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IFERROR(__xludf.DUMMYFUNCTION("""COMPUTED_VALUE"""),113.88)</f>
        <v>113.88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IFERROR(__xludf.DUMMYFUNCTION("""COMPUTED_VALUE"""),112.0)</f>
        <v>112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IFERROR(__xludf.DUMMYFUNCTION("""COMPUTED_VALUE"""),106.63)</f>
        <v>106.63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IFERROR(__xludf.DUMMYFUNCTION("""COMPUTED_VALUE"""),104.24)</f>
        <v>104.24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IFERROR(__xludf.DUMMYFUNCTION("""COMPUTED_VALUE"""),103.75)</f>
        <v>103.75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IFERROR(__xludf.DUMMYFUNCTION("""COMPUTED_VALUE"""),101.88)</f>
        <v>101.88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IFERROR(__xludf.DUMMYFUNCTION("""COMPUTED_VALUE"""),99.88)</f>
        <v>99.88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IFERROR(__xludf.DUMMYFUNCTION("""COMPUTED_VALUE"""),106.88)</f>
        <v>106.88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IFERROR(__xludf.DUMMYFUNCTION("""COMPUTED_VALUE"""),109.69)</f>
        <v>109.69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IFERROR(__xludf.DUMMYFUNCTION("""COMPUTED_VALUE"""),112.88)</f>
        <v>112.88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IFERROR(__xludf.DUMMYFUNCTION("""COMPUTED_VALUE"""),114.63)</f>
        <v>114.63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IFERROR(__xludf.DUMMYFUNCTION("""COMPUTED_VALUE"""),115.19)</f>
        <v>115.19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IFERROR(__xludf.DUMMYFUNCTION("GOOGLEFINANCE(""NSE:HCLTECH"",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IFERROR(__xludf.DUMMYFUNCTION("""COMPUTED_VALUE"""),122.25)</f>
        <v>122.25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IFERROR(__xludf.DUMMYFUNCTION("""COMPUTED_VALUE"""),123.18)</f>
        <v>123.18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IFERROR(__xludf.DUMMYFUNCTION("""COMPUTED_VALUE"""),129.29)</f>
        <v>129.29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IFERROR(__xludf.DUMMYFUNCTION("""COMPUTED_VALUE"""),128.5)</f>
        <v>128.5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IFERROR(__xludf.DUMMYFUNCTION("""COMPUTED_VALUE"""),125.86)</f>
        <v>125.86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IFERROR(__xludf.DUMMYFUNCTION("""COMPUTED_VALUE"""),121.74)</f>
        <v>121.74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IFERROR(__xludf.DUMMYFUNCTION("""COMPUTED_VALUE"""),122.49)</f>
        <v>122.49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IFERROR(__xludf.DUMMYFUNCTION("""COMPUTED_VALUE"""),116.88)</f>
        <v>116.88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IFERROR(__xludf.DUMMYFUNCTION("""COMPUTED_VALUE"""),118.2)</f>
        <v>118.2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IFERROR(__xludf.DUMMYFUNCTION("""COMPUTED_VALUE"""),117.38)</f>
        <v>117.38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IFERROR(__xludf.DUMMYFUNCTION("""COMPUTED_VALUE"""),116.46)</f>
        <v>116.46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IFERROR(__xludf.DUMMYFUNCTION("""COMPUTED_VALUE"""),119.71)</f>
        <v>119.71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IFERROR(__xludf.DUMMYFUNCTION("""COMPUTED_VALUE"""),121.4)</f>
        <v>121.4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IFERROR(__xludf.DUMMYFUNCTION("""COMPUTED_VALUE"""),125.75)</f>
        <v>125.75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IFERROR(__xludf.DUMMYFUNCTION("""COMPUTED_VALUE"""),125.94)</f>
        <v>125.94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IFERROR(__xludf.DUMMYFUNCTION("""COMPUTED_VALUE"""),132.0)</f>
        <v>132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IFERROR(__xludf.DUMMYFUNCTION("""COMPUTED_VALUE"""),131.1)</f>
        <v>131.1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IFERROR(__xludf.DUMMYFUNCTION("""COMPUTED_VALUE"""),131.73)</f>
        <v>131.73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IFERROR(__xludf.DUMMYFUNCTION("""COMPUTED_VALUE"""),128.0)</f>
        <v>128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IFERROR(__xludf.DUMMYFUNCTION("""COMPUTED_VALUE"""),127.35)</f>
        <v>127.35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IFERROR(__xludf.DUMMYFUNCTION("""COMPUTED_VALUE"""),129.38)</f>
        <v>129.38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IFERROR(__xludf.DUMMYFUNCTION("""COMPUTED_VALUE"""),129.38)</f>
        <v>129.38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IFERROR(__xludf.DUMMYFUNCTION("""COMPUTED_VALUE"""),128.74)</f>
        <v>128.74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IFERROR(__xludf.DUMMYFUNCTION("""COMPUTED_VALUE"""),127.35)</f>
        <v>127.35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IFERROR(__xludf.DUMMYFUNCTION("""COMPUTED_VALUE"""),123.66)</f>
        <v>123.66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IFERROR(__xludf.DUMMYFUNCTION("""COMPUTED_VALUE"""),125.88)</f>
        <v>125.88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IFERROR(__xludf.DUMMYFUNCTION("""COMPUTED_VALUE"""),128.11)</f>
        <v>128.11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IFERROR(__xludf.DUMMYFUNCTION("""COMPUTED_VALUE"""),126.85)</f>
        <v>126.85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IFERROR(__xludf.DUMMYFUNCTION("""COMPUTED_VALUE"""),127.5)</f>
        <v>127.5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IFERROR(__xludf.DUMMYFUNCTION("""COMPUTED_VALUE"""),130.46)</f>
        <v>130.46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IFERROR(__xludf.DUMMYFUNCTION("""COMPUTED_VALUE"""),123.71)</f>
        <v>123.71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IFERROR(__xludf.DUMMYFUNCTION("""COMPUTED_VALUE"""),109.16)</f>
        <v>109.16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IFERROR(__xludf.DUMMYFUNCTION("""COMPUTED_VALUE"""),106.5)</f>
        <v>106.5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IFERROR(__xludf.DUMMYFUNCTION("""COMPUTED_VALUE"""),99.93)</f>
        <v>99.93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IFERROR(__xludf.DUMMYFUNCTION("""COMPUTED_VALUE"""),103.75)</f>
        <v>103.75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IFERROR(__xludf.DUMMYFUNCTION("""COMPUTED_VALUE"""),104.83)</f>
        <v>104.83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IFERROR(__xludf.DUMMYFUNCTION("""COMPUTED_VALUE"""),102.33)</f>
        <v>102.33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IFERROR(__xludf.DUMMYFUNCTION("""COMPUTED_VALUE"""),102.73)</f>
        <v>102.73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IFERROR(__xludf.DUMMYFUNCTION("""COMPUTED_VALUE"""),103.99)</f>
        <v>103.99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IFERROR(__xludf.DUMMYFUNCTION("""COMPUTED_VALUE"""),104.0)</f>
        <v>104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IFERROR(__xludf.DUMMYFUNCTION("""COMPUTED_VALUE"""),110.89)</f>
        <v>110.89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IFERROR(__xludf.DUMMYFUNCTION("""COMPUTED_VALUE"""),111.25)</f>
        <v>111.25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IFERROR(__xludf.DUMMYFUNCTION("""COMPUTED_VALUE"""),113.75)</f>
        <v>113.75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IFERROR(__xludf.DUMMYFUNCTION("""COMPUTED_VALUE"""),113.43)</f>
        <v>113.43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IFERROR(__xludf.DUMMYFUNCTION("""COMPUTED_VALUE"""),109.7)</f>
        <v>109.7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IFERROR(__xludf.DUMMYFUNCTION("""COMPUTED_VALUE"""),108.58)</f>
        <v>108.58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IFERROR(__xludf.DUMMYFUNCTION("""COMPUTED_VALUE"""),100.75)</f>
        <v>100.75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IFERROR(__xludf.DUMMYFUNCTION("""COMPUTED_VALUE"""),105.0)</f>
        <v>105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IFERROR(__xludf.DUMMYFUNCTION("""COMPUTED_VALUE"""),106.13)</f>
        <v>106.13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IFERROR(__xludf.DUMMYFUNCTION("""COMPUTED_VALUE"""),106.85)</f>
        <v>106.85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IFERROR(__xludf.DUMMYFUNCTION("""COMPUTED_VALUE"""),105.0)</f>
        <v>105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IFERROR(__xludf.DUMMYFUNCTION("""COMPUTED_VALUE"""),99.84)</f>
        <v>99.84</v>
      </c>
    </row>
    <row r="549" ht="15.75" customHeight="1"/>
    <row r="550" ht="15.75" customHeight="1"/>
    <row r="551" ht="15.75" customHeight="1">
      <c r="B551" s="2" t="str">
        <f>IFERROR(__xludf.DUMMYFUNCTION("GOOGLEFINANCE(""NSE:HCLTECH"",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IFERROR(__xludf.DUMMYFUNCTION("""COMPUTED_VALUE"""),106.23)</f>
        <v>106.23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IFERROR(__xludf.DUMMYFUNCTION("""COMPUTED_VALUE"""),108.13)</f>
        <v>108.13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IFERROR(__xludf.DUMMYFUNCTION("""COMPUTED_VALUE"""),107.53)</f>
        <v>107.53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IFERROR(__xludf.DUMMYFUNCTION("""COMPUTED_VALUE"""),115.95)</f>
        <v>115.95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IFERROR(__xludf.DUMMYFUNCTION("""COMPUTED_VALUE"""),117.68)</f>
        <v>117.68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IFERROR(__xludf.DUMMYFUNCTION("""COMPUTED_VALUE"""),125.73)</f>
        <v>125.73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IFERROR(__xludf.DUMMYFUNCTION("""COMPUTED_VALUE"""),124.96)</f>
        <v>124.96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IFERROR(__xludf.DUMMYFUNCTION("""COMPUTED_VALUE"""),128.3)</f>
        <v>128.3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IFERROR(__xludf.DUMMYFUNCTION("""COMPUTED_VALUE"""),129.8)</f>
        <v>129.8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IFERROR(__xludf.DUMMYFUNCTION("""COMPUTED_VALUE"""),125.61)</f>
        <v>125.61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IFERROR(__xludf.DUMMYFUNCTION("""COMPUTED_VALUE"""),126.13)</f>
        <v>126.13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IFERROR(__xludf.DUMMYFUNCTION("""COMPUTED_VALUE"""),128.1)</f>
        <v>128.1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IFERROR(__xludf.DUMMYFUNCTION("""COMPUTED_VALUE"""),127.86)</f>
        <v>127.86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IFERROR(__xludf.DUMMYFUNCTION("""COMPUTED_VALUE"""),127.84)</f>
        <v>127.84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IFERROR(__xludf.DUMMYFUNCTION("""COMPUTED_VALUE"""),131.11)</f>
        <v>131.11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IFERROR(__xludf.DUMMYFUNCTION("""COMPUTED_VALUE"""),127.9)</f>
        <v>127.9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IFERROR(__xludf.DUMMYFUNCTION("""COMPUTED_VALUE"""),122.86)</f>
        <v>122.86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IFERROR(__xludf.DUMMYFUNCTION("""COMPUTED_VALUE"""),123.5)</f>
        <v>123.5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IFERROR(__xludf.DUMMYFUNCTION("""COMPUTED_VALUE"""),127.98)</f>
        <v>127.98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IFERROR(__xludf.DUMMYFUNCTION("""COMPUTED_VALUE"""),126.89)</f>
        <v>126.89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IFERROR(__xludf.DUMMYFUNCTION("""COMPUTED_VALUE"""),124.85)</f>
        <v>124.85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IFERROR(__xludf.DUMMYFUNCTION("""COMPUTED_VALUE"""),122.48)</f>
        <v>122.48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IFERROR(__xludf.DUMMYFUNCTION("""COMPUTED_VALUE"""),119.48)</f>
        <v>119.48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IFERROR(__xludf.DUMMYFUNCTION("""COMPUTED_VALUE"""),123.25)</f>
        <v>123.25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IFERROR(__xludf.DUMMYFUNCTION("""COMPUTED_VALUE"""),125.0)</f>
        <v>125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IFERROR(__xludf.DUMMYFUNCTION("""COMPUTED_VALUE"""),122.0)</f>
        <v>122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IFERROR(__xludf.DUMMYFUNCTION("""COMPUTED_VALUE"""),130.0)</f>
        <v>130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IFERROR(__xludf.DUMMYFUNCTION("""COMPUTED_VALUE"""),131.28)</f>
        <v>131.28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IFERROR(__xludf.DUMMYFUNCTION("""COMPUTED_VALUE"""),134.98)</f>
        <v>134.98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IFERROR(__xludf.DUMMYFUNCTION("""COMPUTED_VALUE"""),139.99)</f>
        <v>139.99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IFERROR(__xludf.DUMMYFUNCTION("""COMPUTED_VALUE"""),140.5)</f>
        <v>140.5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IFERROR(__xludf.DUMMYFUNCTION("""COMPUTED_VALUE"""),140.44)</f>
        <v>140.44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IFERROR(__xludf.DUMMYFUNCTION("""COMPUTED_VALUE"""),148.95)</f>
        <v>148.95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IFERROR(__xludf.DUMMYFUNCTION("""COMPUTED_VALUE"""),147.93)</f>
        <v>147.93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IFERROR(__xludf.DUMMYFUNCTION("""COMPUTED_VALUE"""),147.23)</f>
        <v>147.23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IFERROR(__xludf.DUMMYFUNCTION("""COMPUTED_VALUE"""),149.4)</f>
        <v>149.4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IFERROR(__xludf.DUMMYFUNCTION("""COMPUTED_VALUE"""),146.65)</f>
        <v>146.65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IFERROR(__xludf.DUMMYFUNCTION("""COMPUTED_VALUE"""),152.09)</f>
        <v>152.09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IFERROR(__xludf.DUMMYFUNCTION("""COMPUTED_VALUE"""),154.89)</f>
        <v>154.89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IFERROR(__xludf.DUMMYFUNCTION("""COMPUTED_VALUE"""),155.23)</f>
        <v>155.23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IFERROR(__xludf.DUMMYFUNCTION("""COMPUTED_VALUE"""),155.11)</f>
        <v>155.11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IFERROR(__xludf.DUMMYFUNCTION("""COMPUTED_VALUE"""),158.11)</f>
        <v>158.11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IFERROR(__xludf.DUMMYFUNCTION("""COMPUTED_VALUE"""),159.94)</f>
        <v>159.94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IFERROR(__xludf.DUMMYFUNCTION("""COMPUTED_VALUE"""),165.24)</f>
        <v>165.24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IFERROR(__xludf.DUMMYFUNCTION("""COMPUTED_VALUE"""),164.0)</f>
        <v>164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IFERROR(__xludf.DUMMYFUNCTION("""COMPUTED_VALUE"""),158.49)</f>
        <v>158.49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IFERROR(__xludf.DUMMYFUNCTION("""COMPUTED_VALUE"""),161.86)</f>
        <v>161.86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IFERROR(__xludf.DUMMYFUNCTION("""COMPUTED_VALUE"""),160.48)</f>
        <v>160.48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IFERROR(__xludf.DUMMYFUNCTION("GOOGLEFINANCE(""NSE:HCLTECH"",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IFERROR(__xludf.DUMMYFUNCTION("""COMPUTED_VALUE"""),159.1)</f>
        <v>159.1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IFERROR(__xludf.DUMMYFUNCTION("""COMPUTED_VALUE"""),164.36)</f>
        <v>164.36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IFERROR(__xludf.DUMMYFUNCTION("""COMPUTED_VALUE"""),180.33)</f>
        <v>180.33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IFERROR(__xludf.DUMMYFUNCTION("""COMPUTED_VALUE"""),179.51)</f>
        <v>179.51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IFERROR(__xludf.DUMMYFUNCTION("""COMPUTED_VALUE"""),176.0)</f>
        <v>176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IFERROR(__xludf.DUMMYFUNCTION("""COMPUTED_VALUE"""),173.13)</f>
        <v>173.13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IFERROR(__xludf.DUMMYFUNCTION("""COMPUTED_VALUE"""),179.75)</f>
        <v>179.75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IFERROR(__xludf.DUMMYFUNCTION("""COMPUTED_VALUE"""),183.11)</f>
        <v>183.11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IFERROR(__xludf.DUMMYFUNCTION("""COMPUTED_VALUE"""),184.15)</f>
        <v>184.15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IFERROR(__xludf.DUMMYFUNCTION("""COMPUTED_VALUE"""),195.74)</f>
        <v>195.74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IFERROR(__xludf.DUMMYFUNCTION("""COMPUTED_VALUE"""),200.85)</f>
        <v>200.85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IFERROR(__xludf.DUMMYFUNCTION("""COMPUTED_VALUE"""),201.38)</f>
        <v>201.38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IFERROR(__xludf.DUMMYFUNCTION("""COMPUTED_VALUE"""),201.25)</f>
        <v>201.25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IFERROR(__xludf.DUMMYFUNCTION("""COMPUTED_VALUE"""),201.81)</f>
        <v>201.81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IFERROR(__xludf.DUMMYFUNCTION("""COMPUTED_VALUE"""),198.43)</f>
        <v>198.43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IFERROR(__xludf.DUMMYFUNCTION("""COMPUTED_VALUE"""),202.5)</f>
        <v>202.5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IFERROR(__xludf.DUMMYFUNCTION("""COMPUTED_VALUE"""),186.0)</f>
        <v>186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IFERROR(__xludf.DUMMYFUNCTION("""COMPUTED_VALUE"""),189.18)</f>
        <v>189.18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IFERROR(__xludf.DUMMYFUNCTION("""COMPUTED_VALUE"""),194.18)</f>
        <v>194.18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IFERROR(__xludf.DUMMYFUNCTION("""COMPUTED_VALUE"""),188.25)</f>
        <v>188.25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IFERROR(__xludf.DUMMYFUNCTION("""COMPUTED_VALUE"""),189.95)</f>
        <v>189.95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IFERROR(__xludf.DUMMYFUNCTION("""COMPUTED_VALUE"""),188.48)</f>
        <v>188.48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IFERROR(__xludf.DUMMYFUNCTION("""COMPUTED_VALUE"""),193.18)</f>
        <v>193.18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IFERROR(__xludf.DUMMYFUNCTION("""COMPUTED_VALUE"""),195.69)</f>
        <v>195.69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IFERROR(__xludf.DUMMYFUNCTION("""COMPUTED_VALUE"""),200.0)</f>
        <v>200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IFERROR(__xludf.DUMMYFUNCTION("""COMPUTED_VALUE"""),201.75)</f>
        <v>201.75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IFERROR(__xludf.DUMMYFUNCTION("""COMPUTED_VALUE"""),216.31)</f>
        <v>216.31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IFERROR(__xludf.DUMMYFUNCTION("""COMPUTED_VALUE"""),226.73)</f>
        <v>226.73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IFERROR(__xludf.DUMMYFUNCTION("""COMPUTED_VALUE"""),229.73)</f>
        <v>229.73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IFERROR(__xludf.DUMMYFUNCTION("""COMPUTED_VALUE"""),237.88)</f>
        <v>237.88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IFERROR(__xludf.DUMMYFUNCTION("""COMPUTED_VALUE"""),240.25)</f>
        <v>240.25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IFERROR(__xludf.DUMMYFUNCTION("""COMPUTED_VALUE"""),237.93)</f>
        <v>237.93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IFERROR(__xludf.DUMMYFUNCTION("""COMPUTED_VALUE"""),238.25)</f>
        <v>238.25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IFERROR(__xludf.DUMMYFUNCTION("""COMPUTED_VALUE"""),261.23)</f>
        <v>261.23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IFERROR(__xludf.DUMMYFUNCTION("""COMPUTED_VALUE"""),262.71)</f>
        <v>262.71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IFERROR(__xludf.DUMMYFUNCTION("""COMPUTED_VALUE"""),270.46)</f>
        <v>270.46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IFERROR(__xludf.DUMMYFUNCTION("""COMPUTED_VALUE"""),266.9)</f>
        <v>266.9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IFERROR(__xludf.DUMMYFUNCTION("""COMPUTED_VALUE"""),275.99)</f>
        <v>275.99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IFERROR(__xludf.DUMMYFUNCTION("""COMPUTED_VALUE"""),279.88)</f>
        <v>279.88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IFERROR(__xludf.DUMMYFUNCTION("""COMPUTED_VALUE"""),292.1)</f>
        <v>292.1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IFERROR(__xludf.DUMMYFUNCTION("""COMPUTED_VALUE"""),294.61)</f>
        <v>294.61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IFERROR(__xludf.DUMMYFUNCTION("""COMPUTED_VALUE"""),279.98)</f>
        <v>279.98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IFERROR(__xludf.DUMMYFUNCTION("""COMPUTED_VALUE"""),279.98)</f>
        <v>279.98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IFERROR(__xludf.DUMMYFUNCTION("""COMPUTED_VALUE"""),283.13)</f>
        <v>283.13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IFERROR(__xludf.DUMMYFUNCTION("""COMPUTED_VALUE"""),284.48)</f>
        <v>284.48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IFERROR(__xludf.DUMMYFUNCTION("""COMPUTED_VALUE"""),278.89)</f>
        <v>278.89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IFERROR(__xludf.DUMMYFUNCTION("""COMPUTED_VALUE"""),273.56)</f>
        <v>273.56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IFERROR(__xludf.DUMMYFUNCTION("""COMPUTED_VALUE"""),285.0)</f>
        <v>285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IFERROR(__xludf.DUMMYFUNCTION("""COMPUTED_VALUE"""),297.0)</f>
        <v>297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IFERROR(__xludf.DUMMYFUNCTION("""COMPUTED_VALUE"""),314.66)</f>
        <v>314.66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IFERROR(__xludf.DUMMYFUNCTION("""COMPUTED_VALUE"""),315.48)</f>
        <v>315.48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IFERROR(__xludf.DUMMYFUNCTION("GOOGLEFINANCE(""NSE:HCLTECH"",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IFERROR(__xludf.DUMMYFUNCTION("""COMPUTED_VALUE"""),317.5)</f>
        <v>317.5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IFERROR(__xludf.DUMMYFUNCTION("""COMPUTED_VALUE"""),329.65)</f>
        <v>329.65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IFERROR(__xludf.DUMMYFUNCTION("""COMPUTED_VALUE"""),349.75)</f>
        <v>349.75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IFERROR(__xludf.DUMMYFUNCTION("""COMPUTED_VALUE"""),364.64)</f>
        <v>364.64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IFERROR(__xludf.DUMMYFUNCTION("""COMPUTED_VALUE"""),367.48)</f>
        <v>367.48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IFERROR(__xludf.DUMMYFUNCTION("""COMPUTED_VALUE"""),367.79)</f>
        <v>367.79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IFERROR(__xludf.DUMMYFUNCTION("""COMPUTED_VALUE"""),378.44)</f>
        <v>378.44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IFERROR(__xludf.DUMMYFUNCTION("""COMPUTED_VALUE"""),386.6)</f>
        <v>386.6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IFERROR(__xludf.DUMMYFUNCTION("""COMPUTED_VALUE"""),397.5)</f>
        <v>397.5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IFERROR(__xludf.DUMMYFUNCTION("""COMPUTED_VALUE"""),394.0)</f>
        <v>394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IFERROR(__xludf.DUMMYFUNCTION("""COMPUTED_VALUE"""),370.9)</f>
        <v>370.9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IFERROR(__xludf.DUMMYFUNCTION("""COMPUTED_VALUE"""),362.5)</f>
        <v>362.5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IFERROR(__xludf.DUMMYFUNCTION("""COMPUTED_VALUE"""),360.08)</f>
        <v>360.08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IFERROR(__xludf.DUMMYFUNCTION("""COMPUTED_VALUE"""),352.93)</f>
        <v>352.93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IFERROR(__xludf.DUMMYFUNCTION("""COMPUTED_VALUE"""),363.2)</f>
        <v>363.2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IFERROR(__xludf.DUMMYFUNCTION("""COMPUTED_VALUE"""),365.95)</f>
        <v>365.95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IFERROR(__xludf.DUMMYFUNCTION("""COMPUTED_VALUE"""),363.75)</f>
        <v>363.75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IFERROR(__xludf.DUMMYFUNCTION("""COMPUTED_VALUE"""),359.6)</f>
        <v>359.6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IFERROR(__xludf.DUMMYFUNCTION("""COMPUTED_VALUE"""),361.99)</f>
        <v>361.99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IFERROR(__xludf.DUMMYFUNCTION("""COMPUTED_VALUE"""),344.45)</f>
        <v>344.45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IFERROR(__xludf.DUMMYFUNCTION("""COMPUTED_VALUE"""),363.75)</f>
        <v>363.75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IFERROR(__xludf.DUMMYFUNCTION("""COMPUTED_VALUE"""),356.19)</f>
        <v>356.19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IFERROR(__xludf.DUMMYFUNCTION("""COMPUTED_VALUE"""),361.25)</f>
        <v>361.25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IFERROR(__xludf.DUMMYFUNCTION("""COMPUTED_VALUE"""),368.5)</f>
        <v>368.5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IFERROR(__xludf.DUMMYFUNCTION("""COMPUTED_VALUE"""),371.44)</f>
        <v>371.44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IFERROR(__xludf.DUMMYFUNCTION("""COMPUTED_VALUE"""),377.0)</f>
        <v>377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IFERROR(__xludf.DUMMYFUNCTION("""COMPUTED_VALUE"""),380.84)</f>
        <v>380.84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IFERROR(__xludf.DUMMYFUNCTION("""COMPUTED_VALUE"""),377.06)</f>
        <v>377.06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IFERROR(__xludf.DUMMYFUNCTION("""COMPUTED_VALUE"""),397.11)</f>
        <v>397.11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IFERROR(__xludf.DUMMYFUNCTION("""COMPUTED_VALUE"""),406.25)</f>
        <v>406.25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IFERROR(__xludf.DUMMYFUNCTION("""COMPUTED_VALUE"""),391.0)</f>
        <v>391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IFERROR(__xludf.DUMMYFUNCTION("""COMPUTED_VALUE"""),394.25)</f>
        <v>394.25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IFERROR(__xludf.DUMMYFUNCTION("""COMPUTED_VALUE"""),403.74)</f>
        <v>403.74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IFERROR(__xludf.DUMMYFUNCTION("""COMPUTED_VALUE"""),416.44)</f>
        <v>416.44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IFERROR(__xludf.DUMMYFUNCTION("""COMPUTED_VALUE"""),418.46)</f>
        <v>418.46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IFERROR(__xludf.DUMMYFUNCTION("""COMPUTED_VALUE"""),420.76)</f>
        <v>420.76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IFERROR(__xludf.DUMMYFUNCTION("""COMPUTED_VALUE"""),427.75)</f>
        <v>427.75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IFERROR(__xludf.DUMMYFUNCTION("""COMPUTED_VALUE"""),433.75)</f>
        <v>433.75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IFERROR(__xludf.DUMMYFUNCTION("""COMPUTED_VALUE"""),438.88)</f>
        <v>438.88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IFERROR(__xludf.DUMMYFUNCTION("""COMPUTED_VALUE"""),444.06)</f>
        <v>444.06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IFERROR(__xludf.DUMMYFUNCTION("""COMPUTED_VALUE"""),442.06)</f>
        <v>442.06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IFERROR(__xludf.DUMMYFUNCTION("""COMPUTED_VALUE"""),383.75)</f>
        <v>383.75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IFERROR(__xludf.DUMMYFUNCTION("""COMPUTED_VALUE"""),406.16)</f>
        <v>406.16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IFERROR(__xludf.DUMMYFUNCTION("""COMPUTED_VALUE"""),407.08)</f>
        <v>407.08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IFERROR(__xludf.DUMMYFUNCTION("""COMPUTED_VALUE"""),412.5)</f>
        <v>412.5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IFERROR(__xludf.DUMMYFUNCTION("""COMPUTED_VALUE"""),414.0)</f>
        <v>414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IFERROR(__xludf.DUMMYFUNCTION("""COMPUTED_VALUE"""),424.25)</f>
        <v>424.25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IFERROR(__xludf.DUMMYFUNCTION("""COMPUTED_VALUE"""),422.45)</f>
        <v>422.45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IFERROR(__xludf.DUMMYFUNCTION("""COMPUTED_VALUE"""),398.5)</f>
        <v>398.5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IFERROR(__xludf.DUMMYFUNCTION("""COMPUTED_VALUE"""),400.25)</f>
        <v>400.25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IFERROR(__xludf.DUMMYFUNCTION("""COMPUTED_VALUE"""),398.73)</f>
        <v>398.73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IFERROR(__xludf.DUMMYFUNCTION("GOOGLEFINANCE(""NSE:HCLTECH"",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IFERROR(__xludf.DUMMYFUNCTION("""COMPUTED_VALUE"""),404.74)</f>
        <v>404.74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IFERROR(__xludf.DUMMYFUNCTION("""COMPUTED_VALUE"""),403.75)</f>
        <v>403.75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IFERROR(__xludf.DUMMYFUNCTION("""COMPUTED_VALUE"""),411.03)</f>
        <v>411.03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IFERROR(__xludf.DUMMYFUNCTION("""COMPUTED_VALUE"""),432.5)</f>
        <v>432.5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IFERROR(__xludf.DUMMYFUNCTION("""COMPUTED_VALUE"""),455.0)</f>
        <v>455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IFERROR(__xludf.DUMMYFUNCTION("""COMPUTED_VALUE"""),499.25)</f>
        <v>499.25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IFERROR(__xludf.DUMMYFUNCTION("""COMPUTED_VALUE"""),502.38)</f>
        <v>502.38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IFERROR(__xludf.DUMMYFUNCTION("""COMPUTED_VALUE"""),513.75)</f>
        <v>513.75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IFERROR(__xludf.DUMMYFUNCTION("""COMPUTED_VALUE"""),518.73)</f>
        <v>518.73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IFERROR(__xludf.DUMMYFUNCTION("""COMPUTED_VALUE"""),529.23)</f>
        <v>529.23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IFERROR(__xludf.DUMMYFUNCTION("""COMPUTED_VALUE"""),517.23)</f>
        <v>517.23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IFERROR(__xludf.DUMMYFUNCTION("""COMPUTED_VALUE"""),508.9)</f>
        <v>508.9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IFERROR(__xludf.DUMMYFUNCTION("""COMPUTED_VALUE"""),493.1)</f>
        <v>493.1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IFERROR(__xludf.DUMMYFUNCTION("""COMPUTED_VALUE"""),488.85)</f>
        <v>488.85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IFERROR(__xludf.DUMMYFUNCTION("""COMPUTED_VALUE"""),489.25)</f>
        <v>489.25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IFERROR(__xludf.DUMMYFUNCTION("""COMPUTED_VALUE"""),473.85)</f>
        <v>473.85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IFERROR(__xludf.DUMMYFUNCTION("""COMPUTED_VALUE"""),452.98)</f>
        <v>452.98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IFERROR(__xludf.DUMMYFUNCTION("""COMPUTED_VALUE"""),474.38)</f>
        <v>474.38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IFERROR(__xludf.DUMMYFUNCTION("""COMPUTED_VALUE"""),474.75)</f>
        <v>474.75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IFERROR(__xludf.DUMMYFUNCTION("""COMPUTED_VALUE"""),494.0)</f>
        <v>494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IFERROR(__xludf.DUMMYFUNCTION("""COMPUTED_VALUE"""),522.48)</f>
        <v>522.48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IFERROR(__xludf.DUMMYFUNCTION("""COMPUTED_VALUE"""),499.25)</f>
        <v>499.25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IFERROR(__xludf.DUMMYFUNCTION("""COMPUTED_VALUE"""),473.0)</f>
        <v>473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IFERROR(__xludf.DUMMYFUNCTION("""COMPUTED_VALUE"""),468.75)</f>
        <v>468.75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IFERROR(__xludf.DUMMYFUNCTION("""COMPUTED_VALUE"""),480.0)</f>
        <v>480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IFERROR(__xludf.DUMMYFUNCTION("""COMPUTED_VALUE"""),484.5)</f>
        <v>484.5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IFERROR(__xludf.DUMMYFUNCTION("""COMPUTED_VALUE"""),487.75)</f>
        <v>487.75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IFERROR(__xludf.DUMMYFUNCTION("""COMPUTED_VALUE"""),486.5)</f>
        <v>486.5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IFERROR(__xludf.DUMMYFUNCTION("""COMPUTED_VALUE"""),497.48)</f>
        <v>497.48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IFERROR(__xludf.DUMMYFUNCTION("""COMPUTED_VALUE"""),503.0)</f>
        <v>503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IFERROR(__xludf.DUMMYFUNCTION("""COMPUTED_VALUE"""),481.73)</f>
        <v>481.73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IFERROR(__xludf.DUMMYFUNCTION("""COMPUTED_VALUE"""),494.45)</f>
        <v>494.45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IFERROR(__xludf.DUMMYFUNCTION("""COMPUTED_VALUE"""),498.85)</f>
        <v>498.85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IFERROR(__xludf.DUMMYFUNCTION("""COMPUTED_VALUE"""),477.45)</f>
        <v>477.45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IFERROR(__xludf.DUMMYFUNCTION("""COMPUTED_VALUE"""),490.0)</f>
        <v>490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IFERROR(__xludf.DUMMYFUNCTION("""COMPUTED_VALUE"""),478.0)</f>
        <v>478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IFERROR(__xludf.DUMMYFUNCTION("""COMPUTED_VALUE"""),477.95)</f>
        <v>477.95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IFERROR(__xludf.DUMMYFUNCTION("""COMPUTED_VALUE"""),484.63)</f>
        <v>484.63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IFERROR(__xludf.DUMMYFUNCTION("""COMPUTED_VALUE"""),494.85)</f>
        <v>494.85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IFERROR(__xludf.DUMMYFUNCTION("""COMPUTED_VALUE"""),435.4)</f>
        <v>435.4</v>
      </c>
    </row>
    <row r="757" ht="15.75" customHeight="1">
      <c r="B757" s="3">
        <f>IFERROR(__xludf.DUMMYFUNCTION("""COMPUTED_VALUE"""),42300.64583333333)</f>
        <v>42300.64583</v>
      </c>
      <c r="C757" s="2">
        <f>IFERROR(__xludf.DUMMYFUNCTION("""COMPUTED_VALUE"""),434.95)</f>
        <v>434.95</v>
      </c>
    </row>
    <row r="758" ht="15.75" customHeight="1">
      <c r="B758" s="3">
        <f>IFERROR(__xludf.DUMMYFUNCTION("""COMPUTED_VALUE"""),42307.64583333333)</f>
        <v>42307.64583</v>
      </c>
      <c r="C758" s="2">
        <f>IFERROR(__xludf.DUMMYFUNCTION("""COMPUTED_VALUE"""),442.6)</f>
        <v>442.6</v>
      </c>
    </row>
    <row r="759" ht="15.75" customHeight="1">
      <c r="B759" s="3">
        <f>IFERROR(__xludf.DUMMYFUNCTION("""COMPUTED_VALUE"""),42314.64583333333)</f>
        <v>42314.64583</v>
      </c>
      <c r="C759" s="2">
        <f>IFERROR(__xludf.DUMMYFUNCTION("""COMPUTED_VALUE"""),444.75)</f>
        <v>444.75</v>
      </c>
    </row>
    <row r="760" ht="15.75" customHeight="1">
      <c r="B760" s="3">
        <f>IFERROR(__xludf.DUMMYFUNCTION("""COMPUTED_VALUE"""),42321.64583333333)</f>
        <v>42321.64583</v>
      </c>
      <c r="C760" s="2">
        <f>IFERROR(__xludf.DUMMYFUNCTION("""COMPUTED_VALUE"""),442.5)</f>
        <v>442.5</v>
      </c>
    </row>
    <row r="761" ht="15.75" customHeight="1">
      <c r="B761" s="3">
        <f>IFERROR(__xludf.DUMMYFUNCTION("""COMPUTED_VALUE"""),42328.64583333333)</f>
        <v>42328.64583</v>
      </c>
      <c r="C761" s="2">
        <f>IFERROR(__xludf.DUMMYFUNCTION("""COMPUTED_VALUE"""),438.43)</f>
        <v>438.43</v>
      </c>
    </row>
    <row r="762" ht="15.75" customHeight="1">
      <c r="B762" s="3">
        <f>IFERROR(__xludf.DUMMYFUNCTION("""COMPUTED_VALUE"""),42335.64583333333)</f>
        <v>42335.64583</v>
      </c>
      <c r="C762" s="2">
        <f>IFERROR(__xludf.DUMMYFUNCTION("""COMPUTED_VALUE"""),437.5)</f>
        <v>437.5</v>
      </c>
    </row>
    <row r="763" ht="15.75" customHeight="1">
      <c r="B763" s="3">
        <f>IFERROR(__xludf.DUMMYFUNCTION("""COMPUTED_VALUE"""),42342.64583333333)</f>
        <v>42342.64583</v>
      </c>
      <c r="C763" s="2">
        <f>IFERROR(__xludf.DUMMYFUNCTION("""COMPUTED_VALUE"""),442.85)</f>
        <v>442.85</v>
      </c>
    </row>
    <row r="764" ht="15.75" customHeight="1">
      <c r="B764" s="3">
        <f>IFERROR(__xludf.DUMMYFUNCTION("""COMPUTED_VALUE"""),42349.64583333333)</f>
        <v>42349.64583</v>
      </c>
      <c r="C764" s="2">
        <f>IFERROR(__xludf.DUMMYFUNCTION("""COMPUTED_VALUE"""),433.95)</f>
        <v>433.95</v>
      </c>
    </row>
    <row r="765" ht="15.75" customHeight="1">
      <c r="B765" s="3">
        <f>IFERROR(__xludf.DUMMYFUNCTION("""COMPUTED_VALUE"""),42356.64583333333)</f>
        <v>42356.64583</v>
      </c>
      <c r="C765" s="2">
        <f>IFERROR(__xludf.DUMMYFUNCTION("""COMPUTED_VALUE"""),432.5)</f>
        <v>432.5</v>
      </c>
    </row>
    <row r="766" ht="15.75" customHeight="1">
      <c r="B766" s="3">
        <f>IFERROR(__xludf.DUMMYFUNCTION("""COMPUTED_VALUE"""),42362.64583333333)</f>
        <v>42362.64583</v>
      </c>
      <c r="C766" s="2">
        <f>IFERROR(__xludf.DUMMYFUNCTION("""COMPUTED_VALUE"""),433.0)</f>
        <v>433</v>
      </c>
    </row>
    <row r="767" ht="15.75" customHeight="1">
      <c r="B767" s="3">
        <f>IFERROR(__xludf.DUMMYFUNCTION("""COMPUTED_VALUE"""),42370.64583333333)</f>
        <v>42370.64583</v>
      </c>
      <c r="C767" s="2">
        <f>IFERROR(__xludf.DUMMYFUNCTION("""COMPUTED_VALUE"""),437.0)</f>
        <v>437</v>
      </c>
    </row>
    <row r="768" ht="15.75" customHeight="1"/>
    <row r="769" ht="15.75" customHeight="1"/>
    <row r="770" ht="15.75" customHeight="1"/>
    <row r="771" ht="15.75" customHeight="1">
      <c r="B771" s="2" t="str">
        <f>IFERROR(__xludf.DUMMYFUNCTION("GOOGLEFINANCE(""NSE:HCLTECH"",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IFERROR(__xludf.DUMMYFUNCTION("""COMPUTED_VALUE"""),427.48)</f>
        <v>427.48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IFERROR(__xludf.DUMMYFUNCTION("""COMPUTED_VALUE"""),421.0)</f>
        <v>421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IFERROR(__xludf.DUMMYFUNCTION("""COMPUTED_VALUE"""),435.0)</f>
        <v>435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IFERROR(__xludf.DUMMYFUNCTION("""COMPUTED_VALUE"""),435.0)</f>
        <v>435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IFERROR(__xludf.DUMMYFUNCTION("""COMPUTED_VALUE"""),444.95)</f>
        <v>444.95</v>
      </c>
    </row>
    <row r="777" ht="15.75" customHeight="1">
      <c r="B777" s="3">
        <f>IFERROR(__xludf.DUMMYFUNCTION("""COMPUTED_VALUE"""),42419.64583333333)</f>
        <v>42419.64583</v>
      </c>
      <c r="C777" s="2">
        <f>IFERROR(__xludf.DUMMYFUNCTION("""COMPUTED_VALUE"""),428.5)</f>
        <v>428.5</v>
      </c>
    </row>
    <row r="778" ht="15.75" customHeight="1">
      <c r="B778" s="3">
        <f>IFERROR(__xludf.DUMMYFUNCTION("""COMPUTED_VALUE"""),42426.64583333333)</f>
        <v>42426.64583</v>
      </c>
      <c r="C778" s="2">
        <f>IFERROR(__xludf.DUMMYFUNCTION("""COMPUTED_VALUE"""),424.9)</f>
        <v>424.9</v>
      </c>
    </row>
    <row r="779" ht="15.75" customHeight="1">
      <c r="B779" s="3">
        <f>IFERROR(__xludf.DUMMYFUNCTION("""COMPUTED_VALUE"""),42433.64583333333)</f>
        <v>42433.64583</v>
      </c>
      <c r="C779" s="2">
        <f>IFERROR(__xludf.DUMMYFUNCTION("""COMPUTED_VALUE"""),433.18)</f>
        <v>433.18</v>
      </c>
    </row>
    <row r="780" ht="15.75" customHeight="1">
      <c r="B780" s="3">
        <f>IFERROR(__xludf.DUMMYFUNCTION("""COMPUTED_VALUE"""),42440.64583333333)</f>
        <v>42440.64583</v>
      </c>
      <c r="C780" s="2">
        <f>IFERROR(__xludf.DUMMYFUNCTION("""COMPUTED_VALUE"""),415.98)</f>
        <v>415.98</v>
      </c>
    </row>
    <row r="781" ht="15.75" customHeight="1">
      <c r="B781" s="3">
        <f>IFERROR(__xludf.DUMMYFUNCTION("""COMPUTED_VALUE"""),42447.64583333333)</f>
        <v>42447.64583</v>
      </c>
      <c r="C781" s="2">
        <f>IFERROR(__xludf.DUMMYFUNCTION("""COMPUTED_VALUE"""),415.2)</f>
        <v>415.2</v>
      </c>
    </row>
    <row r="782" ht="15.75" customHeight="1">
      <c r="B782" s="3">
        <f>IFERROR(__xludf.DUMMYFUNCTION("""COMPUTED_VALUE"""),42452.64583333333)</f>
        <v>42452.64583</v>
      </c>
      <c r="C782" s="2">
        <f>IFERROR(__xludf.DUMMYFUNCTION("""COMPUTED_VALUE"""),415.5)</f>
        <v>415.5</v>
      </c>
    </row>
    <row r="783" ht="15.75" customHeight="1">
      <c r="B783" s="3">
        <f>IFERROR(__xludf.DUMMYFUNCTION("""COMPUTED_VALUE"""),42461.64583333333)</f>
        <v>42461.64583</v>
      </c>
      <c r="C783" s="2">
        <f>IFERROR(__xludf.DUMMYFUNCTION("""COMPUTED_VALUE"""),413.25)</f>
        <v>413.25</v>
      </c>
    </row>
    <row r="784" ht="15.75" customHeight="1">
      <c r="B784" s="3">
        <f>IFERROR(__xludf.DUMMYFUNCTION("""COMPUTED_VALUE"""),42468.64583333333)</f>
        <v>42468.64583</v>
      </c>
      <c r="C784" s="2">
        <f>IFERROR(__xludf.DUMMYFUNCTION("""COMPUTED_VALUE"""),424.45)</f>
        <v>424.45</v>
      </c>
    </row>
    <row r="785" ht="15.75" customHeight="1">
      <c r="B785" s="3">
        <f>IFERROR(__xludf.DUMMYFUNCTION("""COMPUTED_VALUE"""),42473.64583333333)</f>
        <v>42473.64583</v>
      </c>
      <c r="C785" s="2">
        <f>IFERROR(__xludf.DUMMYFUNCTION("""COMPUTED_VALUE"""),423.25)</f>
        <v>423.25</v>
      </c>
    </row>
    <row r="786" ht="15.75" customHeight="1">
      <c r="B786" s="3">
        <f>IFERROR(__xludf.DUMMYFUNCTION("""COMPUTED_VALUE"""),42482.64583333333)</f>
        <v>42482.64583</v>
      </c>
      <c r="C786" s="2">
        <f>IFERROR(__xludf.DUMMYFUNCTION("""COMPUTED_VALUE"""),431.25)</f>
        <v>431.25</v>
      </c>
    </row>
    <row r="787" ht="15.75" customHeight="1">
      <c r="B787" s="3">
        <f>IFERROR(__xludf.DUMMYFUNCTION("""COMPUTED_VALUE"""),42489.64583333333)</f>
        <v>42489.64583</v>
      </c>
      <c r="C787" s="2">
        <f>IFERROR(__xludf.DUMMYFUNCTION("""COMPUTED_VALUE"""),427.95)</f>
        <v>427.95</v>
      </c>
    </row>
    <row r="788" ht="15.75" customHeight="1">
      <c r="B788" s="3">
        <f>IFERROR(__xludf.DUMMYFUNCTION("""COMPUTED_VALUE"""),42496.64583333333)</f>
        <v>42496.64583</v>
      </c>
      <c r="C788" s="2">
        <f>IFERROR(__xludf.DUMMYFUNCTION("""COMPUTED_VALUE"""),378.15)</f>
        <v>378.15</v>
      </c>
    </row>
    <row r="789" ht="15.75" customHeight="1">
      <c r="B789" s="3">
        <f>IFERROR(__xludf.DUMMYFUNCTION("""COMPUTED_VALUE"""),42503.64583333333)</f>
        <v>42503.64583</v>
      </c>
      <c r="C789" s="2">
        <f>IFERROR(__xludf.DUMMYFUNCTION("""COMPUTED_VALUE"""),366.5)</f>
        <v>366.5</v>
      </c>
    </row>
    <row r="790" ht="15.75" customHeight="1">
      <c r="B790" s="3">
        <f>IFERROR(__xludf.DUMMYFUNCTION("""COMPUTED_VALUE"""),42510.64583333333)</f>
        <v>42510.64583</v>
      </c>
      <c r="C790" s="2">
        <f>IFERROR(__xludf.DUMMYFUNCTION("""COMPUTED_VALUE"""),372.3)</f>
        <v>372.3</v>
      </c>
    </row>
    <row r="791" ht="15.75" customHeight="1">
      <c r="B791" s="3">
        <f>IFERROR(__xludf.DUMMYFUNCTION("""COMPUTED_VALUE"""),42517.64583333333)</f>
        <v>42517.64583</v>
      </c>
      <c r="C791" s="2">
        <f>IFERROR(__xludf.DUMMYFUNCTION("""COMPUTED_VALUE"""),379.85)</f>
        <v>379.85</v>
      </c>
    </row>
    <row r="792" ht="15.75" customHeight="1">
      <c r="B792" s="3">
        <f>IFERROR(__xludf.DUMMYFUNCTION("""COMPUTED_VALUE"""),42524.64583333333)</f>
        <v>42524.64583</v>
      </c>
      <c r="C792" s="2">
        <f>IFERROR(__xludf.DUMMYFUNCTION("""COMPUTED_VALUE"""),381.85)</f>
        <v>381.85</v>
      </c>
    </row>
    <row r="793" ht="15.75" customHeight="1">
      <c r="B793" s="3">
        <f>IFERROR(__xludf.DUMMYFUNCTION("""COMPUTED_VALUE"""),42531.64583333333)</f>
        <v>42531.64583</v>
      </c>
      <c r="C793" s="2">
        <f>IFERROR(__xludf.DUMMYFUNCTION("""COMPUTED_VALUE"""),379.0)</f>
        <v>379</v>
      </c>
    </row>
    <row r="794" ht="15.75" customHeight="1">
      <c r="B794" s="3">
        <f>IFERROR(__xludf.DUMMYFUNCTION("""COMPUTED_VALUE"""),42538.64583333333)</f>
        <v>42538.64583</v>
      </c>
      <c r="C794" s="2">
        <f>IFERROR(__xludf.DUMMYFUNCTION("""COMPUTED_VALUE"""),382.48)</f>
        <v>382.48</v>
      </c>
    </row>
    <row r="795" ht="15.75" customHeight="1">
      <c r="B795" s="3">
        <f>IFERROR(__xludf.DUMMYFUNCTION("""COMPUTED_VALUE"""),42545.64583333333)</f>
        <v>42545.64583</v>
      </c>
      <c r="C795" s="2">
        <f>IFERROR(__xludf.DUMMYFUNCTION("""COMPUTED_VALUE"""),390.73)</f>
        <v>390.73</v>
      </c>
    </row>
    <row r="796" ht="15.75" customHeight="1">
      <c r="B796" s="3">
        <f>IFERROR(__xludf.DUMMYFUNCTION("""COMPUTED_VALUE"""),42552.64583333333)</f>
        <v>42552.64583</v>
      </c>
      <c r="C796" s="2">
        <f>IFERROR(__xludf.DUMMYFUNCTION("""COMPUTED_VALUE"""),374.5)</f>
        <v>374.5</v>
      </c>
    </row>
    <row r="797" ht="15.75" customHeight="1">
      <c r="B797" s="3">
        <f>IFERROR(__xludf.DUMMYFUNCTION("""COMPUTED_VALUE"""),42559.64583333333)</f>
        <v>42559.64583</v>
      </c>
      <c r="C797" s="2">
        <f>IFERROR(__xludf.DUMMYFUNCTION("""COMPUTED_VALUE"""),375.0)</f>
        <v>375</v>
      </c>
    </row>
    <row r="798" ht="15.75" customHeight="1">
      <c r="B798" s="3">
        <f>IFERROR(__xludf.DUMMYFUNCTION("""COMPUTED_VALUE"""),42566.64583333333)</f>
        <v>42566.64583</v>
      </c>
      <c r="C798" s="2">
        <f>IFERROR(__xludf.DUMMYFUNCTION("""COMPUTED_VALUE"""),370.0)</f>
        <v>370</v>
      </c>
    </row>
    <row r="799" ht="15.75" customHeight="1">
      <c r="B799" s="3">
        <f>IFERROR(__xludf.DUMMYFUNCTION("""COMPUTED_VALUE"""),42573.64583333333)</f>
        <v>42573.64583</v>
      </c>
      <c r="C799" s="2">
        <f>IFERROR(__xludf.DUMMYFUNCTION("""COMPUTED_VALUE"""),365.95)</f>
        <v>365.95</v>
      </c>
    </row>
    <row r="800" ht="15.75" customHeight="1">
      <c r="B800" s="3">
        <f>IFERROR(__xludf.DUMMYFUNCTION("""COMPUTED_VALUE"""),42580.64583333333)</f>
        <v>42580.64583</v>
      </c>
      <c r="C800" s="2">
        <f>IFERROR(__xludf.DUMMYFUNCTION("""COMPUTED_VALUE"""),379.48)</f>
        <v>379.48</v>
      </c>
    </row>
    <row r="801" ht="15.75" customHeight="1">
      <c r="B801" s="3">
        <f>IFERROR(__xludf.DUMMYFUNCTION("""COMPUTED_VALUE"""),42587.64583333333)</f>
        <v>42587.64583</v>
      </c>
      <c r="C801" s="2">
        <f>IFERROR(__xludf.DUMMYFUNCTION("""COMPUTED_VALUE"""),429.25)</f>
        <v>429.25</v>
      </c>
    </row>
    <row r="802" ht="15.75" customHeight="1">
      <c r="B802" s="3">
        <f>IFERROR(__xludf.DUMMYFUNCTION("""COMPUTED_VALUE"""),42594.64583333333)</f>
        <v>42594.64583</v>
      </c>
      <c r="C802" s="2">
        <f>IFERROR(__xludf.DUMMYFUNCTION("""COMPUTED_VALUE"""),417.75)</f>
        <v>417.75</v>
      </c>
    </row>
    <row r="803" ht="15.75" customHeight="1">
      <c r="B803" s="3">
        <f>IFERROR(__xludf.DUMMYFUNCTION("""COMPUTED_VALUE"""),42601.64583333333)</f>
        <v>42601.64583</v>
      </c>
      <c r="C803" s="2">
        <f>IFERROR(__xludf.DUMMYFUNCTION("""COMPUTED_VALUE"""),411.9)</f>
        <v>411.9</v>
      </c>
    </row>
    <row r="804" ht="15.75" customHeight="1">
      <c r="B804" s="3">
        <f>IFERROR(__xludf.DUMMYFUNCTION("""COMPUTED_VALUE"""),42608.64583333333)</f>
        <v>42608.64583</v>
      </c>
      <c r="C804" s="2">
        <f>IFERROR(__xludf.DUMMYFUNCTION("""COMPUTED_VALUE"""),402.5)</f>
        <v>402.5</v>
      </c>
    </row>
    <row r="805" ht="15.75" customHeight="1">
      <c r="B805" s="3">
        <f>IFERROR(__xludf.DUMMYFUNCTION("""COMPUTED_VALUE"""),42615.64583333333)</f>
        <v>42615.64583</v>
      </c>
      <c r="C805" s="2">
        <f>IFERROR(__xludf.DUMMYFUNCTION("""COMPUTED_VALUE"""),396.73)</f>
        <v>396.73</v>
      </c>
    </row>
    <row r="806" ht="15.75" customHeight="1">
      <c r="B806" s="3">
        <f>IFERROR(__xludf.DUMMYFUNCTION("""COMPUTED_VALUE"""),42622.64583333333)</f>
        <v>42622.64583</v>
      </c>
      <c r="C806" s="2">
        <f>IFERROR(__xludf.DUMMYFUNCTION("""COMPUTED_VALUE"""),403.5)</f>
        <v>403.5</v>
      </c>
    </row>
    <row r="807" ht="15.75" customHeight="1">
      <c r="B807" s="3">
        <f>IFERROR(__xludf.DUMMYFUNCTION("""COMPUTED_VALUE"""),42629.64583333333)</f>
        <v>42629.64583</v>
      </c>
      <c r="C807" s="2">
        <f>IFERROR(__xludf.DUMMYFUNCTION("""COMPUTED_VALUE"""),397.33)</f>
        <v>397.33</v>
      </c>
    </row>
    <row r="808" ht="15.75" customHeight="1">
      <c r="B808" s="3">
        <f>IFERROR(__xludf.DUMMYFUNCTION("""COMPUTED_VALUE"""),42636.64583333333)</f>
        <v>42636.64583</v>
      </c>
      <c r="C808" s="2">
        <f>IFERROR(__xludf.DUMMYFUNCTION("""COMPUTED_VALUE"""),402.0)</f>
        <v>402</v>
      </c>
    </row>
    <row r="809" ht="15.75" customHeight="1">
      <c r="B809" s="3">
        <f>IFERROR(__xludf.DUMMYFUNCTION("""COMPUTED_VALUE"""),42643.64583333333)</f>
        <v>42643.64583</v>
      </c>
      <c r="C809" s="2">
        <f>IFERROR(__xludf.DUMMYFUNCTION("""COMPUTED_VALUE"""),402.3)</f>
        <v>402.3</v>
      </c>
    </row>
    <row r="810" ht="15.75" customHeight="1">
      <c r="B810" s="3">
        <f>IFERROR(__xludf.DUMMYFUNCTION("""COMPUTED_VALUE"""),42650.64583333333)</f>
        <v>42650.64583</v>
      </c>
      <c r="C810" s="2">
        <f>IFERROR(__xludf.DUMMYFUNCTION("""COMPUTED_VALUE"""),411.63)</f>
        <v>411.63</v>
      </c>
    </row>
    <row r="811" ht="15.75" customHeight="1">
      <c r="B811" s="3">
        <f>IFERROR(__xludf.DUMMYFUNCTION("""COMPUTED_VALUE"""),42657.64583333333)</f>
        <v>42657.64583</v>
      </c>
      <c r="C811" s="2">
        <f>IFERROR(__xludf.DUMMYFUNCTION("""COMPUTED_VALUE"""),412.55)</f>
        <v>412.55</v>
      </c>
    </row>
    <row r="812" ht="15.75" customHeight="1">
      <c r="B812" s="3">
        <f>IFERROR(__xludf.DUMMYFUNCTION("""COMPUTED_VALUE"""),42664.64583333333)</f>
        <v>42664.64583</v>
      </c>
      <c r="C812" s="2">
        <f>IFERROR(__xludf.DUMMYFUNCTION("""COMPUTED_VALUE"""),424.35)</f>
        <v>424.35</v>
      </c>
    </row>
    <row r="813" ht="15.75" customHeight="1">
      <c r="B813" s="3">
        <f>IFERROR(__xludf.DUMMYFUNCTION("""COMPUTED_VALUE"""),42671.64583333333)</f>
        <v>42671.64583</v>
      </c>
      <c r="C813" s="2">
        <f>IFERROR(__xludf.DUMMYFUNCTION("""COMPUTED_VALUE"""),418.45)</f>
        <v>418.45</v>
      </c>
    </row>
    <row r="814" ht="15.75" customHeight="1">
      <c r="B814" s="3">
        <f>IFERROR(__xludf.DUMMYFUNCTION("""COMPUTED_VALUE"""),42678.64583333333)</f>
        <v>42678.64583</v>
      </c>
      <c r="C814" s="2">
        <f>IFERROR(__xludf.DUMMYFUNCTION("""COMPUTED_VALUE"""),399.5)</f>
        <v>399.5</v>
      </c>
    </row>
    <row r="815" ht="15.75" customHeight="1">
      <c r="B815" s="3">
        <f>IFERROR(__xludf.DUMMYFUNCTION("""COMPUTED_VALUE"""),42685.64583333333)</f>
        <v>42685.64583</v>
      </c>
      <c r="C815" s="2">
        <f>IFERROR(__xludf.DUMMYFUNCTION("""COMPUTED_VALUE"""),413.75)</f>
        <v>413.75</v>
      </c>
    </row>
    <row r="816" ht="15.75" customHeight="1">
      <c r="B816" s="3">
        <f>IFERROR(__xludf.DUMMYFUNCTION("""COMPUTED_VALUE"""),42692.64583333333)</f>
        <v>42692.64583</v>
      </c>
      <c r="C816" s="2">
        <f>IFERROR(__xludf.DUMMYFUNCTION("""COMPUTED_VALUE"""),393.98)</f>
        <v>393.98</v>
      </c>
    </row>
    <row r="817" ht="15.75" customHeight="1">
      <c r="B817" s="3">
        <f>IFERROR(__xludf.DUMMYFUNCTION("""COMPUTED_VALUE"""),42699.64583333333)</f>
        <v>42699.64583</v>
      </c>
      <c r="C817" s="2">
        <f>IFERROR(__xludf.DUMMYFUNCTION("""COMPUTED_VALUE"""),406.0)</f>
        <v>406</v>
      </c>
    </row>
    <row r="818" ht="15.75" customHeight="1">
      <c r="B818" s="3">
        <f>IFERROR(__xludf.DUMMYFUNCTION("""COMPUTED_VALUE"""),42706.64583333333)</f>
        <v>42706.64583</v>
      </c>
      <c r="C818" s="2">
        <f>IFERROR(__xludf.DUMMYFUNCTION("""COMPUTED_VALUE"""),408.45)</f>
        <v>408.45</v>
      </c>
    </row>
    <row r="819" ht="15.75" customHeight="1">
      <c r="B819" s="3">
        <f>IFERROR(__xludf.DUMMYFUNCTION("""COMPUTED_VALUE"""),42713.64583333333)</f>
        <v>42713.64583</v>
      </c>
      <c r="C819" s="2">
        <f>IFERROR(__xludf.DUMMYFUNCTION("""COMPUTED_VALUE"""),402.95)</f>
        <v>402.95</v>
      </c>
    </row>
    <row r="820" ht="15.75" customHeight="1">
      <c r="B820" s="3">
        <f>IFERROR(__xludf.DUMMYFUNCTION("""COMPUTED_VALUE"""),42720.64583333333)</f>
        <v>42720.64583</v>
      </c>
      <c r="C820" s="2">
        <f>IFERROR(__xludf.DUMMYFUNCTION("""COMPUTED_VALUE"""),420.0)</f>
        <v>420</v>
      </c>
    </row>
    <row r="821" ht="15.75" customHeight="1">
      <c r="B821" s="3">
        <f>IFERROR(__xludf.DUMMYFUNCTION("""COMPUTED_VALUE"""),42727.64583333333)</f>
        <v>42727.64583</v>
      </c>
      <c r="C821" s="2">
        <f>IFERROR(__xludf.DUMMYFUNCTION("""COMPUTED_VALUE"""),418.4)</f>
        <v>418.4</v>
      </c>
    </row>
    <row r="822" ht="15.75" customHeight="1">
      <c r="B822" s="3">
        <f>IFERROR(__xludf.DUMMYFUNCTION("""COMPUTED_VALUE"""),42734.64583333333)</f>
        <v>42734.64583</v>
      </c>
      <c r="C822" s="2">
        <f>IFERROR(__xludf.DUMMYFUNCTION("""COMPUTED_VALUE"""),415.0)</f>
        <v>415</v>
      </c>
    </row>
    <row r="823" ht="15.75" customHeight="1"/>
    <row r="824" ht="15.75" customHeight="1"/>
    <row r="825" ht="15.75" customHeight="1"/>
    <row r="826" ht="15.75" customHeight="1">
      <c r="B826" s="2" t="str">
        <f>IFERROR(__xludf.DUMMYFUNCTION("GOOGLEFINANCE(""NSE:HCLTECH"",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IFERROR(__xludf.DUMMYFUNCTION("""COMPUTED_VALUE"""),434.88)</f>
        <v>434.88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IFERROR(__xludf.DUMMYFUNCTION("""COMPUTED_VALUE"""),428.98)</f>
        <v>428.98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IFERROR(__xludf.DUMMYFUNCTION("""COMPUTED_VALUE"""),425.73)</f>
        <v>425.73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IFERROR(__xludf.DUMMYFUNCTION("""COMPUTED_VALUE"""),430.25)</f>
        <v>430.25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IFERROR(__xludf.DUMMYFUNCTION("""COMPUTED_VALUE"""),421.2)</f>
        <v>421.2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IFERROR(__xludf.DUMMYFUNCTION("""COMPUTED_VALUE"""),418.25)</f>
        <v>418.25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IFERROR(__xludf.DUMMYFUNCTION("""COMPUTED_VALUE"""),425.0)</f>
        <v>425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IFERROR(__xludf.DUMMYFUNCTION("""COMPUTED_VALUE"""),432.5)</f>
        <v>432.5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IFERROR(__xludf.DUMMYFUNCTION("""COMPUTED_VALUE"""),427.4)</f>
        <v>427.4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IFERROR(__xludf.DUMMYFUNCTION("""COMPUTED_VALUE"""),433.85)</f>
        <v>433.85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IFERROR(__xludf.DUMMYFUNCTION("""COMPUTED_VALUE"""),435.5)</f>
        <v>435.5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IFERROR(__xludf.DUMMYFUNCTION("""COMPUTED_VALUE"""),440.0)</f>
        <v>440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IFERROR(__xludf.DUMMYFUNCTION("""COMPUTED_VALUE"""),445.08)</f>
        <v>445.08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IFERROR(__xludf.DUMMYFUNCTION("""COMPUTED_VALUE"""),439.13)</f>
        <v>439.13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IFERROR(__xludf.DUMMYFUNCTION("""COMPUTED_VALUE"""),428.75)</f>
        <v>428.75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IFERROR(__xludf.DUMMYFUNCTION("""COMPUTED_VALUE"""),410.73)</f>
        <v>410.73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IFERROR(__xludf.DUMMYFUNCTION("""COMPUTED_VALUE"""),412.93)</f>
        <v>412.93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IFERROR(__xludf.DUMMYFUNCTION("""COMPUTED_VALUE"""),421.3)</f>
        <v>421.3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IFERROR(__xludf.DUMMYFUNCTION("""COMPUTED_VALUE"""),429.4)</f>
        <v>429.4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IFERROR(__xludf.DUMMYFUNCTION("""COMPUTED_VALUE"""),436.13)</f>
        <v>436.13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IFERROR(__xludf.DUMMYFUNCTION("""COMPUTED_VALUE"""),435.4)</f>
        <v>435.4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IFERROR(__xludf.DUMMYFUNCTION("""COMPUTED_VALUE"""),436.0)</f>
        <v>436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IFERROR(__xludf.DUMMYFUNCTION("""COMPUTED_VALUE"""),454.8)</f>
        <v>454.8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IFERROR(__xludf.DUMMYFUNCTION("""COMPUTED_VALUE"""),434.33)</f>
        <v>434.33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IFERROR(__xludf.DUMMYFUNCTION("""COMPUTED_VALUE"""),429.0)</f>
        <v>429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IFERROR(__xludf.DUMMYFUNCTION("""COMPUTED_VALUE"""),429.5)</f>
        <v>429.5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IFERROR(__xludf.DUMMYFUNCTION("""COMPUTED_VALUE"""),426.98)</f>
        <v>426.98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IFERROR(__xludf.DUMMYFUNCTION("""COMPUTED_VALUE"""),434.5)</f>
        <v>434.5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IFERROR(__xludf.DUMMYFUNCTION("""COMPUTED_VALUE"""),454.0)</f>
        <v>454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IFERROR(__xludf.DUMMYFUNCTION("""COMPUTED_VALUE"""),464.0)</f>
        <v>464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IFERROR(__xludf.DUMMYFUNCTION("""COMPUTED_VALUE"""),449.0)</f>
        <v>449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IFERROR(__xludf.DUMMYFUNCTION("""COMPUTED_VALUE"""),447.35)</f>
        <v>447.35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IFERROR(__xludf.DUMMYFUNCTION("""COMPUTED_VALUE"""),442.35)</f>
        <v>442.35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IFERROR(__xludf.DUMMYFUNCTION("""COMPUTED_VALUE"""),443.13)</f>
        <v>443.13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IFERROR(__xludf.DUMMYFUNCTION("""COMPUTED_VALUE"""),442.5)</f>
        <v>442.5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IFERROR(__xludf.DUMMYFUNCTION("""COMPUTED_VALUE"""),436.95)</f>
        <v>436.95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IFERROR(__xludf.DUMMYFUNCTION("""COMPUTED_VALUE"""),446.68)</f>
        <v>446.68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IFERROR(__xludf.DUMMYFUNCTION("""COMPUTED_VALUE"""),449.25)</f>
        <v>449.25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IFERROR(__xludf.DUMMYFUNCTION("""COMPUTED_VALUE"""),443.45)</f>
        <v>443.45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IFERROR(__xludf.DUMMYFUNCTION("""COMPUTED_VALUE"""),454.5)</f>
        <v>454.5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IFERROR(__xludf.DUMMYFUNCTION("""COMPUTED_VALUE"""),468.0)</f>
        <v>468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IFERROR(__xludf.DUMMYFUNCTION("""COMPUTED_VALUE"""),466.93)</f>
        <v>466.93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IFERROR(__xludf.DUMMYFUNCTION("""COMPUTED_VALUE"""),471.9)</f>
        <v>471.9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IFERROR(__xludf.DUMMYFUNCTION("""COMPUTED_VALUE"""),431.73)</f>
        <v>431.73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IFERROR(__xludf.DUMMYFUNCTION("""COMPUTED_VALUE"""),444.23)</f>
        <v>444.23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IFERROR(__xludf.DUMMYFUNCTION("""COMPUTED_VALUE"""),442.43)</f>
        <v>442.43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IFERROR(__xludf.DUMMYFUNCTION("""COMPUTED_VALUE"""),431.75)</f>
        <v>431.75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IFERROR(__xludf.DUMMYFUNCTION("""COMPUTED_VALUE"""),432.03)</f>
        <v>432.03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IFERROR(__xludf.DUMMYFUNCTION("""COMPUTED_VALUE"""),436.4)</f>
        <v>436.4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IFERROR(__xludf.DUMMYFUNCTION("""COMPUTED_VALUE"""),448.23)</f>
        <v>448.23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IFERROR(__xludf.DUMMYFUNCTION("""COMPUTED_VALUE"""),446.45)</f>
        <v>446.45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IFERROR(__xludf.DUMMYFUNCTION("""COMPUTED_VALUE"""),450.88)</f>
        <v>450.88</v>
      </c>
    </row>
    <row r="879" ht="15.75" customHeight="1"/>
    <row r="880" ht="15.75" customHeight="1"/>
    <row r="881" ht="15.75" customHeight="1">
      <c r="B881" s="2" t="str">
        <f>IFERROR(__xludf.DUMMYFUNCTION("GOOGLEFINANCE(""NSE:HCLTECH"",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IFERROR(__xludf.DUMMYFUNCTION("""COMPUTED_VALUE"""),453.9)</f>
        <v>453.9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IFERROR(__xludf.DUMMYFUNCTION("""COMPUTED_VALUE"""),464.0)</f>
        <v>464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IFERROR(__xludf.DUMMYFUNCTION("""COMPUTED_VALUE"""),483.5)</f>
        <v>483.5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IFERROR(__xludf.DUMMYFUNCTION("""COMPUTED_VALUE"""),520.35)</f>
        <v>520.35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IFERROR(__xludf.DUMMYFUNCTION("""COMPUTED_VALUE"""),510.5)</f>
        <v>510.5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IFERROR(__xludf.DUMMYFUNCTION("""COMPUTED_VALUE"""),500.9)</f>
        <v>500.9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IFERROR(__xludf.DUMMYFUNCTION("""COMPUTED_VALUE"""),486.38)</f>
        <v>486.38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IFERROR(__xludf.DUMMYFUNCTION("""COMPUTED_VALUE"""),483.95)</f>
        <v>483.95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IFERROR(__xludf.DUMMYFUNCTION("""COMPUTED_VALUE"""),482.55)</f>
        <v>482.55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IFERROR(__xludf.DUMMYFUNCTION("""COMPUTED_VALUE"""),482.0)</f>
        <v>482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IFERROR(__xludf.DUMMYFUNCTION("""COMPUTED_VALUE"""),489.78)</f>
        <v>489.78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IFERROR(__xludf.DUMMYFUNCTION("""COMPUTED_VALUE"""),481.8)</f>
        <v>481.8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IFERROR(__xludf.DUMMYFUNCTION("""COMPUTED_VALUE"""),490.8)</f>
        <v>490.8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IFERROR(__xludf.DUMMYFUNCTION("""COMPUTED_VALUE"""),494.5)</f>
        <v>494.5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IFERROR(__xludf.DUMMYFUNCTION("""COMPUTED_VALUE"""),510.0)</f>
        <v>510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IFERROR(__xludf.DUMMYFUNCTION("""COMPUTED_VALUE"""),537.1)</f>
        <v>537.1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IFERROR(__xludf.DUMMYFUNCTION("""COMPUTED_VALUE"""),554.0)</f>
        <v>554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IFERROR(__xludf.DUMMYFUNCTION("""COMPUTED_VALUE"""),539.5)</f>
        <v>539.5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IFERROR(__xludf.DUMMYFUNCTION("""COMPUTED_VALUE"""),470.33)</f>
        <v>470.33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IFERROR(__xludf.DUMMYFUNCTION("""COMPUTED_VALUE"""),468.7)</f>
        <v>468.7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IFERROR(__xludf.DUMMYFUNCTION("""COMPUTED_VALUE"""),461.93)</f>
        <v>461.93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IFERROR(__xludf.DUMMYFUNCTION("""COMPUTED_VALUE"""),461.95)</f>
        <v>461.95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IFERROR(__xludf.DUMMYFUNCTION("""COMPUTED_VALUE"""),467.95)</f>
        <v>467.95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IFERROR(__xludf.DUMMYFUNCTION("""COMPUTED_VALUE"""),477.0)</f>
        <v>477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IFERROR(__xludf.DUMMYFUNCTION("""COMPUTED_VALUE"""),478.68)</f>
        <v>478.68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IFERROR(__xludf.DUMMYFUNCTION("""COMPUTED_VALUE"""),464.98)</f>
        <v>464.98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IFERROR(__xludf.DUMMYFUNCTION("""COMPUTED_VALUE"""),474.78)</f>
        <v>474.78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IFERROR(__xludf.DUMMYFUNCTION("""COMPUTED_VALUE"""),509.9)</f>
        <v>509.9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IFERROR(__xludf.DUMMYFUNCTION("""COMPUTED_VALUE"""),502.25)</f>
        <v>502.25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IFERROR(__xludf.DUMMYFUNCTION("""COMPUTED_VALUE"""),505.48)</f>
        <v>505.48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IFERROR(__xludf.DUMMYFUNCTION("""COMPUTED_VALUE"""),492.0)</f>
        <v>492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IFERROR(__xludf.DUMMYFUNCTION("""COMPUTED_VALUE"""),485.48)</f>
        <v>485.48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IFERROR(__xludf.DUMMYFUNCTION("""COMPUTED_VALUE"""),507.4)</f>
        <v>507.4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IFERROR(__xludf.DUMMYFUNCTION("""COMPUTED_VALUE"""),519.53)</f>
        <v>519.53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IFERROR(__xludf.DUMMYFUNCTION("""COMPUTED_VALUE"""),527.5)</f>
        <v>527.5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IFERROR(__xludf.DUMMYFUNCTION("""COMPUTED_VALUE"""),544.9)</f>
        <v>544.9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IFERROR(__xludf.DUMMYFUNCTION("""COMPUTED_VALUE"""),549.5)</f>
        <v>549.5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IFERROR(__xludf.DUMMYFUNCTION("""COMPUTED_VALUE"""),549.23)</f>
        <v>549.23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IFERROR(__xludf.DUMMYFUNCTION("""COMPUTED_VALUE"""),562.53)</f>
        <v>562.53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IFERROR(__xludf.DUMMYFUNCTION("""COMPUTED_VALUE"""),550.85)</f>
        <v>550.85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IFERROR(__xludf.DUMMYFUNCTION("""COMPUTED_VALUE"""),542.28)</f>
        <v>542.28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IFERROR(__xludf.DUMMYFUNCTION("""COMPUTED_VALUE"""),518.0)</f>
        <v>518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IFERROR(__xludf.DUMMYFUNCTION("""COMPUTED_VALUE"""),505.73)</f>
        <v>505.73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IFERROR(__xludf.DUMMYFUNCTION("""COMPUTED_VALUE"""),532.85)</f>
        <v>532.85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IFERROR(__xludf.DUMMYFUNCTION("""COMPUTED_VALUE"""),523.5)</f>
        <v>523.5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IFERROR(__xludf.DUMMYFUNCTION("""COMPUTED_VALUE"""),529.5)</f>
        <v>529.5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IFERROR(__xludf.DUMMYFUNCTION("""COMPUTED_VALUE"""),521.4)</f>
        <v>521.4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IFERROR(__xludf.DUMMYFUNCTION("""COMPUTED_VALUE"""),523.88)</f>
        <v>523.88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IFERROR(__xludf.DUMMYFUNCTION("""COMPUTED_VALUE"""),532.75)</f>
        <v>532.75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IFERROR(__xludf.DUMMYFUNCTION("""COMPUTED_VALUE"""),491.28)</f>
        <v>491.28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IFERROR(__xludf.DUMMYFUNCTION("""COMPUTED_VALUE"""),494.4)</f>
        <v>494.4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IFERROR(__xludf.DUMMYFUNCTION("""COMPUTED_VALUE"""),481.5)</f>
        <v>481.5</v>
      </c>
    </row>
    <row r="934" ht="15.75" customHeight="1"/>
    <row r="935" ht="15.75" customHeight="1"/>
    <row r="936" ht="15.75" customHeight="1">
      <c r="B936" s="2" t="str">
        <f>IFERROR(__xludf.DUMMYFUNCTION("GOOGLEFINANCE(""NSE:HCLTECH"",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IFERROR(__xludf.DUMMYFUNCTION("""COMPUTED_VALUE"""),483.3)</f>
        <v>483.3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IFERROR(__xludf.DUMMYFUNCTION("""COMPUTED_VALUE"""),475.0)</f>
        <v>475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IFERROR(__xludf.DUMMYFUNCTION("""COMPUTED_VALUE"""),484.38)</f>
        <v>484.38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IFERROR(__xludf.DUMMYFUNCTION("""COMPUTED_VALUE"""),490.75)</f>
        <v>490.75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IFERROR(__xludf.DUMMYFUNCTION("""COMPUTED_VALUE"""),525.0)</f>
        <v>525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IFERROR(__xludf.DUMMYFUNCTION("""COMPUTED_VALUE"""),538.9)</f>
        <v>538.9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IFERROR(__xludf.DUMMYFUNCTION("""COMPUTED_VALUE"""),542.0)</f>
        <v>542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IFERROR(__xludf.DUMMYFUNCTION("""COMPUTED_VALUE"""),535.25)</f>
        <v>535.25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IFERROR(__xludf.DUMMYFUNCTION("""COMPUTED_VALUE"""),547.98)</f>
        <v>547.98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IFERROR(__xludf.DUMMYFUNCTION("""COMPUTED_VALUE"""),531.0)</f>
        <v>531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IFERROR(__xludf.DUMMYFUNCTION("""COMPUTED_VALUE"""),521.5)</f>
        <v>521.5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IFERROR(__xludf.DUMMYFUNCTION("""COMPUTED_VALUE"""),527.25)</f>
        <v>527.25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IFERROR(__xludf.DUMMYFUNCTION("""COMPUTED_VALUE"""),549.23)</f>
        <v>549.23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IFERROR(__xludf.DUMMYFUNCTION("""COMPUTED_VALUE"""),566.65)</f>
        <v>566.65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IFERROR(__xludf.DUMMYFUNCTION("""COMPUTED_VALUE"""),564.42)</f>
        <v>564.42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IFERROR(__xludf.DUMMYFUNCTION("""COMPUTED_VALUE"""),561.95)</f>
        <v>561.95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IFERROR(__xludf.DUMMYFUNCTION("""COMPUTED_VALUE"""),584.92)</f>
        <v>584.92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IFERROR(__xludf.DUMMYFUNCTION("""COMPUTED_VALUE"""),593.8)</f>
        <v>593.8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IFERROR(__xludf.DUMMYFUNCTION("""COMPUTED_VALUE"""),575.0)</f>
        <v>575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IFERROR(__xludf.DUMMYFUNCTION("""COMPUTED_VALUE"""),550.38)</f>
        <v>550.38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IFERROR(__xludf.DUMMYFUNCTION("""COMPUTED_VALUE"""),541.9)</f>
        <v>541.9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IFERROR(__xludf.DUMMYFUNCTION("""COMPUTED_VALUE"""),549.7)</f>
        <v>549.7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IFERROR(__xludf.DUMMYFUNCTION("""COMPUTED_VALUE"""),559.5)</f>
        <v>559.5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IFERROR(__xludf.DUMMYFUNCTION("""COMPUTED_VALUE"""),558.48)</f>
        <v>558.48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IFERROR(__xludf.DUMMYFUNCTION("""COMPUTED_VALUE"""),548.3)</f>
        <v>548.3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IFERROR(__xludf.DUMMYFUNCTION("""COMPUTED_VALUE"""),546.33)</f>
        <v>546.33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IFERROR(__xludf.DUMMYFUNCTION("""COMPUTED_VALUE"""),534.95)</f>
        <v>534.95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IFERROR(__xludf.DUMMYFUNCTION("""COMPUTED_VALUE"""),523.9)</f>
        <v>523.9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IFERROR(__xludf.DUMMYFUNCTION("""COMPUTED_VALUE"""),521.5)</f>
        <v>521.5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IFERROR(__xludf.DUMMYFUNCTION("""COMPUTED_VALUE"""),513.83)</f>
        <v>513.83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IFERROR(__xludf.DUMMYFUNCTION("""COMPUTED_VALUE"""),521.23)</f>
        <v>521.23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IFERROR(__xludf.DUMMYFUNCTION("""COMPUTED_VALUE"""),551.23)</f>
        <v>551.23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IFERROR(__xludf.DUMMYFUNCTION("""COMPUTED_VALUE"""),545.95)</f>
        <v>545.95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IFERROR(__xludf.DUMMYFUNCTION("""COMPUTED_VALUE"""),548.73)</f>
        <v>548.73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IFERROR(__xludf.DUMMYFUNCTION("""COMPUTED_VALUE"""),565.0)</f>
        <v>565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IFERROR(__xludf.DUMMYFUNCTION("""COMPUTED_VALUE"""),565.3)</f>
        <v>565.3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IFERROR(__xludf.DUMMYFUNCTION("""COMPUTED_VALUE"""),551.0)</f>
        <v>551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IFERROR(__xludf.DUMMYFUNCTION("""COMPUTED_VALUE"""),539.48)</f>
        <v>539.48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IFERROR(__xludf.DUMMYFUNCTION("""COMPUTED_VALUE"""),531.5)</f>
        <v>531.5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IFERROR(__xludf.DUMMYFUNCTION("""COMPUTED_VALUE"""),548.25)</f>
        <v>548.25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IFERROR(__xludf.DUMMYFUNCTION("""COMPUTED_VALUE"""),545.5)</f>
        <v>545.5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IFERROR(__xludf.DUMMYFUNCTION("""COMPUTED_VALUE"""),553.5)</f>
        <v>553.5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IFERROR(__xludf.DUMMYFUNCTION("""COMPUTED_VALUE"""),579.5)</f>
        <v>579.5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IFERROR(__xludf.DUMMYFUNCTION("""COMPUTED_VALUE"""),585.0)</f>
        <v>585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IFERROR(__xludf.DUMMYFUNCTION("""COMPUTED_VALUE"""),583.15)</f>
        <v>583.15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IFERROR(__xludf.DUMMYFUNCTION("""COMPUTED_VALUE"""),579.9)</f>
        <v>579.9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IFERROR(__xludf.DUMMYFUNCTION("""COMPUTED_VALUE"""),574.85)</f>
        <v>574.85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IFERROR(__xludf.DUMMYFUNCTION("""COMPUTED_VALUE"""),571.7)</f>
        <v>571.7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IFERROR(__xludf.DUMMYFUNCTION("""COMPUTED_VALUE"""),567.65)</f>
        <v>567.65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IFERROR(__xludf.DUMMYFUNCTION("""COMPUTED_VALUE"""),563.2)</f>
        <v>563.2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IFERROR(__xludf.DUMMYFUNCTION("""COMPUTED_VALUE"""),574.0)</f>
        <v>574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IFERROR(__xludf.DUMMYFUNCTION("""COMPUTED_VALUE"""),575.55)</f>
        <v>575.55</v>
      </c>
    </row>
    <row r="989" ht="15.75" customHeight="1"/>
    <row r="990" ht="15.75" customHeight="1"/>
    <row r="991" ht="15.75" customHeight="1">
      <c r="B991" s="2" t="str">
        <f>IFERROR(__xludf.DUMMYFUNCTION("GOOGLEFINANCE(""NSE:HCLTECH"",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IFERROR(__xludf.DUMMYFUNCTION("""COMPUTED_VALUE"""),588.5)</f>
        <v>588.5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IFERROR(__xludf.DUMMYFUNCTION("""COMPUTED_VALUE"""),593.0)</f>
        <v>593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IFERROR(__xludf.DUMMYFUNCTION("""COMPUTED_VALUE"""),602.0)</f>
        <v>602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IFERROR(__xludf.DUMMYFUNCTION("""COMPUTED_VALUE"""),618.0)</f>
        <v>618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IFERROR(__xludf.DUMMYFUNCTION("""COMPUTED_VALUE"""),613.85)</f>
        <v>613.85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IFERROR(__xludf.DUMMYFUNCTION("""COMPUTED_VALUE"""),613.0)</f>
        <v>613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IFERROR(__xludf.DUMMYFUNCTION("""COMPUTED_VALUE"""),623.25)</f>
        <v>623.25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IFERROR(__xludf.DUMMYFUNCTION("""COMPUTED_VALUE"""),623.5)</f>
        <v>623.5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IFERROR(__xludf.DUMMYFUNCTION("""COMPUTED_VALUE"""),609.0)</f>
        <v>609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IFERROR(__xludf.DUMMYFUNCTION("""COMPUTED_VALUE"""),581.9)</f>
        <v>581.9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IFERROR(__xludf.DUMMYFUNCTION("""COMPUTED_VALUE"""),558.0)</f>
        <v>558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IFERROR(__xludf.DUMMYFUNCTION("""COMPUTED_VALUE"""),479.8)</f>
        <v>479.8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IFERROR(__xludf.DUMMYFUNCTION("""COMPUTED_VALUE"""),468.0)</f>
        <v>468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IFERROR(__xludf.DUMMYFUNCTION("""COMPUTED_VALUE"""),449.4)</f>
        <v>449.4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IFERROR(__xludf.DUMMYFUNCTION("""COMPUTED_VALUE"""),481.0)</f>
        <v>481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IFERROR(__xludf.DUMMYFUNCTION("""COMPUTED_VALUE"""),482.0)</f>
        <v>482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IFERROR(__xludf.DUMMYFUNCTION("""COMPUTED_VALUE"""),496.9)</f>
        <v>496.9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IFERROR(__xludf.DUMMYFUNCTION("""COMPUTED_VALUE"""),565.5)</f>
        <v>565.5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IFERROR(__xludf.DUMMYFUNCTION("""COMPUTED_VALUE"""),541.8)</f>
        <v>541.8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IFERROR(__xludf.DUMMYFUNCTION("""COMPUTED_VALUE"""),540.0)</f>
        <v>540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IFERROR(__xludf.DUMMYFUNCTION("""COMPUTED_VALUE"""),537.5)</f>
        <v>537.5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IFERROR(__xludf.DUMMYFUNCTION("""COMPUTED_VALUE"""),555.0)</f>
        <v>555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IFERROR(__xludf.DUMMYFUNCTION("""COMPUTED_VALUE"""),587.15)</f>
        <v>587.15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IFERROR(__xludf.DUMMYFUNCTION("""COMPUTED_VALUE"""),587.5)</f>
        <v>587.5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IFERROR(__xludf.DUMMYFUNCTION("""COMPUTED_VALUE"""),593.5)</f>
        <v>593.5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IFERROR(__xludf.DUMMYFUNCTION("""COMPUTED_VALUE"""),583.5)</f>
        <v>583.5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IFERROR(__xludf.DUMMYFUNCTION("""COMPUTED_VALUE"""),580.55)</f>
        <v>580.55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IFERROR(__xludf.DUMMYFUNCTION("""COMPUTED_VALUE"""),594.75)</f>
        <v>594.75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IFERROR(__xludf.DUMMYFUNCTION("""COMPUTED_VALUE"""),652.2)</f>
        <v>652.2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IFERROR(__xludf.DUMMYFUNCTION("""COMPUTED_VALUE"""),684.8)</f>
        <v>684.8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IFERROR(__xludf.DUMMYFUNCTION("""COMPUTED_VALUE"""),716.7)</f>
        <v>716.7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IFERROR(__xludf.DUMMYFUNCTION("""COMPUTED_VALUE"""),718.0)</f>
        <v>718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IFERROR(__xludf.DUMMYFUNCTION("""COMPUTED_VALUE"""),729.0)</f>
        <v>729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IFERROR(__xludf.DUMMYFUNCTION("""COMPUTED_VALUE"""),721.7)</f>
        <v>721.7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IFERROR(__xludf.DUMMYFUNCTION("""COMPUTED_VALUE"""),720.0)</f>
        <v>720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IFERROR(__xludf.DUMMYFUNCTION("""COMPUTED_VALUE"""),725.0)</f>
        <v>725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IFERROR(__xludf.DUMMYFUNCTION("""COMPUTED_VALUE"""),738.9)</f>
        <v>738.9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IFERROR(__xludf.DUMMYFUNCTION("""COMPUTED_VALUE"""),825.1)</f>
        <v>825.1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IFERROR(__xludf.DUMMYFUNCTION("""COMPUTED_VALUE"""),849.9)</f>
        <v>849.9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IFERROR(__xludf.DUMMYFUNCTION("""COMPUTED_VALUE"""),844.75)</f>
        <v>844.75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IFERROR(__xludf.DUMMYFUNCTION("""COMPUTED_VALUE"""),879.0)</f>
        <v>879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IFERROR(__xludf.DUMMYFUNCTION("""COMPUTED_VALUE"""),910.7)</f>
        <v>910.7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IFERROR(__xludf.DUMMYFUNCTION("""COMPUTED_VALUE"""),891.65)</f>
        <v>891.65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IFERROR(__xludf.DUMMYFUNCTION("""COMPUTED_VALUE"""),860.9)</f>
        <v>860.9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IFERROR(__xludf.DUMMYFUNCTION("""COMPUTED_VALUE"""),855.8)</f>
        <v>855.8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IFERROR(__xludf.DUMMYFUNCTION("""COMPUTED_VALUE"""),837.95)</f>
        <v>837.95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IFERROR(__xludf.DUMMYFUNCTION("""COMPUTED_VALUE"""),857.4)</f>
        <v>857.4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IFERROR(__xludf.DUMMYFUNCTION("""COMPUTED_VALUE"""),867.85)</f>
        <v>867.85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IFERROR(__xludf.DUMMYFUNCTION("""COMPUTED_VALUE"""),881.8)</f>
        <v>881.8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IFERROR(__xludf.DUMMYFUNCTION("""COMPUTED_VALUE"""),905.0)</f>
        <v>905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IFERROR(__xludf.DUMMYFUNCTION("""COMPUTED_VALUE"""),935.0)</f>
        <v>935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IFERROR(__xludf.DUMMYFUNCTION("""COMPUTED_VALUE"""),955.5)</f>
        <v>955.5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IFERROR(__xludf.DUMMYFUNCTION("GOOGLEFINANCE(""NSE:ICICIBANK"",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IFERROR(__xludf.DUMMYFUNCTION("""COMPUTED_VALUE"""),16.95)</f>
        <v>16.95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IFERROR(__xludf.DUMMYFUNCTION("""COMPUTED_VALUE"""),17.13)</f>
        <v>17.13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IFERROR(__xludf.DUMMYFUNCTION("""COMPUTED_VALUE"""),17.36)</f>
        <v>17.36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IFERROR(__xludf.DUMMYFUNCTION("""COMPUTED_VALUE"""),17.36)</f>
        <v>17.36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IFERROR(__xludf.DUMMYFUNCTION("""COMPUTED_VALUE"""),17.35)</f>
        <v>17.35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IFERROR(__xludf.DUMMYFUNCTION("""COMPUTED_VALUE"""),16.9)</f>
        <v>16.9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IFERROR(__xludf.DUMMYFUNCTION("""COMPUTED_VALUE"""),22.97)</f>
        <v>22.97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IFERROR(__xludf.DUMMYFUNCTION("""COMPUTED_VALUE"""),25.66)</f>
        <v>25.66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IFERROR(__xludf.DUMMYFUNCTION("""COMPUTED_VALUE"""),26.35)</f>
        <v>26.35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IFERROR(__xludf.DUMMYFUNCTION("""COMPUTED_VALUE"""),25.43)</f>
        <v>25.43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IFERROR(__xludf.DUMMYFUNCTION("""COMPUTED_VALUE"""),24.32)</f>
        <v>24.32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IFERROR(__xludf.DUMMYFUNCTION("""COMPUTED_VALUE"""),24.27)</f>
        <v>24.27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IFERROR(__xludf.DUMMYFUNCTION("""COMPUTED_VALUE"""),23.0)</f>
        <v>23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IFERROR(__xludf.DUMMYFUNCTION("""COMPUTED_VALUE"""),23.91)</f>
        <v>23.91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IFERROR(__xludf.DUMMYFUNCTION("""COMPUTED_VALUE"""),23.18)</f>
        <v>23.18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IFERROR(__xludf.DUMMYFUNCTION("""COMPUTED_VALUE"""),23.08)</f>
        <v>23.08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IFERROR(__xludf.DUMMYFUNCTION("""COMPUTED_VALUE"""),21.44)</f>
        <v>21.44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IFERROR(__xludf.DUMMYFUNCTION("""COMPUTED_VALUE"""),21.25)</f>
        <v>21.25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IFERROR(__xludf.DUMMYFUNCTION("""COMPUTED_VALUE"""),25.45)</f>
        <v>25.45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IFERROR(__xludf.DUMMYFUNCTION("""COMPUTED_VALUE"""),28.17)</f>
        <v>28.17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IFERROR(__xludf.DUMMYFUNCTION("""COMPUTED_VALUE"""),25.71)</f>
        <v>25.71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IFERROR(__xludf.DUMMYFUNCTION("""COMPUTED_VALUE"""),25.55)</f>
        <v>25.55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IFERROR(__xludf.DUMMYFUNCTION("""COMPUTED_VALUE"""),29.3)</f>
        <v>29.3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IFERROR(__xludf.DUMMYFUNCTION("""COMPUTED_VALUE"""),29.89)</f>
        <v>29.89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IFERROR(__xludf.DUMMYFUNCTION("""COMPUTED_VALUE"""),27.43)</f>
        <v>27.43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IFERROR(__xludf.DUMMYFUNCTION("""COMPUTED_VALUE"""),26.09)</f>
        <v>26.09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IFERROR(__xludf.DUMMYFUNCTION("""COMPUTED_VALUE"""),28.8)</f>
        <v>28.8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IFERROR(__xludf.DUMMYFUNCTION("""COMPUTED_VALUE"""),27.89)</f>
        <v>27.89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IFERROR(__xludf.DUMMYFUNCTION("""COMPUTED_VALUE"""),27.27)</f>
        <v>27.27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IFERROR(__xludf.DUMMYFUNCTION("""COMPUTED_VALUE"""),26.69)</f>
        <v>26.69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IFERROR(__xludf.DUMMYFUNCTION("""COMPUTED_VALUE"""),26.53)</f>
        <v>26.53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IFERROR(__xludf.DUMMYFUNCTION("""COMPUTED_VALUE"""),25.64)</f>
        <v>25.64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IFERROR(__xludf.DUMMYFUNCTION("""COMPUTED_VALUE"""),24.89)</f>
        <v>24.89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IFERROR(__xludf.DUMMYFUNCTION("""COMPUTED_VALUE"""),25.64)</f>
        <v>25.64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IFERROR(__xludf.DUMMYFUNCTION("""COMPUTED_VALUE"""),26.26)</f>
        <v>26.26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IFERROR(__xludf.DUMMYFUNCTION("""COMPUTED_VALUE"""),26.45)</f>
        <v>26.45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IFERROR(__xludf.DUMMYFUNCTION("""COMPUTED_VALUE"""),26.55)</f>
        <v>26.55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IFERROR(__xludf.DUMMYFUNCTION("""COMPUTED_VALUE"""),26.82)</f>
        <v>26.82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IFERROR(__xludf.DUMMYFUNCTION("""COMPUTED_VALUE"""),26.15)</f>
        <v>26.15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IFERROR(__xludf.DUMMYFUNCTION("""COMPUTED_VALUE"""),26.47)</f>
        <v>26.47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IFERROR(__xludf.DUMMYFUNCTION("""COMPUTED_VALUE"""),26.18)</f>
        <v>26.18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IFERROR(__xludf.DUMMYFUNCTION("""COMPUTED_VALUE"""),25.64)</f>
        <v>25.64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IFERROR(__xludf.DUMMYFUNCTION("""COMPUTED_VALUE"""),24.33)</f>
        <v>24.33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IFERROR(__xludf.DUMMYFUNCTION("""COMPUTED_VALUE"""),24.84)</f>
        <v>24.84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IFERROR(__xludf.DUMMYFUNCTION("""COMPUTED_VALUE"""),24.33)</f>
        <v>24.33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IFERROR(__xludf.DUMMYFUNCTION("""COMPUTED_VALUE"""),22.45)</f>
        <v>22.45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IFERROR(__xludf.DUMMYFUNCTION("""COMPUTED_VALUE"""),23.75)</f>
        <v>23.75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IFERROR(__xludf.DUMMYFUNCTION("""COMPUTED_VALUE"""),25.65)</f>
        <v>25.65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IFERROR(__xludf.DUMMYFUNCTION("""COMPUTED_VALUE"""),24.97)</f>
        <v>24.97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IFERROR(__xludf.DUMMYFUNCTION("""COMPUTED_VALUE"""),27.35)</f>
        <v>27.35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IFERROR(__xludf.DUMMYFUNCTION("""COMPUTED_VALUE"""),27.9)</f>
        <v>27.9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IFERROR(__xludf.DUMMYFUNCTION("""COMPUTED_VALUE"""),26.84)</f>
        <v>26.84</v>
      </c>
    </row>
    <row r="54" ht="15.75" customHeight="1"/>
    <row r="55" ht="15.75" customHeight="1"/>
    <row r="56" ht="15.75" customHeight="1">
      <c r="B56" s="2" t="str">
        <f>IFERROR(__xludf.DUMMYFUNCTION("GOOGLEFINANCE(""NSE:ICICIBANK"",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IFERROR(__xludf.DUMMYFUNCTION("""COMPUTED_VALUE"""),26.16)</f>
        <v>26.16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IFERROR(__xludf.DUMMYFUNCTION("""COMPUTED_VALUE"""),25.53)</f>
        <v>25.53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IFERROR(__xludf.DUMMYFUNCTION("""COMPUTED_VALUE"""),26.82)</f>
        <v>26.82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IFERROR(__xludf.DUMMYFUNCTION("""COMPUTED_VALUE"""),27.97)</f>
        <v>27.97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IFERROR(__xludf.DUMMYFUNCTION("""COMPUTED_VALUE"""),28.35)</f>
        <v>28.35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IFERROR(__xludf.DUMMYFUNCTION("""COMPUTED_VALUE"""),27.64)</f>
        <v>27.64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IFERROR(__xludf.DUMMYFUNCTION("""COMPUTED_VALUE"""),27.01)</f>
        <v>27.01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IFERROR(__xludf.DUMMYFUNCTION("""COMPUTED_VALUE"""),27.82)</f>
        <v>27.82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IFERROR(__xludf.DUMMYFUNCTION("""COMPUTED_VALUE"""),27.82)</f>
        <v>27.82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IFERROR(__xludf.DUMMYFUNCTION("""COMPUTED_VALUE"""),27.65)</f>
        <v>27.65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IFERROR(__xludf.DUMMYFUNCTION("""COMPUTED_VALUE"""),25.99)</f>
        <v>25.99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IFERROR(__xludf.DUMMYFUNCTION("""COMPUTED_VALUE"""),25.45)</f>
        <v>25.45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IFERROR(__xludf.DUMMYFUNCTION("""COMPUTED_VALUE"""),25.07)</f>
        <v>25.07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IFERROR(__xludf.DUMMYFUNCTION("""COMPUTED_VALUE"""),25.37)</f>
        <v>25.37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IFERROR(__xludf.DUMMYFUNCTION("""COMPUTED_VALUE"""),24.55)</f>
        <v>24.55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IFERROR(__xludf.DUMMYFUNCTION("""COMPUTED_VALUE"""),24.53)</f>
        <v>24.53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IFERROR(__xludf.DUMMYFUNCTION("""COMPUTED_VALUE"""),24.48)</f>
        <v>24.48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IFERROR(__xludf.DUMMYFUNCTION("""COMPUTED_VALUE"""),22.96)</f>
        <v>22.96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IFERROR(__xludf.DUMMYFUNCTION("""COMPUTED_VALUE"""),24.75)</f>
        <v>24.75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IFERROR(__xludf.DUMMYFUNCTION("""COMPUTED_VALUE"""),25.45)</f>
        <v>25.45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IFERROR(__xludf.DUMMYFUNCTION("""COMPUTED_VALUE"""),25.8)</f>
        <v>25.8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IFERROR(__xludf.DUMMYFUNCTION("""COMPUTED_VALUE"""),26.35)</f>
        <v>26.35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IFERROR(__xludf.DUMMYFUNCTION("""COMPUTED_VALUE"""),26.36)</f>
        <v>26.36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IFERROR(__xludf.DUMMYFUNCTION("""COMPUTED_VALUE"""),26.82)</f>
        <v>26.82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IFERROR(__xludf.DUMMYFUNCTION("""COMPUTED_VALUE"""),27.04)</f>
        <v>27.04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IFERROR(__xludf.DUMMYFUNCTION("""COMPUTED_VALUE"""),27.95)</f>
        <v>27.95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IFERROR(__xludf.DUMMYFUNCTION("""COMPUTED_VALUE"""),28.7)</f>
        <v>28.7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IFERROR(__xludf.DUMMYFUNCTION("""COMPUTED_VALUE"""),30.54)</f>
        <v>30.54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IFERROR(__xludf.DUMMYFUNCTION("""COMPUTED_VALUE"""),29.44)</f>
        <v>29.44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IFERROR(__xludf.DUMMYFUNCTION("""COMPUTED_VALUE"""),29.77)</f>
        <v>29.77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IFERROR(__xludf.DUMMYFUNCTION("""COMPUTED_VALUE"""),28.68)</f>
        <v>28.68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IFERROR(__xludf.DUMMYFUNCTION("""COMPUTED_VALUE"""),29.4)</f>
        <v>29.4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IFERROR(__xludf.DUMMYFUNCTION("""COMPUTED_VALUE"""),33.73)</f>
        <v>33.73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IFERROR(__xludf.DUMMYFUNCTION("""COMPUTED_VALUE"""),34.09)</f>
        <v>34.09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IFERROR(__xludf.DUMMYFUNCTION("""COMPUTED_VALUE"""),35.07)</f>
        <v>35.07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IFERROR(__xludf.DUMMYFUNCTION("""COMPUTED_VALUE"""),34.5)</f>
        <v>34.5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IFERROR(__xludf.DUMMYFUNCTION("""COMPUTED_VALUE"""),34.54)</f>
        <v>34.54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IFERROR(__xludf.DUMMYFUNCTION("""COMPUTED_VALUE"""),37.27)</f>
        <v>37.27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IFERROR(__xludf.DUMMYFUNCTION("""COMPUTED_VALUE"""),38.44)</f>
        <v>38.44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IFERROR(__xludf.DUMMYFUNCTION("""COMPUTED_VALUE"""),42.09)</f>
        <v>42.09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IFERROR(__xludf.DUMMYFUNCTION("""COMPUTED_VALUE"""),42.89)</f>
        <v>42.89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IFERROR(__xludf.DUMMYFUNCTION("""COMPUTED_VALUE"""),45.45)</f>
        <v>45.45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IFERROR(__xludf.DUMMYFUNCTION("""COMPUTED_VALUE"""),48.78)</f>
        <v>48.78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IFERROR(__xludf.DUMMYFUNCTION("""COMPUTED_VALUE"""),44.64)</f>
        <v>44.64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IFERROR(__xludf.DUMMYFUNCTION("""COMPUTED_VALUE"""),46.36)</f>
        <v>46.36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IFERROR(__xludf.DUMMYFUNCTION("""COMPUTED_VALUE"""),52.87)</f>
        <v>52.87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IFERROR(__xludf.DUMMYFUNCTION("""COMPUTED_VALUE"""),52.71)</f>
        <v>52.71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IFERROR(__xludf.DUMMYFUNCTION("""COMPUTED_VALUE"""),52.0)</f>
        <v>52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IFERROR(__xludf.DUMMYFUNCTION("""COMPUTED_VALUE"""),52.73)</f>
        <v>52.73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IFERROR(__xludf.DUMMYFUNCTION("GOOGLEFINANCE(""NSE:ICICIBANK"",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IFERROR(__xludf.DUMMYFUNCTION("""COMPUTED_VALUE"""),56.36)</f>
        <v>56.36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IFERROR(__xludf.DUMMYFUNCTION("""COMPUTED_VALUE"""),57.86)</f>
        <v>57.86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IFERROR(__xludf.DUMMYFUNCTION("""COMPUTED_VALUE"""),57.05)</f>
        <v>57.05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IFERROR(__xludf.DUMMYFUNCTION("""COMPUTED_VALUE"""),55.73)</f>
        <v>55.73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IFERROR(__xludf.DUMMYFUNCTION("""COMPUTED_VALUE"""),56.18)</f>
        <v>56.18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IFERROR(__xludf.DUMMYFUNCTION("""COMPUTED_VALUE"""),59.05)</f>
        <v>59.05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IFERROR(__xludf.DUMMYFUNCTION("""COMPUTED_VALUE"""),64.05)</f>
        <v>64.05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IFERROR(__xludf.DUMMYFUNCTION("""COMPUTED_VALUE"""),58.36)</f>
        <v>58.36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IFERROR(__xludf.DUMMYFUNCTION("""COMPUTED_VALUE"""),54.67)</f>
        <v>54.67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IFERROR(__xludf.DUMMYFUNCTION("""COMPUTED_VALUE"""),53.31)</f>
        <v>53.31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IFERROR(__xludf.DUMMYFUNCTION("""COMPUTED_VALUE"""),55.98)</f>
        <v>55.98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IFERROR(__xludf.DUMMYFUNCTION("""COMPUTED_VALUE"""),53.54)</f>
        <v>53.54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IFERROR(__xludf.DUMMYFUNCTION("""COMPUTED_VALUE"""),52.35)</f>
        <v>52.35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IFERROR(__xludf.DUMMYFUNCTION("""COMPUTED_VALUE"""),55.82)</f>
        <v>55.82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IFERROR(__xludf.DUMMYFUNCTION("""COMPUTED_VALUE"""),55.07)</f>
        <v>55.07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IFERROR(__xludf.DUMMYFUNCTION("""COMPUTED_VALUE"""),59.15)</f>
        <v>59.15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IFERROR(__xludf.DUMMYFUNCTION("""COMPUTED_VALUE"""),58.54)</f>
        <v>58.54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IFERROR(__xludf.DUMMYFUNCTION("""COMPUTED_VALUE"""),58.05)</f>
        <v>58.05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IFERROR(__xludf.DUMMYFUNCTION("""COMPUTED_VALUE"""),54.86)</f>
        <v>54.86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IFERROR(__xludf.DUMMYFUNCTION("""COMPUTED_VALUE"""),51.68)</f>
        <v>51.68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IFERROR(__xludf.DUMMYFUNCTION("""COMPUTED_VALUE"""),55.45)</f>
        <v>55.45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IFERROR(__xludf.DUMMYFUNCTION("""COMPUTED_VALUE"""),49.62)</f>
        <v>49.62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IFERROR(__xludf.DUMMYFUNCTION("""COMPUTED_VALUE"""),50.0)</f>
        <v>50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IFERROR(__xludf.DUMMYFUNCTION("""COMPUTED_VALUE"""),48.05)</f>
        <v>48.05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IFERROR(__xludf.DUMMYFUNCTION("""COMPUTED_VALUE"""),47.96)</f>
        <v>47.96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IFERROR(__xludf.DUMMYFUNCTION("""COMPUTED_VALUE"""),46.36)</f>
        <v>46.36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IFERROR(__xludf.DUMMYFUNCTION("""COMPUTED_VALUE"""),45.27)</f>
        <v>45.27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IFERROR(__xludf.DUMMYFUNCTION("""COMPUTED_VALUE"""),45.64)</f>
        <v>45.64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IFERROR(__xludf.DUMMYFUNCTION("""COMPUTED_VALUE"""),48.91)</f>
        <v>48.91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IFERROR(__xludf.DUMMYFUNCTION("""COMPUTED_VALUE"""),49.45)</f>
        <v>49.45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IFERROR(__xludf.DUMMYFUNCTION("""COMPUTED_VALUE"""),51.04)</f>
        <v>51.04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IFERROR(__xludf.DUMMYFUNCTION("""COMPUTED_VALUE"""),51.4)</f>
        <v>51.4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IFERROR(__xludf.DUMMYFUNCTION("""COMPUTED_VALUE"""),50.85)</f>
        <v>50.85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IFERROR(__xludf.DUMMYFUNCTION("""COMPUTED_VALUE"""),50.21)</f>
        <v>50.21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IFERROR(__xludf.DUMMYFUNCTION("""COMPUTED_VALUE"""),49.64)</f>
        <v>49.64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IFERROR(__xludf.DUMMYFUNCTION("""COMPUTED_VALUE"""),49.01)</f>
        <v>49.01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IFERROR(__xludf.DUMMYFUNCTION("""COMPUTED_VALUE"""),50.45)</f>
        <v>50.45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IFERROR(__xludf.DUMMYFUNCTION("""COMPUTED_VALUE"""),54.0)</f>
        <v>54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IFERROR(__xludf.DUMMYFUNCTION("""COMPUTED_VALUE"""),54.13)</f>
        <v>54.13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IFERROR(__xludf.DUMMYFUNCTION("""COMPUTED_VALUE"""),53.73)</f>
        <v>53.73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IFERROR(__xludf.DUMMYFUNCTION("""COMPUTED_VALUE"""),54.55)</f>
        <v>54.55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IFERROR(__xludf.DUMMYFUNCTION("""COMPUTED_VALUE"""),54.53)</f>
        <v>54.53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IFERROR(__xludf.DUMMYFUNCTION("""COMPUTED_VALUE"""),58.18)</f>
        <v>58.18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IFERROR(__xludf.DUMMYFUNCTION("""COMPUTED_VALUE"""),58.53)</f>
        <v>58.53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IFERROR(__xludf.DUMMYFUNCTION("""COMPUTED_VALUE"""),61.27)</f>
        <v>61.27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IFERROR(__xludf.DUMMYFUNCTION("""COMPUTED_VALUE"""),60.36)</f>
        <v>60.36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IFERROR(__xludf.DUMMYFUNCTION("""COMPUTED_VALUE"""),65.25)</f>
        <v>65.25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IFERROR(__xludf.DUMMYFUNCTION("""COMPUTED_VALUE"""),66.91)</f>
        <v>66.91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IFERROR(__xludf.DUMMYFUNCTION("""COMPUTED_VALUE"""),67.04)</f>
        <v>67.04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IFERROR(__xludf.DUMMYFUNCTION("""COMPUTED_VALUE"""),68.69)</f>
        <v>68.69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IFERROR(__xludf.DUMMYFUNCTION("""COMPUTED_VALUE"""),69.05)</f>
        <v>69.05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IFERROR(__xludf.DUMMYFUNCTION("GOOGLEFINANCE(""NSE:ICICIBANK"",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IFERROR(__xludf.DUMMYFUNCTION("""COMPUTED_VALUE"""),68.91)</f>
        <v>68.91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IFERROR(__xludf.DUMMYFUNCTION("""COMPUTED_VALUE"""),65.8)</f>
        <v>65.8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IFERROR(__xludf.DUMMYFUNCTION("""COMPUTED_VALUE"""),65.42)</f>
        <v>65.42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IFERROR(__xludf.DUMMYFUNCTION("""COMPUTED_VALUE"""),63.82)</f>
        <v>63.82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IFERROR(__xludf.DUMMYFUNCTION("""COMPUTED_VALUE"""),67.95)</f>
        <v>67.95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IFERROR(__xludf.DUMMYFUNCTION("""COMPUTED_VALUE"""),69.03)</f>
        <v>69.03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IFERROR(__xludf.DUMMYFUNCTION("""COMPUTED_VALUE"""),70.36)</f>
        <v>70.36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IFERROR(__xludf.DUMMYFUNCTION("""COMPUTED_VALUE"""),70.0)</f>
        <v>70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IFERROR(__xludf.DUMMYFUNCTION("""COMPUTED_VALUE"""),73.36)</f>
        <v>73.36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IFERROR(__xludf.DUMMYFUNCTION("""COMPUTED_VALUE"""),73.45)</f>
        <v>73.45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IFERROR(__xludf.DUMMYFUNCTION("""COMPUTED_VALUE"""),75.96)</f>
        <v>75.96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IFERROR(__xludf.DUMMYFUNCTION("""COMPUTED_VALUE"""),75.72)</f>
        <v>75.72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IFERROR(__xludf.DUMMYFUNCTION("""COMPUTED_VALUE"""),74.08)</f>
        <v>74.08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IFERROR(__xludf.DUMMYFUNCTION("""COMPUTED_VALUE"""),78.09)</f>
        <v>78.09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IFERROR(__xludf.DUMMYFUNCTION("""COMPUTED_VALUE"""),75.61)</f>
        <v>75.61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IFERROR(__xludf.DUMMYFUNCTION("""COMPUTED_VALUE"""),73.45)</f>
        <v>73.45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IFERROR(__xludf.DUMMYFUNCTION("""COMPUTED_VALUE"""),74.74)</f>
        <v>74.74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IFERROR(__xludf.DUMMYFUNCTION("""COMPUTED_VALUE"""),70.18)</f>
        <v>70.18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IFERROR(__xludf.DUMMYFUNCTION("""COMPUTED_VALUE"""),72.05)</f>
        <v>72.05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IFERROR(__xludf.DUMMYFUNCTION("""COMPUTED_VALUE"""),75.42)</f>
        <v>75.42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IFERROR(__xludf.DUMMYFUNCTION("""COMPUTED_VALUE"""),74.51)</f>
        <v>74.51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IFERROR(__xludf.DUMMYFUNCTION("""COMPUTED_VALUE"""),76.55)</f>
        <v>76.55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IFERROR(__xludf.DUMMYFUNCTION("""COMPUTED_VALUE"""),79.55)</f>
        <v>79.55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IFERROR(__xludf.DUMMYFUNCTION("""COMPUTED_VALUE"""),77.18)</f>
        <v>77.18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IFERROR(__xludf.DUMMYFUNCTION("""COMPUTED_VALUE"""),78.05)</f>
        <v>78.05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IFERROR(__xludf.DUMMYFUNCTION("""COMPUTED_VALUE"""),79.76)</f>
        <v>79.76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IFERROR(__xludf.DUMMYFUNCTION("""COMPUTED_VALUE"""),85.41)</f>
        <v>85.41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IFERROR(__xludf.DUMMYFUNCTION("""COMPUTED_VALUE"""),83.09)</f>
        <v>83.09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IFERROR(__xludf.DUMMYFUNCTION("""COMPUTED_VALUE"""),100.89)</f>
        <v>100.89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IFERROR(__xludf.DUMMYFUNCTION("""COMPUTED_VALUE"""),99.98)</f>
        <v>99.98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IFERROR(__xludf.DUMMYFUNCTION("""COMPUTED_VALUE"""),94.55)</f>
        <v>94.55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IFERROR(__xludf.DUMMYFUNCTION("""COMPUTED_VALUE"""),93.5)</f>
        <v>93.5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IFERROR(__xludf.DUMMYFUNCTION("""COMPUTED_VALUE"""),92.67)</f>
        <v>92.67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IFERROR(__xludf.DUMMYFUNCTION("""COMPUTED_VALUE"""),90.05)</f>
        <v>90.05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IFERROR(__xludf.DUMMYFUNCTION("""COMPUTED_VALUE"""),95.45)</f>
        <v>95.45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IFERROR(__xludf.DUMMYFUNCTION("""COMPUTED_VALUE"""),100.0)</f>
        <v>100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IFERROR(__xludf.DUMMYFUNCTION("""COMPUTED_VALUE"""),106.91)</f>
        <v>106.91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IFERROR(__xludf.DUMMYFUNCTION("""COMPUTED_VALUE"""),111.81)</f>
        <v>111.81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IFERROR(__xludf.DUMMYFUNCTION("""COMPUTED_VALUE"""),111.64)</f>
        <v>111.64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IFERROR(__xludf.DUMMYFUNCTION("""COMPUTED_VALUE"""),101.64)</f>
        <v>101.64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IFERROR(__xludf.DUMMYFUNCTION("""COMPUTED_VALUE"""),94.51)</f>
        <v>94.51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IFERROR(__xludf.DUMMYFUNCTION("""COMPUTED_VALUE"""),94.55)</f>
        <v>94.55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IFERROR(__xludf.DUMMYFUNCTION("""COMPUTED_VALUE"""),92.73)</f>
        <v>92.73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IFERROR(__xludf.DUMMYFUNCTION("""COMPUTED_VALUE"""),94.16)</f>
        <v>94.16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IFERROR(__xludf.DUMMYFUNCTION("""COMPUTED_VALUE"""),100.18)</f>
        <v>100.18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IFERROR(__xludf.DUMMYFUNCTION("""COMPUTED_VALUE"""),101.09)</f>
        <v>101.09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IFERROR(__xludf.DUMMYFUNCTION("""COMPUTED_VALUE"""),100.16)</f>
        <v>100.16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IFERROR(__xludf.DUMMYFUNCTION("""COMPUTED_VALUE"""),108.0)</f>
        <v>108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IFERROR(__xludf.DUMMYFUNCTION("""COMPUTED_VALUE"""),107.82)</f>
        <v>107.82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IFERROR(__xludf.DUMMYFUNCTION("""COMPUTED_VALUE"""),107.36)</f>
        <v>107.36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IFERROR(__xludf.DUMMYFUNCTION("GOOGLEFINANCE(""NSE:ICICIBANK"",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IFERROR(__xludf.DUMMYFUNCTION("""COMPUTED_VALUE"""),112.91)</f>
        <v>112.91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IFERROR(__xludf.DUMMYFUNCTION("""COMPUTED_VALUE"""),109.76)</f>
        <v>109.76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IFERROR(__xludf.DUMMYFUNCTION("""COMPUTED_VALUE"""),106.36)</f>
        <v>106.36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IFERROR(__xludf.DUMMYFUNCTION("""COMPUTED_VALUE"""),112.98)</f>
        <v>112.98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IFERROR(__xludf.DUMMYFUNCTION("""COMPUTED_VALUE"""),112.73)</f>
        <v>112.73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IFERROR(__xludf.DUMMYFUNCTION("""COMPUTED_VALUE"""),115.45)</f>
        <v>115.45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IFERROR(__xludf.DUMMYFUNCTION("""COMPUTED_VALUE"""),111.64)</f>
        <v>111.64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IFERROR(__xludf.DUMMYFUNCTION("""COMPUTED_VALUE"""),109.45)</f>
        <v>109.45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IFERROR(__xludf.DUMMYFUNCTION("""COMPUTED_VALUE"""),114.34)</f>
        <v>114.34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IFERROR(__xludf.DUMMYFUNCTION("""COMPUTED_VALUE"""),112.53)</f>
        <v>112.53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IFERROR(__xludf.DUMMYFUNCTION("""COMPUTED_VALUE"""),116.36)</f>
        <v>116.36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IFERROR(__xludf.DUMMYFUNCTION("""COMPUTED_VALUE"""),110.73)</f>
        <v>110.73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IFERROR(__xludf.DUMMYFUNCTION("""COMPUTED_VALUE"""),110.91)</f>
        <v>110.91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IFERROR(__xludf.DUMMYFUNCTION("""COMPUTED_VALUE"""),114.18)</f>
        <v>114.18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IFERROR(__xludf.DUMMYFUNCTION("""COMPUTED_VALUE"""),110.73)</f>
        <v>110.73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IFERROR(__xludf.DUMMYFUNCTION("""COMPUTED_VALUE"""),108.73)</f>
        <v>108.73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IFERROR(__xludf.DUMMYFUNCTION("""COMPUTED_VALUE"""),120.88)</f>
        <v>120.88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IFERROR(__xludf.DUMMYFUNCTION("""COMPUTED_VALUE"""),122.73)</f>
        <v>122.73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IFERROR(__xludf.DUMMYFUNCTION("""COMPUTED_VALUE"""),116.36)</f>
        <v>116.36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IFERROR(__xludf.DUMMYFUNCTION("""COMPUTED_VALUE"""),111.43)</f>
        <v>111.43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IFERROR(__xludf.DUMMYFUNCTION("""COMPUTED_VALUE"""),104.53)</f>
        <v>104.53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IFERROR(__xludf.DUMMYFUNCTION("""COMPUTED_VALUE"""),101.27)</f>
        <v>101.27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IFERROR(__xludf.DUMMYFUNCTION("""COMPUTED_VALUE"""),95.44)</f>
        <v>95.44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IFERROR(__xludf.DUMMYFUNCTION("""COMPUTED_VALUE"""),94.82)</f>
        <v>94.82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IFERROR(__xludf.DUMMYFUNCTION("""COMPUTED_VALUE"""),93.45)</f>
        <v>93.45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IFERROR(__xludf.DUMMYFUNCTION("""COMPUTED_VALUE"""),94.25)</f>
        <v>94.25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IFERROR(__xludf.DUMMYFUNCTION("""COMPUTED_VALUE"""),90.55)</f>
        <v>90.55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IFERROR(__xludf.DUMMYFUNCTION("""COMPUTED_VALUE"""),90.91)</f>
        <v>90.91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IFERROR(__xludf.DUMMYFUNCTION("""COMPUTED_VALUE"""),100.36)</f>
        <v>100.36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IFERROR(__xludf.DUMMYFUNCTION("""COMPUTED_VALUE"""),103.27)</f>
        <v>103.27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IFERROR(__xludf.DUMMYFUNCTION("""COMPUTED_VALUE"""),110.11)</f>
        <v>110.11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IFERROR(__xludf.DUMMYFUNCTION("""COMPUTED_VALUE"""),109.09)</f>
        <v>109.09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IFERROR(__xludf.DUMMYFUNCTION("""COMPUTED_VALUE"""),117.82)</f>
        <v>117.82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IFERROR(__xludf.DUMMYFUNCTION("""COMPUTED_VALUE"""),111.25)</f>
        <v>111.25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IFERROR(__xludf.DUMMYFUNCTION("""COMPUTED_VALUE"""),113.64)</f>
        <v>113.64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IFERROR(__xludf.DUMMYFUNCTION("""COMPUTED_VALUE"""),119.09)</f>
        <v>119.09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IFERROR(__xludf.DUMMYFUNCTION("""COMPUTED_VALUE"""),121.77)</f>
        <v>121.77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IFERROR(__xludf.DUMMYFUNCTION("""COMPUTED_VALUE"""),144.57)</f>
        <v>144.57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IFERROR(__xludf.DUMMYFUNCTION("""COMPUTED_VALUE"""),129.05)</f>
        <v>129.05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IFERROR(__xludf.DUMMYFUNCTION("""COMPUTED_VALUE"""),128.04)</f>
        <v>128.04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IFERROR(__xludf.DUMMYFUNCTION("""COMPUTED_VALUE"""),139.45)</f>
        <v>139.45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IFERROR(__xludf.DUMMYFUNCTION("""COMPUTED_VALUE"""),144.52)</f>
        <v>144.52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IFERROR(__xludf.DUMMYFUNCTION("""COMPUTED_VALUE"""),152.45)</f>
        <v>152.45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IFERROR(__xludf.DUMMYFUNCTION("""COMPUTED_VALUE"""),168.18)</f>
        <v>168.18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IFERROR(__xludf.DUMMYFUNCTION("""COMPUTED_VALUE"""),161.8)</f>
        <v>161.8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IFERROR(__xludf.DUMMYFUNCTION("""COMPUTED_VALUE"""),161.41)</f>
        <v>161.41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IFERROR(__xludf.DUMMYFUNCTION("""COMPUTED_VALUE"""),162.09)</f>
        <v>162.09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IFERROR(__xludf.DUMMYFUNCTION("""COMPUTED_VALUE"""),160.91)</f>
        <v>160.91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IFERROR(__xludf.DUMMYFUNCTION("""COMPUTED_VALUE"""),161.82)</f>
        <v>161.82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IFERROR(__xludf.DUMMYFUNCTION("""COMPUTED_VALUE"""),166.18)</f>
        <v>166.18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IFERROR(__xludf.DUMMYFUNCTION("GOOGLEFINANCE(""NSE:ICICIBANK"",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IFERROR(__xludf.DUMMYFUNCTION("""COMPUTED_VALUE"""),167.09)</f>
        <v>167.09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IFERROR(__xludf.DUMMYFUNCTION("""COMPUTED_VALUE"""),178.15)</f>
        <v>178.15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IFERROR(__xludf.DUMMYFUNCTION("""COMPUTED_VALUE"""),180.91)</f>
        <v>180.91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IFERROR(__xludf.DUMMYFUNCTION("""COMPUTED_VALUE"""),181.82)</f>
        <v>181.82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IFERROR(__xludf.DUMMYFUNCTION("""COMPUTED_VALUE"""),180.26)</f>
        <v>180.26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IFERROR(__xludf.DUMMYFUNCTION("""COMPUTED_VALUE"""),183.64)</f>
        <v>183.64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IFERROR(__xludf.DUMMYFUNCTION("""COMPUTED_VALUE"""),180.02)</f>
        <v>180.02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IFERROR(__xludf.DUMMYFUNCTION("""COMPUTED_VALUE"""),179.6)</f>
        <v>179.6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IFERROR(__xludf.DUMMYFUNCTION("""COMPUTED_VALUE"""),167.9)</f>
        <v>167.9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IFERROR(__xludf.DUMMYFUNCTION("""COMPUTED_VALUE"""),160.45)</f>
        <v>160.45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IFERROR(__xludf.DUMMYFUNCTION("""COMPUTED_VALUE"""),160.18)</f>
        <v>160.18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IFERROR(__xludf.DUMMYFUNCTION("""COMPUTED_VALUE"""),180.0)</f>
        <v>180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IFERROR(__xludf.DUMMYFUNCTION("""COMPUTED_VALUE"""),164.95)</f>
        <v>164.95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IFERROR(__xludf.DUMMYFUNCTION("""COMPUTED_VALUE"""),153.44)</f>
        <v>153.44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IFERROR(__xludf.DUMMYFUNCTION("""COMPUTED_VALUE"""),160.45)</f>
        <v>160.45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IFERROR(__xludf.DUMMYFUNCTION("""COMPUTED_VALUE"""),167.45)</f>
        <v>167.45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IFERROR(__xludf.DUMMYFUNCTION("""COMPUTED_VALUE"""),180.85)</f>
        <v>180.85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IFERROR(__xludf.DUMMYFUNCTION("""COMPUTED_VALUE"""),163.27)</f>
        <v>163.27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IFERROR(__xludf.DUMMYFUNCTION("""COMPUTED_VALUE"""),158.99)</f>
        <v>158.99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IFERROR(__xludf.DUMMYFUNCTION("""COMPUTED_VALUE"""),173.62)</f>
        <v>173.62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IFERROR(__xludf.DUMMYFUNCTION("""COMPUTED_VALUE"""),175.27)</f>
        <v>175.27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IFERROR(__xludf.DUMMYFUNCTION("""COMPUTED_VALUE"""),170.69)</f>
        <v>170.69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IFERROR(__xludf.DUMMYFUNCTION("""COMPUTED_VALUE"""),172.85)</f>
        <v>172.85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IFERROR(__xludf.DUMMYFUNCTION("""COMPUTED_VALUE"""),170.25)</f>
        <v>170.25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IFERROR(__xludf.DUMMYFUNCTION("""COMPUTED_VALUE"""),175.77)</f>
        <v>175.77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IFERROR(__xludf.DUMMYFUNCTION("""COMPUTED_VALUE"""),175.45)</f>
        <v>175.45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IFERROR(__xludf.DUMMYFUNCTION("""COMPUTED_VALUE"""),183.64)</f>
        <v>183.64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IFERROR(__xludf.DUMMYFUNCTION("""COMPUTED_VALUE"""),180.23)</f>
        <v>180.23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IFERROR(__xludf.DUMMYFUNCTION("""COMPUTED_VALUE"""),182.45)</f>
        <v>182.45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IFERROR(__xludf.DUMMYFUNCTION("""COMPUTED_VALUE"""),180.21)</f>
        <v>180.21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IFERROR(__xludf.DUMMYFUNCTION("""COMPUTED_VALUE"""),170.91)</f>
        <v>170.91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IFERROR(__xludf.DUMMYFUNCTION("""COMPUTED_VALUE"""),167.27)</f>
        <v>167.27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IFERROR(__xludf.DUMMYFUNCTION("""COMPUTED_VALUE"""),161.6)</f>
        <v>161.6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IFERROR(__xludf.DUMMYFUNCTION("""COMPUTED_VALUE"""),161.6)</f>
        <v>161.6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IFERROR(__xludf.DUMMYFUNCTION("""COMPUTED_VALUE"""),162.65)</f>
        <v>162.65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IFERROR(__xludf.DUMMYFUNCTION("""COMPUTED_VALUE"""),169.21)</f>
        <v>169.21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IFERROR(__xludf.DUMMYFUNCTION("""COMPUTED_VALUE"""),168.0)</f>
        <v>168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IFERROR(__xludf.DUMMYFUNCTION("""COMPUTED_VALUE"""),178.18)</f>
        <v>178.18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IFERROR(__xludf.DUMMYFUNCTION("""COMPUTED_VALUE"""),194.53)</f>
        <v>194.53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IFERROR(__xludf.DUMMYFUNCTION("""COMPUTED_VALUE"""),204.62)</f>
        <v>204.62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IFERROR(__xludf.DUMMYFUNCTION("""COMPUTED_VALUE"""),199.81)</f>
        <v>199.81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IFERROR(__xludf.DUMMYFUNCTION("""COMPUTED_VALUE"""),215.07)</f>
        <v>215.07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IFERROR(__xludf.DUMMYFUNCTION("""COMPUTED_VALUE"""),218.18)</f>
        <v>218.18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IFERROR(__xludf.DUMMYFUNCTION("""COMPUTED_VALUE"""),245.27)</f>
        <v>245.27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IFERROR(__xludf.DUMMYFUNCTION("""COMPUTED_VALUE"""),236.91)</f>
        <v>236.91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IFERROR(__xludf.DUMMYFUNCTION("""COMPUTED_VALUE"""),225.45)</f>
        <v>225.45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IFERROR(__xludf.DUMMYFUNCTION("""COMPUTED_VALUE"""),217.0)</f>
        <v>217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IFERROR(__xludf.DUMMYFUNCTION("""COMPUTED_VALUE"""),227.27)</f>
        <v>227.27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IFERROR(__xludf.DUMMYFUNCTION("""COMPUTED_VALUE"""),241.2)</f>
        <v>241.2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IFERROR(__xludf.DUMMYFUNCTION("""COMPUTED_VALUE"""),225.24)</f>
        <v>225.24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IFERROR(__xludf.DUMMYFUNCTION("""COMPUTED_VALUE"""),229.09)</f>
        <v>229.09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IFERROR(__xludf.DUMMYFUNCTION("GOOGLEFINANCE(""NSE:ICICIBANK"",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IFERROR(__xludf.DUMMYFUNCTION("""COMPUTED_VALUE"""),236.36)</f>
        <v>236.36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IFERROR(__xludf.DUMMYFUNCTION("""COMPUTED_VALUE"""),263.64)</f>
        <v>263.64</v>
      </c>
    </row>
    <row r="334" ht="15.75" customHeight="1">
      <c r="B334" s="3">
        <f>IFERROR(__xludf.DUMMYFUNCTION("""COMPUTED_VALUE"""),39464.645833333336)</f>
        <v>39464.64583</v>
      </c>
      <c r="C334" s="2">
        <f>IFERROR(__xludf.DUMMYFUNCTION("""COMPUTED_VALUE"""),264.64)</f>
        <v>264.64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IFERROR(__xludf.DUMMYFUNCTION("""COMPUTED_VALUE"""),232.18)</f>
        <v>232.18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IFERROR(__xludf.DUMMYFUNCTION("""COMPUTED_VALUE"""),238.88)</f>
        <v>238.88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IFERROR(__xludf.DUMMYFUNCTION("""COMPUTED_VALUE"""),226.35)</f>
        <v>226.35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IFERROR(__xludf.DUMMYFUNCTION("""COMPUTED_VALUE"""),218.06)</f>
        <v>218.06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IFERROR(__xludf.DUMMYFUNCTION("""COMPUTED_VALUE"""),225.96)</f>
        <v>225.96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IFERROR(__xludf.DUMMYFUNCTION("""COMPUTED_VALUE"""),216.48)</f>
        <v>216.48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IFERROR(__xludf.DUMMYFUNCTION("""COMPUTED_VALUE"""),192.73)</f>
        <v>192.73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IFERROR(__xludf.DUMMYFUNCTION("""COMPUTED_VALUE"""),168.0)</f>
        <v>168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IFERROR(__xludf.DUMMYFUNCTION("""COMPUTED_VALUE"""),163.45)</f>
        <v>163.45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IFERROR(__xludf.DUMMYFUNCTION("""COMPUTED_VALUE"""),162.36)</f>
        <v>162.36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IFERROR(__xludf.DUMMYFUNCTION("""COMPUTED_VALUE"""),154.34)</f>
        <v>154.34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IFERROR(__xludf.DUMMYFUNCTION("""COMPUTED_VALUE"""),153.09)</f>
        <v>153.09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IFERROR(__xludf.DUMMYFUNCTION("""COMPUTED_VALUE"""),154.73)</f>
        <v>154.73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IFERROR(__xludf.DUMMYFUNCTION("""COMPUTED_VALUE"""),169.05)</f>
        <v>169.05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IFERROR(__xludf.DUMMYFUNCTION("""COMPUTED_VALUE"""),174.55)</f>
        <v>174.55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IFERROR(__xludf.DUMMYFUNCTION("""COMPUTED_VALUE"""),174.71)</f>
        <v>174.71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IFERROR(__xludf.DUMMYFUNCTION("""COMPUTED_VALUE"""),171.82)</f>
        <v>171.82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IFERROR(__xludf.DUMMYFUNCTION("""COMPUTED_VALUE"""),176.55)</f>
        <v>176.55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IFERROR(__xludf.DUMMYFUNCTION("""COMPUTED_VALUE"""),156.91)</f>
        <v>156.91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IFERROR(__xludf.DUMMYFUNCTION("""COMPUTED_VALUE"""),150.91)</f>
        <v>150.91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IFERROR(__xludf.DUMMYFUNCTION("""COMPUTED_VALUE"""),140.36)</f>
        <v>140.36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IFERROR(__xludf.DUMMYFUNCTION("""COMPUTED_VALUE"""),151.82)</f>
        <v>151.82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IFERROR(__xludf.DUMMYFUNCTION("""COMPUTED_VALUE"""),134.16)</f>
        <v>134.16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IFERROR(__xludf.DUMMYFUNCTION("""COMPUTED_VALUE"""),120.87)</f>
        <v>120.87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IFERROR(__xludf.DUMMYFUNCTION("""COMPUTED_VALUE"""),117.27)</f>
        <v>117.27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IFERROR(__xludf.DUMMYFUNCTION("""COMPUTED_VALUE"""),113.45)</f>
        <v>113.45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IFERROR(__xludf.DUMMYFUNCTION("""COMPUTED_VALUE"""),139.07)</f>
        <v>139.07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IFERROR(__xludf.DUMMYFUNCTION("""COMPUTED_VALUE"""),121.64)</f>
        <v>121.64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IFERROR(__xludf.DUMMYFUNCTION("""COMPUTED_VALUE"""),135.91)</f>
        <v>135.91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IFERROR(__xludf.DUMMYFUNCTION("""COMPUTED_VALUE"""),143.45)</f>
        <v>143.45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IFERROR(__xludf.DUMMYFUNCTION("""COMPUTED_VALUE"""),125.45)</f>
        <v>125.45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IFERROR(__xludf.DUMMYFUNCTION("""COMPUTED_VALUE"""),124.47)</f>
        <v>124.47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IFERROR(__xludf.DUMMYFUNCTION("""COMPUTED_VALUE"""),132.73)</f>
        <v>132.73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IFERROR(__xludf.DUMMYFUNCTION("""COMPUTED_VALUE"""),136.36)</f>
        <v>136.36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IFERROR(__xludf.DUMMYFUNCTION("""COMPUTED_VALUE"""),115.64)</f>
        <v>115.64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IFERROR(__xludf.DUMMYFUNCTION("""COMPUTED_VALUE"""),117.04)</f>
        <v>117.04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IFERROR(__xludf.DUMMYFUNCTION("""COMPUTED_VALUE"""),102.73)</f>
        <v>102.73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IFERROR(__xludf.DUMMYFUNCTION("""COMPUTED_VALUE"""),94.8)</f>
        <v>94.8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IFERROR(__xludf.DUMMYFUNCTION("""COMPUTED_VALUE"""),90.87)</f>
        <v>90.87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IFERROR(__xludf.DUMMYFUNCTION("""COMPUTED_VALUE"""),85.17)</f>
        <v>85.17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IFERROR(__xludf.DUMMYFUNCTION("""COMPUTED_VALUE"""),75.07)</f>
        <v>75.07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IFERROR(__xludf.DUMMYFUNCTION("""COMPUTED_VALUE"""),89.47)</f>
        <v>89.47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IFERROR(__xludf.DUMMYFUNCTION("""COMPUTED_VALUE"""),86.5)</f>
        <v>86.5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IFERROR(__xludf.DUMMYFUNCTION("""COMPUTED_VALUE"""),72.73)</f>
        <v>72.73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IFERROR(__xludf.DUMMYFUNCTION("""COMPUTED_VALUE"""),64.55)</f>
        <v>64.55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IFERROR(__xludf.DUMMYFUNCTION("""COMPUTED_VALUE"""),71.09)</f>
        <v>71.09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IFERROR(__xludf.DUMMYFUNCTION("""COMPUTED_VALUE"""),76.18)</f>
        <v>76.18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IFERROR(__xludf.DUMMYFUNCTION("""COMPUTED_VALUE"""),87.55)</f>
        <v>87.55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IFERROR(__xludf.DUMMYFUNCTION("""COMPUTED_VALUE"""),85.95)</f>
        <v>85.95</v>
      </c>
    </row>
    <row r="384" ht="15.75" customHeight="1"/>
    <row r="385" ht="15.75" customHeight="1"/>
    <row r="386" ht="15.75" customHeight="1">
      <c r="B386" s="2" t="str">
        <f>IFERROR(__xludf.DUMMYFUNCTION("GOOGLEFINANCE(""NSE:ICICIBANK"",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IFERROR(__xludf.DUMMYFUNCTION("""COMPUTED_VALUE"""),87.24)</f>
        <v>87.24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IFERROR(__xludf.DUMMYFUNCTION("""COMPUTED_VALUE"""),97.93)</f>
        <v>97.93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IFERROR(__xludf.DUMMYFUNCTION("""COMPUTED_VALUE"""),84.24)</f>
        <v>84.24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IFERROR(__xludf.DUMMYFUNCTION("""COMPUTED_VALUE"""),80.8)</f>
        <v>80.8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IFERROR(__xludf.DUMMYFUNCTION("""COMPUTED_VALUE"""),78.85)</f>
        <v>78.85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IFERROR(__xludf.DUMMYFUNCTION("""COMPUTED_VALUE"""),74.93)</f>
        <v>74.93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IFERROR(__xludf.DUMMYFUNCTION("""COMPUTED_VALUE"""),80.36)</f>
        <v>80.36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IFERROR(__xludf.DUMMYFUNCTION("""COMPUTED_VALUE"""),79.98)</f>
        <v>79.98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IFERROR(__xludf.DUMMYFUNCTION("""COMPUTED_VALUE"""),63.62)</f>
        <v>63.62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IFERROR(__xludf.DUMMYFUNCTION("""COMPUTED_VALUE"""),59.04)</f>
        <v>59.04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IFERROR(__xludf.DUMMYFUNCTION("""COMPUTED_VALUE"""),56.86)</f>
        <v>56.86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IFERROR(__xludf.DUMMYFUNCTION("""COMPUTED_VALUE"""),63.0)</f>
        <v>63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IFERROR(__xludf.DUMMYFUNCTION("""COMPUTED_VALUE"""),70.51)</f>
        <v>70.51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IFERROR(__xludf.DUMMYFUNCTION("""COMPUTED_VALUE"""),68.85)</f>
        <v>68.85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IFERROR(__xludf.DUMMYFUNCTION("""COMPUTED_VALUE"""),73.09)</f>
        <v>73.09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IFERROR(__xludf.DUMMYFUNCTION("""COMPUTED_VALUE"""),85.38)</f>
        <v>85.38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IFERROR(__xludf.DUMMYFUNCTION("""COMPUTED_VALUE"""),82.91)</f>
        <v>82.91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IFERROR(__xludf.DUMMYFUNCTION("""COMPUTED_VALUE"""),88.09)</f>
        <v>88.09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IFERROR(__xludf.DUMMYFUNCTION("""COMPUTED_VALUE"""),104.55)</f>
        <v>104.55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IFERROR(__xludf.DUMMYFUNCTION("""COMPUTED_VALUE"""),105.27)</f>
        <v>105.27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IFERROR(__xludf.DUMMYFUNCTION("""COMPUTED_VALUE"""),145.45)</f>
        <v>145.45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IFERROR(__xludf.DUMMYFUNCTION("""COMPUTED_VALUE"""),137.25)</f>
        <v>137.25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IFERROR(__xludf.DUMMYFUNCTION("""COMPUTED_VALUE"""),138.99)</f>
        <v>138.99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IFERROR(__xludf.DUMMYFUNCTION("""COMPUTED_VALUE"""),141.75)</f>
        <v>141.75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IFERROR(__xludf.DUMMYFUNCTION("""COMPUTED_VALUE"""),136.73)</f>
        <v>136.73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IFERROR(__xludf.DUMMYFUNCTION("""COMPUTED_VALUE"""),138.18)</f>
        <v>138.18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IFERROR(__xludf.DUMMYFUNCTION("""COMPUTED_VALUE"""),140.49)</f>
        <v>140.49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IFERROR(__xludf.DUMMYFUNCTION("""COMPUTED_VALUE"""),141.27)</f>
        <v>141.27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IFERROR(__xludf.DUMMYFUNCTION("""COMPUTED_VALUE"""),136.09)</f>
        <v>136.09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IFERROR(__xludf.DUMMYFUNCTION("""COMPUTED_VALUE"""),146.85)</f>
        <v>146.85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IFERROR(__xludf.DUMMYFUNCTION("""COMPUTED_VALUE"""),142.18)</f>
        <v>142.18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IFERROR(__xludf.DUMMYFUNCTION("""COMPUTED_VALUE"""),146.16)</f>
        <v>146.16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IFERROR(__xludf.DUMMYFUNCTION("""COMPUTED_VALUE"""),139.09)</f>
        <v>139.09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IFERROR(__xludf.DUMMYFUNCTION("""COMPUTED_VALUE"""),136.23)</f>
        <v>136.23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IFERROR(__xludf.DUMMYFUNCTION("""COMPUTED_VALUE"""),140.71)</f>
        <v>140.71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IFERROR(__xludf.DUMMYFUNCTION("""COMPUTED_VALUE"""),141.02)</f>
        <v>141.02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IFERROR(__xludf.DUMMYFUNCTION("""COMPUTED_VALUE"""),153.57)</f>
        <v>153.57</v>
      </c>
    </row>
    <row r="424" ht="15.75" customHeight="1">
      <c r="B424" s="3">
        <f>IFERROR(__xludf.DUMMYFUNCTION("""COMPUTED_VALUE"""),40072.645833333336)</f>
        <v>40072.64583</v>
      </c>
      <c r="C424" s="2">
        <f>IFERROR(__xludf.DUMMYFUNCTION("""COMPUTED_VALUE"""),158.17)</f>
        <v>158.17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IFERROR(__xludf.DUMMYFUNCTION("""COMPUTED_VALUE"""),168.65)</f>
        <v>168.65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IFERROR(__xludf.DUMMYFUNCTION("""COMPUTED_VALUE"""),169.8)</f>
        <v>169.8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IFERROR(__xludf.DUMMYFUNCTION("""COMPUTED_VALUE"""),173.47)</f>
        <v>173.47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IFERROR(__xludf.DUMMYFUNCTION("""COMPUTED_VALUE"""),175.64)</f>
        <v>175.64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IFERROR(__xludf.DUMMYFUNCTION("""COMPUTED_VALUE"""),167.27)</f>
        <v>167.27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IFERROR(__xludf.DUMMYFUNCTION("""COMPUTED_VALUE"""),156.85)</f>
        <v>156.85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IFERROR(__xludf.DUMMYFUNCTION("""COMPUTED_VALUE"""),168.91)</f>
        <v>168.91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IFERROR(__xludf.DUMMYFUNCTION("""COMPUTED_VALUE"""),169.45)</f>
        <v>169.45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IFERROR(__xludf.DUMMYFUNCTION("""COMPUTED_VALUE"""),167.95)</f>
        <v>167.95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IFERROR(__xludf.DUMMYFUNCTION("""COMPUTED_VALUE"""),166.81)</f>
        <v>166.81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IFERROR(__xludf.DUMMYFUNCTION("""COMPUTED_VALUE"""),161.4)</f>
        <v>161.4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IFERROR(__xludf.DUMMYFUNCTION("""COMPUTED_VALUE"""),157.94)</f>
        <v>157.94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IFERROR(__xludf.DUMMYFUNCTION("""COMPUTED_VALUE"""),158.53)</f>
        <v>158.53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IFERROR(__xludf.DUMMYFUNCTION("""COMPUTED_VALUE"""),161.76)</f>
        <v>161.76</v>
      </c>
    </row>
    <row r="439" ht="15.75" customHeight="1"/>
    <row r="440" ht="15.75" customHeight="1"/>
    <row r="441" ht="15.75" customHeight="1">
      <c r="B441" s="2" t="str">
        <f>IFERROR(__xludf.DUMMYFUNCTION("GOOGLEFINANCE(""NSE:ICICIBANK"",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IFERROR(__xludf.DUMMYFUNCTION("""COMPUTED_VALUE"""),164.97)</f>
        <v>164.97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IFERROR(__xludf.DUMMYFUNCTION("""COMPUTED_VALUE"""),160.33)</f>
        <v>160.33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IFERROR(__xludf.DUMMYFUNCTION("""COMPUTED_VALUE"""),160.84)</f>
        <v>160.84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IFERROR(__xludf.DUMMYFUNCTION("""COMPUTED_VALUE"""),152.57)</f>
        <v>152.57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IFERROR(__xludf.DUMMYFUNCTION("""COMPUTED_VALUE"""),154.55)</f>
        <v>154.55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IFERROR(__xludf.DUMMYFUNCTION("""COMPUTED_VALUE"""),155.09)</f>
        <v>155.09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IFERROR(__xludf.DUMMYFUNCTION("""COMPUTED_VALUE"""),161.27)</f>
        <v>161.27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IFERROR(__xludf.DUMMYFUNCTION("""COMPUTED_VALUE"""),166.28)</f>
        <v>166.28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IFERROR(__xludf.DUMMYFUNCTION("""COMPUTED_VALUE"""),171.25)</f>
        <v>171.25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IFERROR(__xludf.DUMMYFUNCTION("""COMPUTED_VALUE"""),176.27)</f>
        <v>176.27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IFERROR(__xludf.DUMMYFUNCTION("""COMPUTED_VALUE"""),173.07)</f>
        <v>173.07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IFERROR(__xludf.DUMMYFUNCTION("""COMPUTED_VALUE"""),176.51)</f>
        <v>176.51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IFERROR(__xludf.DUMMYFUNCTION("""COMPUTED_VALUE"""),183.58)</f>
        <v>183.58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IFERROR(__xludf.DUMMYFUNCTION("""COMPUTED_VALUE"""),179.07)</f>
        <v>179.07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IFERROR(__xludf.DUMMYFUNCTION("""COMPUTED_VALUE"""),178.15)</f>
        <v>178.15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IFERROR(__xludf.DUMMYFUNCTION("""COMPUTED_VALUE"""),181.48)</f>
        <v>181.48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IFERROR(__xludf.DUMMYFUNCTION("""COMPUTED_VALUE"""),174.17)</f>
        <v>174.17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IFERROR(__xludf.DUMMYFUNCTION("""COMPUTED_VALUE"""),169.82)</f>
        <v>169.82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IFERROR(__xludf.DUMMYFUNCTION("""COMPUTED_VALUE"""),164.53)</f>
        <v>164.53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IFERROR(__xludf.DUMMYFUNCTION("""COMPUTED_VALUE"""),172.65)</f>
        <v>172.65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IFERROR(__xludf.DUMMYFUNCTION("""COMPUTED_VALUE"""),158.99)</f>
        <v>158.99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IFERROR(__xludf.DUMMYFUNCTION("""COMPUTED_VALUE"""),154.55)</f>
        <v>154.55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IFERROR(__xludf.DUMMYFUNCTION("""COMPUTED_VALUE"""),162.16)</f>
        <v>162.16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IFERROR(__xludf.DUMMYFUNCTION("""COMPUTED_VALUE"""),165.45)</f>
        <v>165.45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IFERROR(__xludf.DUMMYFUNCTION("""COMPUTED_VALUE"""),158.54)</f>
        <v>158.54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IFERROR(__xludf.DUMMYFUNCTION("""COMPUTED_VALUE"""),159.82)</f>
        <v>159.82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IFERROR(__xludf.DUMMYFUNCTION("""COMPUTED_VALUE"""),166.26)</f>
        <v>166.26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IFERROR(__xludf.DUMMYFUNCTION("""COMPUTED_VALUE"""),167.42)</f>
        <v>167.42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IFERROR(__xludf.DUMMYFUNCTION("""COMPUTED_VALUE"""),169.45)</f>
        <v>169.45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IFERROR(__xludf.DUMMYFUNCTION("""COMPUTED_VALUE"""),176.91)</f>
        <v>176.91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IFERROR(__xludf.DUMMYFUNCTION("""COMPUTED_VALUE"""),181.64)</f>
        <v>181.64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IFERROR(__xludf.DUMMYFUNCTION("""COMPUTED_VALUE"""),184.71)</f>
        <v>184.71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IFERROR(__xludf.DUMMYFUNCTION("""COMPUTED_VALUE"""),186.18)</f>
        <v>186.18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IFERROR(__xludf.DUMMYFUNCTION("""COMPUTED_VALUE"""),183.63)</f>
        <v>183.63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IFERROR(__xludf.DUMMYFUNCTION("""COMPUTED_VALUE"""),191.64)</f>
        <v>191.64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IFERROR(__xludf.DUMMYFUNCTION("""COMPUTED_VALUE"""),204.36)</f>
        <v>204.36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IFERROR(__xludf.DUMMYFUNCTION("""COMPUTED_VALUE"""),208.73)</f>
        <v>208.73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IFERROR(__xludf.DUMMYFUNCTION("""COMPUTED_VALUE"""),206.88)</f>
        <v>206.88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IFERROR(__xludf.DUMMYFUNCTION("""COMPUTED_VALUE"""),212.73)</f>
        <v>212.73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IFERROR(__xludf.DUMMYFUNCTION("""COMPUTED_VALUE"""),212.58)</f>
        <v>212.58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IFERROR(__xludf.DUMMYFUNCTION("""COMPUTED_VALUE"""),209.89)</f>
        <v>209.89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IFERROR(__xludf.DUMMYFUNCTION("""COMPUTED_VALUE"""),214.0)</f>
        <v>214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IFERROR(__xludf.DUMMYFUNCTION("""COMPUTED_VALUE"""),232.55)</f>
        <v>232.55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IFERROR(__xludf.DUMMYFUNCTION("""COMPUTED_VALUE"""),232.36)</f>
        <v>232.36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IFERROR(__xludf.DUMMYFUNCTION("""COMPUTED_VALUE"""),225.55)</f>
        <v>225.55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IFERROR(__xludf.DUMMYFUNCTION("""COMPUTED_VALUE"""),216.94)</f>
        <v>216.94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IFERROR(__xludf.DUMMYFUNCTION("""COMPUTED_VALUE"""),218.55)</f>
        <v>218.55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IFERROR(__xludf.DUMMYFUNCTION("""COMPUTED_VALUE"""),217.31)</f>
        <v>217.31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IFERROR(__xludf.DUMMYFUNCTION("""COMPUTED_VALUE"""),206.0)</f>
        <v>206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IFERROR(__xludf.DUMMYFUNCTION("""COMPUTED_VALUE"""),208.18)</f>
        <v>208.18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IFERROR(__xludf.DUMMYFUNCTION("""COMPUTED_VALUE"""),208.76)</f>
        <v>208.76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IFERROR(__xludf.DUMMYFUNCTION("GOOGLEFINANCE(""NSE:ICICIBANK"",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IFERROR(__xludf.DUMMYFUNCTION("""COMPUTED_VALUE"""),210.62)</f>
        <v>210.62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IFERROR(__xludf.DUMMYFUNCTION("""COMPUTED_VALUE"""),195.32)</f>
        <v>195.32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IFERROR(__xludf.DUMMYFUNCTION("""COMPUTED_VALUE"""),194.38)</f>
        <v>194.38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IFERROR(__xludf.DUMMYFUNCTION("""COMPUTED_VALUE"""),198.53)</f>
        <v>198.53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IFERROR(__xludf.DUMMYFUNCTION("""COMPUTED_VALUE"""),188.67)</f>
        <v>188.67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IFERROR(__xludf.DUMMYFUNCTION("""COMPUTED_VALUE"""),183.27)</f>
        <v>183.27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IFERROR(__xludf.DUMMYFUNCTION("""COMPUTED_VALUE"""),195.09)</f>
        <v>195.09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IFERROR(__xludf.DUMMYFUNCTION("""COMPUTED_VALUE"""),189.42)</f>
        <v>189.42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IFERROR(__xludf.DUMMYFUNCTION("""COMPUTED_VALUE"""),190.26)</f>
        <v>190.26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IFERROR(__xludf.DUMMYFUNCTION("""COMPUTED_VALUE"""),189.09)</f>
        <v>189.09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IFERROR(__xludf.DUMMYFUNCTION("""COMPUTED_VALUE"""),187.98)</f>
        <v>187.98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IFERROR(__xludf.DUMMYFUNCTION("""COMPUTED_VALUE"""),199.45)</f>
        <v>199.45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IFERROR(__xludf.DUMMYFUNCTION("""COMPUTED_VALUE"""),205.09)</f>
        <v>205.09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IFERROR(__xludf.DUMMYFUNCTION("""COMPUTED_VALUE"""),205.07)</f>
        <v>205.07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IFERROR(__xludf.DUMMYFUNCTION("""COMPUTED_VALUE"""),207.09)</f>
        <v>207.09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IFERROR(__xludf.DUMMYFUNCTION("""COMPUTED_VALUE"""),204.35)</f>
        <v>204.35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IFERROR(__xludf.DUMMYFUNCTION("""COMPUTED_VALUE"""),205.18)</f>
        <v>205.18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IFERROR(__xludf.DUMMYFUNCTION("""COMPUTED_VALUE"""),203.33)</f>
        <v>203.33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IFERROR(__xludf.DUMMYFUNCTION("""COMPUTED_VALUE"""),199.35)</f>
        <v>199.35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IFERROR(__xludf.DUMMYFUNCTION("""COMPUTED_VALUE"""),193.96)</f>
        <v>193.96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IFERROR(__xludf.DUMMYFUNCTION("""COMPUTED_VALUE"""),195.22)</f>
        <v>195.22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IFERROR(__xludf.DUMMYFUNCTION("""COMPUTED_VALUE"""),199.05)</f>
        <v>199.05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IFERROR(__xludf.DUMMYFUNCTION("""COMPUTED_VALUE"""),193.45)</f>
        <v>193.45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IFERROR(__xludf.DUMMYFUNCTION("""COMPUTED_VALUE"""),192.26)</f>
        <v>192.26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IFERROR(__xludf.DUMMYFUNCTION("""COMPUTED_VALUE"""),194.35)</f>
        <v>194.35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IFERROR(__xludf.DUMMYFUNCTION("""COMPUTED_VALUE"""),202.06)</f>
        <v>202.06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IFERROR(__xludf.DUMMYFUNCTION("""COMPUTED_VALUE"""),202.15)</f>
        <v>202.15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IFERROR(__xludf.DUMMYFUNCTION("""COMPUTED_VALUE"""),197.09)</f>
        <v>197.09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IFERROR(__xludf.DUMMYFUNCTION("""COMPUTED_VALUE"""),194.55)</f>
        <v>194.55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IFERROR(__xludf.DUMMYFUNCTION("""COMPUTED_VALUE"""),197.09)</f>
        <v>197.09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IFERROR(__xludf.DUMMYFUNCTION("""COMPUTED_VALUE"""),192.67)</f>
        <v>192.67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IFERROR(__xludf.DUMMYFUNCTION("""COMPUTED_VALUE"""),177.27)</f>
        <v>177.27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IFERROR(__xludf.DUMMYFUNCTION("""COMPUTED_VALUE"""),175.58)</f>
        <v>175.58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IFERROR(__xludf.DUMMYFUNCTION("""COMPUTED_VALUE"""),156.96)</f>
        <v>156.96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IFERROR(__xludf.DUMMYFUNCTION("""COMPUTED_VALUE"""),163.58)</f>
        <v>163.58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IFERROR(__xludf.DUMMYFUNCTION("""COMPUTED_VALUE"""),168.73)</f>
        <v>168.73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IFERROR(__xludf.DUMMYFUNCTION("""COMPUTED_VALUE"""),162.72)</f>
        <v>162.72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IFERROR(__xludf.DUMMYFUNCTION("""COMPUTED_VALUE"""),164.51)</f>
        <v>164.51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IFERROR(__xludf.DUMMYFUNCTION("""COMPUTED_VALUE"""),163.15)</f>
        <v>163.15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IFERROR(__xludf.DUMMYFUNCTION("""COMPUTED_VALUE"""),156.36)</f>
        <v>156.36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IFERROR(__xludf.DUMMYFUNCTION("""COMPUTED_VALUE"""),163.64)</f>
        <v>163.64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IFERROR(__xludf.DUMMYFUNCTION("""COMPUTED_VALUE"""),165.07)</f>
        <v>165.07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IFERROR(__xludf.DUMMYFUNCTION("""COMPUTED_VALUE"""),170.0)</f>
        <v>170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IFERROR(__xludf.DUMMYFUNCTION("""COMPUTED_VALUE"""),173.39)</f>
        <v>173.39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IFERROR(__xludf.DUMMYFUNCTION("""COMPUTED_VALUE"""),161.7)</f>
        <v>161.7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IFERROR(__xludf.DUMMYFUNCTION("""COMPUTED_VALUE"""),152.63)</f>
        <v>152.63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IFERROR(__xludf.DUMMYFUNCTION("""COMPUTED_VALUE"""),139.27)</f>
        <v>139.27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IFERROR(__xludf.DUMMYFUNCTION("""COMPUTED_VALUE"""),144.0)</f>
        <v>144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IFERROR(__xludf.DUMMYFUNCTION("""COMPUTED_VALUE"""),143.69)</f>
        <v>143.69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IFERROR(__xludf.DUMMYFUNCTION("""COMPUTED_VALUE"""),135.27)</f>
        <v>135.27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IFERROR(__xludf.DUMMYFUNCTION("""COMPUTED_VALUE"""),134.73)</f>
        <v>134.73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IFERROR(__xludf.DUMMYFUNCTION("""COMPUTED_VALUE"""),133.58)</f>
        <v>133.58</v>
      </c>
    </row>
    <row r="549" ht="15.75" customHeight="1"/>
    <row r="550" ht="15.75" customHeight="1"/>
    <row r="551" ht="15.75" customHeight="1">
      <c r="B551" s="2" t="str">
        <f>IFERROR(__xludf.DUMMYFUNCTION("GOOGLEFINANCE(""NSE:ICICIBANK"",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IFERROR(__xludf.DUMMYFUNCTION("""COMPUTED_VALUE"""),147.22)</f>
        <v>147.22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IFERROR(__xludf.DUMMYFUNCTION("""COMPUTED_VALUE"""),154.84)</f>
        <v>154.84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IFERROR(__xludf.DUMMYFUNCTION("""COMPUTED_VALUE"""),162.73)</f>
        <v>162.73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IFERROR(__xludf.DUMMYFUNCTION("""COMPUTED_VALUE"""),167.05)</f>
        <v>167.05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IFERROR(__xludf.DUMMYFUNCTION("""COMPUTED_VALUE"""),172.04)</f>
        <v>172.04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IFERROR(__xludf.DUMMYFUNCTION("""COMPUTED_VALUE"""),181.33)</f>
        <v>181.33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IFERROR(__xludf.DUMMYFUNCTION("""COMPUTED_VALUE"""),181.6)</f>
        <v>181.6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IFERROR(__xludf.DUMMYFUNCTION("""COMPUTED_VALUE"""),166.75)</f>
        <v>166.75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IFERROR(__xludf.DUMMYFUNCTION("""COMPUTED_VALUE"""),174.11)</f>
        <v>174.11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IFERROR(__xludf.DUMMYFUNCTION("""COMPUTED_VALUE"""),170.87)</f>
        <v>170.87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IFERROR(__xludf.DUMMYFUNCTION("""COMPUTED_VALUE"""),164.55)</f>
        <v>164.55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IFERROR(__xludf.DUMMYFUNCTION("""COMPUTED_VALUE"""),167.05)</f>
        <v>167.05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IFERROR(__xludf.DUMMYFUNCTION("""COMPUTED_VALUE"""),163.78)</f>
        <v>163.78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IFERROR(__xludf.DUMMYFUNCTION("""COMPUTED_VALUE"""),163.44)</f>
        <v>163.44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IFERROR(__xludf.DUMMYFUNCTION("""COMPUTED_VALUE"""),162.73)</f>
        <v>162.73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IFERROR(__xludf.DUMMYFUNCTION("""COMPUTED_VALUE"""),155.27)</f>
        <v>155.27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IFERROR(__xludf.DUMMYFUNCTION("""COMPUTED_VALUE"""),150.89)</f>
        <v>150.89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IFERROR(__xludf.DUMMYFUNCTION("""COMPUTED_VALUE"""),150.18)</f>
        <v>150.18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IFERROR(__xludf.DUMMYFUNCTION("""COMPUTED_VALUE"""),153.45)</f>
        <v>153.45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IFERROR(__xludf.DUMMYFUNCTION("""COMPUTED_VALUE"""),152.27)</f>
        <v>152.27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IFERROR(__xludf.DUMMYFUNCTION("""COMPUTED_VALUE"""),155.95)</f>
        <v>155.95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IFERROR(__xludf.DUMMYFUNCTION("""COMPUTED_VALUE"""),157.13)</f>
        <v>157.13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IFERROR(__xludf.DUMMYFUNCTION("""COMPUTED_VALUE"""),164.54)</f>
        <v>164.54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IFERROR(__xludf.DUMMYFUNCTION("""COMPUTED_VALUE"""),170.55)</f>
        <v>170.55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IFERROR(__xludf.DUMMYFUNCTION("""COMPUTED_VALUE"""),171.82)</f>
        <v>171.82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IFERROR(__xludf.DUMMYFUNCTION("""COMPUTED_VALUE"""),174.0)</f>
        <v>174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IFERROR(__xludf.DUMMYFUNCTION("""COMPUTED_VALUE"""),172.53)</f>
        <v>172.53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IFERROR(__xludf.DUMMYFUNCTION("""COMPUTED_VALUE"""),176.95)</f>
        <v>176.95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IFERROR(__xludf.DUMMYFUNCTION("""COMPUTED_VALUE"""),178.18)</f>
        <v>178.18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IFERROR(__xludf.DUMMYFUNCTION("""COMPUTED_VALUE"""),177.42)</f>
        <v>177.42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IFERROR(__xludf.DUMMYFUNCTION("""COMPUTED_VALUE"""),179.8)</f>
        <v>179.8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IFERROR(__xludf.DUMMYFUNCTION("""COMPUTED_VALUE"""),174.15)</f>
        <v>174.15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IFERROR(__xludf.DUMMYFUNCTION("""COMPUTED_VALUE"""),191.89)</f>
        <v>191.89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IFERROR(__xludf.DUMMYFUNCTION("""COMPUTED_VALUE"""),197.5)</f>
        <v>197.5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IFERROR(__xludf.DUMMYFUNCTION("""COMPUTED_VALUE"""),197.62)</f>
        <v>197.62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IFERROR(__xludf.DUMMYFUNCTION("""COMPUTED_VALUE"""),200.0)</f>
        <v>200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IFERROR(__xludf.DUMMYFUNCTION("""COMPUTED_VALUE"""),195.21)</f>
        <v>195.21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IFERROR(__xludf.DUMMYFUNCTION("""COMPUTED_VALUE"""),195.64)</f>
        <v>195.64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IFERROR(__xludf.DUMMYFUNCTION("""COMPUTED_VALUE"""),200.51)</f>
        <v>200.51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IFERROR(__xludf.DUMMYFUNCTION("""COMPUTED_VALUE"""),197.69)</f>
        <v>197.69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IFERROR(__xludf.DUMMYFUNCTION("""COMPUTED_VALUE"""),199.95)</f>
        <v>199.95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IFERROR(__xludf.DUMMYFUNCTION("""COMPUTED_VALUE"""),194.71)</f>
        <v>194.71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IFERROR(__xludf.DUMMYFUNCTION("""COMPUTED_VALUE"""),191.64)</f>
        <v>191.64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IFERROR(__xludf.DUMMYFUNCTION("""COMPUTED_VALUE"""),200.9)</f>
        <v>200.9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IFERROR(__xludf.DUMMYFUNCTION("""COMPUTED_VALUE"""),208.08)</f>
        <v>208.08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IFERROR(__xludf.DUMMYFUNCTION("""COMPUTED_VALUE"""),209.0)</f>
        <v>209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IFERROR(__xludf.DUMMYFUNCTION("""COMPUTED_VALUE"""),210.66)</f>
        <v>210.66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IFERROR(__xludf.DUMMYFUNCTION("""COMPUTED_VALUE"""),209.78)</f>
        <v>209.78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IFERROR(__xludf.DUMMYFUNCTION("GOOGLEFINANCE(""NSE:ICICIBANK"",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IFERROR(__xludf.DUMMYFUNCTION("""COMPUTED_VALUE"""),215.44)</f>
        <v>215.44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IFERROR(__xludf.DUMMYFUNCTION("""COMPUTED_VALUE"""),216.0)</f>
        <v>216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IFERROR(__xludf.DUMMYFUNCTION("""COMPUTED_VALUE"""),220.21)</f>
        <v>220.21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IFERROR(__xludf.DUMMYFUNCTION("""COMPUTED_VALUE"""),217.25)</f>
        <v>217.25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IFERROR(__xludf.DUMMYFUNCTION("""COMPUTED_VALUE"""),224.0)</f>
        <v>224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IFERROR(__xludf.DUMMYFUNCTION("""COMPUTED_VALUE"""),218.69)</f>
        <v>218.69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IFERROR(__xludf.DUMMYFUNCTION("""COMPUTED_VALUE"""),209.05)</f>
        <v>209.05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IFERROR(__xludf.DUMMYFUNCTION("""COMPUTED_VALUE"""),206.88)</f>
        <v>206.88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IFERROR(__xludf.DUMMYFUNCTION("""COMPUTED_VALUE"""),200.34)</f>
        <v>200.34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IFERROR(__xludf.DUMMYFUNCTION("""COMPUTED_VALUE"""),207.78)</f>
        <v>207.78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IFERROR(__xludf.DUMMYFUNCTION("""COMPUTED_VALUE"""),209.35)</f>
        <v>209.35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IFERROR(__xludf.DUMMYFUNCTION("""COMPUTED_VALUE"""),194.89)</f>
        <v>194.89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IFERROR(__xludf.DUMMYFUNCTION("""COMPUTED_VALUE"""),192.06)</f>
        <v>192.06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IFERROR(__xludf.DUMMYFUNCTION("""COMPUTED_VALUE"""),193.23)</f>
        <v>193.23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IFERROR(__xludf.DUMMYFUNCTION("""COMPUTED_VALUE"""),191.07)</f>
        <v>191.07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IFERROR(__xludf.DUMMYFUNCTION("""COMPUTED_VALUE"""),204.95)</f>
        <v>204.95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IFERROR(__xludf.DUMMYFUNCTION("""COMPUTED_VALUE"""),216.15)</f>
        <v>216.15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IFERROR(__xludf.DUMMYFUNCTION("""COMPUTED_VALUE"""),215.82)</f>
        <v>215.82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IFERROR(__xludf.DUMMYFUNCTION("""COMPUTED_VALUE"""),224.89)</f>
        <v>224.89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IFERROR(__xludf.DUMMYFUNCTION("""COMPUTED_VALUE"""),224.76)</f>
        <v>224.76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IFERROR(__xludf.DUMMYFUNCTION("""COMPUTED_VALUE"""),225.16)</f>
        <v>225.16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IFERROR(__xludf.DUMMYFUNCTION("""COMPUTED_VALUE"""),212.03)</f>
        <v>212.03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IFERROR(__xludf.DUMMYFUNCTION("""COMPUTED_VALUE"""),210.51)</f>
        <v>210.51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IFERROR(__xludf.DUMMYFUNCTION("""COMPUTED_VALUE"""),201.06)</f>
        <v>201.06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IFERROR(__xludf.DUMMYFUNCTION("""COMPUTED_VALUE"""),195.66)</f>
        <v>195.66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IFERROR(__xludf.DUMMYFUNCTION("""COMPUTED_VALUE"""),197.09)</f>
        <v>197.09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IFERROR(__xludf.DUMMYFUNCTION("""COMPUTED_VALUE"""),195.21)</f>
        <v>195.21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IFERROR(__xludf.DUMMYFUNCTION("""COMPUTED_VALUE"""),193.53)</f>
        <v>193.53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IFERROR(__xludf.DUMMYFUNCTION("""COMPUTED_VALUE"""),180.75)</f>
        <v>180.75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IFERROR(__xludf.DUMMYFUNCTION("""COMPUTED_VALUE"""),171.7)</f>
        <v>171.7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IFERROR(__xludf.DUMMYFUNCTION("""COMPUTED_VALUE"""),165.36)</f>
        <v>165.36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IFERROR(__xludf.DUMMYFUNCTION("""COMPUTED_VALUE"""),166.17)</f>
        <v>166.17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IFERROR(__xludf.DUMMYFUNCTION("""COMPUTED_VALUE"""),160.01)</f>
        <v>160.01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IFERROR(__xludf.DUMMYFUNCTION("""COMPUTED_VALUE"""),156.05)</f>
        <v>156.05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IFERROR(__xludf.DUMMYFUNCTION("""COMPUTED_VALUE"""),175.24)</f>
        <v>175.24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IFERROR(__xludf.DUMMYFUNCTION("""COMPUTED_VALUE"""),178.55)</f>
        <v>178.55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IFERROR(__xludf.DUMMYFUNCTION("""COMPUTED_VALUE"""),193.52)</f>
        <v>193.52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IFERROR(__xludf.DUMMYFUNCTION("""COMPUTED_VALUE"""),177.17)</f>
        <v>177.17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IFERROR(__xludf.DUMMYFUNCTION("""COMPUTED_VALUE"""),171.67)</f>
        <v>171.67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IFERROR(__xludf.DUMMYFUNCTION("""COMPUTED_VALUE"""),182.15)</f>
        <v>182.15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IFERROR(__xludf.DUMMYFUNCTION("""COMPUTED_VALUE"""),184.25)</f>
        <v>184.25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IFERROR(__xludf.DUMMYFUNCTION("""COMPUTED_VALUE"""),190.51)</f>
        <v>190.51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IFERROR(__xludf.DUMMYFUNCTION("""COMPUTED_VALUE"""),207.27)</f>
        <v>207.27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IFERROR(__xludf.DUMMYFUNCTION("""COMPUTED_VALUE"""),207.18)</f>
        <v>207.18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IFERROR(__xludf.DUMMYFUNCTION("""COMPUTED_VALUE"""),194.15)</f>
        <v>194.15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IFERROR(__xludf.DUMMYFUNCTION("""COMPUTED_VALUE"""),198.13)</f>
        <v>198.13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IFERROR(__xludf.DUMMYFUNCTION("""COMPUTED_VALUE"""),197.18)</f>
        <v>197.18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IFERROR(__xludf.DUMMYFUNCTION("""COMPUTED_VALUE"""),208.65)</f>
        <v>208.65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IFERROR(__xludf.DUMMYFUNCTION("""COMPUTED_VALUE"""),219.38)</f>
        <v>219.38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IFERROR(__xludf.DUMMYFUNCTION("""COMPUTED_VALUE"""),205.95)</f>
        <v>205.95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IFERROR(__xludf.DUMMYFUNCTION("""COMPUTED_VALUE"""),202.51)</f>
        <v>202.51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IFERROR(__xludf.DUMMYFUNCTION("GOOGLEFINANCE(""NSE:ICICIBANK"",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IFERROR(__xludf.DUMMYFUNCTION("""COMPUTED_VALUE"""),204.53)</f>
        <v>204.53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IFERROR(__xludf.DUMMYFUNCTION("""COMPUTED_VALUE"""),194.36)</f>
        <v>194.36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IFERROR(__xludf.DUMMYFUNCTION("""COMPUTED_VALUE"""),194.33)</f>
        <v>194.33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IFERROR(__xludf.DUMMYFUNCTION("""COMPUTED_VALUE"""),198.36)</f>
        <v>198.36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IFERROR(__xludf.DUMMYFUNCTION("""COMPUTED_VALUE"""),188.95)</f>
        <v>188.95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IFERROR(__xludf.DUMMYFUNCTION("""COMPUTED_VALUE"""),178.55)</f>
        <v>178.55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IFERROR(__xludf.DUMMYFUNCTION("""COMPUTED_VALUE"""),183.45)</f>
        <v>183.45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IFERROR(__xludf.DUMMYFUNCTION("""COMPUTED_VALUE"""),189.78)</f>
        <v>189.78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IFERROR(__xludf.DUMMYFUNCTION("""COMPUTED_VALUE"""),190.7)</f>
        <v>190.7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IFERROR(__xludf.DUMMYFUNCTION("""COMPUTED_VALUE"""),223.64)</f>
        <v>223.64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IFERROR(__xludf.DUMMYFUNCTION("""COMPUTED_VALUE"""),225.73)</f>
        <v>225.73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IFERROR(__xludf.DUMMYFUNCTION("""COMPUTED_VALUE"""),232.0)</f>
        <v>232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IFERROR(__xludf.DUMMYFUNCTION("""COMPUTED_VALUE"""),231.45)</f>
        <v>231.45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IFERROR(__xludf.DUMMYFUNCTION("""COMPUTED_VALUE"""),230.88)</f>
        <v>230.88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IFERROR(__xludf.DUMMYFUNCTION("""COMPUTED_VALUE"""),231.5)</f>
        <v>231.5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IFERROR(__xludf.DUMMYFUNCTION("""COMPUTED_VALUE"""),239.73)</f>
        <v>239.73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IFERROR(__xludf.DUMMYFUNCTION("""COMPUTED_VALUE"""),233.45)</f>
        <v>233.45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IFERROR(__xludf.DUMMYFUNCTION("""COMPUTED_VALUE"""),252.89)</f>
        <v>252.89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IFERROR(__xludf.DUMMYFUNCTION("""COMPUTED_VALUE"""),289.67)</f>
        <v>289.67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IFERROR(__xludf.DUMMYFUNCTION("""COMPUTED_VALUE"""),271.55)</f>
        <v>271.55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IFERROR(__xludf.DUMMYFUNCTION("""COMPUTED_VALUE"""),272.38)</f>
        <v>272.38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IFERROR(__xludf.DUMMYFUNCTION("""COMPUTED_VALUE"""),273.34)</f>
        <v>273.34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IFERROR(__xludf.DUMMYFUNCTION("""COMPUTED_VALUE"""),274.85)</f>
        <v>274.85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IFERROR(__xludf.DUMMYFUNCTION("""COMPUTED_VALUE"""),265.05)</f>
        <v>265.05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IFERROR(__xludf.DUMMYFUNCTION("""COMPUTED_VALUE"""),262.89)</f>
        <v>262.89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IFERROR(__xludf.DUMMYFUNCTION("""COMPUTED_VALUE"""),266.73)</f>
        <v>266.73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IFERROR(__xludf.DUMMYFUNCTION("""COMPUTED_VALUE"""),267.07)</f>
        <v>267.07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IFERROR(__xludf.DUMMYFUNCTION("""COMPUTED_VALUE"""),270.44)</f>
        <v>270.44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IFERROR(__xludf.DUMMYFUNCTION("""COMPUTED_VALUE"""),274.98)</f>
        <v>274.98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IFERROR(__xludf.DUMMYFUNCTION("""COMPUTED_VALUE"""),273.64)</f>
        <v>273.64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IFERROR(__xludf.DUMMYFUNCTION("""COMPUTED_VALUE"""),272.91)</f>
        <v>272.91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IFERROR(__xludf.DUMMYFUNCTION("""COMPUTED_VALUE"""),270.84)</f>
        <v>270.84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IFERROR(__xludf.DUMMYFUNCTION("""COMPUTED_VALUE"""),284.33)</f>
        <v>284.33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IFERROR(__xludf.DUMMYFUNCTION("""COMPUTED_VALUE"""),284.36)</f>
        <v>284.36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IFERROR(__xludf.DUMMYFUNCTION("""COMPUTED_VALUE"""),294.34)</f>
        <v>294.34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IFERROR(__xludf.DUMMYFUNCTION("""COMPUTED_VALUE"""),288.18)</f>
        <v>288.18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IFERROR(__xludf.DUMMYFUNCTION("""COMPUTED_VALUE"""),286.64)</f>
        <v>286.64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IFERROR(__xludf.DUMMYFUNCTION("""COMPUTED_VALUE"""),289.85)</f>
        <v>289.85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IFERROR(__xludf.DUMMYFUNCTION("""COMPUTED_VALUE"""),269.09)</f>
        <v>269.09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IFERROR(__xludf.DUMMYFUNCTION("""COMPUTED_VALUE"""),271.78)</f>
        <v>271.78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IFERROR(__xludf.DUMMYFUNCTION("""COMPUTED_VALUE"""),274.79)</f>
        <v>274.79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IFERROR(__xludf.DUMMYFUNCTION("""COMPUTED_VALUE"""),289.8)</f>
        <v>289.8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IFERROR(__xludf.DUMMYFUNCTION("""COMPUTED_VALUE"""),296.95)</f>
        <v>296.95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IFERROR(__xludf.DUMMYFUNCTION("""COMPUTED_VALUE"""),307.59)</f>
        <v>307.59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IFERROR(__xludf.DUMMYFUNCTION("""COMPUTED_VALUE"""),312.0)</f>
        <v>312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IFERROR(__xludf.DUMMYFUNCTION("""COMPUTED_VALUE"""),316.15)</f>
        <v>316.15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IFERROR(__xludf.DUMMYFUNCTION("""COMPUTED_VALUE"""),323.45)</f>
        <v>323.45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IFERROR(__xludf.DUMMYFUNCTION("""COMPUTED_VALUE"""),332.77)</f>
        <v>332.77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IFERROR(__xludf.DUMMYFUNCTION("""COMPUTED_VALUE"""),329.09)</f>
        <v>329.09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IFERROR(__xludf.DUMMYFUNCTION("""COMPUTED_VALUE"""),325.0)</f>
        <v>325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IFERROR(__xludf.DUMMYFUNCTION("""COMPUTED_VALUE"""),329.0)</f>
        <v>329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IFERROR(__xludf.DUMMYFUNCTION("GOOGLEFINANCE(""NSE:ICICIBANK"",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IFERROR(__xludf.DUMMYFUNCTION("""COMPUTED_VALUE"""),330.45)</f>
        <v>330.45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IFERROR(__xludf.DUMMYFUNCTION("""COMPUTED_VALUE"""),334.0)</f>
        <v>334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IFERROR(__xludf.DUMMYFUNCTION("""COMPUTED_VALUE"""),323.64)</f>
        <v>323.64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IFERROR(__xludf.DUMMYFUNCTION("""COMPUTED_VALUE"""),341.36)</f>
        <v>341.36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IFERROR(__xludf.DUMMYFUNCTION("""COMPUTED_VALUE"""),357.64)</f>
        <v>357.64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IFERROR(__xludf.DUMMYFUNCTION("""COMPUTED_VALUE"""),327.91)</f>
        <v>327.91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IFERROR(__xludf.DUMMYFUNCTION("""COMPUTED_VALUE"""),314.45)</f>
        <v>314.45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IFERROR(__xludf.DUMMYFUNCTION("""COMPUTED_VALUE"""),315.41)</f>
        <v>315.41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IFERROR(__xludf.DUMMYFUNCTION("""COMPUTED_VALUE"""),329.09)</f>
        <v>329.09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IFERROR(__xludf.DUMMYFUNCTION("""COMPUTED_VALUE"""),314.55)</f>
        <v>314.55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IFERROR(__xludf.DUMMYFUNCTION("""COMPUTED_VALUE"""),310.36)</f>
        <v>310.36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IFERROR(__xludf.DUMMYFUNCTION("""COMPUTED_VALUE"""),293.09)</f>
        <v>293.09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IFERROR(__xludf.DUMMYFUNCTION("""COMPUTED_VALUE"""),294.91)</f>
        <v>294.91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IFERROR(__xludf.DUMMYFUNCTION("""COMPUTED_VALUE"""),295.86)</f>
        <v>295.86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IFERROR(__xludf.DUMMYFUNCTION("""COMPUTED_VALUE"""),293.0)</f>
        <v>293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IFERROR(__xludf.DUMMYFUNCTION("""COMPUTED_VALUE"""),288.73)</f>
        <v>288.73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IFERROR(__xludf.DUMMYFUNCTION("""COMPUTED_VALUE"""),304.36)</f>
        <v>304.36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IFERROR(__xludf.DUMMYFUNCTION("""COMPUTED_VALUE"""),307.27)</f>
        <v>307.27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IFERROR(__xludf.DUMMYFUNCTION("""COMPUTED_VALUE"""),296.18)</f>
        <v>296.18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IFERROR(__xludf.DUMMYFUNCTION("""COMPUTED_VALUE"""),291.82)</f>
        <v>291.82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IFERROR(__xludf.DUMMYFUNCTION("""COMPUTED_VALUE"""),289.91)</f>
        <v>289.91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IFERROR(__xludf.DUMMYFUNCTION("""COMPUTED_VALUE"""),290.0)</f>
        <v>290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IFERROR(__xludf.DUMMYFUNCTION("""COMPUTED_VALUE"""),270.18)</f>
        <v>270.18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IFERROR(__xludf.DUMMYFUNCTION("""COMPUTED_VALUE"""),278.18)</f>
        <v>278.18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IFERROR(__xludf.DUMMYFUNCTION("""COMPUTED_VALUE"""),291.27)</f>
        <v>291.27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IFERROR(__xludf.DUMMYFUNCTION("""COMPUTED_VALUE"""),286.82)</f>
        <v>286.82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IFERROR(__xludf.DUMMYFUNCTION("""COMPUTED_VALUE"""),289.09)</f>
        <v>289.09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IFERROR(__xludf.DUMMYFUNCTION("""COMPUTED_VALUE"""),291.82)</f>
        <v>291.82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IFERROR(__xludf.DUMMYFUNCTION("""COMPUTED_VALUE"""),290.73)</f>
        <v>290.73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IFERROR(__xludf.DUMMYFUNCTION("""COMPUTED_VALUE"""),280.82)</f>
        <v>280.82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IFERROR(__xludf.DUMMYFUNCTION("""COMPUTED_VALUE"""),290.73)</f>
        <v>290.73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IFERROR(__xludf.DUMMYFUNCTION("""COMPUTED_VALUE"""),285.45)</f>
        <v>285.45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IFERROR(__xludf.DUMMYFUNCTION("""COMPUTED_VALUE"""),278.86)</f>
        <v>278.86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IFERROR(__xludf.DUMMYFUNCTION("""COMPUTED_VALUE"""),263.0)</f>
        <v>263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IFERROR(__xludf.DUMMYFUNCTION("""COMPUTED_VALUE"""),258.5)</f>
        <v>258.5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IFERROR(__xludf.DUMMYFUNCTION("""COMPUTED_VALUE"""),245.45)</f>
        <v>245.45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IFERROR(__xludf.DUMMYFUNCTION("""COMPUTED_VALUE"""),259.41)</f>
        <v>259.41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IFERROR(__xludf.DUMMYFUNCTION("""COMPUTED_VALUE"""),254.86)</f>
        <v>254.86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IFERROR(__xludf.DUMMYFUNCTION("""COMPUTED_VALUE"""),248.59)</f>
        <v>248.59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IFERROR(__xludf.DUMMYFUNCTION("""COMPUTED_VALUE"""),261.73)</f>
        <v>261.73</v>
      </c>
    </row>
    <row r="757" ht="15.75" customHeight="1">
      <c r="B757" s="3">
        <f>IFERROR(__xludf.DUMMYFUNCTION("""COMPUTED_VALUE"""),42293.64583333333)</f>
        <v>42293.64583</v>
      </c>
      <c r="C757" s="2">
        <f>IFERROR(__xludf.DUMMYFUNCTION("""COMPUTED_VALUE"""),266.09)</f>
        <v>266.09</v>
      </c>
    </row>
    <row r="758" ht="15.75" customHeight="1">
      <c r="B758" s="3">
        <f>IFERROR(__xludf.DUMMYFUNCTION("""COMPUTED_VALUE"""),42300.64583333333)</f>
        <v>42300.64583</v>
      </c>
      <c r="C758" s="2">
        <f>IFERROR(__xludf.DUMMYFUNCTION("""COMPUTED_VALUE"""),263.55)</f>
        <v>263.55</v>
      </c>
    </row>
    <row r="759" ht="15.75" customHeight="1">
      <c r="B759" s="3">
        <f>IFERROR(__xludf.DUMMYFUNCTION("""COMPUTED_VALUE"""),42307.64583333333)</f>
        <v>42307.64583</v>
      </c>
      <c r="C759" s="2">
        <f>IFERROR(__xludf.DUMMYFUNCTION("""COMPUTED_VALUE"""),263.41)</f>
        <v>263.41</v>
      </c>
    </row>
    <row r="760" ht="15.75" customHeight="1">
      <c r="B760" s="3">
        <f>IFERROR(__xludf.DUMMYFUNCTION("""COMPUTED_VALUE"""),42314.64583333333)</f>
        <v>42314.64583</v>
      </c>
      <c r="C760" s="2">
        <f>IFERROR(__xludf.DUMMYFUNCTION("""COMPUTED_VALUE"""),257.0)</f>
        <v>257</v>
      </c>
    </row>
    <row r="761" ht="15.75" customHeight="1">
      <c r="B761" s="3">
        <f>IFERROR(__xludf.DUMMYFUNCTION("""COMPUTED_VALUE"""),42321.64583333333)</f>
        <v>42321.64583</v>
      </c>
      <c r="C761" s="2">
        <f>IFERROR(__xludf.DUMMYFUNCTION("""COMPUTED_VALUE"""),242.18)</f>
        <v>242.18</v>
      </c>
    </row>
    <row r="762" ht="15.75" customHeight="1">
      <c r="B762" s="3">
        <f>IFERROR(__xludf.DUMMYFUNCTION("""COMPUTED_VALUE"""),42328.64583333333)</f>
        <v>42328.64583</v>
      </c>
      <c r="C762" s="2">
        <f>IFERROR(__xludf.DUMMYFUNCTION("""COMPUTED_VALUE"""),247.59)</f>
        <v>247.59</v>
      </c>
    </row>
    <row r="763" ht="15.75" customHeight="1">
      <c r="B763" s="3">
        <f>IFERROR(__xludf.DUMMYFUNCTION("""COMPUTED_VALUE"""),42335.64583333333)</f>
        <v>42335.64583</v>
      </c>
      <c r="C763" s="2">
        <f>IFERROR(__xludf.DUMMYFUNCTION("""COMPUTED_VALUE"""),246.36)</f>
        <v>246.36</v>
      </c>
    </row>
    <row r="764" ht="15.75" customHeight="1">
      <c r="B764" s="3">
        <f>IFERROR(__xludf.DUMMYFUNCTION("""COMPUTED_VALUE"""),42342.64583333333)</f>
        <v>42342.64583</v>
      </c>
      <c r="C764" s="2">
        <f>IFERROR(__xludf.DUMMYFUNCTION("""COMPUTED_VALUE"""),252.27)</f>
        <v>252.27</v>
      </c>
    </row>
    <row r="765" ht="15.75" customHeight="1">
      <c r="B765" s="3">
        <f>IFERROR(__xludf.DUMMYFUNCTION("""COMPUTED_VALUE"""),42349.64583333333)</f>
        <v>42349.64583</v>
      </c>
      <c r="C765" s="2">
        <f>IFERROR(__xludf.DUMMYFUNCTION("""COMPUTED_VALUE"""),240.5)</f>
        <v>240.5</v>
      </c>
    </row>
    <row r="766" ht="15.75" customHeight="1">
      <c r="B766" s="3">
        <f>IFERROR(__xludf.DUMMYFUNCTION("""COMPUTED_VALUE"""),42356.64583333333)</f>
        <v>42356.64583</v>
      </c>
      <c r="C766" s="2">
        <f>IFERROR(__xludf.DUMMYFUNCTION("""COMPUTED_VALUE"""),232.09)</f>
        <v>232.09</v>
      </c>
    </row>
    <row r="767" ht="15.75" customHeight="1">
      <c r="B767" s="3">
        <f>IFERROR(__xludf.DUMMYFUNCTION("""COMPUTED_VALUE"""),42362.64583333333)</f>
        <v>42362.64583</v>
      </c>
      <c r="C767" s="2">
        <f>IFERROR(__xludf.DUMMYFUNCTION("""COMPUTED_VALUE"""),239.64)</f>
        <v>239.64</v>
      </c>
    </row>
    <row r="768" ht="15.75" customHeight="1">
      <c r="B768" s="3">
        <f>IFERROR(__xludf.DUMMYFUNCTION("""COMPUTED_VALUE"""),42370.64583333333)</f>
        <v>42370.64583</v>
      </c>
      <c r="C768" s="2">
        <f>IFERROR(__xludf.DUMMYFUNCTION("""COMPUTED_VALUE"""),242.27)</f>
        <v>242.27</v>
      </c>
    </row>
    <row r="769" ht="15.75" customHeight="1"/>
    <row r="770" ht="15.75" customHeight="1"/>
    <row r="771" ht="15.75" customHeight="1">
      <c r="B771" s="2" t="str">
        <f>IFERROR(__xludf.DUMMYFUNCTION("GOOGLEFINANCE(""NSE:ICICIBANK"",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IFERROR(__xludf.DUMMYFUNCTION("""COMPUTED_VALUE"""),237.59)</f>
        <v>237.59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IFERROR(__xludf.DUMMYFUNCTION("""COMPUTED_VALUE"""),221.73)</f>
        <v>221.73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IFERROR(__xludf.DUMMYFUNCTION("""COMPUTED_VALUE"""),213.55)</f>
        <v>213.55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IFERROR(__xludf.DUMMYFUNCTION("""COMPUTED_VALUE"""),217.77)</f>
        <v>217.77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IFERROR(__xludf.DUMMYFUNCTION("""COMPUTED_VALUE"""),206.68)</f>
        <v>206.68</v>
      </c>
    </row>
    <row r="777" ht="15.75" customHeight="1">
      <c r="B777" s="3">
        <f>IFERROR(__xludf.DUMMYFUNCTION("""COMPUTED_VALUE"""),42412.64583333333)</f>
        <v>42412.64583</v>
      </c>
      <c r="C777" s="2">
        <f>IFERROR(__xludf.DUMMYFUNCTION("""COMPUTED_VALUE"""),195.91)</f>
        <v>195.91</v>
      </c>
    </row>
    <row r="778" ht="15.75" customHeight="1">
      <c r="B778" s="3">
        <f>IFERROR(__xludf.DUMMYFUNCTION("""COMPUTED_VALUE"""),42419.64583333333)</f>
        <v>42419.64583</v>
      </c>
      <c r="C778" s="2">
        <f>IFERROR(__xludf.DUMMYFUNCTION("""COMPUTED_VALUE"""),188.45)</f>
        <v>188.45</v>
      </c>
    </row>
    <row r="779" ht="15.75" customHeight="1">
      <c r="B779" s="3">
        <f>IFERROR(__xludf.DUMMYFUNCTION("""COMPUTED_VALUE"""),42426.64583333333)</f>
        <v>42426.64583</v>
      </c>
      <c r="C779" s="2">
        <f>IFERROR(__xludf.DUMMYFUNCTION("""COMPUTED_VALUE"""),183.0)</f>
        <v>183</v>
      </c>
    </row>
    <row r="780" ht="15.75" customHeight="1">
      <c r="B780" s="3">
        <f>IFERROR(__xludf.DUMMYFUNCTION("""COMPUTED_VALUE"""),42433.64583333333)</f>
        <v>42433.64583</v>
      </c>
      <c r="C780" s="2">
        <f>IFERROR(__xludf.DUMMYFUNCTION("""COMPUTED_VALUE"""),204.0)</f>
        <v>204</v>
      </c>
    </row>
    <row r="781" ht="15.75" customHeight="1">
      <c r="B781" s="3">
        <f>IFERROR(__xludf.DUMMYFUNCTION("""COMPUTED_VALUE"""),42440.64583333333)</f>
        <v>42440.64583</v>
      </c>
      <c r="C781" s="2">
        <f>IFERROR(__xludf.DUMMYFUNCTION("""COMPUTED_VALUE"""),199.95)</f>
        <v>199.95</v>
      </c>
    </row>
    <row r="782" ht="15.75" customHeight="1">
      <c r="B782" s="3">
        <f>IFERROR(__xludf.DUMMYFUNCTION("""COMPUTED_VALUE"""),42447.64583333333)</f>
        <v>42447.64583</v>
      </c>
      <c r="C782" s="2">
        <f>IFERROR(__xludf.DUMMYFUNCTION("""COMPUTED_VALUE"""),214.77)</f>
        <v>214.77</v>
      </c>
    </row>
    <row r="783" ht="15.75" customHeight="1">
      <c r="B783" s="3">
        <f>IFERROR(__xludf.DUMMYFUNCTION("""COMPUTED_VALUE"""),42452.64583333333)</f>
        <v>42452.64583</v>
      </c>
      <c r="C783" s="2">
        <f>IFERROR(__xludf.DUMMYFUNCTION("""COMPUTED_VALUE"""),214.18)</f>
        <v>214.18</v>
      </c>
    </row>
    <row r="784" ht="15.75" customHeight="1">
      <c r="B784" s="3">
        <f>IFERROR(__xludf.DUMMYFUNCTION("""COMPUTED_VALUE"""),42461.64583333333)</f>
        <v>42461.64583</v>
      </c>
      <c r="C784" s="2">
        <f>IFERROR(__xludf.DUMMYFUNCTION("""COMPUTED_VALUE"""),219.41)</f>
        <v>219.41</v>
      </c>
    </row>
    <row r="785" ht="15.75" customHeight="1">
      <c r="B785" s="3">
        <f>IFERROR(__xludf.DUMMYFUNCTION("""COMPUTED_VALUE"""),42468.64583333333)</f>
        <v>42468.64583</v>
      </c>
      <c r="C785" s="2">
        <f>IFERROR(__xludf.DUMMYFUNCTION("""COMPUTED_VALUE"""),219.14)</f>
        <v>219.14</v>
      </c>
    </row>
    <row r="786" ht="15.75" customHeight="1">
      <c r="B786" s="3">
        <f>IFERROR(__xludf.DUMMYFUNCTION("""COMPUTED_VALUE"""),42473.64583333333)</f>
        <v>42473.64583</v>
      </c>
      <c r="C786" s="2">
        <f>IFERROR(__xludf.DUMMYFUNCTION("""COMPUTED_VALUE"""),222.0)</f>
        <v>222</v>
      </c>
    </row>
    <row r="787" ht="15.75" customHeight="1">
      <c r="B787" s="3">
        <f>IFERROR(__xludf.DUMMYFUNCTION("""COMPUTED_VALUE"""),42482.64583333333)</f>
        <v>42482.64583</v>
      </c>
      <c r="C787" s="2">
        <f>IFERROR(__xludf.DUMMYFUNCTION("""COMPUTED_VALUE"""),234.36)</f>
        <v>234.36</v>
      </c>
    </row>
    <row r="788" ht="15.75" customHeight="1">
      <c r="B788" s="3">
        <f>IFERROR(__xludf.DUMMYFUNCTION("""COMPUTED_VALUE"""),42489.64583333333)</f>
        <v>42489.64583</v>
      </c>
      <c r="C788" s="2">
        <f>IFERROR(__xludf.DUMMYFUNCTION("""COMPUTED_VALUE"""),232.14)</f>
        <v>232.14</v>
      </c>
    </row>
    <row r="789" ht="15.75" customHeight="1">
      <c r="B789" s="3">
        <f>IFERROR(__xludf.DUMMYFUNCTION("""COMPUTED_VALUE"""),42496.64583333333)</f>
        <v>42496.64583</v>
      </c>
      <c r="C789" s="2">
        <f>IFERROR(__xludf.DUMMYFUNCTION("""COMPUTED_VALUE"""),209.55)</f>
        <v>209.55</v>
      </c>
    </row>
    <row r="790" ht="15.75" customHeight="1">
      <c r="B790" s="3">
        <f>IFERROR(__xludf.DUMMYFUNCTION("""COMPUTED_VALUE"""),42503.64583333333)</f>
        <v>42503.64583</v>
      </c>
      <c r="C790" s="2">
        <f>IFERROR(__xludf.DUMMYFUNCTION("""COMPUTED_VALUE"""),211.73)</f>
        <v>211.73</v>
      </c>
    </row>
    <row r="791" ht="15.75" customHeight="1">
      <c r="B791" s="3">
        <f>IFERROR(__xludf.DUMMYFUNCTION("""COMPUTED_VALUE"""),42510.64583333333)</f>
        <v>42510.64583</v>
      </c>
      <c r="C791" s="2">
        <f>IFERROR(__xludf.DUMMYFUNCTION("""COMPUTED_VALUE"""),207.73)</f>
        <v>207.73</v>
      </c>
    </row>
    <row r="792" ht="15.75" customHeight="1">
      <c r="B792" s="3">
        <f>IFERROR(__xludf.DUMMYFUNCTION("""COMPUTED_VALUE"""),42517.64583333333)</f>
        <v>42517.64583</v>
      </c>
      <c r="C792" s="2">
        <f>IFERROR(__xludf.DUMMYFUNCTION("""COMPUTED_VALUE"""),225.64)</f>
        <v>225.64</v>
      </c>
    </row>
    <row r="793" ht="15.75" customHeight="1">
      <c r="B793" s="3">
        <f>IFERROR(__xludf.DUMMYFUNCTION("""COMPUTED_VALUE"""),42524.64583333333)</f>
        <v>42524.64583</v>
      </c>
      <c r="C793" s="2">
        <f>IFERROR(__xludf.DUMMYFUNCTION("""COMPUTED_VALUE"""),226.36)</f>
        <v>226.36</v>
      </c>
    </row>
    <row r="794" ht="15.75" customHeight="1">
      <c r="B794" s="3">
        <f>IFERROR(__xludf.DUMMYFUNCTION("""COMPUTED_VALUE"""),42531.64583333333)</f>
        <v>42531.64583</v>
      </c>
      <c r="C794" s="2">
        <f>IFERROR(__xludf.DUMMYFUNCTION("""COMPUTED_VALUE"""),237.45)</f>
        <v>237.45</v>
      </c>
    </row>
    <row r="795" ht="15.75" customHeight="1">
      <c r="B795" s="3">
        <f>IFERROR(__xludf.DUMMYFUNCTION("""COMPUTED_VALUE"""),42538.64583333333)</f>
        <v>42538.64583</v>
      </c>
      <c r="C795" s="2">
        <f>IFERROR(__xludf.DUMMYFUNCTION("""COMPUTED_VALUE"""),226.55)</f>
        <v>226.55</v>
      </c>
    </row>
    <row r="796" ht="15.75" customHeight="1">
      <c r="B796" s="3">
        <f>IFERROR(__xludf.DUMMYFUNCTION("""COMPUTED_VALUE"""),42545.64583333333)</f>
        <v>42545.64583</v>
      </c>
      <c r="C796" s="2">
        <f>IFERROR(__xludf.DUMMYFUNCTION("""COMPUTED_VALUE"""),220.32)</f>
        <v>220.32</v>
      </c>
    </row>
    <row r="797" ht="15.75" customHeight="1">
      <c r="B797" s="3">
        <f>IFERROR(__xludf.DUMMYFUNCTION("""COMPUTED_VALUE"""),42552.64583333333)</f>
        <v>42552.64583</v>
      </c>
      <c r="C797" s="2">
        <f>IFERROR(__xludf.DUMMYFUNCTION("""COMPUTED_VALUE"""),220.73)</f>
        <v>220.73</v>
      </c>
    </row>
    <row r="798" ht="15.75" customHeight="1">
      <c r="B798" s="3">
        <f>IFERROR(__xludf.DUMMYFUNCTION("""COMPUTED_VALUE"""),42559.64583333333)</f>
        <v>42559.64583</v>
      </c>
      <c r="C798" s="2">
        <f>IFERROR(__xludf.DUMMYFUNCTION("""COMPUTED_VALUE"""),228.27)</f>
        <v>228.27</v>
      </c>
    </row>
    <row r="799" ht="15.75" customHeight="1">
      <c r="B799" s="3">
        <f>IFERROR(__xludf.DUMMYFUNCTION("""COMPUTED_VALUE"""),42566.64583333333)</f>
        <v>42566.64583</v>
      </c>
      <c r="C799" s="2">
        <f>IFERROR(__xludf.DUMMYFUNCTION("""COMPUTED_VALUE"""),245.32)</f>
        <v>245.32</v>
      </c>
    </row>
    <row r="800" ht="15.75" customHeight="1">
      <c r="B800" s="3">
        <f>IFERROR(__xludf.DUMMYFUNCTION("""COMPUTED_VALUE"""),42573.64583333333)</f>
        <v>42573.64583</v>
      </c>
      <c r="C800" s="2">
        <f>IFERROR(__xludf.DUMMYFUNCTION("""COMPUTED_VALUE"""),246.59)</f>
        <v>246.59</v>
      </c>
    </row>
    <row r="801" ht="15.75" customHeight="1">
      <c r="B801" s="3">
        <f>IFERROR(__xludf.DUMMYFUNCTION("""COMPUTED_VALUE"""),42580.64583333333)</f>
        <v>42580.64583</v>
      </c>
      <c r="C801" s="2">
        <f>IFERROR(__xludf.DUMMYFUNCTION("""COMPUTED_VALUE"""),249.09)</f>
        <v>249.09</v>
      </c>
    </row>
    <row r="802" ht="15.75" customHeight="1">
      <c r="B802" s="3">
        <f>IFERROR(__xludf.DUMMYFUNCTION("""COMPUTED_VALUE"""),42587.64583333333)</f>
        <v>42587.64583</v>
      </c>
      <c r="C802" s="2">
        <f>IFERROR(__xludf.DUMMYFUNCTION("""COMPUTED_VALUE"""),237.55)</f>
        <v>237.55</v>
      </c>
    </row>
    <row r="803" ht="15.75" customHeight="1">
      <c r="B803" s="3">
        <f>IFERROR(__xludf.DUMMYFUNCTION("""COMPUTED_VALUE"""),42594.64583333333)</f>
        <v>42594.64583</v>
      </c>
      <c r="C803" s="2">
        <f>IFERROR(__xludf.DUMMYFUNCTION("""COMPUTED_VALUE"""),225.91)</f>
        <v>225.91</v>
      </c>
    </row>
    <row r="804" ht="15.75" customHeight="1">
      <c r="B804" s="3">
        <f>IFERROR(__xludf.DUMMYFUNCTION("""COMPUTED_VALUE"""),42601.64583333333)</f>
        <v>42601.64583</v>
      </c>
      <c r="C804" s="2">
        <f>IFERROR(__xludf.DUMMYFUNCTION("""COMPUTED_VALUE"""),232.45)</f>
        <v>232.45</v>
      </c>
    </row>
    <row r="805" ht="15.75" customHeight="1">
      <c r="B805" s="3">
        <f>IFERROR(__xludf.DUMMYFUNCTION("""COMPUTED_VALUE"""),42608.64583333333)</f>
        <v>42608.64583</v>
      </c>
      <c r="C805" s="2">
        <f>IFERROR(__xludf.DUMMYFUNCTION("""COMPUTED_VALUE"""),231.77)</f>
        <v>231.77</v>
      </c>
    </row>
    <row r="806" ht="15.75" customHeight="1">
      <c r="B806" s="3">
        <f>IFERROR(__xludf.DUMMYFUNCTION("""COMPUTED_VALUE"""),42615.64583333333)</f>
        <v>42615.64583</v>
      </c>
      <c r="C806" s="2">
        <f>IFERROR(__xludf.DUMMYFUNCTION("""COMPUTED_VALUE"""),240.27)</f>
        <v>240.27</v>
      </c>
    </row>
    <row r="807" ht="15.75" customHeight="1">
      <c r="B807" s="3">
        <f>IFERROR(__xludf.DUMMYFUNCTION("""COMPUTED_VALUE"""),42622.64583333333)</f>
        <v>42622.64583</v>
      </c>
      <c r="C807" s="2">
        <f>IFERROR(__xludf.DUMMYFUNCTION("""COMPUTED_VALUE"""),257.95)</f>
        <v>257.95</v>
      </c>
    </row>
    <row r="808" ht="15.75" customHeight="1">
      <c r="B808" s="3">
        <f>IFERROR(__xludf.DUMMYFUNCTION("""COMPUTED_VALUE"""),42629.64583333333)</f>
        <v>42629.64583</v>
      </c>
      <c r="C808" s="2">
        <f>IFERROR(__xludf.DUMMYFUNCTION("""COMPUTED_VALUE"""),250.55)</f>
        <v>250.55</v>
      </c>
    </row>
    <row r="809" ht="15.75" customHeight="1">
      <c r="B809" s="3">
        <f>IFERROR(__xludf.DUMMYFUNCTION("""COMPUTED_VALUE"""),42636.64583333333)</f>
        <v>42636.64583</v>
      </c>
      <c r="C809" s="2">
        <f>IFERROR(__xludf.DUMMYFUNCTION("""COMPUTED_VALUE"""),252.64)</f>
        <v>252.64</v>
      </c>
    </row>
    <row r="810" ht="15.75" customHeight="1">
      <c r="B810" s="3">
        <f>IFERROR(__xludf.DUMMYFUNCTION("""COMPUTED_VALUE"""),42643.64583333333)</f>
        <v>42643.64583</v>
      </c>
      <c r="C810" s="2">
        <f>IFERROR(__xludf.DUMMYFUNCTION("""COMPUTED_VALUE"""),244.27)</f>
        <v>244.27</v>
      </c>
    </row>
    <row r="811" ht="15.75" customHeight="1">
      <c r="B811" s="3">
        <f>IFERROR(__xludf.DUMMYFUNCTION("""COMPUTED_VALUE"""),42650.64583333333)</f>
        <v>42650.64583</v>
      </c>
      <c r="C811" s="2">
        <f>IFERROR(__xludf.DUMMYFUNCTION("""COMPUTED_VALUE"""),236.91)</f>
        <v>236.91</v>
      </c>
    </row>
    <row r="812" ht="15.75" customHeight="1">
      <c r="B812" s="3">
        <f>IFERROR(__xludf.DUMMYFUNCTION("""COMPUTED_VALUE"""),42657.64583333333)</f>
        <v>42657.64583</v>
      </c>
      <c r="C812" s="2">
        <f>IFERROR(__xludf.DUMMYFUNCTION("""COMPUTED_VALUE"""),230.18)</f>
        <v>230.18</v>
      </c>
    </row>
    <row r="813" ht="15.75" customHeight="1">
      <c r="B813" s="3">
        <f>IFERROR(__xludf.DUMMYFUNCTION("""COMPUTED_VALUE"""),42664.64583333333)</f>
        <v>42664.64583</v>
      </c>
      <c r="C813" s="2">
        <f>IFERROR(__xludf.DUMMYFUNCTION("""COMPUTED_VALUE"""),254.59)</f>
        <v>254.59</v>
      </c>
    </row>
    <row r="814" ht="15.75" customHeight="1">
      <c r="B814" s="3">
        <f>IFERROR(__xludf.DUMMYFUNCTION("""COMPUTED_VALUE"""),42671.64583333333)</f>
        <v>42671.64583</v>
      </c>
      <c r="C814" s="2">
        <f>IFERROR(__xludf.DUMMYFUNCTION("""COMPUTED_VALUE"""),265.09)</f>
        <v>265.09</v>
      </c>
    </row>
    <row r="815" ht="15.75" customHeight="1">
      <c r="B815" s="3">
        <f>IFERROR(__xludf.DUMMYFUNCTION("""COMPUTED_VALUE"""),42678.64583333333)</f>
        <v>42678.64583</v>
      </c>
      <c r="C815" s="2">
        <f>IFERROR(__xludf.DUMMYFUNCTION("""COMPUTED_VALUE"""),254.32)</f>
        <v>254.32</v>
      </c>
    </row>
    <row r="816" ht="15.75" customHeight="1">
      <c r="B816" s="3">
        <f>IFERROR(__xludf.DUMMYFUNCTION("""COMPUTED_VALUE"""),42685.64583333333)</f>
        <v>42685.64583</v>
      </c>
      <c r="C816" s="2">
        <f>IFERROR(__xludf.DUMMYFUNCTION("""COMPUTED_VALUE"""),271.27)</f>
        <v>271.27</v>
      </c>
    </row>
    <row r="817" ht="15.75" customHeight="1">
      <c r="B817" s="3">
        <f>IFERROR(__xludf.DUMMYFUNCTION("""COMPUTED_VALUE"""),42692.64583333333)</f>
        <v>42692.64583</v>
      </c>
      <c r="C817" s="2">
        <f>IFERROR(__xludf.DUMMYFUNCTION("""COMPUTED_VALUE"""),255.27)</f>
        <v>255.27</v>
      </c>
    </row>
    <row r="818" ht="15.75" customHeight="1">
      <c r="B818" s="3">
        <f>IFERROR(__xludf.DUMMYFUNCTION("""COMPUTED_VALUE"""),42699.64583333333)</f>
        <v>42699.64583</v>
      </c>
      <c r="C818" s="2">
        <f>IFERROR(__xludf.DUMMYFUNCTION("""COMPUTED_VALUE"""),242.73)</f>
        <v>242.73</v>
      </c>
    </row>
    <row r="819" ht="15.75" customHeight="1">
      <c r="B819" s="3">
        <f>IFERROR(__xludf.DUMMYFUNCTION("""COMPUTED_VALUE"""),42706.64583333333)</f>
        <v>42706.64583</v>
      </c>
      <c r="C819" s="2">
        <f>IFERROR(__xludf.DUMMYFUNCTION("""COMPUTED_VALUE"""),243.64)</f>
        <v>243.64</v>
      </c>
    </row>
    <row r="820" ht="15.75" customHeight="1">
      <c r="B820" s="3">
        <f>IFERROR(__xludf.DUMMYFUNCTION("""COMPUTED_VALUE"""),42713.64583333333)</f>
        <v>42713.64583</v>
      </c>
      <c r="C820" s="2">
        <f>IFERROR(__xludf.DUMMYFUNCTION("""COMPUTED_VALUE"""),245.27)</f>
        <v>245.27</v>
      </c>
    </row>
    <row r="821" ht="15.75" customHeight="1">
      <c r="B821" s="3">
        <f>IFERROR(__xludf.DUMMYFUNCTION("""COMPUTED_VALUE"""),42720.64583333333)</f>
        <v>42720.64583</v>
      </c>
      <c r="C821" s="2">
        <f>IFERROR(__xludf.DUMMYFUNCTION("""COMPUTED_VALUE"""),243.91)</f>
        <v>243.91</v>
      </c>
    </row>
    <row r="822" ht="15.75" customHeight="1">
      <c r="B822" s="3">
        <f>IFERROR(__xludf.DUMMYFUNCTION("""COMPUTED_VALUE"""),42727.64583333333)</f>
        <v>42727.64583</v>
      </c>
      <c r="C822" s="2">
        <f>IFERROR(__xludf.DUMMYFUNCTION("""COMPUTED_VALUE"""),235.41)</f>
        <v>235.41</v>
      </c>
    </row>
    <row r="823" ht="15.75" customHeight="1">
      <c r="B823" s="3">
        <f>IFERROR(__xludf.DUMMYFUNCTION("""COMPUTED_VALUE"""),42734.64583333333)</f>
        <v>42734.64583</v>
      </c>
      <c r="C823" s="2">
        <f>IFERROR(__xludf.DUMMYFUNCTION("""COMPUTED_VALUE"""),234.09)</f>
        <v>234.09</v>
      </c>
    </row>
    <row r="824" ht="15.75" customHeight="1"/>
    <row r="825" ht="15.75" customHeight="1"/>
    <row r="826" ht="15.75" customHeight="1">
      <c r="B826" s="2" t="str">
        <f>IFERROR(__xludf.DUMMYFUNCTION("GOOGLEFINANCE(""NSE:ICICIBANK"",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IFERROR(__xludf.DUMMYFUNCTION("""COMPUTED_VALUE"""),237.64)</f>
        <v>237.64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IFERROR(__xludf.DUMMYFUNCTION("""COMPUTED_VALUE"""),245.45)</f>
        <v>245.45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IFERROR(__xludf.DUMMYFUNCTION("""COMPUTED_VALUE"""),247.36)</f>
        <v>247.36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IFERROR(__xludf.DUMMYFUNCTION("""COMPUTED_VALUE"""),249.09)</f>
        <v>249.09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IFERROR(__xludf.DUMMYFUNCTION("""COMPUTED_VALUE"""),261.36)</f>
        <v>261.36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IFERROR(__xludf.DUMMYFUNCTION("""COMPUTED_VALUE"""),266.09)</f>
        <v>266.09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IFERROR(__xludf.DUMMYFUNCTION("""COMPUTED_VALUE"""),260.36)</f>
        <v>260.36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IFERROR(__xludf.DUMMYFUNCTION("""COMPUTED_VALUE"""),262.5)</f>
        <v>262.5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IFERROR(__xludf.DUMMYFUNCTION("""COMPUTED_VALUE"""),259.59)</f>
        <v>259.59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IFERROR(__xludf.DUMMYFUNCTION("""COMPUTED_VALUE"""),253.95)</f>
        <v>253.95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IFERROR(__xludf.DUMMYFUNCTION("""COMPUTED_VALUE"""),262.0)</f>
        <v>262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IFERROR(__xludf.DUMMYFUNCTION("""COMPUTED_VALUE"""),254.27)</f>
        <v>254.27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IFERROR(__xludf.DUMMYFUNCTION("""COMPUTED_VALUE"""),257.5)</f>
        <v>257.5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IFERROR(__xludf.DUMMYFUNCTION("""COMPUTED_VALUE"""),261.27)</f>
        <v>261.27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IFERROR(__xludf.DUMMYFUNCTION("""COMPUTED_VALUE"""),259.95)</f>
        <v>259.95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IFERROR(__xludf.DUMMYFUNCTION("""COMPUTED_VALUE"""),265.09)</f>
        <v>265.09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IFERROR(__xludf.DUMMYFUNCTION("""COMPUTED_VALUE"""),254.0)</f>
        <v>254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IFERROR(__xludf.DUMMYFUNCTION("""COMPUTED_VALUE"""),274.32)</f>
        <v>274.32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IFERROR(__xludf.DUMMYFUNCTION("""COMPUTED_VALUE"""),280.14)</f>
        <v>280.14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IFERROR(__xludf.DUMMYFUNCTION("""COMPUTED_VALUE"""),284.41)</f>
        <v>284.41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IFERROR(__xludf.DUMMYFUNCTION("""COMPUTED_VALUE"""),293.64)</f>
        <v>293.64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IFERROR(__xludf.DUMMYFUNCTION("""COMPUTED_VALUE"""),297.64)</f>
        <v>297.64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IFERROR(__xludf.DUMMYFUNCTION("""COMPUTED_VALUE"""),297.27)</f>
        <v>297.27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IFERROR(__xludf.DUMMYFUNCTION("""COMPUTED_VALUE"""),293.09)</f>
        <v>293.09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IFERROR(__xludf.DUMMYFUNCTION("""COMPUTED_VALUE"""),295.4)</f>
        <v>295.4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IFERROR(__xludf.DUMMYFUNCTION("""COMPUTED_VALUE"""),296.9)</f>
        <v>296.9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IFERROR(__xludf.DUMMYFUNCTION("""COMPUTED_VALUE"""),295.1)</f>
        <v>295.1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IFERROR(__xludf.DUMMYFUNCTION("""COMPUTED_VALUE"""),299.5)</f>
        <v>299.5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IFERROR(__xludf.DUMMYFUNCTION("""COMPUTED_VALUE"""),306.0)</f>
        <v>306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IFERROR(__xludf.DUMMYFUNCTION("""COMPUTED_VALUE"""),314.45)</f>
        <v>314.45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IFERROR(__xludf.DUMMYFUNCTION("""COMPUTED_VALUE"""),306.45)</f>
        <v>306.45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IFERROR(__xludf.DUMMYFUNCTION("""COMPUTED_VALUE"""),303.0)</f>
        <v>303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IFERROR(__xludf.DUMMYFUNCTION("""COMPUTED_VALUE"""),297.85)</f>
        <v>297.85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IFERROR(__xludf.DUMMYFUNCTION("""COMPUTED_VALUE"""),300.15)</f>
        <v>300.15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IFERROR(__xludf.DUMMYFUNCTION("""COMPUTED_VALUE"""),302.8)</f>
        <v>302.8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IFERROR(__xludf.DUMMYFUNCTION("""COMPUTED_VALUE"""),300.0)</f>
        <v>300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IFERROR(__xludf.DUMMYFUNCTION("""COMPUTED_VALUE"""),295.6)</f>
        <v>295.6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IFERROR(__xludf.DUMMYFUNCTION("""COMPUTED_VALUE"""),295.5)</f>
        <v>295.5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IFERROR(__xludf.DUMMYFUNCTION("""COMPUTED_VALUE"""),284.75)</f>
        <v>284.75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IFERROR(__xludf.DUMMYFUNCTION("""COMPUTED_VALUE"""),280.7)</f>
        <v>280.7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IFERROR(__xludf.DUMMYFUNCTION("""COMPUTED_VALUE"""),276.3)</f>
        <v>276.3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IFERROR(__xludf.DUMMYFUNCTION("""COMPUTED_VALUE"""),276.55)</f>
        <v>276.55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IFERROR(__xludf.DUMMYFUNCTION("""COMPUTED_VALUE"""),314.65)</f>
        <v>314.65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IFERROR(__xludf.DUMMYFUNCTION("""COMPUTED_VALUE"""),320.4)</f>
        <v>320.4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IFERROR(__xludf.DUMMYFUNCTION("""COMPUTED_VALUE"""),324.2)</f>
        <v>324.2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IFERROR(__xludf.DUMMYFUNCTION("""COMPUTED_VALUE"""),332.35)</f>
        <v>332.35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IFERROR(__xludf.DUMMYFUNCTION("""COMPUTED_VALUE"""),323.9)</f>
        <v>323.9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IFERROR(__xludf.DUMMYFUNCTION("""COMPUTED_VALUE"""),318.6)</f>
        <v>318.6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IFERROR(__xludf.DUMMYFUNCTION("""COMPUTED_VALUE"""),311.9)</f>
        <v>311.9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IFERROR(__xludf.DUMMYFUNCTION("""COMPUTED_VALUE"""),312.35)</f>
        <v>312.35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IFERROR(__xludf.DUMMYFUNCTION("""COMPUTED_VALUE"""),319.2)</f>
        <v>319.2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IFERROR(__xludf.DUMMYFUNCTION("""COMPUTED_VALUE"""),319.2)</f>
        <v>319.2</v>
      </c>
    </row>
    <row r="879" ht="15.75" customHeight="1"/>
    <row r="880" ht="15.75" customHeight="1"/>
    <row r="881" ht="15.75" customHeight="1">
      <c r="B881" s="2" t="str">
        <f>IFERROR(__xludf.DUMMYFUNCTION("GOOGLEFINANCE(""NSE:ICICIBANK"",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IFERROR(__xludf.DUMMYFUNCTION("""COMPUTED_VALUE"""),316.35)</f>
        <v>316.35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IFERROR(__xludf.DUMMYFUNCTION("""COMPUTED_VALUE"""),318.8)</f>
        <v>318.8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IFERROR(__xludf.DUMMYFUNCTION("""COMPUTED_VALUE"""),355.0)</f>
        <v>355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IFERROR(__xludf.DUMMYFUNCTION("""COMPUTED_VALUE"""),364.8)</f>
        <v>364.8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IFERROR(__xludf.DUMMYFUNCTION("""COMPUTED_VALUE"""),365.7)</f>
        <v>365.7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IFERROR(__xludf.DUMMYFUNCTION("""COMPUTED_VALUE"""),338.4)</f>
        <v>338.4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IFERROR(__xludf.DUMMYFUNCTION("""COMPUTED_VALUE"""),334.0)</f>
        <v>334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IFERROR(__xludf.DUMMYFUNCTION("""COMPUTED_VALUE"""),329.6)</f>
        <v>329.6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IFERROR(__xludf.DUMMYFUNCTION("""COMPUTED_VALUE"""),327.8)</f>
        <v>327.8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IFERROR(__xludf.DUMMYFUNCTION("""COMPUTED_VALUE"""),307.7)</f>
        <v>307.7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IFERROR(__xludf.DUMMYFUNCTION("""COMPUTED_VALUE"""),307.45)</f>
        <v>307.45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IFERROR(__xludf.DUMMYFUNCTION("""COMPUTED_VALUE"""),300.0)</f>
        <v>300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IFERROR(__xludf.DUMMYFUNCTION("""COMPUTED_VALUE"""),287.3)</f>
        <v>287.3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IFERROR(__xludf.DUMMYFUNCTION("""COMPUTED_VALUE"""),282.95)</f>
        <v>282.95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IFERROR(__xludf.DUMMYFUNCTION("""COMPUTED_VALUE"""),294.45)</f>
        <v>294.45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IFERROR(__xludf.DUMMYFUNCTION("""COMPUTED_VALUE"""),294.9)</f>
        <v>294.9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IFERROR(__xludf.DUMMYFUNCTION("""COMPUTED_VALUE"""),291.7)</f>
        <v>291.7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IFERROR(__xludf.DUMMYFUNCTION("""COMPUTED_VALUE"""),291.0)</f>
        <v>291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IFERROR(__xludf.DUMMYFUNCTION("""COMPUTED_VALUE"""),314.5)</f>
        <v>314.5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IFERROR(__xludf.DUMMYFUNCTION("""COMPUTED_VALUE"""),317.5)</f>
        <v>317.5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IFERROR(__xludf.DUMMYFUNCTION("""COMPUTED_VALUE"""),300.95)</f>
        <v>300.95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IFERROR(__xludf.DUMMYFUNCTION("""COMPUTED_VALUE"""),302.3)</f>
        <v>302.3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IFERROR(__xludf.DUMMYFUNCTION("""COMPUTED_VALUE"""),293.3)</f>
        <v>293.3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IFERROR(__xludf.DUMMYFUNCTION("""COMPUTED_VALUE"""),292.9)</f>
        <v>292.9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IFERROR(__xludf.DUMMYFUNCTION("""COMPUTED_VALUE"""),302.7)</f>
        <v>302.7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IFERROR(__xludf.DUMMYFUNCTION("""COMPUTED_VALUE"""),300.5)</f>
        <v>300.5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IFERROR(__xludf.DUMMYFUNCTION("""COMPUTED_VALUE"""),279.9)</f>
        <v>279.9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IFERROR(__xludf.DUMMYFUNCTION("""COMPUTED_VALUE"""),275.95)</f>
        <v>275.95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IFERROR(__xludf.DUMMYFUNCTION("""COMPUTED_VALUE"""),267.7)</f>
        <v>267.7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IFERROR(__xludf.DUMMYFUNCTION("""COMPUTED_VALUE"""),295.15)</f>
        <v>295.15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IFERROR(__xludf.DUMMYFUNCTION("""COMPUTED_VALUE"""),308.5)</f>
        <v>308.5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IFERROR(__xludf.DUMMYFUNCTION("""COMPUTED_VALUE"""),345.85)</f>
        <v>345.85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IFERROR(__xludf.DUMMYFUNCTION("""COMPUTED_VALUE"""),342.2)</f>
        <v>342.2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IFERROR(__xludf.DUMMYFUNCTION("""COMPUTED_VALUE"""),342.45)</f>
        <v>342.45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IFERROR(__xludf.DUMMYFUNCTION("""COMPUTED_VALUE"""),346.8)</f>
        <v>346.8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IFERROR(__xludf.DUMMYFUNCTION("""COMPUTED_VALUE"""),344.0)</f>
        <v>344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IFERROR(__xludf.DUMMYFUNCTION("""COMPUTED_VALUE"""),336.7)</f>
        <v>336.7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IFERROR(__xludf.DUMMYFUNCTION("""COMPUTED_VALUE"""),333.7)</f>
        <v>333.7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IFERROR(__xludf.DUMMYFUNCTION("""COMPUTED_VALUE"""),316.8)</f>
        <v>316.8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IFERROR(__xludf.DUMMYFUNCTION("""COMPUTED_VALUE"""),321.85)</f>
        <v>321.85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IFERROR(__xludf.DUMMYFUNCTION("""COMPUTED_VALUE"""),324.25)</f>
        <v>324.25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IFERROR(__xludf.DUMMYFUNCTION("""COMPUTED_VALUE"""),328.15)</f>
        <v>328.15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IFERROR(__xludf.DUMMYFUNCTION("""COMPUTED_VALUE"""),330.0)</f>
        <v>330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IFERROR(__xludf.DUMMYFUNCTION("""COMPUTED_VALUE"""),358.45)</f>
        <v>358.45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IFERROR(__xludf.DUMMYFUNCTION("""COMPUTED_VALUE"""),358.3)</f>
        <v>358.3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IFERROR(__xludf.DUMMYFUNCTION("""COMPUTED_VALUE"""),375.3)</f>
        <v>375.3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IFERROR(__xludf.DUMMYFUNCTION("""COMPUTED_VALUE"""),370.7)</f>
        <v>370.7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IFERROR(__xludf.DUMMYFUNCTION("""COMPUTED_VALUE"""),366.4)</f>
        <v>366.4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IFERROR(__xludf.DUMMYFUNCTION("""COMPUTED_VALUE"""),359.1)</f>
        <v>359.1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IFERROR(__xludf.DUMMYFUNCTION("""COMPUTED_VALUE"""),354.2)</f>
        <v>354.2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IFERROR(__xludf.DUMMYFUNCTION("""COMPUTED_VALUE"""),369.25)</f>
        <v>369.25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IFERROR(__xludf.DUMMYFUNCTION("""COMPUTED_VALUE"""),362.8)</f>
        <v>362.8</v>
      </c>
    </row>
    <row r="934" ht="15.75" customHeight="1"/>
    <row r="935" ht="15.75" customHeight="1"/>
    <row r="936" ht="15.75" customHeight="1">
      <c r="B936" s="2" t="str">
        <f>IFERROR(__xludf.DUMMYFUNCTION("GOOGLEFINANCE(""NSE:ICICIBANK"",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IFERROR(__xludf.DUMMYFUNCTION("""COMPUTED_VALUE"""),368.8)</f>
        <v>368.8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IFERROR(__xludf.DUMMYFUNCTION("""COMPUTED_VALUE"""),383.55)</f>
        <v>383.55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IFERROR(__xludf.DUMMYFUNCTION("""COMPUTED_VALUE"""),379.75)</f>
        <v>379.75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IFERROR(__xludf.DUMMYFUNCTION("""COMPUTED_VALUE"""),376.15)</f>
        <v>376.15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IFERROR(__xludf.DUMMYFUNCTION("""COMPUTED_VALUE"""),376.65)</f>
        <v>376.65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IFERROR(__xludf.DUMMYFUNCTION("""COMPUTED_VALUE"""),361.9)</f>
        <v>361.9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IFERROR(__xludf.DUMMYFUNCTION("""COMPUTED_VALUE"""),354.7)</f>
        <v>354.7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IFERROR(__xludf.DUMMYFUNCTION("""COMPUTED_VALUE"""),354.95)</f>
        <v>354.95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IFERROR(__xludf.DUMMYFUNCTION("""COMPUTED_VALUE"""),357.45)</f>
        <v>357.45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IFERROR(__xludf.DUMMYFUNCTION("""COMPUTED_VALUE"""),374.0)</f>
        <v>374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IFERROR(__xludf.DUMMYFUNCTION("""COMPUTED_VALUE"""),398.25)</f>
        <v>398.25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IFERROR(__xludf.DUMMYFUNCTION("""COMPUTED_VALUE"""),400.95)</f>
        <v>400.95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IFERROR(__xludf.DUMMYFUNCTION("""COMPUTED_VALUE"""),402.4)</f>
        <v>402.4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IFERROR(__xludf.DUMMYFUNCTION("""COMPUTED_VALUE"""),409.55)</f>
        <v>409.55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IFERROR(__xludf.DUMMYFUNCTION("""COMPUTED_VALUE"""),398.8)</f>
        <v>398.8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IFERROR(__xludf.DUMMYFUNCTION("""COMPUTED_VALUE"""),411.0)</f>
        <v>411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IFERROR(__xludf.DUMMYFUNCTION("""COMPUTED_VALUE"""),408.0)</f>
        <v>408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IFERROR(__xludf.DUMMYFUNCTION("""COMPUTED_VALUE"""),409.8)</f>
        <v>409.8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IFERROR(__xludf.DUMMYFUNCTION("""COMPUTED_VALUE"""),407.35)</f>
        <v>407.35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IFERROR(__xludf.DUMMYFUNCTION("""COMPUTED_VALUE"""),392.0)</f>
        <v>392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IFERROR(__xludf.DUMMYFUNCTION("""COMPUTED_VALUE"""),433.55)</f>
        <v>433.55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IFERROR(__xludf.DUMMYFUNCTION("""COMPUTED_VALUE"""),439.2)</f>
        <v>439.2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IFERROR(__xludf.DUMMYFUNCTION("""COMPUTED_VALUE"""),426.4)</f>
        <v>426.4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IFERROR(__xludf.DUMMYFUNCTION("""COMPUTED_VALUE"""),423.7)</f>
        <v>423.7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IFERROR(__xludf.DUMMYFUNCTION("""COMPUTED_VALUE"""),435.2)</f>
        <v>435.2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IFERROR(__xludf.DUMMYFUNCTION("""COMPUTED_VALUE"""),443.9)</f>
        <v>443.9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IFERROR(__xludf.DUMMYFUNCTION("""COMPUTED_VALUE"""),442.0)</f>
        <v>442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IFERROR(__xludf.DUMMYFUNCTION("""COMPUTED_VALUE"""),435.35)</f>
        <v>435.35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IFERROR(__xludf.DUMMYFUNCTION("""COMPUTED_VALUE"""),430.55)</f>
        <v>430.55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IFERROR(__xludf.DUMMYFUNCTION("""COMPUTED_VALUE"""),419.4)</f>
        <v>419.4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IFERROR(__xludf.DUMMYFUNCTION("""COMPUTED_VALUE"""),438.7)</f>
        <v>438.7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IFERROR(__xludf.DUMMYFUNCTION("""COMPUTED_VALUE"""),422.4)</f>
        <v>422.4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IFERROR(__xludf.DUMMYFUNCTION("""COMPUTED_VALUE"""),422.2)</f>
        <v>422.2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IFERROR(__xludf.DUMMYFUNCTION("""COMPUTED_VALUE"""),427.9)</f>
        <v>427.9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IFERROR(__xludf.DUMMYFUNCTION("""COMPUTED_VALUE"""),420.5)</f>
        <v>420.5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IFERROR(__xludf.DUMMYFUNCTION("""COMPUTED_VALUE"""),406.4)</f>
        <v>406.4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IFERROR(__xludf.DUMMYFUNCTION("""COMPUTED_VALUE"""),414.9)</f>
        <v>414.9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IFERROR(__xludf.DUMMYFUNCTION("""COMPUTED_VALUE"""),424.0)</f>
        <v>424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IFERROR(__xludf.DUMMYFUNCTION("""COMPUTED_VALUE"""),458.65)</f>
        <v>458.65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IFERROR(__xludf.DUMMYFUNCTION("""COMPUTED_VALUE"""),445.15)</f>
        <v>445.15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IFERROR(__xludf.DUMMYFUNCTION("""COMPUTED_VALUE"""),438.4)</f>
        <v>438.4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IFERROR(__xludf.DUMMYFUNCTION("""COMPUTED_VALUE"""),443.7)</f>
        <v>443.7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IFERROR(__xludf.DUMMYFUNCTION("""COMPUTED_VALUE"""),470.65)</f>
        <v>470.65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IFERROR(__xludf.DUMMYFUNCTION("""COMPUTED_VALUE"""),482.0)</f>
        <v>482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IFERROR(__xludf.DUMMYFUNCTION("""COMPUTED_VALUE"""),496.0)</f>
        <v>496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IFERROR(__xludf.DUMMYFUNCTION("""COMPUTED_VALUE"""),509.7)</f>
        <v>509.7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IFERROR(__xludf.DUMMYFUNCTION("""COMPUTED_VALUE"""),504.45)</f>
        <v>504.45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IFERROR(__xludf.DUMMYFUNCTION("""COMPUTED_VALUE"""),520.0)</f>
        <v>520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IFERROR(__xludf.DUMMYFUNCTION("""COMPUTED_VALUE"""),537.5)</f>
        <v>537.5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IFERROR(__xludf.DUMMYFUNCTION("""COMPUTED_VALUE"""),542.8)</f>
        <v>542.8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IFERROR(__xludf.DUMMYFUNCTION("""COMPUTED_VALUE"""),549.5)</f>
        <v>549.5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IFERROR(__xludf.DUMMYFUNCTION("""COMPUTED_VALUE"""),550.5)</f>
        <v>550.5</v>
      </c>
    </row>
    <row r="989" ht="15.75" customHeight="1"/>
    <row r="990" ht="15.75" customHeight="1"/>
    <row r="991" ht="15.75" customHeight="1">
      <c r="B991" s="2" t="str">
        <f>IFERROR(__xludf.DUMMYFUNCTION("GOOGLEFINANCE(""NSE:ICICIBANK"",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IFERROR(__xludf.DUMMYFUNCTION("""COMPUTED_VALUE"""),552.2)</f>
        <v>552.2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IFERROR(__xludf.DUMMYFUNCTION("""COMPUTED_VALUE"""),547.4)</f>
        <v>547.4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IFERROR(__xludf.DUMMYFUNCTION("""COMPUTED_VALUE"""),546.05)</f>
        <v>546.05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IFERROR(__xludf.DUMMYFUNCTION("""COMPUTED_VALUE"""),544.0)</f>
        <v>544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IFERROR(__xludf.DUMMYFUNCTION("""COMPUTED_VALUE"""),545.0)</f>
        <v>545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IFERROR(__xludf.DUMMYFUNCTION("""COMPUTED_VALUE"""),547.0)</f>
        <v>547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IFERROR(__xludf.DUMMYFUNCTION("""COMPUTED_VALUE"""),550.7)</f>
        <v>550.7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IFERROR(__xludf.DUMMYFUNCTION("""COMPUTED_VALUE"""),549.35)</f>
        <v>549.35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IFERROR(__xludf.DUMMYFUNCTION("""COMPUTED_VALUE"""),541.85)</f>
        <v>541.85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IFERROR(__xludf.DUMMYFUNCTION("""COMPUTED_VALUE"""),520.55)</f>
        <v>520.55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IFERROR(__xludf.DUMMYFUNCTION("""COMPUTED_VALUE"""),475.0)</f>
        <v>475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IFERROR(__xludf.DUMMYFUNCTION("""COMPUTED_VALUE"""),424.2)</f>
        <v>424.2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IFERROR(__xludf.DUMMYFUNCTION("""COMPUTED_VALUE"""),364.4)</f>
        <v>364.4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IFERROR(__xludf.DUMMYFUNCTION("""COMPUTED_VALUE"""),334.85)</f>
        <v>334.85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IFERROR(__xludf.DUMMYFUNCTION("""COMPUTED_VALUE"""),352.75)</f>
        <v>352.75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IFERROR(__xludf.DUMMYFUNCTION("""COMPUTED_VALUE"""),385.5)</f>
        <v>385.5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IFERROR(__xludf.DUMMYFUNCTION("""COMPUTED_VALUE"""),378.9)</f>
        <v>378.9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IFERROR(__xludf.DUMMYFUNCTION("""COMPUTED_VALUE"""),392.95)</f>
        <v>392.95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IFERROR(__xludf.DUMMYFUNCTION("""COMPUTED_VALUE"""),359.0)</f>
        <v>359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IFERROR(__xludf.DUMMYFUNCTION("""COMPUTED_VALUE"""),348.4)</f>
        <v>348.4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IFERROR(__xludf.DUMMYFUNCTION("""COMPUTED_VALUE"""),320.5)</f>
        <v>320.5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IFERROR(__xludf.DUMMYFUNCTION("""COMPUTED_VALUE"""),334.3)</f>
        <v>334.3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IFERROR(__xludf.DUMMYFUNCTION("""COMPUTED_VALUE"""),373.0)</f>
        <v>373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IFERROR(__xludf.DUMMYFUNCTION("""COMPUTED_VALUE"""),373.75)</f>
        <v>373.75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IFERROR(__xludf.DUMMYFUNCTION("""COMPUTED_VALUE"""),365.45)</f>
        <v>365.45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IFERROR(__xludf.DUMMYFUNCTION("""COMPUTED_VALUE"""),380.0)</f>
        <v>380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IFERROR(__xludf.DUMMYFUNCTION("""COMPUTED_VALUE"""),370.9)</f>
        <v>370.9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IFERROR(__xludf.DUMMYFUNCTION("""COMPUTED_VALUE"""),379.0)</f>
        <v>379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IFERROR(__xludf.DUMMYFUNCTION("""COMPUTED_VALUE"""),367.0)</f>
        <v>367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IFERROR(__xludf.DUMMYFUNCTION("""COMPUTED_VALUE"""),395.65)</f>
        <v>395.65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IFERROR(__xludf.DUMMYFUNCTION("""COMPUTED_VALUE"""),385.8)</f>
        <v>385.8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IFERROR(__xludf.DUMMYFUNCTION("""COMPUTED_VALUE"""),363.75)</f>
        <v>363.75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IFERROR(__xludf.DUMMYFUNCTION("""COMPUTED_VALUE"""),374.3)</f>
        <v>374.3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IFERROR(__xludf.DUMMYFUNCTION("""COMPUTED_VALUE"""),375.85)</f>
        <v>375.85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IFERROR(__xludf.DUMMYFUNCTION("""COMPUTED_VALUE"""),411.9)</f>
        <v>411.9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IFERROR(__xludf.DUMMYFUNCTION("""COMPUTED_VALUE"""),422.0)</f>
        <v>422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IFERROR(__xludf.DUMMYFUNCTION("""COMPUTED_VALUE"""),381.3)</f>
        <v>381.3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IFERROR(__xludf.DUMMYFUNCTION("""COMPUTED_VALUE"""),376.7)</f>
        <v>376.7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IFERROR(__xludf.DUMMYFUNCTION("""COMPUTED_VALUE"""),367.4)</f>
        <v>367.4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IFERROR(__xludf.DUMMYFUNCTION("""COMPUTED_VALUE"""),371.2)</f>
        <v>371.2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IFERROR(__xludf.DUMMYFUNCTION("""COMPUTED_VALUE"""),403.5)</f>
        <v>403.5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IFERROR(__xludf.DUMMYFUNCTION("""COMPUTED_VALUE"""),410.0)</f>
        <v>410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IFERROR(__xludf.DUMMYFUNCTION("""COMPUTED_VALUE"""),428.5)</f>
        <v>428.5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IFERROR(__xludf.DUMMYFUNCTION("""COMPUTED_VALUE"""),419.15)</f>
        <v>419.15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IFERROR(__xludf.DUMMYFUNCTION("""COMPUTED_VALUE"""),446.9)</f>
        <v>446.9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IFERROR(__xludf.DUMMYFUNCTION("""COMPUTED_VALUE"""),499.0)</f>
        <v>499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IFERROR(__xludf.DUMMYFUNCTION("""COMPUTED_VALUE"""),489.95)</f>
        <v>489.95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IFERROR(__xludf.DUMMYFUNCTION("""COMPUTED_VALUE"""),504.0)</f>
        <v>504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IFERROR(__xludf.DUMMYFUNCTION("""COMPUTED_VALUE"""),516.9)</f>
        <v>516.9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IFERROR(__xludf.DUMMYFUNCTION("""COMPUTED_VALUE"""),527.8)</f>
        <v>527.8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IFERROR(__xludf.DUMMYFUNCTION("""COMPUTED_VALUE"""),515.95)</f>
        <v>515.95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IFERROR(__xludf.DUMMYFUNCTION("""COMPUTED_VALUE"""),538.5)</f>
        <v>538.5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IFERROR(__xludf.DUMMYFUNCTION("GOOGLEFINANCE(""NSE:SCI"",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IFERROR(__xludf.DUMMYFUNCTION("""COMPUTED_VALUE"""),37442.645833333336)</f>
        <v>37442.64583</v>
      </c>
      <c r="C2" s="2">
        <f>IFERROR(__xludf.DUMMYFUNCTION("""COMPUTED_VALUE"""),63.33)</f>
        <v>63.33</v>
      </c>
    </row>
    <row r="3">
      <c r="A3" s="2" t="s">
        <v>2</v>
      </c>
      <c r="B3" s="3">
        <f>IFERROR(__xludf.DUMMYFUNCTION("""COMPUTED_VALUE"""),37449.645833333336)</f>
        <v>37449.64583</v>
      </c>
      <c r="C3" s="2">
        <f>IFERROR(__xludf.DUMMYFUNCTION("""COMPUTED_VALUE"""),60.63)</f>
        <v>60.63</v>
      </c>
    </row>
    <row r="4">
      <c r="A4" s="2" t="s">
        <v>3</v>
      </c>
      <c r="B4" s="3">
        <f>IFERROR(__xludf.DUMMYFUNCTION("""COMPUTED_VALUE"""),37456.645833333336)</f>
        <v>37456.64583</v>
      </c>
      <c r="C4" s="2">
        <f>IFERROR(__xludf.DUMMYFUNCTION("""COMPUTED_VALUE"""),60.93)</f>
        <v>60.93</v>
      </c>
    </row>
    <row r="5">
      <c r="A5" s="2" t="s">
        <v>4</v>
      </c>
      <c r="B5" s="3">
        <f>IFERROR(__xludf.DUMMYFUNCTION("""COMPUTED_VALUE"""),37463.645833333336)</f>
        <v>37463.64583</v>
      </c>
      <c r="C5" s="2">
        <f>IFERROR(__xludf.DUMMYFUNCTION("""COMPUTED_VALUE"""),62.33)</f>
        <v>62.33</v>
      </c>
    </row>
    <row r="6">
      <c r="B6" s="3">
        <f>IFERROR(__xludf.DUMMYFUNCTION("""COMPUTED_VALUE"""),37470.645833333336)</f>
        <v>37470.64583</v>
      </c>
      <c r="C6" s="2">
        <f>IFERROR(__xludf.DUMMYFUNCTION("""COMPUTED_VALUE"""),58.77)</f>
        <v>58.77</v>
      </c>
    </row>
    <row r="7">
      <c r="B7" s="3">
        <f>IFERROR(__xludf.DUMMYFUNCTION("""COMPUTED_VALUE"""),37477.645833333336)</f>
        <v>37477.64583</v>
      </c>
      <c r="C7" s="2">
        <f>IFERROR(__xludf.DUMMYFUNCTION("""COMPUTED_VALUE"""),56.0)</f>
        <v>56</v>
      </c>
    </row>
    <row r="8">
      <c r="B8" s="3">
        <f>IFERROR(__xludf.DUMMYFUNCTION("""COMPUTED_VALUE"""),37484.645833333336)</f>
        <v>37484.64583</v>
      </c>
      <c r="C8" s="2">
        <f>IFERROR(__xludf.DUMMYFUNCTION("""COMPUTED_VALUE"""),54.67)</f>
        <v>54.67</v>
      </c>
    </row>
    <row r="9">
      <c r="B9" s="3">
        <f>IFERROR(__xludf.DUMMYFUNCTION("""COMPUTED_VALUE"""),37491.645833333336)</f>
        <v>37491.64583</v>
      </c>
      <c r="C9" s="2">
        <f>IFERROR(__xludf.DUMMYFUNCTION("""COMPUTED_VALUE"""),54.27)</f>
        <v>54.27</v>
      </c>
    </row>
    <row r="10">
      <c r="B10" s="3">
        <f>IFERROR(__xludf.DUMMYFUNCTION("""COMPUTED_VALUE"""),37498.645833333336)</f>
        <v>37498.64583</v>
      </c>
      <c r="C10" s="2">
        <f>IFERROR(__xludf.DUMMYFUNCTION("""COMPUTED_VALUE"""),52.97)</f>
        <v>52.97</v>
      </c>
    </row>
    <row r="11">
      <c r="B11" s="3">
        <f>IFERROR(__xludf.DUMMYFUNCTION("""COMPUTED_VALUE"""),37505.645833333336)</f>
        <v>37505.64583</v>
      </c>
      <c r="C11" s="2">
        <f>IFERROR(__xludf.DUMMYFUNCTION("""COMPUTED_VALUE"""),57.8)</f>
        <v>57.8</v>
      </c>
    </row>
    <row r="12">
      <c r="B12" s="3">
        <f>IFERROR(__xludf.DUMMYFUNCTION("""COMPUTED_VALUE"""),37512.645833333336)</f>
        <v>37512.64583</v>
      </c>
      <c r="C12" s="2">
        <f>IFERROR(__xludf.DUMMYFUNCTION("""COMPUTED_VALUE"""),58.93)</f>
        <v>58.93</v>
      </c>
    </row>
    <row r="13">
      <c r="B13" s="3">
        <f>IFERROR(__xludf.DUMMYFUNCTION("""COMPUTED_VALUE"""),37519.645833333336)</f>
        <v>37519.64583</v>
      </c>
      <c r="C13" s="2">
        <f>IFERROR(__xludf.DUMMYFUNCTION("""COMPUTED_VALUE"""),58.23)</f>
        <v>58.23</v>
      </c>
    </row>
    <row r="14">
      <c r="B14" s="3">
        <f>IFERROR(__xludf.DUMMYFUNCTION("""COMPUTED_VALUE"""),37526.645833333336)</f>
        <v>37526.64583</v>
      </c>
      <c r="C14" s="2">
        <f>IFERROR(__xludf.DUMMYFUNCTION("""COMPUTED_VALUE"""),51.2)</f>
        <v>51.2</v>
      </c>
    </row>
    <row r="15">
      <c r="B15" s="3">
        <f>IFERROR(__xludf.DUMMYFUNCTION("""COMPUTED_VALUE"""),37533.645833333336)</f>
        <v>37533.64583</v>
      </c>
      <c r="C15" s="2">
        <f>IFERROR(__xludf.DUMMYFUNCTION("""COMPUTED_VALUE"""),50.4)</f>
        <v>50.4</v>
      </c>
    </row>
    <row r="16">
      <c r="B16" s="3">
        <f>IFERROR(__xludf.DUMMYFUNCTION("""COMPUTED_VALUE"""),37540.645833333336)</f>
        <v>37540.64583</v>
      </c>
      <c r="C16" s="2">
        <f>IFERROR(__xludf.DUMMYFUNCTION("""COMPUTED_VALUE"""),52.27)</f>
        <v>52.27</v>
      </c>
    </row>
    <row r="17">
      <c r="B17" s="3">
        <f>IFERROR(__xludf.DUMMYFUNCTION("""COMPUTED_VALUE"""),37547.645833333336)</f>
        <v>37547.64583</v>
      </c>
      <c r="C17" s="2">
        <f>IFERROR(__xludf.DUMMYFUNCTION("""COMPUTED_VALUE"""),50.0)</f>
        <v>50</v>
      </c>
    </row>
    <row r="18">
      <c r="B18" s="3">
        <f>IFERROR(__xludf.DUMMYFUNCTION("""COMPUTED_VALUE"""),37554.645833333336)</f>
        <v>37554.64583</v>
      </c>
      <c r="C18" s="2">
        <f>IFERROR(__xludf.DUMMYFUNCTION("""COMPUTED_VALUE"""),49.0)</f>
        <v>49</v>
      </c>
    </row>
    <row r="19">
      <c r="B19" s="3">
        <f>IFERROR(__xludf.DUMMYFUNCTION("""COMPUTED_VALUE"""),37561.645833333336)</f>
        <v>37561.64583</v>
      </c>
      <c r="C19" s="2">
        <f>IFERROR(__xludf.DUMMYFUNCTION("""COMPUTED_VALUE"""),47.0)</f>
        <v>47</v>
      </c>
    </row>
    <row r="20">
      <c r="B20" s="3">
        <f>IFERROR(__xludf.DUMMYFUNCTION("""COMPUTED_VALUE"""),37568.645833333336)</f>
        <v>37568.64583</v>
      </c>
      <c r="C20" s="2">
        <f>IFERROR(__xludf.DUMMYFUNCTION("""COMPUTED_VALUE"""),42.93)</f>
        <v>42.93</v>
      </c>
    </row>
    <row r="21" ht="15.75" customHeight="1">
      <c r="B21" s="3">
        <f>IFERROR(__xludf.DUMMYFUNCTION("""COMPUTED_VALUE"""),37575.645833333336)</f>
        <v>37575.64583</v>
      </c>
      <c r="C21" s="2">
        <f>IFERROR(__xludf.DUMMYFUNCTION("""COMPUTED_VALUE"""),42.93)</f>
        <v>42.93</v>
      </c>
    </row>
    <row r="22" ht="15.75" customHeight="1">
      <c r="B22" s="3">
        <f>IFERROR(__xludf.DUMMYFUNCTION("""COMPUTED_VALUE"""),37582.645833333336)</f>
        <v>37582.64583</v>
      </c>
      <c r="C22" s="2">
        <f>IFERROR(__xludf.DUMMYFUNCTION("""COMPUTED_VALUE"""),41.0)</f>
        <v>41</v>
      </c>
    </row>
    <row r="23" ht="15.75" customHeight="1">
      <c r="B23" s="3">
        <f>IFERROR(__xludf.DUMMYFUNCTION("""COMPUTED_VALUE"""),37589.645833333336)</f>
        <v>37589.64583</v>
      </c>
      <c r="C23" s="2">
        <f>IFERROR(__xludf.DUMMYFUNCTION("""COMPUTED_VALUE"""),39.2)</f>
        <v>39.2</v>
      </c>
    </row>
    <row r="24" ht="15.75" customHeight="1">
      <c r="B24" s="3">
        <f>IFERROR(__xludf.DUMMYFUNCTION("""COMPUTED_VALUE"""),37596.645833333336)</f>
        <v>37596.64583</v>
      </c>
      <c r="C24" s="2">
        <f>IFERROR(__xludf.DUMMYFUNCTION("""COMPUTED_VALUE"""),47.77)</f>
        <v>47.77</v>
      </c>
    </row>
    <row r="25" ht="15.75" customHeight="1">
      <c r="B25" s="3">
        <f>IFERROR(__xludf.DUMMYFUNCTION("""COMPUTED_VALUE"""),37603.645833333336)</f>
        <v>37603.64583</v>
      </c>
      <c r="C25" s="2">
        <f>IFERROR(__xludf.DUMMYFUNCTION("""COMPUTED_VALUE"""),48.0)</f>
        <v>48</v>
      </c>
    </row>
    <row r="26" ht="15.75" customHeight="1">
      <c r="B26" s="3">
        <f>IFERROR(__xludf.DUMMYFUNCTION("""COMPUTED_VALUE"""),37610.645833333336)</f>
        <v>37610.64583</v>
      </c>
      <c r="C26" s="2">
        <f>IFERROR(__xludf.DUMMYFUNCTION("""COMPUTED_VALUE"""),47.33)</f>
        <v>47.33</v>
      </c>
    </row>
    <row r="27" ht="15.75" customHeight="1">
      <c r="B27" s="3">
        <f>IFERROR(__xludf.DUMMYFUNCTION("""COMPUTED_VALUE"""),37617.645833333336)</f>
        <v>37617.64583</v>
      </c>
      <c r="C27" s="2">
        <f>IFERROR(__xludf.DUMMYFUNCTION("""COMPUTED_VALUE"""),47.2)</f>
        <v>47.2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2" t="str">
        <f>IFERROR(__xludf.DUMMYFUNCTION("GOOGLEFINANCE(""NSE:SCI"",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IFERROR(__xludf.DUMMYFUNCTION("""COMPUTED_VALUE"""),45.2)</f>
        <v>45.2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IFERROR(__xludf.DUMMYFUNCTION("""COMPUTED_VALUE"""),44.0)</f>
        <v>44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IFERROR(__xludf.DUMMYFUNCTION("""COMPUTED_VALUE"""),40.23)</f>
        <v>40.23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IFERROR(__xludf.DUMMYFUNCTION("""COMPUTED_VALUE"""),44.47)</f>
        <v>44.47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IFERROR(__xludf.DUMMYFUNCTION("""COMPUTED_VALUE"""),43.4)</f>
        <v>43.4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IFERROR(__xludf.DUMMYFUNCTION("""COMPUTED_VALUE"""),48.63)</f>
        <v>48.63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IFERROR(__xludf.DUMMYFUNCTION("""COMPUTED_VALUE"""),49.27)</f>
        <v>49.27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IFERROR(__xludf.DUMMYFUNCTION("""COMPUTED_VALUE"""),46.3)</f>
        <v>46.3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IFERROR(__xludf.DUMMYFUNCTION("""COMPUTED_VALUE"""),43.6)</f>
        <v>43.6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IFERROR(__xludf.DUMMYFUNCTION("""COMPUTED_VALUE"""),41.33)</f>
        <v>41.33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IFERROR(__xludf.DUMMYFUNCTION("""COMPUTED_VALUE"""),39.2)</f>
        <v>39.2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IFERROR(__xludf.DUMMYFUNCTION("""COMPUTED_VALUE"""),38.3)</f>
        <v>38.3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IFERROR(__xludf.DUMMYFUNCTION("""COMPUTED_VALUE"""),38.87)</f>
        <v>38.87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IFERROR(__xludf.DUMMYFUNCTION("""COMPUTED_VALUE"""),41.23)</f>
        <v>41.23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IFERROR(__xludf.DUMMYFUNCTION("""COMPUTED_VALUE"""),43.27)</f>
        <v>43.27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IFERROR(__xludf.DUMMYFUNCTION("""COMPUTED_VALUE"""),45.57)</f>
        <v>45.57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IFERROR(__xludf.DUMMYFUNCTION("""COMPUTED_VALUE"""),46.13)</f>
        <v>46.13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IFERROR(__xludf.DUMMYFUNCTION("""COMPUTED_VALUE"""),48.67)</f>
        <v>48.67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IFERROR(__xludf.DUMMYFUNCTION("""COMPUTED_VALUE"""),47.73)</f>
        <v>47.73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IFERROR(__xludf.DUMMYFUNCTION("""COMPUTED_VALUE"""),50.0)</f>
        <v>50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IFERROR(__xludf.DUMMYFUNCTION("""COMPUTED_VALUE"""),53.0)</f>
        <v>53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IFERROR(__xludf.DUMMYFUNCTION("""COMPUTED_VALUE"""),54.77)</f>
        <v>54.77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IFERROR(__xludf.DUMMYFUNCTION("""COMPUTED_VALUE"""),52.83)</f>
        <v>52.83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IFERROR(__xludf.DUMMYFUNCTION("""COMPUTED_VALUE"""),50.3)</f>
        <v>50.3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IFERROR(__xludf.DUMMYFUNCTION("""COMPUTED_VALUE"""),50.67)</f>
        <v>50.67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IFERROR(__xludf.DUMMYFUNCTION("""COMPUTED_VALUE"""),50.67)</f>
        <v>50.67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IFERROR(__xludf.DUMMYFUNCTION("""COMPUTED_VALUE"""),49.67)</f>
        <v>49.67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IFERROR(__xludf.DUMMYFUNCTION("""COMPUTED_VALUE"""),46.0)</f>
        <v>46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IFERROR(__xludf.DUMMYFUNCTION("""COMPUTED_VALUE"""),45.33)</f>
        <v>45.33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IFERROR(__xludf.DUMMYFUNCTION("""COMPUTED_VALUE"""),48.53)</f>
        <v>48.53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IFERROR(__xludf.DUMMYFUNCTION("""COMPUTED_VALUE"""),55.0)</f>
        <v>55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IFERROR(__xludf.DUMMYFUNCTION("""COMPUTED_VALUE"""),60.4)</f>
        <v>60.4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IFERROR(__xludf.DUMMYFUNCTION("""COMPUTED_VALUE"""),67.67)</f>
        <v>67.67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IFERROR(__xludf.DUMMYFUNCTION("""COMPUTED_VALUE"""),68.2)</f>
        <v>68.2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IFERROR(__xludf.DUMMYFUNCTION("""COMPUTED_VALUE"""),71.33)</f>
        <v>71.33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IFERROR(__xludf.DUMMYFUNCTION("""COMPUTED_VALUE"""),74.57)</f>
        <v>74.57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IFERROR(__xludf.DUMMYFUNCTION("""COMPUTED_VALUE"""),73.33)</f>
        <v>73.33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IFERROR(__xludf.DUMMYFUNCTION("""COMPUTED_VALUE"""),70.97)</f>
        <v>70.97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IFERROR(__xludf.DUMMYFUNCTION("""COMPUTED_VALUE"""),95.0)</f>
        <v>95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IFERROR(__xludf.DUMMYFUNCTION("""COMPUTED_VALUE"""),96.17)</f>
        <v>96.17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IFERROR(__xludf.DUMMYFUNCTION("""COMPUTED_VALUE"""),87.67)</f>
        <v>87.67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IFERROR(__xludf.DUMMYFUNCTION("""COMPUTED_VALUE"""),80.0)</f>
        <v>80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IFERROR(__xludf.DUMMYFUNCTION("""COMPUTED_VALUE"""),93.23)</f>
        <v>93.23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IFERROR(__xludf.DUMMYFUNCTION("""COMPUTED_VALUE"""),106.0)</f>
        <v>106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IFERROR(__xludf.DUMMYFUNCTION("""COMPUTED_VALUE"""),115.23)</f>
        <v>115.23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IFERROR(__xludf.DUMMYFUNCTION("""COMPUTED_VALUE"""),116.5)</f>
        <v>116.5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IFERROR(__xludf.DUMMYFUNCTION("""COMPUTED_VALUE"""),112.9)</f>
        <v>112.9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IFERROR(__xludf.DUMMYFUNCTION("""COMPUTED_VALUE"""),116.13)</f>
        <v>116.13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IFERROR(__xludf.DUMMYFUNCTION("""COMPUTED_VALUE"""),118.7)</f>
        <v>118.7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IFERROR(__xludf.DUMMYFUNCTION("GOOGLEFINANCE(""NSE:SCI"",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IFERROR(__xludf.DUMMYFUNCTION("""COMPUTED_VALUE"""),131.27)</f>
        <v>131.27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IFERROR(__xludf.DUMMYFUNCTION("""COMPUTED_VALUE"""),131.73)</f>
        <v>131.73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IFERROR(__xludf.DUMMYFUNCTION("""COMPUTED_VALUE"""),135.1)</f>
        <v>135.1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IFERROR(__xludf.DUMMYFUNCTION("""COMPUTED_VALUE"""),128.67)</f>
        <v>128.67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IFERROR(__xludf.DUMMYFUNCTION("""COMPUTED_VALUE"""),120.67)</f>
        <v>120.67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IFERROR(__xludf.DUMMYFUNCTION("""COMPUTED_VALUE"""),112.33)</f>
        <v>112.33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IFERROR(__xludf.DUMMYFUNCTION("""COMPUTED_VALUE"""),113.9)</f>
        <v>113.9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IFERROR(__xludf.DUMMYFUNCTION("""COMPUTED_VALUE"""),116.8)</f>
        <v>116.8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IFERROR(__xludf.DUMMYFUNCTION("""COMPUTED_VALUE"""),105.93)</f>
        <v>105.93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IFERROR(__xludf.DUMMYFUNCTION("""COMPUTED_VALUE"""),103.83)</f>
        <v>103.83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IFERROR(__xludf.DUMMYFUNCTION("""COMPUTED_VALUE"""),105.53)</f>
        <v>105.53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IFERROR(__xludf.DUMMYFUNCTION("""COMPUTED_VALUE"""),100.4)</f>
        <v>100.4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IFERROR(__xludf.DUMMYFUNCTION("""COMPUTED_VALUE"""),85.93)</f>
        <v>85.93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IFERROR(__xludf.DUMMYFUNCTION("""COMPUTED_VALUE"""),93.33)</f>
        <v>93.33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IFERROR(__xludf.DUMMYFUNCTION("""COMPUTED_VALUE"""),95.53)</f>
        <v>95.53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IFERROR(__xludf.DUMMYFUNCTION("""COMPUTED_VALUE"""),100.0)</f>
        <v>100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IFERROR(__xludf.DUMMYFUNCTION("""COMPUTED_VALUE"""),96.67)</f>
        <v>96.67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IFERROR(__xludf.DUMMYFUNCTION("""COMPUTED_VALUE"""),85.0)</f>
        <v>85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IFERROR(__xludf.DUMMYFUNCTION("""COMPUTED_VALUE"""),79.47)</f>
        <v>79.47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IFERROR(__xludf.DUMMYFUNCTION("""COMPUTED_VALUE"""),65.33)</f>
        <v>65.33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IFERROR(__xludf.DUMMYFUNCTION("""COMPUTED_VALUE"""),68.3)</f>
        <v>68.3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IFERROR(__xludf.DUMMYFUNCTION("""COMPUTED_VALUE"""),64.0)</f>
        <v>64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IFERROR(__xludf.DUMMYFUNCTION("""COMPUTED_VALUE"""),67.2)</f>
        <v>67.2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IFERROR(__xludf.DUMMYFUNCTION("""COMPUTED_VALUE"""),65.33)</f>
        <v>65.33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IFERROR(__xludf.DUMMYFUNCTION("""COMPUTED_VALUE"""),63.33)</f>
        <v>63.33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IFERROR(__xludf.DUMMYFUNCTION("""COMPUTED_VALUE"""),74.0)</f>
        <v>74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IFERROR(__xludf.DUMMYFUNCTION("""COMPUTED_VALUE"""),77.87)</f>
        <v>77.87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IFERROR(__xludf.DUMMYFUNCTION("""COMPUTED_VALUE"""),79.27)</f>
        <v>79.27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IFERROR(__xludf.DUMMYFUNCTION("""COMPUTED_VALUE"""),79.67)</f>
        <v>79.67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IFERROR(__xludf.DUMMYFUNCTION("""COMPUTED_VALUE"""),84.93)</f>
        <v>84.93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IFERROR(__xludf.DUMMYFUNCTION("""COMPUTED_VALUE"""),86.33)</f>
        <v>86.33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IFERROR(__xludf.DUMMYFUNCTION("""COMPUTED_VALUE"""),85.83)</f>
        <v>85.83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IFERROR(__xludf.DUMMYFUNCTION("""COMPUTED_VALUE"""),83.87)</f>
        <v>83.87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IFERROR(__xludf.DUMMYFUNCTION("""COMPUTED_VALUE"""),79.67)</f>
        <v>79.67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IFERROR(__xludf.DUMMYFUNCTION("""COMPUTED_VALUE"""),81.5)</f>
        <v>81.5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IFERROR(__xludf.DUMMYFUNCTION("""COMPUTED_VALUE"""),84.5)</f>
        <v>84.5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IFERROR(__xludf.DUMMYFUNCTION("""COMPUTED_VALUE"""),89.93)</f>
        <v>89.93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IFERROR(__xludf.DUMMYFUNCTION("""COMPUTED_VALUE"""),92.27)</f>
        <v>92.27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IFERROR(__xludf.DUMMYFUNCTION("""COMPUTED_VALUE"""),96.67)</f>
        <v>96.67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IFERROR(__xludf.DUMMYFUNCTION("""COMPUTED_VALUE"""),119.63)</f>
        <v>119.63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IFERROR(__xludf.DUMMYFUNCTION("""COMPUTED_VALUE"""),112.67)</f>
        <v>112.67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IFERROR(__xludf.DUMMYFUNCTION("""COMPUTED_VALUE"""),116.13)</f>
        <v>116.13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IFERROR(__xludf.DUMMYFUNCTION("""COMPUTED_VALUE"""),115.87)</f>
        <v>115.87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IFERROR(__xludf.DUMMYFUNCTION("""COMPUTED_VALUE"""),111.93)</f>
        <v>111.93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IFERROR(__xludf.DUMMYFUNCTION("""COMPUTED_VALUE"""),118.6)</f>
        <v>118.6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IFERROR(__xludf.DUMMYFUNCTION("""COMPUTED_VALUE"""),119.7)</f>
        <v>119.7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IFERROR(__xludf.DUMMYFUNCTION("""COMPUTED_VALUE"""),125.33)</f>
        <v>125.33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IFERROR(__xludf.DUMMYFUNCTION("""COMPUTED_VALUE"""),122.93)</f>
        <v>122.93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IFERROR(__xludf.DUMMYFUNCTION("""COMPUTED_VALUE"""),121.3)</f>
        <v>121.3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IFERROR(__xludf.DUMMYFUNCTION("""COMPUTED_VALUE"""),117.93)</f>
        <v>117.93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IFERROR(__xludf.DUMMYFUNCTION("""COMPUTED_VALUE"""),118.0)</f>
        <v>118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IFERROR(__xludf.DUMMYFUNCTION("GOOGLEFINANCE(""NSE:SCI"",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IFERROR(__xludf.DUMMYFUNCTION("""COMPUTED_VALUE"""),117.87)</f>
        <v>117.87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IFERROR(__xludf.DUMMYFUNCTION("""COMPUTED_VALUE"""),110.6)</f>
        <v>110.6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IFERROR(__xludf.DUMMYFUNCTION("""COMPUTED_VALUE"""),100.6)</f>
        <v>100.6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IFERROR(__xludf.DUMMYFUNCTION("""COMPUTED_VALUE"""),105.67)</f>
        <v>105.67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IFERROR(__xludf.DUMMYFUNCTION("""COMPUTED_VALUE"""),111.73)</f>
        <v>111.73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IFERROR(__xludf.DUMMYFUNCTION("""COMPUTED_VALUE"""),115.6)</f>
        <v>115.6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IFERROR(__xludf.DUMMYFUNCTION("""COMPUTED_VALUE"""),114.93)</f>
        <v>114.93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IFERROR(__xludf.DUMMYFUNCTION("""COMPUTED_VALUE"""),109.37)</f>
        <v>109.37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IFERROR(__xludf.DUMMYFUNCTION("""COMPUTED_VALUE"""),109.33)</f>
        <v>109.33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IFERROR(__xludf.DUMMYFUNCTION("""COMPUTED_VALUE"""),115.27)</f>
        <v>115.27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IFERROR(__xludf.DUMMYFUNCTION("""COMPUTED_VALUE"""),114.67)</f>
        <v>114.67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IFERROR(__xludf.DUMMYFUNCTION("""COMPUTED_VALUE"""),110.27)</f>
        <v>110.27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IFERROR(__xludf.DUMMYFUNCTION("""COMPUTED_VALUE"""),112.0)</f>
        <v>112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IFERROR(__xludf.DUMMYFUNCTION("""COMPUTED_VALUE"""),106.0)</f>
        <v>106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IFERROR(__xludf.DUMMYFUNCTION("""COMPUTED_VALUE"""),104.93)</f>
        <v>104.93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IFERROR(__xludf.DUMMYFUNCTION("""COMPUTED_VALUE"""),100.0)</f>
        <v>100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IFERROR(__xludf.DUMMYFUNCTION("""COMPUTED_VALUE"""),104.0)</f>
        <v>104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IFERROR(__xludf.DUMMYFUNCTION("""COMPUTED_VALUE"""),98.63)</f>
        <v>98.63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IFERROR(__xludf.DUMMYFUNCTION("""COMPUTED_VALUE"""),100.0)</f>
        <v>100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IFERROR(__xludf.DUMMYFUNCTION("""COMPUTED_VALUE"""),105.63)</f>
        <v>105.63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IFERROR(__xludf.DUMMYFUNCTION("""COMPUTED_VALUE"""),101.2)</f>
        <v>101.2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IFERROR(__xludf.DUMMYFUNCTION("""COMPUTED_VALUE"""),109.93)</f>
        <v>109.93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IFERROR(__xludf.DUMMYFUNCTION("""COMPUTED_VALUE"""),109.5)</f>
        <v>109.5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IFERROR(__xludf.DUMMYFUNCTION("""COMPUTED_VALUE"""),97.63)</f>
        <v>97.63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IFERROR(__xludf.DUMMYFUNCTION("""COMPUTED_VALUE"""),101.33)</f>
        <v>101.33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IFERROR(__xludf.DUMMYFUNCTION("""COMPUTED_VALUE"""),97.2)</f>
        <v>97.2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IFERROR(__xludf.DUMMYFUNCTION("""COMPUTED_VALUE"""),100.57)</f>
        <v>100.57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IFERROR(__xludf.DUMMYFUNCTION("""COMPUTED_VALUE"""),99.67)</f>
        <v>99.67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IFERROR(__xludf.DUMMYFUNCTION("""COMPUTED_VALUE"""),101.07)</f>
        <v>101.07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IFERROR(__xludf.DUMMYFUNCTION("""COMPUTED_VALUE"""),104.33)</f>
        <v>104.33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IFERROR(__xludf.DUMMYFUNCTION("""COMPUTED_VALUE"""),102.33)</f>
        <v>102.33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IFERROR(__xludf.DUMMYFUNCTION("""COMPUTED_VALUE"""),104.4)</f>
        <v>104.4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IFERROR(__xludf.DUMMYFUNCTION("""COMPUTED_VALUE"""),105.3)</f>
        <v>105.3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IFERROR(__xludf.DUMMYFUNCTION("""COMPUTED_VALUE"""),108.0)</f>
        <v>108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IFERROR(__xludf.DUMMYFUNCTION("""COMPUTED_VALUE"""),109.27)</f>
        <v>109.27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IFERROR(__xludf.DUMMYFUNCTION("""COMPUTED_VALUE"""),112.1)</f>
        <v>112.1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IFERROR(__xludf.DUMMYFUNCTION("""COMPUTED_VALUE"""),109.97)</f>
        <v>109.97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IFERROR(__xludf.DUMMYFUNCTION("""COMPUTED_VALUE"""),106.57)</f>
        <v>106.57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IFERROR(__xludf.DUMMYFUNCTION("""COMPUTED_VALUE"""),111.0)</f>
        <v>111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IFERROR(__xludf.DUMMYFUNCTION("""COMPUTED_VALUE"""),107.3)</f>
        <v>107.3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IFERROR(__xludf.DUMMYFUNCTION("""COMPUTED_VALUE"""),104.53)</f>
        <v>104.53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IFERROR(__xludf.DUMMYFUNCTION("""COMPUTED_VALUE"""),107.0)</f>
        <v>107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IFERROR(__xludf.DUMMYFUNCTION("""COMPUTED_VALUE"""),101.6)</f>
        <v>101.6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IFERROR(__xludf.DUMMYFUNCTION("""COMPUTED_VALUE"""),102.53)</f>
        <v>102.53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IFERROR(__xludf.DUMMYFUNCTION("""COMPUTED_VALUE"""),110.17)</f>
        <v>110.17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IFERROR(__xludf.DUMMYFUNCTION("""COMPUTED_VALUE"""),109.57)</f>
        <v>109.57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IFERROR(__xludf.DUMMYFUNCTION("""COMPUTED_VALUE"""),110.6)</f>
        <v>110.6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IFERROR(__xludf.DUMMYFUNCTION("""COMPUTED_VALUE"""),113.87)</f>
        <v>113.87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IFERROR(__xludf.DUMMYFUNCTION("""COMPUTED_VALUE"""),111.0)</f>
        <v>111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IFERROR(__xludf.DUMMYFUNCTION("""COMPUTED_VALUE"""),109.93)</f>
        <v>109.93</v>
      </c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IFERROR(__xludf.DUMMYFUNCTION("GOOGLEFINANCE(""NSE:SUNPHARMA"",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IFERROR(__xludf.DUMMYFUNCTION("""COMPUTED_VALUE"""),14.45)</f>
        <v>14.45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IFERROR(__xludf.DUMMYFUNCTION("""COMPUTED_VALUE"""),16.13)</f>
        <v>16.13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IFERROR(__xludf.DUMMYFUNCTION("""COMPUTED_VALUE"""),17.29)</f>
        <v>17.29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IFERROR(__xludf.DUMMYFUNCTION("""COMPUTED_VALUE"""),16.25)</f>
        <v>16.25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IFERROR(__xludf.DUMMYFUNCTION("""COMPUTED_VALUE"""),15.92)</f>
        <v>15.92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IFERROR(__xludf.DUMMYFUNCTION("""COMPUTED_VALUE"""),16.44)</f>
        <v>16.44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IFERROR(__xludf.DUMMYFUNCTION("""COMPUTED_VALUE"""),15.7)</f>
        <v>15.7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IFERROR(__xludf.DUMMYFUNCTION("""COMPUTED_VALUE"""),16.21)</f>
        <v>16.21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IFERROR(__xludf.DUMMYFUNCTION("""COMPUTED_VALUE"""),16.68)</f>
        <v>16.68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IFERROR(__xludf.DUMMYFUNCTION("""COMPUTED_VALUE"""),16.6)</f>
        <v>16.6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IFERROR(__xludf.DUMMYFUNCTION("""COMPUTED_VALUE"""),16.6)</f>
        <v>16.6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IFERROR(__xludf.DUMMYFUNCTION("""COMPUTED_VALUE"""),16.72)</f>
        <v>16.72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IFERROR(__xludf.DUMMYFUNCTION("""COMPUTED_VALUE"""),16.88)</f>
        <v>16.88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IFERROR(__xludf.DUMMYFUNCTION("""COMPUTED_VALUE"""),17.6)</f>
        <v>17.6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IFERROR(__xludf.DUMMYFUNCTION("""COMPUTED_VALUE"""),17.16)</f>
        <v>17.16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IFERROR(__xludf.DUMMYFUNCTION("""COMPUTED_VALUE"""),16.88)</f>
        <v>16.88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IFERROR(__xludf.DUMMYFUNCTION("""COMPUTED_VALUE"""),16.45)</f>
        <v>16.45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IFERROR(__xludf.DUMMYFUNCTION("""COMPUTED_VALUE"""),16.22)</f>
        <v>16.22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IFERROR(__xludf.DUMMYFUNCTION("""COMPUTED_VALUE"""),16.05)</f>
        <v>16.05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IFERROR(__xludf.DUMMYFUNCTION("""COMPUTED_VALUE"""),15.75)</f>
        <v>15.75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IFERROR(__xludf.DUMMYFUNCTION("""COMPUTED_VALUE"""),15.93)</f>
        <v>15.93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IFERROR(__xludf.DUMMYFUNCTION("""COMPUTED_VALUE"""),15.48)</f>
        <v>15.48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IFERROR(__xludf.DUMMYFUNCTION("""COMPUTED_VALUE"""),14.95)</f>
        <v>14.95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IFERROR(__xludf.DUMMYFUNCTION("""COMPUTED_VALUE"""),15.13)</f>
        <v>15.13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IFERROR(__xludf.DUMMYFUNCTION("""COMPUTED_VALUE"""),14.45)</f>
        <v>14.45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IFERROR(__xludf.DUMMYFUNCTION("""COMPUTED_VALUE"""),14.13)</f>
        <v>14.13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IFERROR(__xludf.DUMMYFUNCTION("""COMPUTED_VALUE"""),14.25)</f>
        <v>14.25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IFERROR(__xludf.DUMMYFUNCTION("""COMPUTED_VALUE"""),14.04)</f>
        <v>14.04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IFERROR(__xludf.DUMMYFUNCTION("""COMPUTED_VALUE"""),13.94)</f>
        <v>13.94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IFERROR(__xludf.DUMMYFUNCTION("""COMPUTED_VALUE"""),14.16)</f>
        <v>14.16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IFERROR(__xludf.DUMMYFUNCTION("""COMPUTED_VALUE"""),14.2)</f>
        <v>14.2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IFERROR(__xludf.DUMMYFUNCTION("""COMPUTED_VALUE"""),13.94)</f>
        <v>13.94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IFERROR(__xludf.DUMMYFUNCTION("""COMPUTED_VALUE"""),14.0)</f>
        <v>14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IFERROR(__xludf.DUMMYFUNCTION("""COMPUTED_VALUE"""),14.12)</f>
        <v>14.12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IFERROR(__xludf.DUMMYFUNCTION("""COMPUTED_VALUE"""),14.99)</f>
        <v>14.99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IFERROR(__xludf.DUMMYFUNCTION("""COMPUTED_VALUE"""),15.0)</f>
        <v>15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IFERROR(__xludf.DUMMYFUNCTION("""COMPUTED_VALUE"""),14.97)</f>
        <v>14.97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IFERROR(__xludf.DUMMYFUNCTION("""COMPUTED_VALUE"""),15.75)</f>
        <v>15.75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IFERROR(__xludf.DUMMYFUNCTION("""COMPUTED_VALUE"""),14.73)</f>
        <v>14.73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IFERROR(__xludf.DUMMYFUNCTION("""COMPUTED_VALUE"""),14.53)</f>
        <v>14.53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IFERROR(__xludf.DUMMYFUNCTION("""COMPUTED_VALUE"""),14.5)</f>
        <v>14.5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IFERROR(__xludf.DUMMYFUNCTION("""COMPUTED_VALUE"""),14.17)</f>
        <v>14.17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IFERROR(__xludf.DUMMYFUNCTION("""COMPUTED_VALUE"""),14.43)</f>
        <v>14.43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IFERROR(__xludf.DUMMYFUNCTION("""COMPUTED_VALUE"""),14.95)</f>
        <v>14.95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IFERROR(__xludf.DUMMYFUNCTION("""COMPUTED_VALUE"""),14.0)</f>
        <v>14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IFERROR(__xludf.DUMMYFUNCTION("""COMPUTED_VALUE"""),13.85)</f>
        <v>13.85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IFERROR(__xludf.DUMMYFUNCTION("""COMPUTED_VALUE"""),14.0)</f>
        <v>14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IFERROR(__xludf.DUMMYFUNCTION("""COMPUTED_VALUE"""),14.13)</f>
        <v>14.13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IFERROR(__xludf.DUMMYFUNCTION("""COMPUTED_VALUE"""),14.38)</f>
        <v>14.38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IFERROR(__xludf.DUMMYFUNCTION("""COMPUTED_VALUE"""),14.73)</f>
        <v>14.73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IFERROR(__xludf.DUMMYFUNCTION("""COMPUTED_VALUE"""),14.88)</f>
        <v>14.88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IFERROR(__xludf.DUMMYFUNCTION("""COMPUTED_VALUE"""),15.1)</f>
        <v>15.1</v>
      </c>
    </row>
    <row r="54" ht="15.75" customHeight="1"/>
    <row r="55" ht="15.75" customHeight="1"/>
    <row r="56" ht="15.75" customHeight="1">
      <c r="B56" s="2" t="str">
        <f>IFERROR(__xludf.DUMMYFUNCTION("GOOGLEFINANCE(""NSE:SUNPHARMA"",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IFERROR(__xludf.DUMMYFUNCTION("""COMPUTED_VALUE"""),15.85)</f>
        <v>15.85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IFERROR(__xludf.DUMMYFUNCTION("""COMPUTED_VALUE"""),15.82)</f>
        <v>15.82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IFERROR(__xludf.DUMMYFUNCTION("""COMPUTED_VALUE"""),15.85)</f>
        <v>15.85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IFERROR(__xludf.DUMMYFUNCTION("""COMPUTED_VALUE"""),15.18)</f>
        <v>15.18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IFERROR(__xludf.DUMMYFUNCTION("""COMPUTED_VALUE"""),14.99)</f>
        <v>14.99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IFERROR(__xludf.DUMMYFUNCTION("""COMPUTED_VALUE"""),14.85)</f>
        <v>14.85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IFERROR(__xludf.DUMMYFUNCTION("""COMPUTED_VALUE"""),14.2)</f>
        <v>14.2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IFERROR(__xludf.DUMMYFUNCTION("""COMPUTED_VALUE"""),15.07)</f>
        <v>15.07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IFERROR(__xludf.DUMMYFUNCTION("""COMPUTED_VALUE"""),14.5)</f>
        <v>14.5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IFERROR(__xludf.DUMMYFUNCTION("""COMPUTED_VALUE"""),14.35)</f>
        <v>14.35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IFERROR(__xludf.DUMMYFUNCTION("""COMPUTED_VALUE"""),14.5)</f>
        <v>14.5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IFERROR(__xludf.DUMMYFUNCTION("""COMPUTED_VALUE"""),14.2)</f>
        <v>14.2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IFERROR(__xludf.DUMMYFUNCTION("""COMPUTED_VALUE"""),14.45)</f>
        <v>14.45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IFERROR(__xludf.DUMMYFUNCTION("""COMPUTED_VALUE"""),14.85)</f>
        <v>14.85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IFERROR(__xludf.DUMMYFUNCTION("""COMPUTED_VALUE"""),14.99)</f>
        <v>14.99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IFERROR(__xludf.DUMMYFUNCTION("""COMPUTED_VALUE"""),14.5)</f>
        <v>14.5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IFERROR(__xludf.DUMMYFUNCTION("""COMPUTED_VALUE"""),14.9)</f>
        <v>14.9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IFERROR(__xludf.DUMMYFUNCTION("""COMPUTED_VALUE"""),14.75)</f>
        <v>14.75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IFERROR(__xludf.DUMMYFUNCTION("""COMPUTED_VALUE"""),14.5)</f>
        <v>14.5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IFERROR(__xludf.DUMMYFUNCTION("""COMPUTED_VALUE"""),14.55)</f>
        <v>14.55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IFERROR(__xludf.DUMMYFUNCTION("""COMPUTED_VALUE"""),15.31)</f>
        <v>15.31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IFERROR(__xludf.DUMMYFUNCTION("""COMPUTED_VALUE"""),16.93)</f>
        <v>16.93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IFERROR(__xludf.DUMMYFUNCTION("""COMPUTED_VALUE"""),17.15)</f>
        <v>17.15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IFERROR(__xludf.DUMMYFUNCTION("""COMPUTED_VALUE"""),18.15)</f>
        <v>18.15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IFERROR(__xludf.DUMMYFUNCTION("""COMPUTED_VALUE"""),17.75)</f>
        <v>17.75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IFERROR(__xludf.DUMMYFUNCTION("""COMPUTED_VALUE"""),19.05)</f>
        <v>19.05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IFERROR(__xludf.DUMMYFUNCTION("""COMPUTED_VALUE"""),19.45)</f>
        <v>19.45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IFERROR(__xludf.DUMMYFUNCTION("""COMPUTED_VALUE"""),18.93)</f>
        <v>18.93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IFERROR(__xludf.DUMMYFUNCTION("""COMPUTED_VALUE"""),18.15)</f>
        <v>18.15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IFERROR(__xludf.DUMMYFUNCTION("""COMPUTED_VALUE"""),20.4)</f>
        <v>20.4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IFERROR(__xludf.DUMMYFUNCTION("""COMPUTED_VALUE"""),23.0)</f>
        <v>23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IFERROR(__xludf.DUMMYFUNCTION("""COMPUTED_VALUE"""),22.95)</f>
        <v>22.95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IFERROR(__xludf.DUMMYFUNCTION("""COMPUTED_VALUE"""),24.1)</f>
        <v>24.1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IFERROR(__xludf.DUMMYFUNCTION("""COMPUTED_VALUE"""),25.7)</f>
        <v>25.7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IFERROR(__xludf.DUMMYFUNCTION("""COMPUTED_VALUE"""),27.0)</f>
        <v>27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IFERROR(__xludf.DUMMYFUNCTION("""COMPUTED_VALUE"""),26.45)</f>
        <v>26.45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IFERROR(__xludf.DUMMYFUNCTION("""COMPUTED_VALUE"""),26.25)</f>
        <v>26.25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IFERROR(__xludf.DUMMYFUNCTION("""COMPUTED_VALUE"""),24.6)</f>
        <v>24.6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IFERROR(__xludf.DUMMYFUNCTION("""COMPUTED_VALUE"""),26.05)</f>
        <v>26.05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IFERROR(__xludf.DUMMYFUNCTION("""COMPUTED_VALUE"""),27.55)</f>
        <v>27.55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IFERROR(__xludf.DUMMYFUNCTION("""COMPUTED_VALUE"""),27.25)</f>
        <v>27.25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IFERROR(__xludf.DUMMYFUNCTION("""COMPUTED_VALUE"""),26.91)</f>
        <v>26.91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IFERROR(__xludf.DUMMYFUNCTION("""COMPUTED_VALUE"""),30.7)</f>
        <v>30.7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IFERROR(__xludf.DUMMYFUNCTION("""COMPUTED_VALUE"""),29.85)</f>
        <v>29.85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IFERROR(__xludf.DUMMYFUNCTION("""COMPUTED_VALUE"""),30.75)</f>
        <v>30.75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IFERROR(__xludf.DUMMYFUNCTION("""COMPUTED_VALUE"""),33.94)</f>
        <v>33.94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IFERROR(__xludf.DUMMYFUNCTION("""COMPUTED_VALUE"""),34.65)</f>
        <v>34.65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IFERROR(__xludf.DUMMYFUNCTION("""COMPUTED_VALUE"""),32.95)</f>
        <v>32.95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IFERROR(__xludf.DUMMYFUNCTION("""COMPUTED_VALUE"""),32.3)</f>
        <v>32.3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IFERROR(__xludf.DUMMYFUNCTION("GOOGLEFINANCE(""NSE:SUNPHARMA"",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IFERROR(__xludf.DUMMYFUNCTION("""COMPUTED_VALUE"""),30.94)</f>
        <v>30.94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IFERROR(__xludf.DUMMYFUNCTION("""COMPUTED_VALUE"""),32.25)</f>
        <v>32.25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IFERROR(__xludf.DUMMYFUNCTION("""COMPUTED_VALUE"""),32.44)</f>
        <v>32.44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IFERROR(__xludf.DUMMYFUNCTION("""COMPUTED_VALUE"""),30.8)</f>
        <v>30.8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IFERROR(__xludf.DUMMYFUNCTION("""COMPUTED_VALUE"""),32.05)</f>
        <v>32.05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IFERROR(__xludf.DUMMYFUNCTION("""COMPUTED_VALUE"""),32.8)</f>
        <v>32.8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IFERROR(__xludf.DUMMYFUNCTION("""COMPUTED_VALUE"""),32.75)</f>
        <v>32.75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IFERROR(__xludf.DUMMYFUNCTION("""COMPUTED_VALUE"""),36.25)</f>
        <v>36.25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IFERROR(__xludf.DUMMYFUNCTION("""COMPUTED_VALUE"""),35.5)</f>
        <v>35.5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IFERROR(__xludf.DUMMYFUNCTION("""COMPUTED_VALUE"""),34.94)</f>
        <v>34.94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IFERROR(__xludf.DUMMYFUNCTION("""COMPUTED_VALUE"""),35.17)</f>
        <v>35.17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IFERROR(__xludf.DUMMYFUNCTION("""COMPUTED_VALUE"""),33.95)</f>
        <v>33.95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IFERROR(__xludf.DUMMYFUNCTION("""COMPUTED_VALUE"""),32.25)</f>
        <v>32.25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IFERROR(__xludf.DUMMYFUNCTION("""COMPUTED_VALUE"""),34.45)</f>
        <v>34.45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IFERROR(__xludf.DUMMYFUNCTION("""COMPUTED_VALUE"""),36.05)</f>
        <v>36.05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IFERROR(__xludf.DUMMYFUNCTION("""COMPUTED_VALUE"""),40.07)</f>
        <v>40.07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IFERROR(__xludf.DUMMYFUNCTION("""COMPUTED_VALUE"""),38.0)</f>
        <v>38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IFERROR(__xludf.DUMMYFUNCTION("""COMPUTED_VALUE"""),38.3)</f>
        <v>38.3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IFERROR(__xludf.DUMMYFUNCTION("""COMPUTED_VALUE"""),38.2)</f>
        <v>38.2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IFERROR(__xludf.DUMMYFUNCTION("""COMPUTED_VALUE"""),37.75)</f>
        <v>37.75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IFERROR(__xludf.DUMMYFUNCTION("""COMPUTED_VALUE"""),40.6)</f>
        <v>40.6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IFERROR(__xludf.DUMMYFUNCTION("""COMPUTED_VALUE"""),41.95)</f>
        <v>41.95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IFERROR(__xludf.DUMMYFUNCTION("""COMPUTED_VALUE"""),40.8)</f>
        <v>40.8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IFERROR(__xludf.DUMMYFUNCTION("""COMPUTED_VALUE"""),41.1)</f>
        <v>41.1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IFERROR(__xludf.DUMMYFUNCTION("""COMPUTED_VALUE"""),37.38)</f>
        <v>37.38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IFERROR(__xludf.DUMMYFUNCTION("""COMPUTED_VALUE"""),37.17)</f>
        <v>37.17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IFERROR(__xludf.DUMMYFUNCTION("""COMPUTED_VALUE"""),37.4)</f>
        <v>37.4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IFERROR(__xludf.DUMMYFUNCTION("""COMPUTED_VALUE"""),35.5)</f>
        <v>35.5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IFERROR(__xludf.DUMMYFUNCTION("""COMPUTED_VALUE"""),36.9)</f>
        <v>36.9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IFERROR(__xludf.DUMMYFUNCTION("""COMPUTED_VALUE"""),36.7)</f>
        <v>36.7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IFERROR(__xludf.DUMMYFUNCTION("""COMPUTED_VALUE"""),36.7)</f>
        <v>36.7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IFERROR(__xludf.DUMMYFUNCTION("""COMPUTED_VALUE"""),39.8)</f>
        <v>39.8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IFERROR(__xludf.DUMMYFUNCTION("""COMPUTED_VALUE"""),42.35)</f>
        <v>42.35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IFERROR(__xludf.DUMMYFUNCTION("""COMPUTED_VALUE"""),39.49)</f>
        <v>39.49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IFERROR(__xludf.DUMMYFUNCTION("""COMPUTED_VALUE"""),39.05)</f>
        <v>39.05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IFERROR(__xludf.DUMMYFUNCTION("""COMPUTED_VALUE"""),39.2)</f>
        <v>39.2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IFERROR(__xludf.DUMMYFUNCTION("""COMPUTED_VALUE"""),40.27)</f>
        <v>40.27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IFERROR(__xludf.DUMMYFUNCTION("""COMPUTED_VALUE"""),42.74)</f>
        <v>42.74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IFERROR(__xludf.DUMMYFUNCTION("""COMPUTED_VALUE"""),44.7)</f>
        <v>44.7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IFERROR(__xludf.DUMMYFUNCTION("""COMPUTED_VALUE"""),43.29)</f>
        <v>43.29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IFERROR(__xludf.DUMMYFUNCTION("""COMPUTED_VALUE"""),45.3)</f>
        <v>45.3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IFERROR(__xludf.DUMMYFUNCTION("""COMPUTED_VALUE"""),45.48)</f>
        <v>45.48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IFERROR(__xludf.DUMMYFUNCTION("""COMPUTED_VALUE"""),47.19)</f>
        <v>47.19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IFERROR(__xludf.DUMMYFUNCTION("""COMPUTED_VALUE"""),46.85)</f>
        <v>46.85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IFERROR(__xludf.DUMMYFUNCTION("""COMPUTED_VALUE"""),49.5)</f>
        <v>49.5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IFERROR(__xludf.DUMMYFUNCTION("""COMPUTED_VALUE"""),54.38)</f>
        <v>54.38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IFERROR(__xludf.DUMMYFUNCTION("""COMPUTED_VALUE"""),52.59)</f>
        <v>52.59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IFERROR(__xludf.DUMMYFUNCTION("""COMPUTED_VALUE"""),51.0)</f>
        <v>51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IFERROR(__xludf.DUMMYFUNCTION("""COMPUTED_VALUE"""),55.5)</f>
        <v>55.5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IFERROR(__xludf.DUMMYFUNCTION("""COMPUTED_VALUE"""),55.87)</f>
        <v>55.87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IFERROR(__xludf.DUMMYFUNCTION("""COMPUTED_VALUE"""),57.5)</f>
        <v>57.5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IFERROR(__xludf.DUMMYFUNCTION("GOOGLEFINANCE(""NSE:SUNPHARMA"",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IFERROR(__xludf.DUMMYFUNCTION("""COMPUTED_VALUE"""),56.7)</f>
        <v>56.7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IFERROR(__xludf.DUMMYFUNCTION("""COMPUTED_VALUE"""),51.67)</f>
        <v>51.67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IFERROR(__xludf.DUMMYFUNCTION("""COMPUTED_VALUE"""),48.28)</f>
        <v>48.28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IFERROR(__xludf.DUMMYFUNCTION("""COMPUTED_VALUE"""),49.8)</f>
        <v>49.8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IFERROR(__xludf.DUMMYFUNCTION("""COMPUTED_VALUE"""),51.35)</f>
        <v>51.35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IFERROR(__xludf.DUMMYFUNCTION("""COMPUTED_VALUE"""),50.02)</f>
        <v>50.02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IFERROR(__xludf.DUMMYFUNCTION("""COMPUTED_VALUE"""),51.0)</f>
        <v>51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IFERROR(__xludf.DUMMYFUNCTION("""COMPUTED_VALUE"""),49.67)</f>
        <v>49.67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IFERROR(__xludf.DUMMYFUNCTION("""COMPUTED_VALUE"""),48.9)</f>
        <v>48.9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IFERROR(__xludf.DUMMYFUNCTION("""COMPUTED_VALUE"""),49.4)</f>
        <v>49.4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IFERROR(__xludf.DUMMYFUNCTION("""COMPUTED_VALUE"""),49.2)</f>
        <v>49.2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IFERROR(__xludf.DUMMYFUNCTION("""COMPUTED_VALUE"""),48.4)</f>
        <v>48.4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IFERROR(__xludf.DUMMYFUNCTION("""COMPUTED_VALUE"""),47.94)</f>
        <v>47.94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IFERROR(__xludf.DUMMYFUNCTION("""COMPUTED_VALUE"""),47.5)</f>
        <v>47.5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IFERROR(__xludf.DUMMYFUNCTION("""COMPUTED_VALUE"""),46.5)</f>
        <v>46.5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IFERROR(__xludf.DUMMYFUNCTION("""COMPUTED_VALUE"""),49.6)</f>
        <v>49.6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IFERROR(__xludf.DUMMYFUNCTION("""COMPUTED_VALUE"""),52.58)</f>
        <v>52.58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IFERROR(__xludf.DUMMYFUNCTION("""COMPUTED_VALUE"""),50.44)</f>
        <v>50.44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IFERROR(__xludf.DUMMYFUNCTION("""COMPUTED_VALUE"""),51.38)</f>
        <v>51.38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IFERROR(__xludf.DUMMYFUNCTION("""COMPUTED_VALUE"""),51.8)</f>
        <v>51.8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IFERROR(__xludf.DUMMYFUNCTION("""COMPUTED_VALUE"""),56.8)</f>
        <v>56.8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IFERROR(__xludf.DUMMYFUNCTION("""COMPUTED_VALUE"""),56.0)</f>
        <v>56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IFERROR(__xludf.DUMMYFUNCTION("""COMPUTED_VALUE"""),57.1)</f>
        <v>57.1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IFERROR(__xludf.DUMMYFUNCTION("""COMPUTED_VALUE"""),60.0)</f>
        <v>60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IFERROR(__xludf.DUMMYFUNCTION("""COMPUTED_VALUE"""),60.0)</f>
        <v>60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IFERROR(__xludf.DUMMYFUNCTION("""COMPUTED_VALUE"""),63.0)</f>
        <v>63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IFERROR(__xludf.DUMMYFUNCTION("""COMPUTED_VALUE"""),62.98)</f>
        <v>62.98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IFERROR(__xludf.DUMMYFUNCTION("""COMPUTED_VALUE"""),65.41)</f>
        <v>65.41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IFERROR(__xludf.DUMMYFUNCTION("""COMPUTED_VALUE"""),65.66)</f>
        <v>65.66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IFERROR(__xludf.DUMMYFUNCTION("""COMPUTED_VALUE"""),63.48)</f>
        <v>63.48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IFERROR(__xludf.DUMMYFUNCTION("""COMPUTED_VALUE"""),62.9)</f>
        <v>62.9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IFERROR(__xludf.DUMMYFUNCTION("""COMPUTED_VALUE"""),64.47)</f>
        <v>64.47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IFERROR(__xludf.DUMMYFUNCTION("""COMPUTED_VALUE"""),63.5)</f>
        <v>63.5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IFERROR(__xludf.DUMMYFUNCTION("""COMPUTED_VALUE"""),64.0)</f>
        <v>64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IFERROR(__xludf.DUMMYFUNCTION("""COMPUTED_VALUE"""),65.0)</f>
        <v>65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IFERROR(__xludf.DUMMYFUNCTION("""COMPUTED_VALUE"""),68.8)</f>
        <v>68.8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IFERROR(__xludf.DUMMYFUNCTION("""COMPUTED_VALUE"""),67.5)</f>
        <v>67.5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IFERROR(__xludf.DUMMYFUNCTION("""COMPUTED_VALUE"""),67.48)</f>
        <v>67.48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IFERROR(__xludf.DUMMYFUNCTION("""COMPUTED_VALUE"""),66.9)</f>
        <v>66.9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IFERROR(__xludf.DUMMYFUNCTION("""COMPUTED_VALUE"""),66.9)</f>
        <v>66.9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IFERROR(__xludf.DUMMYFUNCTION("""COMPUTED_VALUE"""),67.0)</f>
        <v>67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IFERROR(__xludf.DUMMYFUNCTION("""COMPUTED_VALUE"""),65.7)</f>
        <v>65.7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IFERROR(__xludf.DUMMYFUNCTION("""COMPUTED_VALUE"""),62.5)</f>
        <v>62.5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IFERROR(__xludf.DUMMYFUNCTION("""COMPUTED_VALUE"""),62.99)</f>
        <v>62.99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IFERROR(__xludf.DUMMYFUNCTION("""COMPUTED_VALUE"""),65.0)</f>
        <v>65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IFERROR(__xludf.DUMMYFUNCTION("""COMPUTED_VALUE"""),71.4)</f>
        <v>71.4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IFERROR(__xludf.DUMMYFUNCTION("""COMPUTED_VALUE"""),70.69)</f>
        <v>70.69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IFERROR(__xludf.DUMMYFUNCTION("""COMPUTED_VALUE"""),72.47)</f>
        <v>72.47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IFERROR(__xludf.DUMMYFUNCTION("""COMPUTED_VALUE"""),71.0)</f>
        <v>71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IFERROR(__xludf.DUMMYFUNCTION("""COMPUTED_VALUE"""),68.99)</f>
        <v>68.99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IFERROR(__xludf.DUMMYFUNCTION("GOOGLEFINANCE(""NSE:SUNPHARMA"",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IFERROR(__xludf.DUMMYFUNCTION("""COMPUTED_VALUE"""),69.8)</f>
        <v>69.8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IFERROR(__xludf.DUMMYFUNCTION("""COMPUTED_VALUE"""),69.2)</f>
        <v>69.2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IFERROR(__xludf.DUMMYFUNCTION("""COMPUTED_VALUE"""),68.5)</f>
        <v>68.5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IFERROR(__xludf.DUMMYFUNCTION("""COMPUTED_VALUE"""),69.28)</f>
        <v>69.28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IFERROR(__xludf.DUMMYFUNCTION("""COMPUTED_VALUE"""),77.5)</f>
        <v>77.5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IFERROR(__xludf.DUMMYFUNCTION("""COMPUTED_VALUE"""),82.6)</f>
        <v>82.6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IFERROR(__xludf.DUMMYFUNCTION("""COMPUTED_VALUE"""),79.9)</f>
        <v>79.9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IFERROR(__xludf.DUMMYFUNCTION("""COMPUTED_VALUE"""),79.5)</f>
        <v>79.5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IFERROR(__xludf.DUMMYFUNCTION("""COMPUTED_VALUE"""),80.47)</f>
        <v>80.47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IFERROR(__xludf.DUMMYFUNCTION("""COMPUTED_VALUE"""),79.8)</f>
        <v>79.8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IFERROR(__xludf.DUMMYFUNCTION("""COMPUTED_VALUE"""),81.83)</f>
        <v>81.83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IFERROR(__xludf.DUMMYFUNCTION("""COMPUTED_VALUE"""),84.45)</f>
        <v>84.45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IFERROR(__xludf.DUMMYFUNCTION("""COMPUTED_VALUE"""),93.5)</f>
        <v>93.5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IFERROR(__xludf.DUMMYFUNCTION("""COMPUTED_VALUE"""),90.99)</f>
        <v>90.99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IFERROR(__xludf.DUMMYFUNCTION("""COMPUTED_VALUE"""),89.13)</f>
        <v>89.13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IFERROR(__xludf.DUMMYFUNCTION("""COMPUTED_VALUE"""),94.74)</f>
        <v>94.74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IFERROR(__xludf.DUMMYFUNCTION("""COMPUTED_VALUE"""),92.94)</f>
        <v>92.94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IFERROR(__xludf.DUMMYFUNCTION("""COMPUTED_VALUE"""),92.3)</f>
        <v>92.3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IFERROR(__xludf.DUMMYFUNCTION("""COMPUTED_VALUE"""),89.94)</f>
        <v>89.94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IFERROR(__xludf.DUMMYFUNCTION("""COMPUTED_VALUE"""),91.99)</f>
        <v>91.99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IFERROR(__xludf.DUMMYFUNCTION("""COMPUTED_VALUE"""),86.9)</f>
        <v>86.9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IFERROR(__xludf.DUMMYFUNCTION("""COMPUTED_VALUE"""),86.7)</f>
        <v>86.7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IFERROR(__xludf.DUMMYFUNCTION("""COMPUTED_VALUE"""),74.9)</f>
        <v>74.9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IFERROR(__xludf.DUMMYFUNCTION("""COMPUTED_VALUE"""),75.6)</f>
        <v>75.6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IFERROR(__xludf.DUMMYFUNCTION("""COMPUTED_VALUE"""),79.5)</f>
        <v>79.5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IFERROR(__xludf.DUMMYFUNCTION("""COMPUTED_VALUE"""),78.9)</f>
        <v>78.9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IFERROR(__xludf.DUMMYFUNCTION("""COMPUTED_VALUE"""),79.0)</f>
        <v>79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IFERROR(__xludf.DUMMYFUNCTION("""COMPUTED_VALUE"""),76.95)</f>
        <v>76.95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IFERROR(__xludf.DUMMYFUNCTION("""COMPUTED_VALUE"""),83.5)</f>
        <v>83.5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IFERROR(__xludf.DUMMYFUNCTION("""COMPUTED_VALUE"""),83.5)</f>
        <v>83.5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IFERROR(__xludf.DUMMYFUNCTION("""COMPUTED_VALUE"""),84.2)</f>
        <v>84.2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IFERROR(__xludf.DUMMYFUNCTION("""COMPUTED_VALUE"""),86.8)</f>
        <v>86.8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IFERROR(__xludf.DUMMYFUNCTION("""COMPUTED_VALUE"""),91.6)</f>
        <v>91.6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IFERROR(__xludf.DUMMYFUNCTION("""COMPUTED_VALUE"""),92.73)</f>
        <v>92.73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IFERROR(__xludf.DUMMYFUNCTION("""COMPUTED_VALUE"""),93.8)</f>
        <v>93.8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IFERROR(__xludf.DUMMYFUNCTION("""COMPUTED_VALUE"""),93.8)</f>
        <v>93.8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IFERROR(__xludf.DUMMYFUNCTION("""COMPUTED_VALUE"""),94.5)</f>
        <v>94.5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IFERROR(__xludf.DUMMYFUNCTION("""COMPUTED_VALUE"""),95.4)</f>
        <v>95.4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IFERROR(__xludf.DUMMYFUNCTION("""COMPUTED_VALUE"""),94.9)</f>
        <v>94.9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IFERROR(__xludf.DUMMYFUNCTION("""COMPUTED_VALUE"""),94.0)</f>
        <v>94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IFERROR(__xludf.DUMMYFUNCTION("""COMPUTED_VALUE"""),92.7)</f>
        <v>92.7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IFERROR(__xludf.DUMMYFUNCTION("""COMPUTED_VALUE"""),92.9)</f>
        <v>92.9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IFERROR(__xludf.DUMMYFUNCTION("""COMPUTED_VALUE"""),97.4)</f>
        <v>97.4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IFERROR(__xludf.DUMMYFUNCTION("""COMPUTED_VALUE"""),99.9)</f>
        <v>99.9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IFERROR(__xludf.DUMMYFUNCTION("""COMPUTED_VALUE"""),100.9)</f>
        <v>100.9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IFERROR(__xludf.DUMMYFUNCTION("""COMPUTED_VALUE"""),106.4)</f>
        <v>106.4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IFERROR(__xludf.DUMMYFUNCTION("""COMPUTED_VALUE"""),105.5)</f>
        <v>105.5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IFERROR(__xludf.DUMMYFUNCTION("""COMPUTED_VALUE"""),101.3)</f>
        <v>101.3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IFERROR(__xludf.DUMMYFUNCTION("""COMPUTED_VALUE"""),98.97)</f>
        <v>98.97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IFERROR(__xludf.DUMMYFUNCTION("""COMPUTED_VALUE"""),100.4)</f>
        <v>100.4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IFERROR(__xludf.DUMMYFUNCTION("GOOGLEFINANCE(""NSE:SUNPHARMA"",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IFERROR(__xludf.DUMMYFUNCTION("""COMPUTED_VALUE"""),100.2)</f>
        <v>100.2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IFERROR(__xludf.DUMMYFUNCTION("""COMPUTED_VALUE"""),104.58)</f>
        <v>104.58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IFERROR(__xludf.DUMMYFUNCTION("""COMPUTED_VALUE"""),106.29)</f>
        <v>106.29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IFERROR(__xludf.DUMMYFUNCTION("""COMPUTED_VALUE"""),108.08)</f>
        <v>108.08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IFERROR(__xludf.DUMMYFUNCTION("""COMPUTED_VALUE"""),105.5)</f>
        <v>105.5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IFERROR(__xludf.DUMMYFUNCTION("""COMPUTED_VALUE"""),106.98)</f>
        <v>106.98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IFERROR(__xludf.DUMMYFUNCTION("""COMPUTED_VALUE"""),104.0)</f>
        <v>104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IFERROR(__xludf.DUMMYFUNCTION("""COMPUTED_VALUE"""),104.78)</f>
        <v>104.78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IFERROR(__xludf.DUMMYFUNCTION("""COMPUTED_VALUE"""),100.0)</f>
        <v>100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IFERROR(__xludf.DUMMYFUNCTION("""COMPUTED_VALUE"""),99.0)</f>
        <v>99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IFERROR(__xludf.DUMMYFUNCTION("""COMPUTED_VALUE"""),104.0)</f>
        <v>104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IFERROR(__xludf.DUMMYFUNCTION("""COMPUTED_VALUE"""),104.2)</f>
        <v>104.2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IFERROR(__xludf.DUMMYFUNCTION("""COMPUTED_VALUE"""),106.45)</f>
        <v>106.45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IFERROR(__xludf.DUMMYFUNCTION("""COMPUTED_VALUE"""),105.7)</f>
        <v>105.7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IFERROR(__xludf.DUMMYFUNCTION("""COMPUTED_VALUE"""),111.7)</f>
        <v>111.7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IFERROR(__xludf.DUMMYFUNCTION("""COMPUTED_VALUE"""),120.0)</f>
        <v>120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IFERROR(__xludf.DUMMYFUNCTION("""COMPUTED_VALUE"""),111.1)</f>
        <v>111.1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IFERROR(__xludf.DUMMYFUNCTION("""COMPUTED_VALUE"""),105.0)</f>
        <v>105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IFERROR(__xludf.DUMMYFUNCTION("""COMPUTED_VALUE"""),102.9)</f>
        <v>102.9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IFERROR(__xludf.DUMMYFUNCTION("""COMPUTED_VALUE"""),106.03)</f>
        <v>106.03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IFERROR(__xludf.DUMMYFUNCTION("""COMPUTED_VALUE"""),111.0)</f>
        <v>111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IFERROR(__xludf.DUMMYFUNCTION("""COMPUTED_VALUE"""),113.5)</f>
        <v>113.5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IFERROR(__xludf.DUMMYFUNCTION("""COMPUTED_VALUE"""),111.8)</f>
        <v>111.8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IFERROR(__xludf.DUMMYFUNCTION("""COMPUTED_VALUE"""),110.7)</f>
        <v>110.7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IFERROR(__xludf.DUMMYFUNCTION("""COMPUTED_VALUE"""),108.0)</f>
        <v>108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IFERROR(__xludf.DUMMYFUNCTION("""COMPUTED_VALUE"""),106.99)</f>
        <v>106.99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IFERROR(__xludf.DUMMYFUNCTION("""COMPUTED_VALUE"""),105.3)</f>
        <v>105.3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IFERROR(__xludf.DUMMYFUNCTION("""COMPUTED_VALUE"""),102.73)</f>
        <v>102.73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IFERROR(__xludf.DUMMYFUNCTION("""COMPUTED_VALUE"""),102.5)</f>
        <v>102.5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IFERROR(__xludf.DUMMYFUNCTION("""COMPUTED_VALUE"""),99.9)</f>
        <v>99.9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IFERROR(__xludf.DUMMYFUNCTION("""COMPUTED_VALUE"""),98.25)</f>
        <v>98.25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IFERROR(__xludf.DUMMYFUNCTION("""COMPUTED_VALUE"""),95.89)</f>
        <v>95.89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IFERROR(__xludf.DUMMYFUNCTION("""COMPUTED_VALUE"""),95.0)</f>
        <v>95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IFERROR(__xludf.DUMMYFUNCTION("""COMPUTED_VALUE"""),97.5)</f>
        <v>97.5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IFERROR(__xludf.DUMMYFUNCTION("""COMPUTED_VALUE"""),94.5)</f>
        <v>94.5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IFERROR(__xludf.DUMMYFUNCTION("""COMPUTED_VALUE"""),102.0)</f>
        <v>102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IFERROR(__xludf.DUMMYFUNCTION("""COMPUTED_VALUE"""),103.8)</f>
        <v>103.8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IFERROR(__xludf.DUMMYFUNCTION("""COMPUTED_VALUE"""),101.93)</f>
        <v>101.93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IFERROR(__xludf.DUMMYFUNCTION("""COMPUTED_VALUE"""),99.5)</f>
        <v>99.5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IFERROR(__xludf.DUMMYFUNCTION("""COMPUTED_VALUE"""),98.1)</f>
        <v>98.1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IFERROR(__xludf.DUMMYFUNCTION("""COMPUTED_VALUE"""),98.8)</f>
        <v>98.8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IFERROR(__xludf.DUMMYFUNCTION("""COMPUTED_VALUE"""),101.0)</f>
        <v>101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IFERROR(__xludf.DUMMYFUNCTION("""COMPUTED_VALUE"""),104.77)</f>
        <v>104.77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IFERROR(__xludf.DUMMYFUNCTION("""COMPUTED_VALUE"""),107.9)</f>
        <v>107.9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IFERROR(__xludf.DUMMYFUNCTION("""COMPUTED_VALUE"""),115.0)</f>
        <v>115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IFERROR(__xludf.DUMMYFUNCTION("""COMPUTED_VALUE"""),116.79)</f>
        <v>116.79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IFERROR(__xludf.DUMMYFUNCTION("""COMPUTED_VALUE"""),112.8)</f>
        <v>112.8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IFERROR(__xludf.DUMMYFUNCTION("""COMPUTED_VALUE"""),113.5)</f>
        <v>113.5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IFERROR(__xludf.DUMMYFUNCTION("""COMPUTED_VALUE"""),119.0)</f>
        <v>119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IFERROR(__xludf.DUMMYFUNCTION("""COMPUTED_VALUE"""),119.6)</f>
        <v>119.6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IFERROR(__xludf.DUMMYFUNCTION("""COMPUTED_VALUE"""),127.39)</f>
        <v>127.39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IFERROR(__xludf.DUMMYFUNCTION("GOOGLEFINANCE(""NSE:SUNPHARMA"",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IFERROR(__xludf.DUMMYFUNCTION("""COMPUTED_VALUE"""),123.4)</f>
        <v>123.4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IFERROR(__xludf.DUMMYFUNCTION("""COMPUTED_VALUE"""),115.1)</f>
        <v>115.1</v>
      </c>
    </row>
    <row r="334" ht="15.75" customHeight="1">
      <c r="B334" s="3">
        <f>IFERROR(__xludf.DUMMYFUNCTION("""COMPUTED_VALUE"""),39465.645833333336)</f>
        <v>39465.64583</v>
      </c>
      <c r="C334" s="2">
        <f>IFERROR(__xludf.DUMMYFUNCTION("""COMPUTED_VALUE"""),115.7)</f>
        <v>115.7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IFERROR(__xludf.DUMMYFUNCTION("""COMPUTED_VALUE"""),109.1)</f>
        <v>109.1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IFERROR(__xludf.DUMMYFUNCTION("""COMPUTED_VALUE"""),117.49)</f>
        <v>117.49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IFERROR(__xludf.DUMMYFUNCTION("""COMPUTED_VALUE"""),117.4)</f>
        <v>117.4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IFERROR(__xludf.DUMMYFUNCTION("""COMPUTED_VALUE"""),115.0)</f>
        <v>115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IFERROR(__xludf.DUMMYFUNCTION("""COMPUTED_VALUE"""),115.0)</f>
        <v>115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IFERROR(__xludf.DUMMYFUNCTION("""COMPUTED_VALUE"""),128.0)</f>
        <v>128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IFERROR(__xludf.DUMMYFUNCTION("""COMPUTED_VALUE"""),135.0)</f>
        <v>135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IFERROR(__xludf.DUMMYFUNCTION("""COMPUTED_VALUE"""),138.5)</f>
        <v>138.5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IFERROR(__xludf.DUMMYFUNCTION("""COMPUTED_VALUE"""),129.98)</f>
        <v>129.98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IFERROR(__xludf.DUMMYFUNCTION("""COMPUTED_VALUE"""),131.4)</f>
        <v>131.4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IFERROR(__xludf.DUMMYFUNCTION("""COMPUTED_VALUE"""),130.0)</f>
        <v>130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IFERROR(__xludf.DUMMYFUNCTION("""COMPUTED_VALUE"""),130.48)</f>
        <v>130.48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IFERROR(__xludf.DUMMYFUNCTION("""COMPUTED_VALUE"""),129.5)</f>
        <v>129.5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IFERROR(__xludf.DUMMYFUNCTION("""COMPUTED_VALUE"""),140.2)</f>
        <v>140.2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IFERROR(__xludf.DUMMYFUNCTION("""COMPUTED_VALUE"""),152.01)</f>
        <v>152.01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IFERROR(__xludf.DUMMYFUNCTION("""COMPUTED_VALUE"""),146.5)</f>
        <v>146.5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IFERROR(__xludf.DUMMYFUNCTION("""COMPUTED_VALUE"""),141.5)</f>
        <v>141.5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IFERROR(__xludf.DUMMYFUNCTION("""COMPUTED_VALUE"""),139.78)</f>
        <v>139.78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IFERROR(__xludf.DUMMYFUNCTION("""COMPUTED_VALUE"""),147.0)</f>
        <v>147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IFERROR(__xludf.DUMMYFUNCTION("""COMPUTED_VALUE"""),148.38)</f>
        <v>148.38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IFERROR(__xludf.DUMMYFUNCTION("""COMPUTED_VALUE"""),150.47)</f>
        <v>150.47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IFERROR(__xludf.DUMMYFUNCTION("""COMPUTED_VALUE"""),151.0)</f>
        <v>151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IFERROR(__xludf.DUMMYFUNCTION("""COMPUTED_VALUE"""),146.98)</f>
        <v>146.98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IFERROR(__xludf.DUMMYFUNCTION("""COMPUTED_VALUE"""),142.5)</f>
        <v>142.5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IFERROR(__xludf.DUMMYFUNCTION("""COMPUTED_VALUE"""),134.6)</f>
        <v>134.6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IFERROR(__xludf.DUMMYFUNCTION("""COMPUTED_VALUE"""),135.7)</f>
        <v>135.7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IFERROR(__xludf.DUMMYFUNCTION("""COMPUTED_VALUE"""),148.7)</f>
        <v>148.7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IFERROR(__xludf.DUMMYFUNCTION("""COMPUTED_VALUE"""),145.4)</f>
        <v>145.4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IFERROR(__xludf.DUMMYFUNCTION("""COMPUTED_VALUE"""),147.87)</f>
        <v>147.87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IFERROR(__xludf.DUMMYFUNCTION("""COMPUTED_VALUE"""),147.0)</f>
        <v>147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IFERROR(__xludf.DUMMYFUNCTION("""COMPUTED_VALUE"""),152.1)</f>
        <v>152.1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IFERROR(__xludf.DUMMYFUNCTION("""COMPUTED_VALUE"""),152.98)</f>
        <v>152.98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IFERROR(__xludf.DUMMYFUNCTION("""COMPUTED_VALUE"""),155.0)</f>
        <v>155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IFERROR(__xludf.DUMMYFUNCTION("""COMPUTED_VALUE"""),155.69)</f>
        <v>155.69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IFERROR(__xludf.DUMMYFUNCTION("""COMPUTED_VALUE"""),150.0)</f>
        <v>150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IFERROR(__xludf.DUMMYFUNCTION("""COMPUTED_VALUE"""),151.5)</f>
        <v>151.5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IFERROR(__xludf.DUMMYFUNCTION("""COMPUTED_VALUE"""),150.8)</f>
        <v>150.8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IFERROR(__xludf.DUMMYFUNCTION("""COMPUTED_VALUE"""),147.5)</f>
        <v>147.5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IFERROR(__xludf.DUMMYFUNCTION("""COMPUTED_VALUE"""),143.7)</f>
        <v>143.7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IFERROR(__xludf.DUMMYFUNCTION("""COMPUTED_VALUE"""),141.0)</f>
        <v>141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IFERROR(__xludf.DUMMYFUNCTION("""COMPUTED_VALUE"""),129.69)</f>
        <v>129.69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IFERROR(__xludf.DUMMYFUNCTION("""COMPUTED_VALUE"""),121.65)</f>
        <v>121.65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IFERROR(__xludf.DUMMYFUNCTION("""COMPUTED_VALUE"""),129.1)</f>
        <v>129.1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IFERROR(__xludf.DUMMYFUNCTION("""COMPUTED_VALUE"""),120.0)</f>
        <v>120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IFERROR(__xludf.DUMMYFUNCTION("""COMPUTED_VALUE"""),112.9)</f>
        <v>112.9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IFERROR(__xludf.DUMMYFUNCTION("""COMPUTED_VALUE"""),114.99)</f>
        <v>114.99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IFERROR(__xludf.DUMMYFUNCTION("""COMPUTED_VALUE"""),111.96)</f>
        <v>111.96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IFERROR(__xludf.DUMMYFUNCTION("""COMPUTED_VALUE"""),113.2)</f>
        <v>113.2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IFERROR(__xludf.DUMMYFUNCTION("""COMPUTED_VALUE"""),109.3)</f>
        <v>109.3</v>
      </c>
    </row>
    <row r="384" ht="15.75" customHeight="1"/>
    <row r="385" ht="15.75" customHeight="1"/>
    <row r="386" ht="15.75" customHeight="1">
      <c r="B386" s="2" t="str">
        <f>IFERROR(__xludf.DUMMYFUNCTION("GOOGLEFINANCE(""NSE:SUNPHARMA"",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IFERROR(__xludf.DUMMYFUNCTION("""COMPUTED_VALUE"""),108.28)</f>
        <v>108.28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IFERROR(__xludf.DUMMYFUNCTION("""COMPUTED_VALUE"""),111.47)</f>
        <v>111.47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IFERROR(__xludf.DUMMYFUNCTION("""COMPUTED_VALUE"""),114.89)</f>
        <v>114.89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IFERROR(__xludf.DUMMYFUNCTION("""COMPUTED_VALUE"""),113.9)</f>
        <v>113.9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IFERROR(__xludf.DUMMYFUNCTION("""COMPUTED_VALUE"""),118.0)</f>
        <v>118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IFERROR(__xludf.DUMMYFUNCTION("""COMPUTED_VALUE"""),108.3)</f>
        <v>108.3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IFERROR(__xludf.DUMMYFUNCTION("""COMPUTED_VALUE"""),112.5)</f>
        <v>112.5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IFERROR(__xludf.DUMMYFUNCTION("""COMPUTED_VALUE"""),107.83)</f>
        <v>107.83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IFERROR(__xludf.DUMMYFUNCTION("""COMPUTED_VALUE"""),103.2)</f>
        <v>103.2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IFERROR(__xludf.DUMMYFUNCTION("""COMPUTED_VALUE"""),102.86)</f>
        <v>102.86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IFERROR(__xludf.DUMMYFUNCTION("""COMPUTED_VALUE"""),105.49)</f>
        <v>105.49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IFERROR(__xludf.DUMMYFUNCTION("""COMPUTED_VALUE"""),104.1)</f>
        <v>104.1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IFERROR(__xludf.DUMMYFUNCTION("""COMPUTED_VALUE"""),110.8)</f>
        <v>110.8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IFERROR(__xludf.DUMMYFUNCTION("""COMPUTED_VALUE"""),112.4)</f>
        <v>112.4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IFERROR(__xludf.DUMMYFUNCTION("""COMPUTED_VALUE"""),113.2)</f>
        <v>113.2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IFERROR(__xludf.DUMMYFUNCTION("""COMPUTED_VALUE"""),125.0)</f>
        <v>125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IFERROR(__xludf.DUMMYFUNCTION("""COMPUTED_VALUE"""),123.5)</f>
        <v>123.5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IFERROR(__xludf.DUMMYFUNCTION("""COMPUTED_VALUE"""),128.9)</f>
        <v>128.9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IFERROR(__xludf.DUMMYFUNCTION("""COMPUTED_VALUE"""),132.6)</f>
        <v>132.6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IFERROR(__xludf.DUMMYFUNCTION("""COMPUTED_VALUE"""),139.8)</f>
        <v>139.8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IFERROR(__xludf.DUMMYFUNCTION("""COMPUTED_VALUE"""),159.9)</f>
        <v>159.9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IFERROR(__xludf.DUMMYFUNCTION("""COMPUTED_VALUE"""),137.38)</f>
        <v>137.38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IFERROR(__xludf.DUMMYFUNCTION("""COMPUTED_VALUE"""),135.5)</f>
        <v>135.5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IFERROR(__xludf.DUMMYFUNCTION("""COMPUTED_VALUE"""),139.3)</f>
        <v>139.3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IFERROR(__xludf.DUMMYFUNCTION("""COMPUTED_VALUE"""),135.0)</f>
        <v>135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IFERROR(__xludf.DUMMYFUNCTION("""COMPUTED_VALUE"""),137.0)</f>
        <v>137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IFERROR(__xludf.DUMMYFUNCTION("""COMPUTED_VALUE"""),117.45)</f>
        <v>117.45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IFERROR(__xludf.DUMMYFUNCTION("""COMPUTED_VALUE"""),118.4)</f>
        <v>118.4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IFERROR(__xludf.DUMMYFUNCTION("""COMPUTED_VALUE"""),126.6)</f>
        <v>126.6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IFERROR(__xludf.DUMMYFUNCTION("""COMPUTED_VALUE"""),130.5)</f>
        <v>130.5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IFERROR(__xludf.DUMMYFUNCTION("""COMPUTED_VALUE"""),127.0)</f>
        <v>127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IFERROR(__xludf.DUMMYFUNCTION("""COMPUTED_VALUE"""),122.91)</f>
        <v>122.91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IFERROR(__xludf.DUMMYFUNCTION("""COMPUTED_VALUE"""),126.0)</f>
        <v>126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IFERROR(__xludf.DUMMYFUNCTION("""COMPUTED_VALUE"""),122.0)</f>
        <v>122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IFERROR(__xludf.DUMMYFUNCTION("""COMPUTED_VALUE"""),122.4)</f>
        <v>122.4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IFERROR(__xludf.DUMMYFUNCTION("""COMPUTED_VALUE"""),121.77)</f>
        <v>121.77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IFERROR(__xludf.DUMMYFUNCTION("""COMPUTED_VALUE"""),124.0)</f>
        <v>124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IFERROR(__xludf.DUMMYFUNCTION("""COMPUTED_VALUE"""),124.88)</f>
        <v>124.88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IFERROR(__xludf.DUMMYFUNCTION("""COMPUTED_VALUE"""),131.99)</f>
        <v>131.99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IFERROR(__xludf.DUMMYFUNCTION("""COMPUTED_VALUE"""),143.4)</f>
        <v>143.4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IFERROR(__xludf.DUMMYFUNCTION("""COMPUTED_VALUE"""),144.8)</f>
        <v>144.8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IFERROR(__xludf.DUMMYFUNCTION("""COMPUTED_VALUE"""),137.43)</f>
        <v>137.43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IFERROR(__xludf.DUMMYFUNCTION("""COMPUTED_VALUE"""),142.99)</f>
        <v>142.99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IFERROR(__xludf.DUMMYFUNCTION("""COMPUTED_VALUE"""),142.35)</f>
        <v>142.35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IFERROR(__xludf.DUMMYFUNCTION("""COMPUTED_VALUE"""),151.87)</f>
        <v>151.87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IFERROR(__xludf.DUMMYFUNCTION("""COMPUTED_VALUE"""),149.91)</f>
        <v>149.91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IFERROR(__xludf.DUMMYFUNCTION("""COMPUTED_VALUE"""),149.8)</f>
        <v>149.8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IFERROR(__xludf.DUMMYFUNCTION("""COMPUTED_VALUE"""),160.0)</f>
        <v>160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IFERROR(__xludf.DUMMYFUNCTION("""COMPUTED_VALUE"""),149.79)</f>
        <v>149.79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IFERROR(__xludf.DUMMYFUNCTION("""COMPUTED_VALUE"""),152.25)</f>
        <v>152.25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IFERROR(__xludf.DUMMYFUNCTION("""COMPUTED_VALUE"""),157.64)</f>
        <v>157.64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IFERROR(__xludf.DUMMYFUNCTION("""COMPUTED_VALUE"""),158.4)</f>
        <v>158.4</v>
      </c>
    </row>
    <row r="439" ht="15.75" customHeight="1"/>
    <row r="440" ht="15.75" customHeight="1"/>
    <row r="441" ht="15.75" customHeight="1">
      <c r="B441" s="2" t="str">
        <f>IFERROR(__xludf.DUMMYFUNCTION("GOOGLEFINANCE(""NSE:SUNPHARMA"",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IFERROR(__xludf.DUMMYFUNCTION("""COMPUTED_VALUE"""),160.5)</f>
        <v>160.5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IFERROR(__xludf.DUMMYFUNCTION("""COMPUTED_VALUE"""),159.44)</f>
        <v>159.44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IFERROR(__xludf.DUMMYFUNCTION("""COMPUTED_VALUE"""),154.79)</f>
        <v>154.79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IFERROR(__xludf.DUMMYFUNCTION("""COMPUTED_VALUE"""),152.5)</f>
        <v>152.5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IFERROR(__xludf.DUMMYFUNCTION("""COMPUTED_VALUE"""),155.1)</f>
        <v>155.1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IFERROR(__xludf.DUMMYFUNCTION("""COMPUTED_VALUE"""),157.0)</f>
        <v>157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IFERROR(__xludf.DUMMYFUNCTION("""COMPUTED_VALUE"""),157.9)</f>
        <v>157.9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IFERROR(__xludf.DUMMYFUNCTION("""COMPUTED_VALUE"""),161.82)</f>
        <v>161.82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IFERROR(__xludf.DUMMYFUNCTION("""COMPUTED_VALUE"""),171.0)</f>
        <v>171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IFERROR(__xludf.DUMMYFUNCTION("""COMPUTED_VALUE"""),172.29)</f>
        <v>172.29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IFERROR(__xludf.DUMMYFUNCTION("""COMPUTED_VALUE"""),178.5)</f>
        <v>178.5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IFERROR(__xludf.DUMMYFUNCTION("""COMPUTED_VALUE"""),181.2)</f>
        <v>181.2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IFERROR(__xludf.DUMMYFUNCTION("""COMPUTED_VALUE"""),185.3)</f>
        <v>185.3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IFERROR(__xludf.DUMMYFUNCTION("""COMPUTED_VALUE"""),181.98)</f>
        <v>181.98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IFERROR(__xludf.DUMMYFUNCTION("""COMPUTED_VALUE"""),181.47)</f>
        <v>181.47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IFERROR(__xludf.DUMMYFUNCTION("""COMPUTED_VALUE"""),169.0)</f>
        <v>169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IFERROR(__xludf.DUMMYFUNCTION("""COMPUTED_VALUE"""),159.5)</f>
        <v>159.5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IFERROR(__xludf.DUMMYFUNCTION("""COMPUTED_VALUE"""),159.99)</f>
        <v>159.99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IFERROR(__xludf.DUMMYFUNCTION("""COMPUTED_VALUE"""),159.5)</f>
        <v>159.5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IFERROR(__xludf.DUMMYFUNCTION("""COMPUTED_VALUE"""),165.0)</f>
        <v>165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IFERROR(__xludf.DUMMYFUNCTION("""COMPUTED_VALUE"""),172.56)</f>
        <v>172.56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IFERROR(__xludf.DUMMYFUNCTION("""COMPUTED_VALUE"""),172.42)</f>
        <v>172.42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IFERROR(__xludf.DUMMYFUNCTION("""COMPUTED_VALUE"""),172.19)</f>
        <v>172.19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IFERROR(__xludf.DUMMYFUNCTION("""COMPUTED_VALUE"""),182.5)</f>
        <v>182.5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IFERROR(__xludf.DUMMYFUNCTION("""COMPUTED_VALUE"""),181.25)</f>
        <v>181.25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IFERROR(__xludf.DUMMYFUNCTION("""COMPUTED_VALUE"""),180.86)</f>
        <v>180.86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IFERROR(__xludf.DUMMYFUNCTION("""COMPUTED_VALUE"""),178.0)</f>
        <v>178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IFERROR(__xludf.DUMMYFUNCTION("""COMPUTED_VALUE"""),176.39)</f>
        <v>176.39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IFERROR(__xludf.DUMMYFUNCTION("""COMPUTED_VALUE"""),184.0)</f>
        <v>184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IFERROR(__xludf.DUMMYFUNCTION("""COMPUTED_VALUE"""),179.79)</f>
        <v>179.79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IFERROR(__xludf.DUMMYFUNCTION("""COMPUTED_VALUE"""),178.8)</f>
        <v>178.8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IFERROR(__xludf.DUMMYFUNCTION("""COMPUTED_VALUE"""),181.3)</f>
        <v>181.3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IFERROR(__xludf.DUMMYFUNCTION("""COMPUTED_VALUE"""),185.7)</f>
        <v>185.7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IFERROR(__xludf.DUMMYFUNCTION("""COMPUTED_VALUE"""),178.5)</f>
        <v>178.5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IFERROR(__xludf.DUMMYFUNCTION("""COMPUTED_VALUE"""),184.8)</f>
        <v>184.8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IFERROR(__xludf.DUMMYFUNCTION("""COMPUTED_VALUE"""),189.1)</f>
        <v>189.1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IFERROR(__xludf.DUMMYFUNCTION("""COMPUTED_VALUE"""),198.38)</f>
        <v>198.38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IFERROR(__xludf.DUMMYFUNCTION("""COMPUTED_VALUE"""),204.9)</f>
        <v>204.9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IFERROR(__xludf.DUMMYFUNCTION("""COMPUTED_VALUE"""),208.44)</f>
        <v>208.44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IFERROR(__xludf.DUMMYFUNCTION("""COMPUTED_VALUE"""),212.48)</f>
        <v>212.48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IFERROR(__xludf.DUMMYFUNCTION("""COMPUTED_VALUE"""),214.5)</f>
        <v>214.5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IFERROR(__xludf.DUMMYFUNCTION("""COMPUTED_VALUE"""),215.7)</f>
        <v>215.7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IFERROR(__xludf.DUMMYFUNCTION("""COMPUTED_VALUE"""),229.5)</f>
        <v>229.5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IFERROR(__xludf.DUMMYFUNCTION("""COMPUTED_VALUE"""),238.4)</f>
        <v>238.4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IFERROR(__xludf.DUMMYFUNCTION("""COMPUTED_VALUE"""),235.41)</f>
        <v>235.41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IFERROR(__xludf.DUMMYFUNCTION("""COMPUTED_VALUE"""),237.38)</f>
        <v>237.38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IFERROR(__xludf.DUMMYFUNCTION("""COMPUTED_VALUE"""),229.3)</f>
        <v>229.3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IFERROR(__xludf.DUMMYFUNCTION("""COMPUTED_VALUE"""),233.88)</f>
        <v>233.88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IFERROR(__xludf.DUMMYFUNCTION("""COMPUTED_VALUE"""),229.45)</f>
        <v>229.45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IFERROR(__xludf.DUMMYFUNCTION("""COMPUTED_VALUE"""),238.0)</f>
        <v>238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IFERROR(__xludf.DUMMYFUNCTION("""COMPUTED_VALUE"""),244.8)</f>
        <v>244.8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IFERROR(__xludf.DUMMYFUNCTION("GOOGLEFINANCE(""NSE:SUNPHARMA"",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IFERROR(__xludf.DUMMYFUNCTION("""COMPUTED_VALUE"""),255.88)</f>
        <v>255.88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IFERROR(__xludf.DUMMYFUNCTION("""COMPUTED_VALUE"""),249.5)</f>
        <v>249.5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IFERROR(__xludf.DUMMYFUNCTION("""COMPUTED_VALUE"""),248.18)</f>
        <v>248.18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IFERROR(__xludf.DUMMYFUNCTION("""COMPUTED_VALUE"""),245.9)</f>
        <v>245.9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IFERROR(__xludf.DUMMYFUNCTION("""COMPUTED_VALUE"""),225.75)</f>
        <v>225.75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IFERROR(__xludf.DUMMYFUNCTION("""COMPUTED_VALUE"""),212.38)</f>
        <v>212.38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IFERROR(__xludf.DUMMYFUNCTION("""COMPUTED_VALUE"""),218.25)</f>
        <v>218.25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IFERROR(__xludf.DUMMYFUNCTION("""COMPUTED_VALUE"""),216.2)</f>
        <v>216.2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IFERROR(__xludf.DUMMYFUNCTION("""COMPUTED_VALUE"""),225.0)</f>
        <v>225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IFERROR(__xludf.DUMMYFUNCTION("""COMPUTED_VALUE"""),214.95)</f>
        <v>214.95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IFERROR(__xludf.DUMMYFUNCTION("""COMPUTED_VALUE"""),221.95)</f>
        <v>221.95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IFERROR(__xludf.DUMMYFUNCTION("""COMPUTED_VALUE"""),234.85)</f>
        <v>234.85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IFERROR(__xludf.DUMMYFUNCTION("""COMPUTED_VALUE"""),230.05)</f>
        <v>230.05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IFERROR(__xludf.DUMMYFUNCTION("""COMPUTED_VALUE"""),227.95)</f>
        <v>227.95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IFERROR(__xludf.DUMMYFUNCTION("""COMPUTED_VALUE"""),227.45)</f>
        <v>227.45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IFERROR(__xludf.DUMMYFUNCTION("""COMPUTED_VALUE"""),224.5)</f>
        <v>224.5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IFERROR(__xludf.DUMMYFUNCTION("""COMPUTED_VALUE"""),234.75)</f>
        <v>234.75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IFERROR(__xludf.DUMMYFUNCTION("""COMPUTED_VALUE"""),238.95)</f>
        <v>238.95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IFERROR(__xludf.DUMMYFUNCTION("""COMPUTED_VALUE"""),221.88)</f>
        <v>221.88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IFERROR(__xludf.DUMMYFUNCTION("""COMPUTED_VALUE"""),224.9)</f>
        <v>224.9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IFERROR(__xludf.DUMMYFUNCTION("""COMPUTED_VALUE"""),224.8)</f>
        <v>224.8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IFERROR(__xludf.DUMMYFUNCTION("""COMPUTED_VALUE"""),242.55)</f>
        <v>242.55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IFERROR(__xludf.DUMMYFUNCTION("""COMPUTED_VALUE"""),246.25)</f>
        <v>246.25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IFERROR(__xludf.DUMMYFUNCTION("""COMPUTED_VALUE"""),249.6)</f>
        <v>249.6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IFERROR(__xludf.DUMMYFUNCTION("""COMPUTED_VALUE"""),251.75)</f>
        <v>251.75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IFERROR(__xludf.DUMMYFUNCTION("""COMPUTED_VALUE"""),253.13)</f>
        <v>253.13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IFERROR(__xludf.DUMMYFUNCTION("""COMPUTED_VALUE"""),256.25)</f>
        <v>256.25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IFERROR(__xludf.DUMMYFUNCTION("""COMPUTED_VALUE"""),259.45)</f>
        <v>259.45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IFERROR(__xludf.DUMMYFUNCTION("""COMPUTED_VALUE"""),258.0)</f>
        <v>258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IFERROR(__xludf.DUMMYFUNCTION("""COMPUTED_VALUE"""),270.0)</f>
        <v>270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IFERROR(__xludf.DUMMYFUNCTION("""COMPUTED_VALUE"""),265.75)</f>
        <v>265.75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IFERROR(__xludf.DUMMYFUNCTION("""COMPUTED_VALUE"""),251.9)</f>
        <v>251.9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IFERROR(__xludf.DUMMYFUNCTION("""COMPUTED_VALUE"""),245.5)</f>
        <v>245.5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IFERROR(__xludf.DUMMYFUNCTION("""COMPUTED_VALUE"""),240.25)</f>
        <v>240.25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IFERROR(__xludf.DUMMYFUNCTION("""COMPUTED_VALUE"""),255.4)</f>
        <v>255.4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IFERROR(__xludf.DUMMYFUNCTION("""COMPUTED_VALUE"""),254.55)</f>
        <v>254.55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IFERROR(__xludf.DUMMYFUNCTION("""COMPUTED_VALUE"""),248.35)</f>
        <v>248.35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IFERROR(__xludf.DUMMYFUNCTION("""COMPUTED_VALUE"""),248.5)</f>
        <v>248.5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IFERROR(__xludf.DUMMYFUNCTION("""COMPUTED_VALUE"""),237.6)</f>
        <v>237.6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IFERROR(__xludf.DUMMYFUNCTION("""COMPUTED_VALUE"""),238.88)</f>
        <v>238.88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IFERROR(__xludf.DUMMYFUNCTION("""COMPUTED_VALUE"""),243.48)</f>
        <v>243.48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IFERROR(__xludf.DUMMYFUNCTION("""COMPUTED_VALUE"""),248.5)</f>
        <v>248.5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IFERROR(__xludf.DUMMYFUNCTION("""COMPUTED_VALUE"""),257.5)</f>
        <v>257.5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IFERROR(__xludf.DUMMYFUNCTION("""COMPUTED_VALUE"""),257.95)</f>
        <v>257.95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IFERROR(__xludf.DUMMYFUNCTION("""COMPUTED_VALUE"""),257.48)</f>
        <v>257.48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IFERROR(__xludf.DUMMYFUNCTION("""COMPUTED_VALUE"""),262.48)</f>
        <v>262.48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IFERROR(__xludf.DUMMYFUNCTION("""COMPUTED_VALUE"""),253.88)</f>
        <v>253.88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IFERROR(__xludf.DUMMYFUNCTION("""COMPUTED_VALUE"""),269.0)</f>
        <v>269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IFERROR(__xludf.DUMMYFUNCTION("""COMPUTED_VALUE"""),269.98)</f>
        <v>269.98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IFERROR(__xludf.DUMMYFUNCTION("""COMPUTED_VALUE"""),264.5)</f>
        <v>264.5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IFERROR(__xludf.DUMMYFUNCTION("""COMPUTED_VALUE"""),257.7)</f>
        <v>257.7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IFERROR(__xludf.DUMMYFUNCTION("""COMPUTED_VALUE"""),254.85)</f>
        <v>254.85</v>
      </c>
    </row>
    <row r="549" ht="15.75" customHeight="1"/>
    <row r="550" ht="15.75" customHeight="1"/>
    <row r="551" ht="15.75" customHeight="1">
      <c r="B551" s="2" t="str">
        <f>IFERROR(__xludf.DUMMYFUNCTION("GOOGLEFINANCE(""NSE:SUNPHARMA"",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IFERROR(__xludf.DUMMYFUNCTION("""COMPUTED_VALUE"""),262.88)</f>
        <v>262.88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IFERROR(__xludf.DUMMYFUNCTION("""COMPUTED_VALUE"""),267.9)</f>
        <v>267.9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IFERROR(__xludf.DUMMYFUNCTION("""COMPUTED_VALUE"""),267.45)</f>
        <v>267.45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IFERROR(__xludf.DUMMYFUNCTION("""COMPUTED_VALUE"""),279.0)</f>
        <v>279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IFERROR(__xludf.DUMMYFUNCTION("""COMPUTED_VALUE"""),282.5)</f>
        <v>282.5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IFERROR(__xludf.DUMMYFUNCTION("""COMPUTED_VALUE"""),282.48)</f>
        <v>282.48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IFERROR(__xludf.DUMMYFUNCTION("""COMPUTED_VALUE"""),278.58)</f>
        <v>278.58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IFERROR(__xludf.DUMMYFUNCTION("""COMPUTED_VALUE"""),288.0)</f>
        <v>288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IFERROR(__xludf.DUMMYFUNCTION("""COMPUTED_VALUE"""),297.0)</f>
        <v>297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IFERROR(__xludf.DUMMYFUNCTION("""COMPUTED_VALUE"""),292.45)</f>
        <v>292.45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IFERROR(__xludf.DUMMYFUNCTION("""COMPUTED_VALUE"""),293.0)</f>
        <v>293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IFERROR(__xludf.DUMMYFUNCTION("""COMPUTED_VALUE"""),288.58)</f>
        <v>288.58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IFERROR(__xludf.DUMMYFUNCTION("""COMPUTED_VALUE"""),296.0)</f>
        <v>296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IFERROR(__xludf.DUMMYFUNCTION("""COMPUTED_VALUE"""),303.5)</f>
        <v>303.5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IFERROR(__xludf.DUMMYFUNCTION("""COMPUTED_VALUE"""),304.48)</f>
        <v>304.48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IFERROR(__xludf.DUMMYFUNCTION("""COMPUTED_VALUE"""),305.38)</f>
        <v>305.38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IFERROR(__xludf.DUMMYFUNCTION("""COMPUTED_VALUE"""),299.25)</f>
        <v>299.25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IFERROR(__xludf.DUMMYFUNCTION("""COMPUTED_VALUE"""),298.5)</f>
        <v>298.5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IFERROR(__xludf.DUMMYFUNCTION("""COMPUTED_VALUE"""),290.98)</f>
        <v>290.98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IFERROR(__xludf.DUMMYFUNCTION("""COMPUTED_VALUE"""),293.6)</f>
        <v>293.6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IFERROR(__xludf.DUMMYFUNCTION("""COMPUTED_VALUE"""),298.25)</f>
        <v>298.25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IFERROR(__xludf.DUMMYFUNCTION("""COMPUTED_VALUE"""),309.52)</f>
        <v>309.52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IFERROR(__xludf.DUMMYFUNCTION("""COMPUTED_VALUE"""),322.4)</f>
        <v>322.4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IFERROR(__xludf.DUMMYFUNCTION("""COMPUTED_VALUE"""),320.0)</f>
        <v>320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IFERROR(__xludf.DUMMYFUNCTION("""COMPUTED_VALUE"""),317.25)</f>
        <v>317.25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IFERROR(__xludf.DUMMYFUNCTION("""COMPUTED_VALUE"""),318.5)</f>
        <v>318.5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IFERROR(__xludf.DUMMYFUNCTION("""COMPUTED_VALUE"""),317.35)</f>
        <v>317.35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IFERROR(__xludf.DUMMYFUNCTION("""COMPUTED_VALUE"""),331.75)</f>
        <v>331.75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IFERROR(__xludf.DUMMYFUNCTION("""COMPUTED_VALUE"""),344.95)</f>
        <v>344.95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IFERROR(__xludf.DUMMYFUNCTION("""COMPUTED_VALUE"""),344.53)</f>
        <v>344.53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IFERROR(__xludf.DUMMYFUNCTION("""COMPUTED_VALUE"""),338.25)</f>
        <v>338.25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IFERROR(__xludf.DUMMYFUNCTION("""COMPUTED_VALUE"""),343.5)</f>
        <v>343.5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IFERROR(__xludf.DUMMYFUNCTION("""COMPUTED_VALUE"""),347.75)</f>
        <v>347.75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IFERROR(__xludf.DUMMYFUNCTION("""COMPUTED_VALUE"""),342.3)</f>
        <v>342.3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IFERROR(__xludf.DUMMYFUNCTION("""COMPUTED_VALUE"""),349.9)</f>
        <v>349.9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IFERROR(__xludf.DUMMYFUNCTION("""COMPUTED_VALUE"""),352.5)</f>
        <v>352.5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IFERROR(__xludf.DUMMYFUNCTION("""COMPUTED_VALUE"""),364.45)</f>
        <v>364.45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IFERROR(__xludf.DUMMYFUNCTION("""COMPUTED_VALUE"""),361.5)</f>
        <v>361.5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IFERROR(__xludf.DUMMYFUNCTION("""COMPUTED_VALUE"""),351.83)</f>
        <v>351.83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IFERROR(__xludf.DUMMYFUNCTION("""COMPUTED_VALUE"""),353.8)</f>
        <v>353.8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IFERROR(__xludf.DUMMYFUNCTION("""COMPUTED_VALUE"""),357.0)</f>
        <v>357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IFERROR(__xludf.DUMMYFUNCTION("""COMPUTED_VALUE"""),349.92)</f>
        <v>349.92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IFERROR(__xludf.DUMMYFUNCTION("""COMPUTED_VALUE"""),354.0)</f>
        <v>354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IFERROR(__xludf.DUMMYFUNCTION("""COMPUTED_VALUE"""),357.48)</f>
        <v>357.48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IFERROR(__xludf.DUMMYFUNCTION("""COMPUTED_VALUE"""),355.83)</f>
        <v>355.83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IFERROR(__xludf.DUMMYFUNCTION("""COMPUTED_VALUE"""),368.48)</f>
        <v>368.48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IFERROR(__xludf.DUMMYFUNCTION("""COMPUTED_VALUE"""),387.95)</f>
        <v>387.95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IFERROR(__xludf.DUMMYFUNCTION("""COMPUTED_VALUE"""),381.55)</f>
        <v>381.55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IFERROR(__xludf.DUMMYFUNCTION("GOOGLEFINANCE(""NSE:SUNPHARMA"",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IFERROR(__xludf.DUMMYFUNCTION("""COMPUTED_VALUE"""),374.9)</f>
        <v>374.9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IFERROR(__xludf.DUMMYFUNCTION("""COMPUTED_VALUE"""),383.33)</f>
        <v>383.33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IFERROR(__xludf.DUMMYFUNCTION("""COMPUTED_VALUE"""),370.23)</f>
        <v>370.23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IFERROR(__xludf.DUMMYFUNCTION("""COMPUTED_VALUE"""),366.42)</f>
        <v>366.42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IFERROR(__xludf.DUMMYFUNCTION("""COMPUTED_VALUE"""),365.17)</f>
        <v>365.17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IFERROR(__xludf.DUMMYFUNCTION("""COMPUTED_VALUE"""),380.0)</f>
        <v>380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IFERROR(__xludf.DUMMYFUNCTION("""COMPUTED_VALUE"""),394.15)</f>
        <v>394.15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IFERROR(__xludf.DUMMYFUNCTION("""COMPUTED_VALUE"""),406.98)</f>
        <v>406.98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IFERROR(__xludf.DUMMYFUNCTION("""COMPUTED_VALUE"""),413.0)</f>
        <v>413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IFERROR(__xludf.DUMMYFUNCTION("""COMPUTED_VALUE"""),411.45)</f>
        <v>411.45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IFERROR(__xludf.DUMMYFUNCTION("""COMPUTED_VALUE"""),421.73)</f>
        <v>421.73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IFERROR(__xludf.DUMMYFUNCTION("""COMPUTED_VALUE"""),424.4)</f>
        <v>424.4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IFERROR(__xludf.DUMMYFUNCTION("""COMPUTED_VALUE"""),414.9)</f>
        <v>414.9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IFERROR(__xludf.DUMMYFUNCTION("""COMPUTED_VALUE"""),438.55)</f>
        <v>438.55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IFERROR(__xludf.DUMMYFUNCTION("""COMPUTED_VALUE"""),441.0)</f>
        <v>441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IFERROR(__xludf.DUMMYFUNCTION("""COMPUTED_VALUE"""),462.45)</f>
        <v>462.45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IFERROR(__xludf.DUMMYFUNCTION("""COMPUTED_VALUE"""),492.85)</f>
        <v>492.85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IFERROR(__xludf.DUMMYFUNCTION("""COMPUTED_VALUE"""),494.7)</f>
        <v>494.7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IFERROR(__xludf.DUMMYFUNCTION("""COMPUTED_VALUE"""),490.88)</f>
        <v>490.88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IFERROR(__xludf.DUMMYFUNCTION("""COMPUTED_VALUE"""),508.25)</f>
        <v>508.25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IFERROR(__xludf.DUMMYFUNCTION("""COMPUTED_VALUE"""),542.4)</f>
        <v>542.4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IFERROR(__xludf.DUMMYFUNCTION("""COMPUTED_VALUE"""),523.42)</f>
        <v>523.42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IFERROR(__xludf.DUMMYFUNCTION("""COMPUTED_VALUE"""),509.9)</f>
        <v>509.9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IFERROR(__xludf.DUMMYFUNCTION("""COMPUTED_VALUE"""),492.95)</f>
        <v>492.95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IFERROR(__xludf.DUMMYFUNCTION("""COMPUTED_VALUE"""),508.05)</f>
        <v>508.05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IFERROR(__xludf.DUMMYFUNCTION("""COMPUTED_VALUE"""),558.3)</f>
        <v>558.3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IFERROR(__xludf.DUMMYFUNCTION("""COMPUTED_VALUE"""),557.5)</f>
        <v>557.5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IFERROR(__xludf.DUMMYFUNCTION("""COMPUTED_VALUE"""),566.25)</f>
        <v>566.25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IFERROR(__xludf.DUMMYFUNCTION("""COMPUTED_VALUE"""),565.5)</f>
        <v>565.5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IFERROR(__xludf.DUMMYFUNCTION("""COMPUTED_VALUE"""),581.1)</f>
        <v>581.1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IFERROR(__xludf.DUMMYFUNCTION("""COMPUTED_VALUE"""),563.9)</f>
        <v>563.9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IFERROR(__xludf.DUMMYFUNCTION("""COMPUTED_VALUE"""),559.0)</f>
        <v>559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IFERROR(__xludf.DUMMYFUNCTION("""COMPUTED_VALUE"""),547.0)</f>
        <v>547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IFERROR(__xludf.DUMMYFUNCTION("""COMPUTED_VALUE"""),541.0)</f>
        <v>541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IFERROR(__xludf.DUMMYFUNCTION("""COMPUTED_VALUE"""),534.8)</f>
        <v>534.8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IFERROR(__xludf.DUMMYFUNCTION("""COMPUTED_VALUE"""),570.9)</f>
        <v>570.9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IFERROR(__xludf.DUMMYFUNCTION("""COMPUTED_VALUE"""),584.65)</f>
        <v>584.65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IFERROR(__xludf.DUMMYFUNCTION("""COMPUTED_VALUE"""),597.5)</f>
        <v>597.5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IFERROR(__xludf.DUMMYFUNCTION("""COMPUTED_VALUE"""),610.0)</f>
        <v>610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IFERROR(__xludf.DUMMYFUNCTION("""COMPUTED_VALUE"""),651.9)</f>
        <v>651.9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IFERROR(__xludf.DUMMYFUNCTION("""COMPUTED_VALUE"""),634.1)</f>
        <v>634.1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IFERROR(__xludf.DUMMYFUNCTION("""COMPUTED_VALUE"""),645.0)</f>
        <v>645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IFERROR(__xludf.DUMMYFUNCTION("""COMPUTED_VALUE"""),621.85)</f>
        <v>621.85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IFERROR(__xludf.DUMMYFUNCTION("""COMPUTED_VALUE"""),613.65)</f>
        <v>613.65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IFERROR(__xludf.DUMMYFUNCTION("""COMPUTED_VALUE"""),623.4)</f>
        <v>623.4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IFERROR(__xludf.DUMMYFUNCTION("""COMPUTED_VALUE"""),615.45)</f>
        <v>615.45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IFERROR(__xludf.DUMMYFUNCTION("""COMPUTED_VALUE"""),591.2)</f>
        <v>591.2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IFERROR(__xludf.DUMMYFUNCTION("""COMPUTED_VALUE"""),601.9)</f>
        <v>601.9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IFERROR(__xludf.DUMMYFUNCTION("""COMPUTED_VALUE"""),597.0)</f>
        <v>597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IFERROR(__xludf.DUMMYFUNCTION("""COMPUTED_VALUE"""),587.35)</f>
        <v>587.35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IFERROR(__xludf.DUMMYFUNCTION("""COMPUTED_VALUE"""),584.8)</f>
        <v>584.8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IFERROR(__xludf.DUMMYFUNCTION("GOOGLEFINANCE(""NSE:SUNPHARMA"",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IFERROR(__xludf.DUMMYFUNCTION("""COMPUTED_VALUE"""),585.0)</f>
        <v>585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IFERROR(__xludf.DUMMYFUNCTION("""COMPUTED_VALUE"""),617.7)</f>
        <v>617.7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IFERROR(__xludf.DUMMYFUNCTION("""COMPUTED_VALUE"""),615.25)</f>
        <v>615.25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IFERROR(__xludf.DUMMYFUNCTION("""COMPUTED_VALUE"""),614.7)</f>
        <v>614.7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IFERROR(__xludf.DUMMYFUNCTION("""COMPUTED_VALUE"""),613.8)</f>
        <v>613.8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IFERROR(__xludf.DUMMYFUNCTION("""COMPUTED_VALUE"""),603.8)</f>
        <v>603.8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IFERROR(__xludf.DUMMYFUNCTION("""COMPUTED_VALUE"""),626.5)</f>
        <v>626.5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IFERROR(__xludf.DUMMYFUNCTION("""COMPUTED_VALUE"""),628.8)</f>
        <v>628.8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IFERROR(__xludf.DUMMYFUNCTION("""COMPUTED_VALUE"""),647.9)</f>
        <v>647.9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IFERROR(__xludf.DUMMYFUNCTION("""COMPUTED_VALUE"""),653.35)</f>
        <v>653.35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IFERROR(__xludf.DUMMYFUNCTION("""COMPUTED_VALUE"""),611.4)</f>
        <v>611.4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IFERROR(__xludf.DUMMYFUNCTION("""COMPUTED_VALUE"""),587.8)</f>
        <v>587.8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IFERROR(__xludf.DUMMYFUNCTION("""COMPUTED_VALUE"""),584.6)</f>
        <v>584.6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IFERROR(__xludf.DUMMYFUNCTION("""COMPUTED_VALUE"""),643.0)</f>
        <v>643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IFERROR(__xludf.DUMMYFUNCTION("""COMPUTED_VALUE"""),633.9)</f>
        <v>633.9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IFERROR(__xludf.DUMMYFUNCTION("""COMPUTED_VALUE"""),635.0)</f>
        <v>635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IFERROR(__xludf.DUMMYFUNCTION("""COMPUTED_VALUE"""),643.95)</f>
        <v>643.95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IFERROR(__xludf.DUMMYFUNCTION("""COMPUTED_VALUE"""),637.5)</f>
        <v>637.5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IFERROR(__xludf.DUMMYFUNCTION("""COMPUTED_VALUE"""),634.55)</f>
        <v>634.55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IFERROR(__xludf.DUMMYFUNCTION("""COMPUTED_VALUE"""),622.55)</f>
        <v>622.55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IFERROR(__xludf.DUMMYFUNCTION("""COMPUTED_VALUE"""),616.05)</f>
        <v>616.05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IFERROR(__xludf.DUMMYFUNCTION("""COMPUTED_VALUE"""),614.0)</f>
        <v>614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IFERROR(__xludf.DUMMYFUNCTION("""COMPUTED_VALUE"""),638.5)</f>
        <v>638.5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IFERROR(__xludf.DUMMYFUNCTION("""COMPUTED_VALUE"""),654.35)</f>
        <v>654.35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IFERROR(__xludf.DUMMYFUNCTION("""COMPUTED_VALUE"""),674.95)</f>
        <v>674.95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IFERROR(__xludf.DUMMYFUNCTION("""COMPUTED_VALUE"""),720.0)</f>
        <v>720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IFERROR(__xludf.DUMMYFUNCTION("""COMPUTED_VALUE"""),753.6)</f>
        <v>753.6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IFERROR(__xludf.DUMMYFUNCTION("""COMPUTED_VALUE"""),753.0)</f>
        <v>753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IFERROR(__xludf.DUMMYFUNCTION("""COMPUTED_VALUE"""),785.0)</f>
        <v>785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IFERROR(__xludf.DUMMYFUNCTION("""COMPUTED_VALUE"""),800.0)</f>
        <v>800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IFERROR(__xludf.DUMMYFUNCTION("""COMPUTED_VALUE"""),779.9)</f>
        <v>779.9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IFERROR(__xludf.DUMMYFUNCTION("""COMPUTED_VALUE"""),816.6)</f>
        <v>816.6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IFERROR(__xludf.DUMMYFUNCTION("""COMPUTED_VALUE"""),867.4)</f>
        <v>867.4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IFERROR(__xludf.DUMMYFUNCTION("""COMPUTED_VALUE"""),875.45)</f>
        <v>875.45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IFERROR(__xludf.DUMMYFUNCTION("""COMPUTED_VALUE"""),878.4)</f>
        <v>878.4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IFERROR(__xludf.DUMMYFUNCTION("""COMPUTED_VALUE"""),872.3)</f>
        <v>872.3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IFERROR(__xludf.DUMMYFUNCTION("""COMPUTED_VALUE"""),824.75)</f>
        <v>824.75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IFERROR(__xludf.DUMMYFUNCTION("""COMPUTED_VALUE"""),821.45)</f>
        <v>821.45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IFERROR(__xludf.DUMMYFUNCTION("""COMPUTED_VALUE"""),865.4)</f>
        <v>865.4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IFERROR(__xludf.DUMMYFUNCTION("""COMPUTED_VALUE"""),868.8)</f>
        <v>868.8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IFERROR(__xludf.DUMMYFUNCTION("""COMPUTED_VALUE"""),827.65)</f>
        <v>827.65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IFERROR(__xludf.DUMMYFUNCTION("""COMPUTED_VALUE"""),815.0)</f>
        <v>815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IFERROR(__xludf.DUMMYFUNCTION("""COMPUTED_VALUE"""),849.95)</f>
        <v>849.95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IFERROR(__xludf.DUMMYFUNCTION("""COMPUTED_VALUE"""),896.5)</f>
        <v>896.5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IFERROR(__xludf.DUMMYFUNCTION("""COMPUTED_VALUE"""),932.5)</f>
        <v>932.5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IFERROR(__xludf.DUMMYFUNCTION("""COMPUTED_VALUE"""),896.9)</f>
        <v>896.9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IFERROR(__xludf.DUMMYFUNCTION("""COMPUTED_VALUE"""),853.7)</f>
        <v>853.7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IFERROR(__xludf.DUMMYFUNCTION("""COMPUTED_VALUE"""),856.5)</f>
        <v>856.5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IFERROR(__xludf.DUMMYFUNCTION("""COMPUTED_VALUE"""),854.45)</f>
        <v>854.45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IFERROR(__xludf.DUMMYFUNCTION("""COMPUTED_VALUE"""),851.95)</f>
        <v>851.95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IFERROR(__xludf.DUMMYFUNCTION("""COMPUTED_VALUE"""),822.35)</f>
        <v>822.35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IFERROR(__xludf.DUMMYFUNCTION("GOOGLEFINANCE(""NSE:SUNPHARMA"",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IFERROR(__xludf.DUMMYFUNCTION("""COMPUTED_VALUE"""),830.5)</f>
        <v>830.5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IFERROR(__xludf.DUMMYFUNCTION("""COMPUTED_VALUE"""),836.0)</f>
        <v>836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IFERROR(__xludf.DUMMYFUNCTION("""COMPUTED_VALUE"""),854.4)</f>
        <v>854.4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IFERROR(__xludf.DUMMYFUNCTION("""COMPUTED_VALUE"""),938.7)</f>
        <v>938.7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IFERROR(__xludf.DUMMYFUNCTION("""COMPUTED_VALUE"""),939.95)</f>
        <v>939.95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IFERROR(__xludf.DUMMYFUNCTION("""COMPUTED_VALUE"""),965.95)</f>
        <v>965.95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IFERROR(__xludf.DUMMYFUNCTION("""COMPUTED_VALUE"""),952.0)</f>
        <v>952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IFERROR(__xludf.DUMMYFUNCTION("""COMPUTED_VALUE"""),930.9)</f>
        <v>930.9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IFERROR(__xludf.DUMMYFUNCTION("""COMPUTED_VALUE"""),1045.95)</f>
        <v>1045.95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IFERROR(__xludf.DUMMYFUNCTION("""COMPUTED_VALUE"""),1055.5)</f>
        <v>1055.5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IFERROR(__xludf.DUMMYFUNCTION("""COMPUTED_VALUE"""),1075.0)</f>
        <v>1075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IFERROR(__xludf.DUMMYFUNCTION("""COMPUTED_VALUE"""),1067.8)</f>
        <v>1067.8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IFERROR(__xludf.DUMMYFUNCTION("""COMPUTED_VALUE"""),1094.0)</f>
        <v>1094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IFERROR(__xludf.DUMMYFUNCTION("""COMPUTED_VALUE"""),1200.8)</f>
        <v>1200.8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IFERROR(__xludf.DUMMYFUNCTION("""COMPUTED_VALUE"""),1161.4)</f>
        <v>1161.4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IFERROR(__xludf.DUMMYFUNCTION("""COMPUTED_VALUE"""),1066.9)</f>
        <v>1066.9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IFERROR(__xludf.DUMMYFUNCTION("""COMPUTED_VALUE"""),957.3)</f>
        <v>957.3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IFERROR(__xludf.DUMMYFUNCTION("""COMPUTED_VALUE"""),960.0)</f>
        <v>960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IFERROR(__xludf.DUMMYFUNCTION("""COMPUTED_VALUE"""),968.45)</f>
        <v>968.45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IFERROR(__xludf.DUMMYFUNCTION("""COMPUTED_VALUE"""),1008.9)</f>
        <v>1008.9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IFERROR(__xludf.DUMMYFUNCTION("""COMPUTED_VALUE"""),1010.0)</f>
        <v>1010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IFERROR(__xludf.DUMMYFUNCTION("""COMPUTED_VALUE"""),917.8)</f>
        <v>917.8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IFERROR(__xludf.DUMMYFUNCTION("""COMPUTED_VALUE"""),854.0)</f>
        <v>854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IFERROR(__xludf.DUMMYFUNCTION("""COMPUTED_VALUE"""),862.8)</f>
        <v>862.8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IFERROR(__xludf.DUMMYFUNCTION("""COMPUTED_VALUE"""),880.75)</f>
        <v>880.75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IFERROR(__xludf.DUMMYFUNCTION("""COMPUTED_VALUE"""),886.4)</f>
        <v>886.4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IFERROR(__xludf.DUMMYFUNCTION("""COMPUTED_VALUE"""),907.8)</f>
        <v>907.8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IFERROR(__xludf.DUMMYFUNCTION("""COMPUTED_VALUE"""),957.0)</f>
        <v>957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IFERROR(__xludf.DUMMYFUNCTION("""COMPUTED_VALUE"""),953.7)</f>
        <v>953.7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IFERROR(__xludf.DUMMYFUNCTION("""COMPUTED_VALUE"""),839.8)</f>
        <v>839.8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IFERROR(__xludf.DUMMYFUNCTION("""COMPUTED_VALUE"""),857.4)</f>
        <v>857.4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IFERROR(__xludf.DUMMYFUNCTION("""COMPUTED_VALUE"""),914.7)</f>
        <v>914.7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IFERROR(__xludf.DUMMYFUNCTION("""COMPUTED_VALUE"""),966.0)</f>
        <v>966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IFERROR(__xludf.DUMMYFUNCTION("""COMPUTED_VALUE"""),940.0)</f>
        <v>940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IFERROR(__xludf.DUMMYFUNCTION("""COMPUTED_VALUE"""),917.0)</f>
        <v>917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IFERROR(__xludf.DUMMYFUNCTION("""COMPUTED_VALUE"""),866.0)</f>
        <v>866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IFERROR(__xludf.DUMMYFUNCTION("""COMPUTED_VALUE"""),920.8)</f>
        <v>920.8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IFERROR(__xludf.DUMMYFUNCTION("""COMPUTED_VALUE"""),912.95)</f>
        <v>912.95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IFERROR(__xludf.DUMMYFUNCTION("""COMPUTED_VALUE"""),895.0)</f>
        <v>895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IFERROR(__xludf.DUMMYFUNCTION("""COMPUTED_VALUE"""),933.95)</f>
        <v>933.95</v>
      </c>
    </row>
    <row r="757" ht="15.75" customHeight="1">
      <c r="B757" s="3">
        <f>IFERROR(__xludf.DUMMYFUNCTION("""COMPUTED_VALUE"""),42293.64583333333)</f>
        <v>42293.64583</v>
      </c>
      <c r="C757" s="2">
        <f>IFERROR(__xludf.DUMMYFUNCTION("""COMPUTED_VALUE"""),914.95)</f>
        <v>914.95</v>
      </c>
    </row>
    <row r="758" ht="15.75" customHeight="1">
      <c r="B758" s="3">
        <f>IFERROR(__xludf.DUMMYFUNCTION("""COMPUTED_VALUE"""),42300.64583333333)</f>
        <v>42300.64583</v>
      </c>
      <c r="C758" s="2">
        <f>IFERROR(__xludf.DUMMYFUNCTION("""COMPUTED_VALUE"""),913.1)</f>
        <v>913.1</v>
      </c>
    </row>
    <row r="759" ht="15.75" customHeight="1">
      <c r="B759" s="3">
        <f>IFERROR(__xludf.DUMMYFUNCTION("""COMPUTED_VALUE"""),42307.64583333333)</f>
        <v>42307.64583</v>
      </c>
      <c r="C759" s="2">
        <f>IFERROR(__xludf.DUMMYFUNCTION("""COMPUTED_VALUE"""),912.45)</f>
        <v>912.45</v>
      </c>
    </row>
    <row r="760" ht="15.75" customHeight="1">
      <c r="B760" s="3">
        <f>IFERROR(__xludf.DUMMYFUNCTION("""COMPUTED_VALUE"""),42314.64583333333)</f>
        <v>42314.64583</v>
      </c>
      <c r="C760" s="2">
        <f>IFERROR(__xludf.DUMMYFUNCTION("""COMPUTED_VALUE"""),878.15)</f>
        <v>878.15</v>
      </c>
    </row>
    <row r="761" ht="15.75" customHeight="1">
      <c r="B761" s="3">
        <f>IFERROR(__xludf.DUMMYFUNCTION("""COMPUTED_VALUE"""),42321.64583333333)</f>
        <v>42321.64583</v>
      </c>
      <c r="C761" s="2">
        <f>IFERROR(__xludf.DUMMYFUNCTION("""COMPUTED_VALUE"""),771.85)</f>
        <v>771.85</v>
      </c>
    </row>
    <row r="762" ht="15.75" customHeight="1">
      <c r="B762" s="3">
        <f>IFERROR(__xludf.DUMMYFUNCTION("""COMPUTED_VALUE"""),42328.64583333333)</f>
        <v>42328.64583</v>
      </c>
      <c r="C762" s="2">
        <f>IFERROR(__xludf.DUMMYFUNCTION("""COMPUTED_VALUE"""),761.3)</f>
        <v>761.3</v>
      </c>
    </row>
    <row r="763" ht="15.75" customHeight="1">
      <c r="B763" s="3">
        <f>IFERROR(__xludf.DUMMYFUNCTION("""COMPUTED_VALUE"""),42335.64583333333)</f>
        <v>42335.64583</v>
      </c>
      <c r="C763" s="2">
        <f>IFERROR(__xludf.DUMMYFUNCTION("""COMPUTED_VALUE"""),742.35)</f>
        <v>742.35</v>
      </c>
    </row>
    <row r="764" ht="15.75" customHeight="1">
      <c r="B764" s="3">
        <f>IFERROR(__xludf.DUMMYFUNCTION("""COMPUTED_VALUE"""),42342.64583333333)</f>
        <v>42342.64583</v>
      </c>
      <c r="C764" s="2">
        <f>IFERROR(__xludf.DUMMYFUNCTION("""COMPUTED_VALUE"""),773.9)</f>
        <v>773.9</v>
      </c>
    </row>
    <row r="765" ht="15.75" customHeight="1">
      <c r="B765" s="3">
        <f>IFERROR(__xludf.DUMMYFUNCTION("""COMPUTED_VALUE"""),42349.64583333333)</f>
        <v>42349.64583</v>
      </c>
      <c r="C765" s="2">
        <f>IFERROR(__xludf.DUMMYFUNCTION("""COMPUTED_VALUE"""),781.5)</f>
        <v>781.5</v>
      </c>
    </row>
    <row r="766" ht="15.75" customHeight="1">
      <c r="B766" s="3">
        <f>IFERROR(__xludf.DUMMYFUNCTION("""COMPUTED_VALUE"""),42356.64583333333)</f>
        <v>42356.64583</v>
      </c>
      <c r="C766" s="2">
        <f>IFERROR(__xludf.DUMMYFUNCTION("""COMPUTED_VALUE"""),809.0)</f>
        <v>809</v>
      </c>
    </row>
    <row r="767" ht="15.75" customHeight="1">
      <c r="B767" s="3">
        <f>IFERROR(__xludf.DUMMYFUNCTION("""COMPUTED_VALUE"""),42362.64583333333)</f>
        <v>42362.64583</v>
      </c>
      <c r="C767" s="2">
        <f>IFERROR(__xludf.DUMMYFUNCTION("""COMPUTED_VALUE"""),798.4)</f>
        <v>798.4</v>
      </c>
    </row>
    <row r="768" ht="15.75" customHeight="1">
      <c r="B768" s="3">
        <f>IFERROR(__xludf.DUMMYFUNCTION("""COMPUTED_VALUE"""),42370.64583333333)</f>
        <v>42370.64583</v>
      </c>
      <c r="C768" s="2">
        <f>IFERROR(__xludf.DUMMYFUNCTION("""COMPUTED_VALUE"""),826.0)</f>
        <v>826</v>
      </c>
    </row>
    <row r="769" ht="15.75" customHeight="1"/>
    <row r="770" ht="15.75" customHeight="1"/>
    <row r="771" ht="15.75" customHeight="1">
      <c r="B771" s="2" t="str">
        <f>IFERROR(__xludf.DUMMYFUNCTION("GOOGLEFINANCE(""NSE:SUNPHARMA"",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IFERROR(__xludf.DUMMYFUNCTION("""COMPUTED_VALUE"""),821.3)</f>
        <v>821.3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IFERROR(__xludf.DUMMYFUNCTION("""COMPUTED_VALUE"""),804.65)</f>
        <v>804.65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IFERROR(__xludf.DUMMYFUNCTION("""COMPUTED_VALUE"""),805.0)</f>
        <v>805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IFERROR(__xludf.DUMMYFUNCTION("""COMPUTED_VALUE"""),878.0)</f>
        <v>878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IFERROR(__xludf.DUMMYFUNCTION("""COMPUTED_VALUE"""),888.3)</f>
        <v>888.3</v>
      </c>
    </row>
    <row r="777" ht="15.75" customHeight="1">
      <c r="B777" s="3">
        <f>IFERROR(__xludf.DUMMYFUNCTION("""COMPUTED_VALUE"""),42412.64583333333)</f>
        <v>42412.64583</v>
      </c>
      <c r="C777" s="2">
        <f>IFERROR(__xludf.DUMMYFUNCTION("""COMPUTED_VALUE"""),884.7)</f>
        <v>884.7</v>
      </c>
    </row>
    <row r="778" ht="15.75" customHeight="1">
      <c r="B778" s="3">
        <f>IFERROR(__xludf.DUMMYFUNCTION("""COMPUTED_VALUE"""),42419.64583333333)</f>
        <v>42419.64583</v>
      </c>
      <c r="C778" s="2">
        <f>IFERROR(__xludf.DUMMYFUNCTION("""COMPUTED_VALUE"""),876.5)</f>
        <v>876.5</v>
      </c>
    </row>
    <row r="779" ht="15.75" customHeight="1">
      <c r="B779" s="3">
        <f>IFERROR(__xludf.DUMMYFUNCTION("""COMPUTED_VALUE"""),42426.64583333333)</f>
        <v>42426.64583</v>
      </c>
      <c r="C779" s="2">
        <f>IFERROR(__xludf.DUMMYFUNCTION("""COMPUTED_VALUE"""),898.45)</f>
        <v>898.45</v>
      </c>
    </row>
    <row r="780" ht="15.75" customHeight="1">
      <c r="B780" s="3">
        <f>IFERROR(__xludf.DUMMYFUNCTION("""COMPUTED_VALUE"""),42433.64583333333)</f>
        <v>42433.64583</v>
      </c>
      <c r="C780" s="2">
        <f>IFERROR(__xludf.DUMMYFUNCTION("""COMPUTED_VALUE"""),880.8)</f>
        <v>880.8</v>
      </c>
    </row>
    <row r="781" ht="15.75" customHeight="1">
      <c r="B781" s="3">
        <f>IFERROR(__xludf.DUMMYFUNCTION("""COMPUTED_VALUE"""),42440.64583333333)</f>
        <v>42440.64583</v>
      </c>
      <c r="C781" s="2">
        <f>IFERROR(__xludf.DUMMYFUNCTION("""COMPUTED_VALUE"""),871.0)</f>
        <v>871</v>
      </c>
    </row>
    <row r="782" ht="15.75" customHeight="1">
      <c r="B782" s="3">
        <f>IFERROR(__xludf.DUMMYFUNCTION("""COMPUTED_VALUE"""),42447.64583333333)</f>
        <v>42447.64583</v>
      </c>
      <c r="C782" s="2">
        <f>IFERROR(__xludf.DUMMYFUNCTION("""COMPUTED_VALUE"""),876.55)</f>
        <v>876.55</v>
      </c>
    </row>
    <row r="783" ht="15.75" customHeight="1">
      <c r="B783" s="3">
        <f>IFERROR(__xludf.DUMMYFUNCTION("""COMPUTED_VALUE"""),42452.64583333333)</f>
        <v>42452.64583</v>
      </c>
      <c r="C783" s="2">
        <f>IFERROR(__xludf.DUMMYFUNCTION("""COMPUTED_VALUE"""),852.0)</f>
        <v>852</v>
      </c>
    </row>
    <row r="784" ht="15.75" customHeight="1">
      <c r="B784" s="3">
        <f>IFERROR(__xludf.DUMMYFUNCTION("""COMPUTED_VALUE"""),42461.64583333333)</f>
        <v>42461.64583</v>
      </c>
      <c r="C784" s="2">
        <f>IFERROR(__xludf.DUMMYFUNCTION("""COMPUTED_VALUE"""),846.0)</f>
        <v>846</v>
      </c>
    </row>
    <row r="785" ht="15.75" customHeight="1">
      <c r="B785" s="3">
        <f>IFERROR(__xludf.DUMMYFUNCTION("""COMPUTED_VALUE"""),42468.64583333333)</f>
        <v>42468.64583</v>
      </c>
      <c r="C785" s="2">
        <f>IFERROR(__xludf.DUMMYFUNCTION("""COMPUTED_VALUE"""),822.9)</f>
        <v>822.9</v>
      </c>
    </row>
    <row r="786" ht="15.75" customHeight="1">
      <c r="B786" s="3">
        <f>IFERROR(__xludf.DUMMYFUNCTION("""COMPUTED_VALUE"""),42473.64583333333)</f>
        <v>42473.64583</v>
      </c>
      <c r="C786" s="2">
        <f>IFERROR(__xludf.DUMMYFUNCTION("""COMPUTED_VALUE"""),835.9)</f>
        <v>835.9</v>
      </c>
    </row>
    <row r="787" ht="15.75" customHeight="1">
      <c r="B787" s="3">
        <f>IFERROR(__xludf.DUMMYFUNCTION("""COMPUTED_VALUE"""),42482.64583333333)</f>
        <v>42482.64583</v>
      </c>
      <c r="C787" s="2">
        <f>IFERROR(__xludf.DUMMYFUNCTION("""COMPUTED_VALUE"""),841.15)</f>
        <v>841.15</v>
      </c>
    </row>
    <row r="788" ht="15.75" customHeight="1">
      <c r="B788" s="3">
        <f>IFERROR(__xludf.DUMMYFUNCTION("""COMPUTED_VALUE"""),42489.64583333333)</f>
        <v>42489.64583</v>
      </c>
      <c r="C788" s="2">
        <f>IFERROR(__xludf.DUMMYFUNCTION("""COMPUTED_VALUE"""),821.15)</f>
        <v>821.15</v>
      </c>
    </row>
    <row r="789" ht="15.75" customHeight="1">
      <c r="B789" s="3">
        <f>IFERROR(__xludf.DUMMYFUNCTION("""COMPUTED_VALUE"""),42496.64583333333)</f>
        <v>42496.64583</v>
      </c>
      <c r="C789" s="2">
        <f>IFERROR(__xludf.DUMMYFUNCTION("""COMPUTED_VALUE"""),828.0)</f>
        <v>828</v>
      </c>
    </row>
    <row r="790" ht="15.75" customHeight="1">
      <c r="B790" s="3">
        <f>IFERROR(__xludf.DUMMYFUNCTION("""COMPUTED_VALUE"""),42503.64583333333)</f>
        <v>42503.64583</v>
      </c>
      <c r="C790" s="2">
        <f>IFERROR(__xludf.DUMMYFUNCTION("""COMPUTED_VALUE"""),811.8)</f>
        <v>811.8</v>
      </c>
    </row>
    <row r="791" ht="15.75" customHeight="1">
      <c r="B791" s="3">
        <f>IFERROR(__xludf.DUMMYFUNCTION("""COMPUTED_VALUE"""),42510.64583333333)</f>
        <v>42510.64583</v>
      </c>
      <c r="C791" s="2">
        <f>IFERROR(__xludf.DUMMYFUNCTION("""COMPUTED_VALUE"""),802.6)</f>
        <v>802.6</v>
      </c>
    </row>
    <row r="792" ht="15.75" customHeight="1">
      <c r="B792" s="3">
        <f>IFERROR(__xludf.DUMMYFUNCTION("""COMPUTED_VALUE"""),42517.64583333333)</f>
        <v>42517.64583</v>
      </c>
      <c r="C792" s="2">
        <f>IFERROR(__xludf.DUMMYFUNCTION("""COMPUTED_VALUE"""),828.0)</f>
        <v>828</v>
      </c>
    </row>
    <row r="793" ht="15.75" customHeight="1">
      <c r="B793" s="3">
        <f>IFERROR(__xludf.DUMMYFUNCTION("""COMPUTED_VALUE"""),42524.64583333333)</f>
        <v>42524.64583</v>
      </c>
      <c r="C793" s="2">
        <f>IFERROR(__xludf.DUMMYFUNCTION("""COMPUTED_VALUE"""),842.0)</f>
        <v>842</v>
      </c>
    </row>
    <row r="794" ht="15.75" customHeight="1">
      <c r="B794" s="3">
        <f>IFERROR(__xludf.DUMMYFUNCTION("""COMPUTED_VALUE"""),42531.64583333333)</f>
        <v>42531.64583</v>
      </c>
      <c r="C794" s="2">
        <f>IFERROR(__xludf.DUMMYFUNCTION("""COMPUTED_VALUE"""),750.0)</f>
        <v>750</v>
      </c>
    </row>
    <row r="795" ht="15.75" customHeight="1">
      <c r="B795" s="3">
        <f>IFERROR(__xludf.DUMMYFUNCTION("""COMPUTED_VALUE"""),42538.64583333333)</f>
        <v>42538.64583</v>
      </c>
      <c r="C795" s="2">
        <f>IFERROR(__xludf.DUMMYFUNCTION("""COMPUTED_VALUE"""),758.35)</f>
        <v>758.35</v>
      </c>
    </row>
    <row r="796" ht="15.75" customHeight="1">
      <c r="B796" s="3">
        <f>IFERROR(__xludf.DUMMYFUNCTION("""COMPUTED_VALUE"""),42545.64583333333)</f>
        <v>42545.64583</v>
      </c>
      <c r="C796" s="2">
        <f>IFERROR(__xludf.DUMMYFUNCTION("""COMPUTED_VALUE"""),765.0)</f>
        <v>765</v>
      </c>
    </row>
    <row r="797" ht="15.75" customHeight="1">
      <c r="B797" s="3">
        <f>IFERROR(__xludf.DUMMYFUNCTION("""COMPUTED_VALUE"""),42552.64583333333)</f>
        <v>42552.64583</v>
      </c>
      <c r="C797" s="2">
        <f>IFERROR(__xludf.DUMMYFUNCTION("""COMPUTED_VALUE"""),779.35)</f>
        <v>779.35</v>
      </c>
    </row>
    <row r="798" ht="15.75" customHeight="1">
      <c r="B798" s="3">
        <f>IFERROR(__xludf.DUMMYFUNCTION("""COMPUTED_VALUE"""),42559.64583333333)</f>
        <v>42559.64583</v>
      </c>
      <c r="C798" s="2">
        <f>IFERROR(__xludf.DUMMYFUNCTION("""COMPUTED_VALUE"""),785.0)</f>
        <v>785</v>
      </c>
    </row>
    <row r="799" ht="15.75" customHeight="1">
      <c r="B799" s="3">
        <f>IFERROR(__xludf.DUMMYFUNCTION("""COMPUTED_VALUE"""),42566.64583333333)</f>
        <v>42566.64583</v>
      </c>
      <c r="C799" s="2">
        <f>IFERROR(__xludf.DUMMYFUNCTION("""COMPUTED_VALUE"""),794.85)</f>
        <v>794.85</v>
      </c>
    </row>
    <row r="800" ht="15.75" customHeight="1">
      <c r="B800" s="3">
        <f>IFERROR(__xludf.DUMMYFUNCTION("""COMPUTED_VALUE"""),42573.64583333333)</f>
        <v>42573.64583</v>
      </c>
      <c r="C800" s="2">
        <f>IFERROR(__xludf.DUMMYFUNCTION("""COMPUTED_VALUE"""),806.0)</f>
        <v>806</v>
      </c>
    </row>
    <row r="801" ht="15.75" customHeight="1">
      <c r="B801" s="3">
        <f>IFERROR(__xludf.DUMMYFUNCTION("""COMPUTED_VALUE"""),42580.64583333333)</f>
        <v>42580.64583</v>
      </c>
      <c r="C801" s="2">
        <f>IFERROR(__xludf.DUMMYFUNCTION("""COMPUTED_VALUE"""),839.8)</f>
        <v>839.8</v>
      </c>
    </row>
    <row r="802" ht="15.75" customHeight="1">
      <c r="B802" s="3">
        <f>IFERROR(__xludf.DUMMYFUNCTION("""COMPUTED_VALUE"""),42587.64583333333)</f>
        <v>42587.64583</v>
      </c>
      <c r="C802" s="2">
        <f>IFERROR(__xludf.DUMMYFUNCTION("""COMPUTED_VALUE"""),854.95)</f>
        <v>854.95</v>
      </c>
    </row>
    <row r="803" ht="15.75" customHeight="1">
      <c r="B803" s="3">
        <f>IFERROR(__xludf.DUMMYFUNCTION("""COMPUTED_VALUE"""),42594.64583333333)</f>
        <v>42594.64583</v>
      </c>
      <c r="C803" s="2">
        <f>IFERROR(__xludf.DUMMYFUNCTION("""COMPUTED_VALUE"""),844.85)</f>
        <v>844.85</v>
      </c>
    </row>
    <row r="804" ht="15.75" customHeight="1">
      <c r="B804" s="3">
        <f>IFERROR(__xludf.DUMMYFUNCTION("""COMPUTED_VALUE"""),42601.64583333333)</f>
        <v>42601.64583</v>
      </c>
      <c r="C804" s="2">
        <f>IFERROR(__xludf.DUMMYFUNCTION("""COMPUTED_VALUE"""),808.35)</f>
        <v>808.35</v>
      </c>
    </row>
    <row r="805" ht="15.75" customHeight="1">
      <c r="B805" s="3">
        <f>IFERROR(__xludf.DUMMYFUNCTION("""COMPUTED_VALUE"""),42608.64583333333)</f>
        <v>42608.64583</v>
      </c>
      <c r="C805" s="2">
        <f>IFERROR(__xludf.DUMMYFUNCTION("""COMPUTED_VALUE"""),785.0)</f>
        <v>785</v>
      </c>
    </row>
    <row r="806" ht="15.75" customHeight="1">
      <c r="B806" s="3">
        <f>IFERROR(__xludf.DUMMYFUNCTION("""COMPUTED_VALUE"""),42615.64583333333)</f>
        <v>42615.64583</v>
      </c>
      <c r="C806" s="2">
        <f>IFERROR(__xludf.DUMMYFUNCTION("""COMPUTED_VALUE"""),784.3)</f>
        <v>784.3</v>
      </c>
    </row>
    <row r="807" ht="15.75" customHeight="1">
      <c r="B807" s="3">
        <f>IFERROR(__xludf.DUMMYFUNCTION("""COMPUTED_VALUE"""),42622.64583333333)</f>
        <v>42622.64583</v>
      </c>
      <c r="C807" s="2">
        <f>IFERROR(__xludf.DUMMYFUNCTION("""COMPUTED_VALUE"""),818.5)</f>
        <v>818.5</v>
      </c>
    </row>
    <row r="808" ht="15.75" customHeight="1">
      <c r="B808" s="3">
        <f>IFERROR(__xludf.DUMMYFUNCTION("""COMPUTED_VALUE"""),42629.64583333333)</f>
        <v>42629.64583</v>
      </c>
      <c r="C808" s="2">
        <f>IFERROR(__xludf.DUMMYFUNCTION("""COMPUTED_VALUE"""),796.2)</f>
        <v>796.2</v>
      </c>
    </row>
    <row r="809" ht="15.75" customHeight="1">
      <c r="B809" s="3">
        <f>IFERROR(__xludf.DUMMYFUNCTION("""COMPUTED_VALUE"""),42636.64583333333)</f>
        <v>42636.64583</v>
      </c>
      <c r="C809" s="2">
        <f>IFERROR(__xludf.DUMMYFUNCTION("""COMPUTED_VALUE"""),790.75)</f>
        <v>790.75</v>
      </c>
    </row>
    <row r="810" ht="15.75" customHeight="1">
      <c r="B810" s="3">
        <f>IFERROR(__xludf.DUMMYFUNCTION("""COMPUTED_VALUE"""),42643.64583333333)</f>
        <v>42643.64583</v>
      </c>
      <c r="C810" s="2">
        <f>IFERROR(__xludf.DUMMYFUNCTION("""COMPUTED_VALUE"""),784.25)</f>
        <v>784.25</v>
      </c>
    </row>
    <row r="811" ht="15.75" customHeight="1">
      <c r="B811" s="3">
        <f>IFERROR(__xludf.DUMMYFUNCTION("""COMPUTED_VALUE"""),42650.64583333333)</f>
        <v>42650.64583</v>
      </c>
      <c r="C811" s="2">
        <f>IFERROR(__xludf.DUMMYFUNCTION("""COMPUTED_VALUE"""),773.0)</f>
        <v>773</v>
      </c>
    </row>
    <row r="812" ht="15.75" customHeight="1">
      <c r="B812" s="3">
        <f>IFERROR(__xludf.DUMMYFUNCTION("""COMPUTED_VALUE"""),42657.64583333333)</f>
        <v>42657.64583</v>
      </c>
      <c r="C812" s="2">
        <f>IFERROR(__xludf.DUMMYFUNCTION("""COMPUTED_VALUE"""),758.0)</f>
        <v>758</v>
      </c>
    </row>
    <row r="813" ht="15.75" customHeight="1">
      <c r="B813" s="3">
        <f>IFERROR(__xludf.DUMMYFUNCTION("""COMPUTED_VALUE"""),42664.64583333333)</f>
        <v>42664.64583</v>
      </c>
      <c r="C813" s="2">
        <f>IFERROR(__xludf.DUMMYFUNCTION("""COMPUTED_VALUE"""),759.0)</f>
        <v>759</v>
      </c>
    </row>
    <row r="814" ht="15.75" customHeight="1">
      <c r="B814" s="3">
        <f>IFERROR(__xludf.DUMMYFUNCTION("""COMPUTED_VALUE"""),42671.64583333333)</f>
        <v>42671.64583</v>
      </c>
      <c r="C814" s="2">
        <f>IFERROR(__xludf.DUMMYFUNCTION("""COMPUTED_VALUE"""),759.0)</f>
        <v>759</v>
      </c>
    </row>
    <row r="815" ht="15.75" customHeight="1">
      <c r="B815" s="3">
        <f>IFERROR(__xludf.DUMMYFUNCTION("""COMPUTED_VALUE"""),42678.64583333333)</f>
        <v>42678.64583</v>
      </c>
      <c r="C815" s="2">
        <f>IFERROR(__xludf.DUMMYFUNCTION("""COMPUTED_VALUE"""),750.0)</f>
        <v>750</v>
      </c>
    </row>
    <row r="816" ht="15.75" customHeight="1">
      <c r="B816" s="3">
        <f>IFERROR(__xludf.DUMMYFUNCTION("""COMPUTED_VALUE"""),42685.64583333333)</f>
        <v>42685.64583</v>
      </c>
      <c r="C816" s="2">
        <f>IFERROR(__xludf.DUMMYFUNCTION("""COMPUTED_VALUE"""),708.0)</f>
        <v>708</v>
      </c>
    </row>
    <row r="817" ht="15.75" customHeight="1">
      <c r="B817" s="3">
        <f>IFERROR(__xludf.DUMMYFUNCTION("""COMPUTED_VALUE"""),42692.64583333333)</f>
        <v>42692.64583</v>
      </c>
      <c r="C817" s="2">
        <f>IFERROR(__xludf.DUMMYFUNCTION("""COMPUTED_VALUE"""),705.55)</f>
        <v>705.55</v>
      </c>
    </row>
    <row r="818" ht="15.75" customHeight="1">
      <c r="B818" s="3">
        <f>IFERROR(__xludf.DUMMYFUNCTION("""COMPUTED_VALUE"""),42699.64583333333)</f>
        <v>42699.64583</v>
      </c>
      <c r="C818" s="2">
        <f>IFERROR(__xludf.DUMMYFUNCTION("""COMPUTED_VALUE"""),717.0)</f>
        <v>717</v>
      </c>
    </row>
    <row r="819" ht="15.75" customHeight="1">
      <c r="B819" s="3">
        <f>IFERROR(__xludf.DUMMYFUNCTION("""COMPUTED_VALUE"""),42706.64583333333)</f>
        <v>42706.64583</v>
      </c>
      <c r="C819" s="2">
        <f>IFERROR(__xludf.DUMMYFUNCTION("""COMPUTED_VALUE"""),730.95)</f>
        <v>730.95</v>
      </c>
    </row>
    <row r="820" ht="15.75" customHeight="1">
      <c r="B820" s="3">
        <f>IFERROR(__xludf.DUMMYFUNCTION("""COMPUTED_VALUE"""),42713.64583333333)</f>
        <v>42713.64583</v>
      </c>
      <c r="C820" s="2">
        <f>IFERROR(__xludf.DUMMYFUNCTION("""COMPUTED_VALUE"""),725.0)</f>
        <v>725</v>
      </c>
    </row>
    <row r="821" ht="15.75" customHeight="1">
      <c r="B821" s="3">
        <f>IFERROR(__xludf.DUMMYFUNCTION("""COMPUTED_VALUE"""),42720.64583333333)</f>
        <v>42720.64583</v>
      </c>
      <c r="C821" s="2">
        <f>IFERROR(__xludf.DUMMYFUNCTION("""COMPUTED_VALUE"""),692.65)</f>
        <v>692.65</v>
      </c>
    </row>
    <row r="822" ht="15.75" customHeight="1">
      <c r="B822" s="3">
        <f>IFERROR(__xludf.DUMMYFUNCTION("""COMPUTED_VALUE"""),42727.64583333333)</f>
        <v>42727.64583</v>
      </c>
      <c r="C822" s="2">
        <f>IFERROR(__xludf.DUMMYFUNCTION("""COMPUTED_VALUE"""),644.0)</f>
        <v>644</v>
      </c>
    </row>
    <row r="823" ht="15.75" customHeight="1">
      <c r="B823" s="3">
        <f>IFERROR(__xludf.DUMMYFUNCTION("""COMPUTED_VALUE"""),42734.64583333333)</f>
        <v>42734.64583</v>
      </c>
      <c r="C823" s="2">
        <f>IFERROR(__xludf.DUMMYFUNCTION("""COMPUTED_VALUE"""),632.0)</f>
        <v>632</v>
      </c>
    </row>
    <row r="824" ht="15.75" customHeight="1"/>
    <row r="825" ht="15.75" customHeight="1"/>
    <row r="826" ht="15.75" customHeight="1">
      <c r="B826" s="2" t="str">
        <f>IFERROR(__xludf.DUMMYFUNCTION("GOOGLEFINANCE(""NSE:SUNPHARMA"",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IFERROR(__xludf.DUMMYFUNCTION("""COMPUTED_VALUE"""),649.75)</f>
        <v>649.75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IFERROR(__xludf.DUMMYFUNCTION("""COMPUTED_VALUE"""),657.4)</f>
        <v>657.4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IFERROR(__xludf.DUMMYFUNCTION("""COMPUTED_VALUE"""),654.9)</f>
        <v>654.9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IFERROR(__xludf.DUMMYFUNCTION("""COMPUTED_VALUE"""),646.7)</f>
        <v>646.7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IFERROR(__xludf.DUMMYFUNCTION("""COMPUTED_VALUE"""),654.9)</f>
        <v>654.9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IFERROR(__xludf.DUMMYFUNCTION("""COMPUTED_VALUE"""),689.55)</f>
        <v>689.55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IFERROR(__xludf.DUMMYFUNCTION("""COMPUTED_VALUE"""),677.95)</f>
        <v>677.95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IFERROR(__xludf.DUMMYFUNCTION("""COMPUTED_VALUE"""),686.4)</f>
        <v>686.4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IFERROR(__xludf.DUMMYFUNCTION("""COMPUTED_VALUE"""),701.3)</f>
        <v>701.3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IFERROR(__xludf.DUMMYFUNCTION("""COMPUTED_VALUE"""),691.1)</f>
        <v>691.1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IFERROR(__xludf.DUMMYFUNCTION("""COMPUTED_VALUE"""),729.05)</f>
        <v>729.05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IFERROR(__xludf.DUMMYFUNCTION("""COMPUTED_VALUE"""),711.0)</f>
        <v>711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IFERROR(__xludf.DUMMYFUNCTION("""COMPUTED_VALUE"""),703.35)</f>
        <v>703.35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IFERROR(__xludf.DUMMYFUNCTION("""COMPUTED_VALUE"""),696.7)</f>
        <v>696.7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IFERROR(__xludf.DUMMYFUNCTION("""COMPUTED_VALUE"""),699.85)</f>
        <v>699.85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IFERROR(__xludf.DUMMYFUNCTION("""COMPUTED_VALUE"""),683.0)</f>
        <v>683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IFERROR(__xludf.DUMMYFUNCTION("""COMPUTED_VALUE"""),649.0)</f>
        <v>649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IFERROR(__xludf.DUMMYFUNCTION("""COMPUTED_VALUE"""),644.25)</f>
        <v>644.25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IFERROR(__xludf.DUMMYFUNCTION("""COMPUTED_VALUE"""),656.7)</f>
        <v>656.7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IFERROR(__xludf.DUMMYFUNCTION("""COMPUTED_VALUE"""),656.95)</f>
        <v>656.95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IFERROR(__xludf.DUMMYFUNCTION("""COMPUTED_VALUE"""),654.0)</f>
        <v>654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IFERROR(__xludf.DUMMYFUNCTION("""COMPUTED_VALUE"""),529.0)</f>
        <v>529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IFERROR(__xludf.DUMMYFUNCTION("""COMPUTED_VALUE"""),534.6)</f>
        <v>534.6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IFERROR(__xludf.DUMMYFUNCTION("""COMPUTED_VALUE"""),552.0)</f>
        <v>552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IFERROR(__xludf.DUMMYFUNCTION("""COMPUTED_VALUE"""),545.5)</f>
        <v>545.5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IFERROR(__xludf.DUMMYFUNCTION("""COMPUTED_VALUE"""),560.95)</f>
        <v>560.95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IFERROR(__xludf.DUMMYFUNCTION("""COMPUTED_VALUE"""),560.6)</f>
        <v>560.6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IFERROR(__xludf.DUMMYFUNCTION("""COMPUTED_VALUE"""),578.95)</f>
        <v>578.95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IFERROR(__xludf.DUMMYFUNCTION("""COMPUTED_VALUE"""),591.5)</f>
        <v>591.5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IFERROR(__xludf.DUMMYFUNCTION("""COMPUTED_VALUE"""),582.2)</f>
        <v>582.2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IFERROR(__xludf.DUMMYFUNCTION("""COMPUTED_VALUE"""),553.7)</f>
        <v>553.7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IFERROR(__xludf.DUMMYFUNCTION("""COMPUTED_VALUE"""),513.15)</f>
        <v>513.15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IFERROR(__xludf.DUMMYFUNCTION("""COMPUTED_VALUE"""),490.4)</f>
        <v>490.4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IFERROR(__xludf.DUMMYFUNCTION("""COMPUTED_VALUE"""),488.45)</f>
        <v>488.45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IFERROR(__xludf.DUMMYFUNCTION("""COMPUTED_VALUE"""),499.9)</f>
        <v>499.9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IFERROR(__xludf.DUMMYFUNCTION("""COMPUTED_VALUE"""),509.7)</f>
        <v>509.7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IFERROR(__xludf.DUMMYFUNCTION("""COMPUTED_VALUE"""),527.95)</f>
        <v>527.95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IFERROR(__xludf.DUMMYFUNCTION("""COMPUTED_VALUE"""),529.4)</f>
        <v>529.4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IFERROR(__xludf.DUMMYFUNCTION("""COMPUTED_VALUE"""),515.0)</f>
        <v>515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IFERROR(__xludf.DUMMYFUNCTION("""COMPUTED_VALUE"""),533.0)</f>
        <v>533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IFERROR(__xludf.DUMMYFUNCTION("""COMPUTED_VALUE"""),545.0)</f>
        <v>545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IFERROR(__xludf.DUMMYFUNCTION("""COMPUTED_VALUE"""),554.0)</f>
        <v>554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IFERROR(__xludf.DUMMYFUNCTION("""COMPUTED_VALUE"""),557.9)</f>
        <v>557.9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IFERROR(__xludf.DUMMYFUNCTION("""COMPUTED_VALUE"""),572.3)</f>
        <v>572.3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IFERROR(__xludf.DUMMYFUNCTION("""COMPUTED_VALUE"""),555.9)</f>
        <v>555.9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IFERROR(__xludf.DUMMYFUNCTION("""COMPUTED_VALUE"""),541.6)</f>
        <v>541.6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IFERROR(__xludf.DUMMYFUNCTION("""COMPUTED_VALUE"""),551.0)</f>
        <v>551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IFERROR(__xludf.DUMMYFUNCTION("""COMPUTED_VALUE"""),556.35)</f>
        <v>556.35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IFERROR(__xludf.DUMMYFUNCTION("""COMPUTED_VALUE"""),529.8)</f>
        <v>529.8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IFERROR(__xludf.DUMMYFUNCTION("""COMPUTED_VALUE"""),533.75)</f>
        <v>533.75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IFERROR(__xludf.DUMMYFUNCTION("""COMPUTED_VALUE"""),538.7)</f>
        <v>538.7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IFERROR(__xludf.DUMMYFUNCTION("""COMPUTED_VALUE"""),585.6)</f>
        <v>585.6</v>
      </c>
    </row>
    <row r="879" ht="15.75" customHeight="1"/>
    <row r="880" ht="15.75" customHeight="1"/>
    <row r="881" ht="15.75" customHeight="1">
      <c r="B881" s="2" t="str">
        <f>IFERROR(__xludf.DUMMYFUNCTION("GOOGLEFINANCE(""NSE:SUNPHARMA"",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IFERROR(__xludf.DUMMYFUNCTION("""COMPUTED_VALUE"""),587.35)</f>
        <v>587.35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IFERROR(__xludf.DUMMYFUNCTION("""COMPUTED_VALUE"""),604.6)</f>
        <v>604.6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IFERROR(__xludf.DUMMYFUNCTION("""COMPUTED_VALUE"""),589.45)</f>
        <v>589.45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IFERROR(__xludf.DUMMYFUNCTION("""COMPUTED_VALUE"""),596.5)</f>
        <v>596.5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IFERROR(__xludf.DUMMYFUNCTION("""COMPUTED_VALUE"""),594.9)</f>
        <v>594.9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IFERROR(__xludf.DUMMYFUNCTION("""COMPUTED_VALUE"""),587.0)</f>
        <v>587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IFERROR(__xludf.DUMMYFUNCTION("""COMPUTED_VALUE"""),608.95)</f>
        <v>608.95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IFERROR(__xludf.DUMMYFUNCTION("""COMPUTED_VALUE"""),577.25)</f>
        <v>577.25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IFERROR(__xludf.DUMMYFUNCTION("""COMPUTED_VALUE"""),571.9)</f>
        <v>571.9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IFERROR(__xludf.DUMMYFUNCTION("""COMPUTED_VALUE"""),563.0)</f>
        <v>563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IFERROR(__xludf.DUMMYFUNCTION("""COMPUTED_VALUE"""),529.0)</f>
        <v>529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IFERROR(__xludf.DUMMYFUNCTION("""COMPUTED_VALUE"""),521.0)</f>
        <v>521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IFERROR(__xludf.DUMMYFUNCTION("""COMPUTED_VALUE"""),512.25)</f>
        <v>512.25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IFERROR(__xludf.DUMMYFUNCTION("""COMPUTED_VALUE"""),515.3)</f>
        <v>515.3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IFERROR(__xludf.DUMMYFUNCTION("""COMPUTED_VALUE"""),522.9)</f>
        <v>522.9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IFERROR(__xludf.DUMMYFUNCTION("""COMPUTED_VALUE"""),521.9)</f>
        <v>521.9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IFERROR(__xludf.DUMMYFUNCTION("""COMPUTED_VALUE"""),526.4)</f>
        <v>526.4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IFERROR(__xludf.DUMMYFUNCTION("""COMPUTED_VALUE"""),539.3)</f>
        <v>539.3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IFERROR(__xludf.DUMMYFUNCTION("""COMPUTED_VALUE"""),520.0)</f>
        <v>520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IFERROR(__xludf.DUMMYFUNCTION("""COMPUTED_VALUE"""),488.95)</f>
        <v>488.95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IFERROR(__xludf.DUMMYFUNCTION("""COMPUTED_VALUE"""),469.7)</f>
        <v>469.7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IFERROR(__xludf.DUMMYFUNCTION("""COMPUTED_VALUE"""),509.95)</f>
        <v>509.95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IFERROR(__xludf.DUMMYFUNCTION("""COMPUTED_VALUE"""),533.65)</f>
        <v>533.65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IFERROR(__xludf.DUMMYFUNCTION("""COMPUTED_VALUE"""),573.85)</f>
        <v>573.85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IFERROR(__xludf.DUMMYFUNCTION("""COMPUTED_VALUE"""),581.8)</f>
        <v>581.8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IFERROR(__xludf.DUMMYFUNCTION("""COMPUTED_VALUE"""),592.0)</f>
        <v>592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IFERROR(__xludf.DUMMYFUNCTION("""COMPUTED_VALUE"""),588.85)</f>
        <v>588.85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IFERROR(__xludf.DUMMYFUNCTION("""COMPUTED_VALUE"""),572.6)</f>
        <v>572.6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IFERROR(__xludf.DUMMYFUNCTION("""COMPUTED_VALUE"""),563.0)</f>
        <v>563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IFERROR(__xludf.DUMMYFUNCTION("""COMPUTED_VALUE"""),568.5)</f>
        <v>568.5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IFERROR(__xludf.DUMMYFUNCTION("""COMPUTED_VALUE"""),589.4)</f>
        <v>589.4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IFERROR(__xludf.DUMMYFUNCTION("""COMPUTED_VALUE"""),593.4)</f>
        <v>593.4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IFERROR(__xludf.DUMMYFUNCTION("""COMPUTED_VALUE"""),633.4)</f>
        <v>633.4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IFERROR(__xludf.DUMMYFUNCTION("""COMPUTED_VALUE"""),645.5)</f>
        <v>645.5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IFERROR(__xludf.DUMMYFUNCTION("""COMPUTED_VALUE"""),659.4)</f>
        <v>659.4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IFERROR(__xludf.DUMMYFUNCTION("""COMPUTED_VALUE"""),679.3)</f>
        <v>679.3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IFERROR(__xludf.DUMMYFUNCTION("""COMPUTED_VALUE"""),670.9)</f>
        <v>670.9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IFERROR(__xludf.DUMMYFUNCTION("""COMPUTED_VALUE"""),668.25)</f>
        <v>668.25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IFERROR(__xludf.DUMMYFUNCTION("""COMPUTED_VALUE"""),649.8)</f>
        <v>649.8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IFERROR(__xludf.DUMMYFUNCTION("""COMPUTED_VALUE"""),640.75)</f>
        <v>640.75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IFERROR(__xludf.DUMMYFUNCTION("""COMPUTED_VALUE"""),619.5)</f>
        <v>619.5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IFERROR(__xludf.DUMMYFUNCTION("""COMPUTED_VALUE"""),612.0)</f>
        <v>612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IFERROR(__xludf.DUMMYFUNCTION("""COMPUTED_VALUE"""),616.8)</f>
        <v>616.8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IFERROR(__xludf.DUMMYFUNCTION("""COMPUTED_VALUE"""),584.5)</f>
        <v>584.5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IFERROR(__xludf.DUMMYFUNCTION("""COMPUTED_VALUE"""),604.8)</f>
        <v>604.8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IFERROR(__xludf.DUMMYFUNCTION("""COMPUTED_VALUE"""),601.0)</f>
        <v>601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IFERROR(__xludf.DUMMYFUNCTION("""COMPUTED_VALUE"""),536.3)</f>
        <v>536.3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IFERROR(__xludf.DUMMYFUNCTION("""COMPUTED_VALUE"""),528.15)</f>
        <v>528.15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IFERROR(__xludf.DUMMYFUNCTION("""COMPUTED_VALUE"""),464.7)</f>
        <v>464.7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IFERROR(__xludf.DUMMYFUNCTION("""COMPUTED_VALUE"""),433.7)</f>
        <v>433.7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IFERROR(__xludf.DUMMYFUNCTION("""COMPUTED_VALUE"""),434.9)</f>
        <v>434.9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IFERROR(__xludf.DUMMYFUNCTION("""COMPUTED_VALUE"""),434.0)</f>
        <v>434</v>
      </c>
    </row>
    <row r="934" ht="15.75" customHeight="1"/>
    <row r="935" ht="15.75" customHeight="1"/>
    <row r="936" ht="15.75" customHeight="1">
      <c r="B936" s="2" t="str">
        <f>IFERROR(__xludf.DUMMYFUNCTION("GOOGLEFINANCE(""NSE:SUNPHARMA"",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IFERROR(__xludf.DUMMYFUNCTION("""COMPUTED_VALUE"""),443.6)</f>
        <v>443.6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IFERROR(__xludf.DUMMYFUNCTION("""COMPUTED_VALUE"""),453.65)</f>
        <v>453.65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IFERROR(__xludf.DUMMYFUNCTION("""COMPUTED_VALUE"""),457.4)</f>
        <v>457.4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IFERROR(__xludf.DUMMYFUNCTION("""COMPUTED_VALUE"""),438.0)</f>
        <v>438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IFERROR(__xludf.DUMMYFUNCTION("""COMPUTED_VALUE"""),431.35)</f>
        <v>431.35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IFERROR(__xludf.DUMMYFUNCTION("""COMPUTED_VALUE"""),445.8)</f>
        <v>445.8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IFERROR(__xludf.DUMMYFUNCTION("""COMPUTED_VALUE"""),455.0)</f>
        <v>455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IFERROR(__xludf.DUMMYFUNCTION("""COMPUTED_VALUE"""),436.75)</f>
        <v>436.75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IFERROR(__xludf.DUMMYFUNCTION("""COMPUTED_VALUE"""),451.65)</f>
        <v>451.65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IFERROR(__xludf.DUMMYFUNCTION("""COMPUTED_VALUE"""),469.35)</f>
        <v>469.35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IFERROR(__xludf.DUMMYFUNCTION("""COMPUTED_VALUE"""),475.0)</f>
        <v>475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IFERROR(__xludf.DUMMYFUNCTION("""COMPUTED_VALUE"""),479.7)</f>
        <v>479.7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IFERROR(__xludf.DUMMYFUNCTION("""COMPUTED_VALUE"""),482.95)</f>
        <v>482.95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IFERROR(__xludf.DUMMYFUNCTION("""COMPUTED_VALUE"""),484.25)</f>
        <v>484.25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IFERROR(__xludf.DUMMYFUNCTION("""COMPUTED_VALUE"""),479.9)</f>
        <v>479.9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IFERROR(__xludf.DUMMYFUNCTION("""COMPUTED_VALUE"""),466.8)</f>
        <v>466.8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IFERROR(__xludf.DUMMYFUNCTION("""COMPUTED_VALUE"""),474.6)</f>
        <v>474.6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IFERROR(__xludf.DUMMYFUNCTION("""COMPUTED_VALUE"""),464.0)</f>
        <v>464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IFERROR(__xludf.DUMMYFUNCTION("""COMPUTED_VALUE"""),456.0)</f>
        <v>456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IFERROR(__xludf.DUMMYFUNCTION("""COMPUTED_VALUE"""),437.75)</f>
        <v>437.75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IFERROR(__xludf.DUMMYFUNCTION("""COMPUTED_VALUE"""),429.0)</f>
        <v>429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IFERROR(__xludf.DUMMYFUNCTION("""COMPUTED_VALUE"""),427.8)</f>
        <v>427.8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IFERROR(__xludf.DUMMYFUNCTION("""COMPUTED_VALUE"""),418.6)</f>
        <v>418.6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IFERROR(__xludf.DUMMYFUNCTION("""COMPUTED_VALUE"""),405.8)</f>
        <v>405.8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IFERROR(__xludf.DUMMYFUNCTION("""COMPUTED_VALUE"""),394.5)</f>
        <v>394.5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IFERROR(__xludf.DUMMYFUNCTION("""COMPUTED_VALUE"""),409.8)</f>
        <v>409.8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IFERROR(__xludf.DUMMYFUNCTION("""COMPUTED_VALUE"""),407.0)</f>
        <v>407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IFERROR(__xludf.DUMMYFUNCTION("""COMPUTED_VALUE"""),411.5)</f>
        <v>411.5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IFERROR(__xludf.DUMMYFUNCTION("""COMPUTED_VALUE"""),436.3)</f>
        <v>436.3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IFERROR(__xludf.DUMMYFUNCTION("""COMPUTED_VALUE"""),443.3)</f>
        <v>443.3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IFERROR(__xludf.DUMMYFUNCTION("""COMPUTED_VALUE"""),441.7)</f>
        <v>441.7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IFERROR(__xludf.DUMMYFUNCTION("""COMPUTED_VALUE"""),430.35)</f>
        <v>430.35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IFERROR(__xludf.DUMMYFUNCTION("""COMPUTED_VALUE"""),444.5)</f>
        <v>444.5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IFERROR(__xludf.DUMMYFUNCTION("""COMPUTED_VALUE"""),434.2)</f>
        <v>434.2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IFERROR(__xludf.DUMMYFUNCTION("""COMPUTED_VALUE"""),453.4)</f>
        <v>453.4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IFERROR(__xludf.DUMMYFUNCTION("""COMPUTED_VALUE"""),456.0)</f>
        <v>456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IFERROR(__xludf.DUMMYFUNCTION("""COMPUTED_VALUE"""),439.8)</f>
        <v>439.8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IFERROR(__xludf.DUMMYFUNCTION("""COMPUTED_VALUE"""),429.5)</f>
        <v>429.5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IFERROR(__xludf.DUMMYFUNCTION("""COMPUTED_VALUE"""),424.3)</f>
        <v>424.3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IFERROR(__xludf.DUMMYFUNCTION("""COMPUTED_VALUE"""),403.0)</f>
        <v>403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IFERROR(__xludf.DUMMYFUNCTION("""COMPUTED_VALUE"""),389.8)</f>
        <v>389.8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IFERROR(__xludf.DUMMYFUNCTION("""COMPUTED_VALUE"""),406.5)</f>
        <v>406.5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IFERROR(__xludf.DUMMYFUNCTION("""COMPUTED_VALUE"""),419.5)</f>
        <v>419.5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IFERROR(__xludf.DUMMYFUNCTION("""COMPUTED_VALUE"""),440.9)</f>
        <v>440.9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IFERROR(__xludf.DUMMYFUNCTION("""COMPUTED_VALUE"""),452.9)</f>
        <v>452.9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IFERROR(__xludf.DUMMYFUNCTION("""COMPUTED_VALUE"""),426.9)</f>
        <v>426.9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IFERROR(__xludf.DUMMYFUNCTION("""COMPUTED_VALUE"""),461.9)</f>
        <v>461.9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IFERROR(__xludf.DUMMYFUNCTION("""COMPUTED_VALUE"""),467.4)</f>
        <v>467.4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IFERROR(__xludf.DUMMYFUNCTION("""COMPUTED_VALUE"""),449.6)</f>
        <v>449.6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IFERROR(__xludf.DUMMYFUNCTION("""COMPUTED_VALUE"""),441.9)</f>
        <v>441.9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IFERROR(__xludf.DUMMYFUNCTION("""COMPUTED_VALUE"""),441.4)</f>
        <v>441.4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IFERROR(__xludf.DUMMYFUNCTION("""COMPUTED_VALUE"""),432.45)</f>
        <v>432.45</v>
      </c>
    </row>
    <row r="989" ht="15.75" customHeight="1"/>
    <row r="990" ht="15.75" customHeight="1"/>
    <row r="991" ht="15.75" customHeight="1">
      <c r="B991" s="2" t="str">
        <f>IFERROR(__xludf.DUMMYFUNCTION("GOOGLEFINANCE(""NSE:SUNPHARMA"",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IFERROR(__xludf.DUMMYFUNCTION("""COMPUTED_VALUE"""),450.4)</f>
        <v>450.4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IFERROR(__xludf.DUMMYFUNCTION("""COMPUTED_VALUE"""),449.0)</f>
        <v>449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IFERROR(__xludf.DUMMYFUNCTION("""COMPUTED_VALUE"""),456.35)</f>
        <v>456.35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IFERROR(__xludf.DUMMYFUNCTION("""COMPUTED_VALUE"""),456.2)</f>
        <v>456.2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IFERROR(__xludf.DUMMYFUNCTION("""COMPUTED_VALUE"""),462.5)</f>
        <v>462.5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IFERROR(__xludf.DUMMYFUNCTION("""COMPUTED_VALUE"""),441.75)</f>
        <v>441.75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IFERROR(__xludf.DUMMYFUNCTION("""COMPUTED_VALUE"""),432.75)</f>
        <v>432.75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IFERROR(__xludf.DUMMYFUNCTION("""COMPUTED_VALUE"""),418.5)</f>
        <v>418.5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IFERROR(__xludf.DUMMYFUNCTION("""COMPUTED_VALUE"""),414.65)</f>
        <v>414.65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IFERROR(__xludf.DUMMYFUNCTION("""COMPUTED_VALUE"""),414.8)</f>
        <v>414.8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IFERROR(__xludf.DUMMYFUNCTION("""COMPUTED_VALUE"""),403.9)</f>
        <v>403.9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IFERROR(__xludf.DUMMYFUNCTION("""COMPUTED_VALUE"""),396.4)</f>
        <v>396.4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IFERROR(__xludf.DUMMYFUNCTION("""COMPUTED_VALUE"""),368.0)</f>
        <v>368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IFERROR(__xludf.DUMMYFUNCTION("""COMPUTED_VALUE"""),389.8)</f>
        <v>389.8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IFERROR(__xludf.DUMMYFUNCTION("""COMPUTED_VALUE"""),473.9)</f>
        <v>473.9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IFERROR(__xludf.DUMMYFUNCTION("""COMPUTED_VALUE"""),488.5)</f>
        <v>488.5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IFERROR(__xludf.DUMMYFUNCTION("""COMPUTED_VALUE"""),497.0)</f>
        <v>497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IFERROR(__xludf.DUMMYFUNCTION("""COMPUTED_VALUE"""),504.8)</f>
        <v>504.8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IFERROR(__xludf.DUMMYFUNCTION("""COMPUTED_VALUE"""),474.5)</f>
        <v>474.5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IFERROR(__xludf.DUMMYFUNCTION("""COMPUTED_VALUE"""),475.55)</f>
        <v>475.55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IFERROR(__xludf.DUMMYFUNCTION("""COMPUTED_VALUE"""),471.9)</f>
        <v>471.9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IFERROR(__xludf.DUMMYFUNCTION("""COMPUTED_VALUE"""),481.6)</f>
        <v>481.6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IFERROR(__xludf.DUMMYFUNCTION("""COMPUTED_VALUE"""),511.0)</f>
        <v>511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IFERROR(__xludf.DUMMYFUNCTION("""COMPUTED_VALUE"""),512.7)</f>
        <v>512.7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IFERROR(__xludf.DUMMYFUNCTION("""COMPUTED_VALUE"""),493.5)</f>
        <v>493.5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IFERROR(__xludf.DUMMYFUNCTION("""COMPUTED_VALUE"""),503.4)</f>
        <v>503.4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IFERROR(__xludf.DUMMYFUNCTION("""COMPUTED_VALUE"""),487.35)</f>
        <v>487.35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IFERROR(__xludf.DUMMYFUNCTION("""COMPUTED_VALUE"""),498.9)</f>
        <v>498.9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IFERROR(__xludf.DUMMYFUNCTION("""COMPUTED_VALUE"""),509.55)</f>
        <v>509.55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IFERROR(__xludf.DUMMYFUNCTION("""COMPUTED_VALUE"""),501.9)</f>
        <v>501.9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IFERROR(__xludf.DUMMYFUNCTION("""COMPUTED_VALUE"""),541.0)</f>
        <v>541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IFERROR(__xludf.DUMMYFUNCTION("""COMPUTED_VALUE"""),541.45)</f>
        <v>541.45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IFERROR(__xludf.DUMMYFUNCTION("""COMPUTED_VALUE"""),550.8)</f>
        <v>550.8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IFERROR(__xludf.DUMMYFUNCTION("""COMPUTED_VALUE"""),538.7)</f>
        <v>538.7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IFERROR(__xludf.DUMMYFUNCTION("""COMPUTED_VALUE"""),564.75)</f>
        <v>564.75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IFERROR(__xludf.DUMMYFUNCTION("""COMPUTED_VALUE"""),561.0)</f>
        <v>561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IFERROR(__xludf.DUMMYFUNCTION("""COMPUTED_VALUE"""),518.2)</f>
        <v>518.2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IFERROR(__xludf.DUMMYFUNCTION("""COMPUTED_VALUE"""),535.0)</f>
        <v>535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IFERROR(__xludf.DUMMYFUNCTION("""COMPUTED_VALUE"""),528.25)</f>
        <v>528.25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IFERROR(__xludf.DUMMYFUNCTION("""COMPUTED_VALUE"""),517.85)</f>
        <v>517.85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IFERROR(__xludf.DUMMYFUNCTION("""COMPUTED_VALUE"""),529.3)</f>
        <v>529.3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IFERROR(__xludf.DUMMYFUNCTION("""COMPUTED_VALUE"""),519.95)</f>
        <v>519.95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IFERROR(__xludf.DUMMYFUNCTION("""COMPUTED_VALUE"""),494.5)</f>
        <v>494.5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IFERROR(__xludf.DUMMYFUNCTION("""COMPUTED_VALUE"""),487.4)</f>
        <v>487.4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IFERROR(__xludf.DUMMYFUNCTION("""COMPUTED_VALUE"""),518.25)</f>
        <v>518.25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IFERROR(__xludf.DUMMYFUNCTION("""COMPUTED_VALUE"""),523.4)</f>
        <v>523.4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IFERROR(__xludf.DUMMYFUNCTION("""COMPUTED_VALUE"""),526.0)</f>
        <v>526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IFERROR(__xludf.DUMMYFUNCTION("""COMPUTED_VALUE"""),572.9)</f>
        <v>572.9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IFERROR(__xludf.DUMMYFUNCTION("""COMPUTED_VALUE"""),591.5)</f>
        <v>591.5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IFERROR(__xludf.DUMMYFUNCTION("""COMPUTED_VALUE"""),586.3)</f>
        <v>586.3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IFERROR(__xludf.DUMMYFUNCTION("""COMPUTED_VALUE"""),595.0)</f>
        <v>595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IFERROR(__xludf.DUMMYFUNCTION("""COMPUTED_VALUE"""),599.75)</f>
        <v>599.75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IFERROR(__xludf.DUMMYFUNCTION("GOOGLEFINANCE(""NSE:WIPRO"",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IFERROR(__xludf.DUMMYFUNCTION("""COMPUTED_VALUE"""),68.14)</f>
        <v>68.14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IFERROR(__xludf.DUMMYFUNCTION("""COMPUTED_VALUE"""),70.31)</f>
        <v>70.31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IFERROR(__xludf.DUMMYFUNCTION("""COMPUTED_VALUE"""),67.46)</f>
        <v>67.46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IFERROR(__xludf.DUMMYFUNCTION("""COMPUTED_VALUE"""),61.38)</f>
        <v>61.38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IFERROR(__xludf.DUMMYFUNCTION("""COMPUTED_VALUE"""),62.96)</f>
        <v>62.96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IFERROR(__xludf.DUMMYFUNCTION("""COMPUTED_VALUE"""),66.94)</f>
        <v>66.94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IFERROR(__xludf.DUMMYFUNCTION("""COMPUTED_VALUE"""),64.74)</f>
        <v>64.74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IFERROR(__xludf.DUMMYFUNCTION("""COMPUTED_VALUE"""),63.71)</f>
        <v>63.71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IFERROR(__xludf.DUMMYFUNCTION("""COMPUTED_VALUE"""),63.75)</f>
        <v>63.75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IFERROR(__xludf.DUMMYFUNCTION("""COMPUTED_VALUE"""),71.04)</f>
        <v>71.04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IFERROR(__xludf.DUMMYFUNCTION("""COMPUTED_VALUE"""),70.13)</f>
        <v>70.13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IFERROR(__xludf.DUMMYFUNCTION("""COMPUTED_VALUE"""),66.94)</f>
        <v>66.94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IFERROR(__xludf.DUMMYFUNCTION("""COMPUTED_VALUE"""),64.46)</f>
        <v>64.46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IFERROR(__xludf.DUMMYFUNCTION("""COMPUTED_VALUE"""),68.15)</f>
        <v>68.15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IFERROR(__xludf.DUMMYFUNCTION("""COMPUTED_VALUE"""),68.4)</f>
        <v>68.4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IFERROR(__xludf.DUMMYFUNCTION("""COMPUTED_VALUE"""),70.31)</f>
        <v>70.31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IFERROR(__xludf.DUMMYFUNCTION("""COMPUTED_VALUE"""),63.28)</f>
        <v>63.28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IFERROR(__xludf.DUMMYFUNCTION("""COMPUTED_VALUE"""),61.12)</f>
        <v>61.12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IFERROR(__xludf.DUMMYFUNCTION("""COMPUTED_VALUE"""),63.3)</f>
        <v>63.3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IFERROR(__xludf.DUMMYFUNCTION("""COMPUTED_VALUE"""),61.49)</f>
        <v>61.49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IFERROR(__xludf.DUMMYFUNCTION("""COMPUTED_VALUE"""),59.62)</f>
        <v>59.62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IFERROR(__xludf.DUMMYFUNCTION("""COMPUTED_VALUE"""),60.71)</f>
        <v>60.71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IFERROR(__xludf.DUMMYFUNCTION("""COMPUTED_VALUE"""),58.65)</f>
        <v>58.65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IFERROR(__xludf.DUMMYFUNCTION("""COMPUTED_VALUE"""),60.0)</f>
        <v>60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IFERROR(__xludf.DUMMYFUNCTION("""COMPUTED_VALUE"""),60.0)</f>
        <v>60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IFERROR(__xludf.DUMMYFUNCTION("""COMPUTED_VALUE"""),57.56)</f>
        <v>57.56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IFERROR(__xludf.DUMMYFUNCTION("""COMPUTED_VALUE"""),56.19)</f>
        <v>56.19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IFERROR(__xludf.DUMMYFUNCTION("""COMPUTED_VALUE"""),53.57)</f>
        <v>53.57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IFERROR(__xludf.DUMMYFUNCTION("""COMPUTED_VALUE"""),49.87)</f>
        <v>49.87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IFERROR(__xludf.DUMMYFUNCTION("""COMPUTED_VALUE"""),50.48)</f>
        <v>50.48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IFERROR(__xludf.DUMMYFUNCTION("""COMPUTED_VALUE"""),44.93)</f>
        <v>44.93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IFERROR(__xludf.DUMMYFUNCTION("""COMPUTED_VALUE"""),44.47)</f>
        <v>44.47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IFERROR(__xludf.DUMMYFUNCTION("""COMPUTED_VALUE"""),45.18)</f>
        <v>45.18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IFERROR(__xludf.DUMMYFUNCTION("""COMPUTED_VALUE"""),46.8)</f>
        <v>46.8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IFERROR(__xludf.DUMMYFUNCTION("""COMPUTED_VALUE"""),48.09)</f>
        <v>48.09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IFERROR(__xludf.DUMMYFUNCTION("""COMPUTED_VALUE"""),49.31)</f>
        <v>49.31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IFERROR(__xludf.DUMMYFUNCTION("""COMPUTED_VALUE"""),56.99)</f>
        <v>56.99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IFERROR(__xludf.DUMMYFUNCTION("""COMPUTED_VALUE"""),51.18)</f>
        <v>51.18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IFERROR(__xludf.DUMMYFUNCTION("""COMPUTED_VALUE"""),51.19)</f>
        <v>51.19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IFERROR(__xludf.DUMMYFUNCTION("""COMPUTED_VALUE"""),52.12)</f>
        <v>52.12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IFERROR(__xludf.DUMMYFUNCTION("""COMPUTED_VALUE"""),53.96)</f>
        <v>53.96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IFERROR(__xludf.DUMMYFUNCTION("""COMPUTED_VALUE"""),56.17)</f>
        <v>56.17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IFERROR(__xludf.DUMMYFUNCTION("""COMPUTED_VALUE"""),54.29)</f>
        <v>54.29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IFERROR(__xludf.DUMMYFUNCTION("""COMPUTED_VALUE"""),53.06)</f>
        <v>53.06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IFERROR(__xludf.DUMMYFUNCTION("""COMPUTED_VALUE"""),55.44)</f>
        <v>55.44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IFERROR(__xludf.DUMMYFUNCTION("""COMPUTED_VALUE"""),60.54)</f>
        <v>60.54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IFERROR(__xludf.DUMMYFUNCTION("""COMPUTED_VALUE"""),61.91)</f>
        <v>61.91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IFERROR(__xludf.DUMMYFUNCTION("""COMPUTED_VALUE"""),63.94)</f>
        <v>63.94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IFERROR(__xludf.DUMMYFUNCTION("""COMPUTED_VALUE"""),66.04)</f>
        <v>66.04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IFERROR(__xludf.DUMMYFUNCTION("""COMPUTED_VALUE"""),62.96)</f>
        <v>62.96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IFERROR(__xludf.DUMMYFUNCTION("""COMPUTED_VALUE"""),62.81)</f>
        <v>62.81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IFERROR(__xludf.DUMMYFUNCTION("""COMPUTED_VALUE"""),61.42)</f>
        <v>61.42</v>
      </c>
    </row>
    <row r="54" ht="15.75" customHeight="1"/>
    <row r="55" ht="15.75" customHeight="1"/>
    <row r="56" ht="15.75" customHeight="1">
      <c r="B56" s="2" t="str">
        <f>IFERROR(__xludf.DUMMYFUNCTION("GOOGLEFINANCE(""NSE:WIPRO"",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IFERROR(__xludf.DUMMYFUNCTION("""COMPUTED_VALUE"""),62.78)</f>
        <v>62.78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IFERROR(__xludf.DUMMYFUNCTION("""COMPUTED_VALUE"""),63.3)</f>
        <v>63.3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IFERROR(__xludf.DUMMYFUNCTION("""COMPUTED_VALUE"""),60.34)</f>
        <v>60.34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IFERROR(__xludf.DUMMYFUNCTION("""COMPUTED_VALUE"""),57.52)</f>
        <v>57.52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IFERROR(__xludf.DUMMYFUNCTION("""COMPUTED_VALUE"""),58.63)</f>
        <v>58.63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IFERROR(__xludf.DUMMYFUNCTION("""COMPUTED_VALUE"""),55.5)</f>
        <v>55.5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IFERROR(__xludf.DUMMYFUNCTION("""COMPUTED_VALUE"""),54.3)</f>
        <v>54.3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IFERROR(__xludf.DUMMYFUNCTION("""COMPUTED_VALUE"""),54.75)</f>
        <v>54.75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IFERROR(__xludf.DUMMYFUNCTION("""COMPUTED_VALUE"""),55.49)</f>
        <v>55.49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IFERROR(__xludf.DUMMYFUNCTION("""COMPUTED_VALUE"""),56.25)</f>
        <v>56.25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IFERROR(__xludf.DUMMYFUNCTION("""COMPUTED_VALUE"""),51.67)</f>
        <v>51.67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IFERROR(__xludf.DUMMYFUNCTION("""COMPUTED_VALUE"""),53.25)</f>
        <v>53.25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IFERROR(__xludf.DUMMYFUNCTION("""COMPUTED_VALUE"""),49.01)</f>
        <v>49.01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IFERROR(__xludf.DUMMYFUNCTION("""COMPUTED_VALUE"""),48.97)</f>
        <v>48.97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IFERROR(__xludf.DUMMYFUNCTION("""COMPUTED_VALUE"""),41.18)</f>
        <v>41.18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IFERROR(__xludf.DUMMYFUNCTION("""COMPUTED_VALUE"""),35.58)</f>
        <v>35.58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IFERROR(__xludf.DUMMYFUNCTION("""COMPUTED_VALUE"""),34.31)</f>
        <v>34.31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IFERROR(__xludf.DUMMYFUNCTION("""COMPUTED_VALUE"""),35.25)</f>
        <v>35.25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IFERROR(__xludf.DUMMYFUNCTION("""COMPUTED_VALUE"""),35.59)</f>
        <v>35.59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IFERROR(__xludf.DUMMYFUNCTION("""COMPUTED_VALUE"""),35.54)</f>
        <v>35.54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IFERROR(__xludf.DUMMYFUNCTION("""COMPUTED_VALUE"""),31.76)</f>
        <v>31.76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IFERROR(__xludf.DUMMYFUNCTION("""COMPUTED_VALUE"""),32.86)</f>
        <v>32.86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IFERROR(__xludf.DUMMYFUNCTION("""COMPUTED_VALUE"""),32.36)</f>
        <v>32.36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IFERROR(__xludf.DUMMYFUNCTION("""COMPUTED_VALUE"""),35.21)</f>
        <v>35.21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IFERROR(__xludf.DUMMYFUNCTION("""COMPUTED_VALUE"""),35.39)</f>
        <v>35.39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IFERROR(__xludf.DUMMYFUNCTION("""COMPUTED_VALUE"""),36.0)</f>
        <v>36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IFERROR(__xludf.DUMMYFUNCTION("""COMPUTED_VALUE"""),38.28)</f>
        <v>38.28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IFERROR(__xludf.DUMMYFUNCTION("""COMPUTED_VALUE"""),37.2)</f>
        <v>37.2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IFERROR(__xludf.DUMMYFUNCTION("""COMPUTED_VALUE"""),35.15)</f>
        <v>35.15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IFERROR(__xludf.DUMMYFUNCTION("""COMPUTED_VALUE"""),37.5)</f>
        <v>37.5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IFERROR(__xludf.DUMMYFUNCTION("""COMPUTED_VALUE"""),37.65)</f>
        <v>37.65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IFERROR(__xludf.DUMMYFUNCTION("""COMPUTED_VALUE"""),35.87)</f>
        <v>35.87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IFERROR(__xludf.DUMMYFUNCTION("""COMPUTED_VALUE"""),41.25)</f>
        <v>41.25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IFERROR(__xludf.DUMMYFUNCTION("""COMPUTED_VALUE"""),42.45)</f>
        <v>42.45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IFERROR(__xludf.DUMMYFUNCTION("""COMPUTED_VALUE"""),47.03)</f>
        <v>47.03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IFERROR(__xludf.DUMMYFUNCTION("""COMPUTED_VALUE"""),49.99)</f>
        <v>49.99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IFERROR(__xludf.DUMMYFUNCTION("""COMPUTED_VALUE"""),46.95)</f>
        <v>46.95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IFERROR(__xludf.DUMMYFUNCTION("""COMPUTED_VALUE"""),46.86)</f>
        <v>46.86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IFERROR(__xludf.DUMMYFUNCTION("""COMPUTED_VALUE"""),47.92)</f>
        <v>47.92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IFERROR(__xludf.DUMMYFUNCTION("""COMPUTED_VALUE"""),50.96)</f>
        <v>50.96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IFERROR(__xludf.DUMMYFUNCTION("""COMPUTED_VALUE"""),56.89)</f>
        <v>56.89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IFERROR(__xludf.DUMMYFUNCTION("""COMPUTED_VALUE"""),50.59)</f>
        <v>50.59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IFERROR(__xludf.DUMMYFUNCTION("""COMPUTED_VALUE"""),56.17)</f>
        <v>56.17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IFERROR(__xludf.DUMMYFUNCTION("""COMPUTED_VALUE"""),54.9)</f>
        <v>54.9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IFERROR(__xludf.DUMMYFUNCTION("""COMPUTED_VALUE"""),58.05)</f>
        <v>58.05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IFERROR(__xludf.DUMMYFUNCTION("""COMPUTED_VALUE"""),61.69)</f>
        <v>61.69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IFERROR(__xludf.DUMMYFUNCTION("""COMPUTED_VALUE"""),61.99)</f>
        <v>61.99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IFERROR(__xludf.DUMMYFUNCTION("""COMPUTED_VALUE"""),64.27)</f>
        <v>64.27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IFERROR(__xludf.DUMMYFUNCTION("""COMPUTED_VALUE"""),65.44)</f>
        <v>65.44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IFERROR(__xludf.DUMMYFUNCTION("GOOGLEFINANCE(""NSE:WIPRO"",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IFERROR(__xludf.DUMMYFUNCTION("""COMPUTED_VALUE"""),67.57)</f>
        <v>67.57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IFERROR(__xludf.DUMMYFUNCTION("""COMPUTED_VALUE"""),70.12)</f>
        <v>70.12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IFERROR(__xludf.DUMMYFUNCTION("""COMPUTED_VALUE"""),67.01)</f>
        <v>67.01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IFERROR(__xludf.DUMMYFUNCTION("""COMPUTED_VALUE"""),66.26)</f>
        <v>66.26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IFERROR(__xludf.DUMMYFUNCTION("""COMPUTED_VALUE"""),65.62)</f>
        <v>65.62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IFERROR(__xludf.DUMMYFUNCTION("""COMPUTED_VALUE"""),59.63)</f>
        <v>59.63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IFERROR(__xludf.DUMMYFUNCTION("""COMPUTED_VALUE"""),61.84)</f>
        <v>61.84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IFERROR(__xludf.DUMMYFUNCTION("""COMPUTED_VALUE"""),61.5)</f>
        <v>61.5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IFERROR(__xludf.DUMMYFUNCTION("""COMPUTED_VALUE"""),57.04)</f>
        <v>57.04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IFERROR(__xludf.DUMMYFUNCTION("""COMPUTED_VALUE"""),57.56)</f>
        <v>57.56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IFERROR(__xludf.DUMMYFUNCTION("""COMPUTED_VALUE"""),56.21)</f>
        <v>56.21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IFERROR(__xludf.DUMMYFUNCTION("""COMPUTED_VALUE"""),56.62)</f>
        <v>56.62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IFERROR(__xludf.DUMMYFUNCTION("""COMPUTED_VALUE"""),53.99)</f>
        <v>53.99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IFERROR(__xludf.DUMMYFUNCTION("""COMPUTED_VALUE"""),53.81)</f>
        <v>53.81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IFERROR(__xludf.DUMMYFUNCTION("""COMPUTED_VALUE"""),57.19)</f>
        <v>57.19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IFERROR(__xludf.DUMMYFUNCTION("""COMPUTED_VALUE"""),61.23)</f>
        <v>61.23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IFERROR(__xludf.DUMMYFUNCTION("""COMPUTED_VALUE"""),59.89)</f>
        <v>59.89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IFERROR(__xludf.DUMMYFUNCTION("""COMPUTED_VALUE"""),61.12)</f>
        <v>61.12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IFERROR(__xludf.DUMMYFUNCTION("""COMPUTED_VALUE"""),60.94)</f>
        <v>60.94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IFERROR(__xludf.DUMMYFUNCTION("""COMPUTED_VALUE"""),61.88)</f>
        <v>61.88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IFERROR(__xludf.DUMMYFUNCTION("""COMPUTED_VALUE"""),61.65)</f>
        <v>61.65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IFERROR(__xludf.DUMMYFUNCTION("""COMPUTED_VALUE"""),58.68)</f>
        <v>58.68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IFERROR(__xludf.DUMMYFUNCTION("""COMPUTED_VALUE"""),59.02)</f>
        <v>59.02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IFERROR(__xludf.DUMMYFUNCTION("""COMPUTED_VALUE"""),57.64)</f>
        <v>57.64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IFERROR(__xludf.DUMMYFUNCTION("""COMPUTED_VALUE"""),64.13)</f>
        <v>64.13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IFERROR(__xludf.DUMMYFUNCTION("""COMPUTED_VALUE"""),63.45)</f>
        <v>63.45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IFERROR(__xludf.DUMMYFUNCTION("""COMPUTED_VALUE"""),60.3)</f>
        <v>60.3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IFERROR(__xludf.DUMMYFUNCTION("""COMPUTED_VALUE"""),60.08)</f>
        <v>60.08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IFERROR(__xludf.DUMMYFUNCTION("""COMPUTED_VALUE"""),61.54)</f>
        <v>61.54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IFERROR(__xludf.DUMMYFUNCTION("""COMPUTED_VALUE"""),62.43)</f>
        <v>62.43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IFERROR(__xludf.DUMMYFUNCTION("""COMPUTED_VALUE"""),63.97)</f>
        <v>63.97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IFERROR(__xludf.DUMMYFUNCTION("""COMPUTED_VALUE"""),64.44)</f>
        <v>64.44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IFERROR(__xludf.DUMMYFUNCTION("""COMPUTED_VALUE"""),64.0)</f>
        <v>64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IFERROR(__xludf.DUMMYFUNCTION("""COMPUTED_VALUE"""),65.81)</f>
        <v>65.81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IFERROR(__xludf.DUMMYFUNCTION("""COMPUTED_VALUE"""),65.81)</f>
        <v>65.81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IFERROR(__xludf.DUMMYFUNCTION("""COMPUTED_VALUE"""),67.15)</f>
        <v>67.15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IFERROR(__xludf.DUMMYFUNCTION("""COMPUTED_VALUE"""),68.04)</f>
        <v>68.04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IFERROR(__xludf.DUMMYFUNCTION("""COMPUTED_VALUE"""),68.83)</f>
        <v>68.83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IFERROR(__xludf.DUMMYFUNCTION("""COMPUTED_VALUE"""),68.4)</f>
        <v>68.4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IFERROR(__xludf.DUMMYFUNCTION("""COMPUTED_VALUE"""),76.13)</f>
        <v>76.13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IFERROR(__xludf.DUMMYFUNCTION("""COMPUTED_VALUE"""),73.85)</f>
        <v>73.85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IFERROR(__xludf.DUMMYFUNCTION("""COMPUTED_VALUE"""),81.9)</f>
        <v>81.9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IFERROR(__xludf.DUMMYFUNCTION("""COMPUTED_VALUE"""),77.85)</f>
        <v>77.85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IFERROR(__xludf.DUMMYFUNCTION("""COMPUTED_VALUE"""),78.86)</f>
        <v>78.86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IFERROR(__xludf.DUMMYFUNCTION("""COMPUTED_VALUE"""),81.45)</f>
        <v>81.45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IFERROR(__xludf.DUMMYFUNCTION("""COMPUTED_VALUE"""),83.25)</f>
        <v>83.25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IFERROR(__xludf.DUMMYFUNCTION("""COMPUTED_VALUE"""),86.63)</f>
        <v>86.63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IFERROR(__xludf.DUMMYFUNCTION("""COMPUTED_VALUE"""),85.5)</f>
        <v>85.5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IFERROR(__xludf.DUMMYFUNCTION("""COMPUTED_VALUE"""),87.17)</f>
        <v>87.17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IFERROR(__xludf.DUMMYFUNCTION("""COMPUTED_VALUE"""),87.08)</f>
        <v>87.08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IFERROR(__xludf.DUMMYFUNCTION("""COMPUTED_VALUE"""),85.61)</f>
        <v>85.61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IFERROR(__xludf.DUMMYFUNCTION("GOOGLEFINANCE(""NSE:WIPRO"",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IFERROR(__xludf.DUMMYFUNCTION("""COMPUTED_VALUE"""),85.5)</f>
        <v>85.5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IFERROR(__xludf.DUMMYFUNCTION("""COMPUTED_VALUE"""),79.28)</f>
        <v>79.28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IFERROR(__xludf.DUMMYFUNCTION("""COMPUTED_VALUE"""),78.19)</f>
        <v>78.19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IFERROR(__xludf.DUMMYFUNCTION("""COMPUTED_VALUE"""),79.25)</f>
        <v>79.25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IFERROR(__xludf.DUMMYFUNCTION("""COMPUTED_VALUE"""),81.9)</f>
        <v>81.9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IFERROR(__xludf.DUMMYFUNCTION("""COMPUTED_VALUE"""),79.65)</f>
        <v>79.65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IFERROR(__xludf.DUMMYFUNCTION("""COMPUTED_VALUE"""),81.0)</f>
        <v>81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IFERROR(__xludf.DUMMYFUNCTION("""COMPUTED_VALUE"""),77.73)</f>
        <v>77.73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IFERROR(__xludf.DUMMYFUNCTION("""COMPUTED_VALUE"""),81.45)</f>
        <v>81.45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IFERROR(__xludf.DUMMYFUNCTION("""COMPUTED_VALUE"""),82.68)</f>
        <v>82.68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IFERROR(__xludf.DUMMYFUNCTION("""COMPUTED_VALUE"""),79.3)</f>
        <v>79.3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IFERROR(__xludf.DUMMYFUNCTION("""COMPUTED_VALUE"""),78.03)</f>
        <v>78.03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IFERROR(__xludf.DUMMYFUNCTION("""COMPUTED_VALUE"""),77.18)</f>
        <v>77.18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IFERROR(__xludf.DUMMYFUNCTION("""COMPUTED_VALUE"""),78.3)</f>
        <v>78.3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IFERROR(__xludf.DUMMYFUNCTION("""COMPUTED_VALUE"""),75.38)</f>
        <v>75.38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IFERROR(__xludf.DUMMYFUNCTION("""COMPUTED_VALUE"""),75.92)</f>
        <v>75.92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IFERROR(__xludf.DUMMYFUNCTION("""COMPUTED_VALUE"""),74.67)</f>
        <v>74.67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IFERROR(__xludf.DUMMYFUNCTION("""COMPUTED_VALUE"""),72.5)</f>
        <v>72.5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IFERROR(__xludf.DUMMYFUNCTION("""COMPUTED_VALUE"""),73.24)</f>
        <v>73.24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IFERROR(__xludf.DUMMYFUNCTION("""COMPUTED_VALUE"""),75.36)</f>
        <v>75.36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IFERROR(__xludf.DUMMYFUNCTION("""COMPUTED_VALUE"""),82.58)</f>
        <v>82.58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IFERROR(__xludf.DUMMYFUNCTION("""COMPUTED_VALUE"""),83.24)</f>
        <v>83.24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IFERROR(__xludf.DUMMYFUNCTION("""COMPUTED_VALUE"""),83.93)</f>
        <v>83.93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IFERROR(__xludf.DUMMYFUNCTION("""COMPUTED_VALUE"""),86.61)</f>
        <v>86.61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IFERROR(__xludf.DUMMYFUNCTION("""COMPUTED_VALUE"""),87.3)</f>
        <v>87.3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IFERROR(__xludf.DUMMYFUNCTION("""COMPUTED_VALUE"""),86.06)</f>
        <v>86.06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IFERROR(__xludf.DUMMYFUNCTION("""COMPUTED_VALUE"""),83.25)</f>
        <v>83.25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IFERROR(__xludf.DUMMYFUNCTION("""COMPUTED_VALUE"""),81.34)</f>
        <v>81.34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IFERROR(__xludf.DUMMYFUNCTION("""COMPUTED_VALUE"""),83.81)</f>
        <v>83.81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IFERROR(__xludf.DUMMYFUNCTION("""COMPUTED_VALUE"""),84.32)</f>
        <v>84.32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IFERROR(__xludf.DUMMYFUNCTION("""COMPUTED_VALUE"""),83.25)</f>
        <v>83.25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IFERROR(__xludf.DUMMYFUNCTION("""COMPUTED_VALUE"""),84.13)</f>
        <v>84.13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IFERROR(__xludf.DUMMYFUNCTION("""COMPUTED_VALUE"""),85.61)</f>
        <v>85.61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IFERROR(__xludf.DUMMYFUNCTION("""COMPUTED_VALUE"""),84.71)</f>
        <v>84.71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IFERROR(__xludf.DUMMYFUNCTION("""COMPUTED_VALUE"""),85.68)</f>
        <v>85.68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IFERROR(__xludf.DUMMYFUNCTION("""COMPUTED_VALUE"""),86.61)</f>
        <v>86.61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IFERROR(__xludf.DUMMYFUNCTION("""COMPUTED_VALUE"""),86.61)</f>
        <v>86.61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IFERROR(__xludf.DUMMYFUNCTION("""COMPUTED_VALUE"""),85.48)</f>
        <v>85.48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IFERROR(__xludf.DUMMYFUNCTION("""COMPUTED_VALUE"""),93.11)</f>
        <v>93.11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IFERROR(__xludf.DUMMYFUNCTION("""COMPUTED_VALUE"""),90.9)</f>
        <v>90.9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IFERROR(__xludf.DUMMYFUNCTION("""COMPUTED_VALUE"""),87.53)</f>
        <v>87.53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IFERROR(__xludf.DUMMYFUNCTION("""COMPUTED_VALUE"""),88.2)</f>
        <v>88.2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IFERROR(__xludf.DUMMYFUNCTION("""COMPUTED_VALUE"""),83.81)</f>
        <v>83.81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IFERROR(__xludf.DUMMYFUNCTION("""COMPUTED_VALUE"""),91.13)</f>
        <v>91.13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IFERROR(__xludf.DUMMYFUNCTION("""COMPUTED_VALUE"""),96.57)</f>
        <v>96.57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IFERROR(__xludf.DUMMYFUNCTION("""COMPUTED_VALUE"""),101.25)</f>
        <v>101.25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IFERROR(__xludf.DUMMYFUNCTION("""COMPUTED_VALUE"""),99.65)</f>
        <v>99.65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IFERROR(__xludf.DUMMYFUNCTION("""COMPUTED_VALUE"""),102.31)</f>
        <v>102.31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IFERROR(__xludf.DUMMYFUNCTION("""COMPUTED_VALUE"""),105.75)</f>
        <v>105.75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IFERROR(__xludf.DUMMYFUNCTION("""COMPUTED_VALUE"""),105.09)</f>
        <v>105.09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IFERROR(__xludf.DUMMYFUNCTION("GOOGLEFINANCE(""NSE:WIPRO"",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IFERROR(__xludf.DUMMYFUNCTION("""COMPUTED_VALUE"""),109.13)</f>
        <v>109.13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IFERROR(__xludf.DUMMYFUNCTION("""COMPUTED_VALUE"""),107.46)</f>
        <v>107.46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IFERROR(__xludf.DUMMYFUNCTION("""COMPUTED_VALUE"""),123.3)</f>
        <v>123.3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IFERROR(__xludf.DUMMYFUNCTION("""COMPUTED_VALUE"""),116.93)</f>
        <v>116.93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IFERROR(__xludf.DUMMYFUNCTION("""COMPUTED_VALUE"""),122.72)</f>
        <v>122.72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IFERROR(__xludf.DUMMYFUNCTION("""COMPUTED_VALUE"""),118.13)</f>
        <v>118.13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IFERROR(__xludf.DUMMYFUNCTION("""COMPUTED_VALUE"""),115.77)</f>
        <v>115.77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IFERROR(__xludf.DUMMYFUNCTION("""COMPUTED_VALUE"""),118.1)</f>
        <v>118.1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IFERROR(__xludf.DUMMYFUNCTION("""COMPUTED_VALUE"""),121.95)</f>
        <v>121.95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IFERROR(__xludf.DUMMYFUNCTION("""COMPUTED_VALUE"""),120.33)</f>
        <v>120.33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IFERROR(__xludf.DUMMYFUNCTION("""COMPUTED_VALUE"""),121.5)</f>
        <v>121.5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IFERROR(__xludf.DUMMYFUNCTION("""COMPUTED_VALUE"""),123.75)</f>
        <v>123.75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IFERROR(__xludf.DUMMYFUNCTION("""COMPUTED_VALUE"""),131.83)</f>
        <v>131.83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IFERROR(__xludf.DUMMYFUNCTION("""COMPUTED_VALUE"""),128.19)</f>
        <v>128.19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IFERROR(__xludf.DUMMYFUNCTION("""COMPUTED_VALUE"""),123.68)</f>
        <v>123.68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IFERROR(__xludf.DUMMYFUNCTION("""COMPUTED_VALUE"""),134.78)</f>
        <v>134.78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IFERROR(__xludf.DUMMYFUNCTION("""COMPUTED_VALUE"""),124.91)</f>
        <v>124.91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IFERROR(__xludf.DUMMYFUNCTION("""COMPUTED_VALUE"""),123.73)</f>
        <v>123.73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IFERROR(__xludf.DUMMYFUNCTION("""COMPUTED_VALUE"""),122.63)</f>
        <v>122.63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IFERROR(__xludf.DUMMYFUNCTION("""COMPUTED_VALUE"""),112.5)</f>
        <v>112.5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IFERROR(__xludf.DUMMYFUNCTION("""COMPUTED_VALUE"""),109.8)</f>
        <v>109.8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IFERROR(__xludf.DUMMYFUNCTION("""COMPUTED_VALUE"""),107.98)</f>
        <v>107.98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IFERROR(__xludf.DUMMYFUNCTION("""COMPUTED_VALUE"""),102.92)</f>
        <v>102.92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IFERROR(__xludf.DUMMYFUNCTION("""COMPUTED_VALUE"""),109.13)</f>
        <v>109.13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IFERROR(__xludf.DUMMYFUNCTION("""COMPUTED_VALUE"""),116.78)</f>
        <v>116.78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IFERROR(__xludf.DUMMYFUNCTION("""COMPUTED_VALUE"""),116.42)</f>
        <v>116.42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IFERROR(__xludf.DUMMYFUNCTION("""COMPUTED_VALUE"""),116.78)</f>
        <v>116.78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IFERROR(__xludf.DUMMYFUNCTION("""COMPUTED_VALUE"""),112.21)</f>
        <v>112.21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IFERROR(__xludf.DUMMYFUNCTION("""COMPUTED_VALUE"""),112.25)</f>
        <v>112.25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IFERROR(__xludf.DUMMYFUNCTION("""COMPUTED_VALUE"""),115.83)</f>
        <v>115.83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IFERROR(__xludf.DUMMYFUNCTION("""COMPUTED_VALUE"""),116.64)</f>
        <v>116.64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IFERROR(__xludf.DUMMYFUNCTION("""COMPUTED_VALUE"""),118.08)</f>
        <v>118.08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IFERROR(__xludf.DUMMYFUNCTION("""COMPUTED_VALUE"""),117.0)</f>
        <v>117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IFERROR(__xludf.DUMMYFUNCTION("""COMPUTED_VALUE"""),120.07)</f>
        <v>120.07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IFERROR(__xludf.DUMMYFUNCTION("""COMPUTED_VALUE"""),118.13)</f>
        <v>118.13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IFERROR(__xludf.DUMMYFUNCTION("""COMPUTED_VALUE"""),116.66)</f>
        <v>116.66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IFERROR(__xludf.DUMMYFUNCTION("""COMPUTED_VALUE"""),118.13)</f>
        <v>118.13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IFERROR(__xludf.DUMMYFUNCTION("""COMPUTED_VALUE"""),119.23)</f>
        <v>119.23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IFERROR(__xludf.DUMMYFUNCTION("""COMPUTED_VALUE"""),118.13)</f>
        <v>118.13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IFERROR(__xludf.DUMMYFUNCTION("""COMPUTED_VALUE"""),125.98)</f>
        <v>125.98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IFERROR(__xludf.DUMMYFUNCTION("""COMPUTED_VALUE"""),127.13)</f>
        <v>127.13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IFERROR(__xludf.DUMMYFUNCTION("""COMPUTED_VALUE"""),126.23)</f>
        <v>126.23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IFERROR(__xludf.DUMMYFUNCTION("""COMPUTED_VALUE"""),121.39)</f>
        <v>121.39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IFERROR(__xludf.DUMMYFUNCTION("""COMPUTED_VALUE"""),127.13)</f>
        <v>127.13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IFERROR(__xludf.DUMMYFUNCTION("""COMPUTED_VALUE"""),133.85)</f>
        <v>133.85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IFERROR(__xludf.DUMMYFUNCTION("""COMPUTED_VALUE"""),150.75)</f>
        <v>150.75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IFERROR(__xludf.DUMMYFUNCTION("""COMPUTED_VALUE"""),135.45)</f>
        <v>135.45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IFERROR(__xludf.DUMMYFUNCTION("""COMPUTED_VALUE"""),131.46)</f>
        <v>131.46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IFERROR(__xludf.DUMMYFUNCTION("""COMPUTED_VALUE"""),131.85)</f>
        <v>131.85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IFERROR(__xludf.DUMMYFUNCTION("""COMPUTED_VALUE"""),138.13)</f>
        <v>138.13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IFERROR(__xludf.DUMMYFUNCTION("GOOGLEFINANCE(""NSE:WIPRO"",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IFERROR(__xludf.DUMMYFUNCTION("""COMPUTED_VALUE"""),139.95)</f>
        <v>139.95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IFERROR(__xludf.DUMMYFUNCTION("""COMPUTED_VALUE"""),141.64)</f>
        <v>141.64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IFERROR(__xludf.DUMMYFUNCTION("""COMPUTED_VALUE"""),146.72)</f>
        <v>146.72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IFERROR(__xludf.DUMMYFUNCTION("""COMPUTED_VALUE"""),151.88)</f>
        <v>151.88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IFERROR(__xludf.DUMMYFUNCTION("""COMPUTED_VALUE"""),146.89)</f>
        <v>146.89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IFERROR(__xludf.DUMMYFUNCTION("""COMPUTED_VALUE"""),145.77)</f>
        <v>145.77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IFERROR(__xludf.DUMMYFUNCTION("""COMPUTED_VALUE"""),153.73)</f>
        <v>153.73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IFERROR(__xludf.DUMMYFUNCTION("""COMPUTED_VALUE"""),155.48)</f>
        <v>155.48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IFERROR(__xludf.DUMMYFUNCTION("""COMPUTED_VALUE"""),141.28)</f>
        <v>141.28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IFERROR(__xludf.DUMMYFUNCTION("""COMPUTED_VALUE"""),133.13)</f>
        <v>133.13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IFERROR(__xludf.DUMMYFUNCTION("""COMPUTED_VALUE"""),134.48)</f>
        <v>134.48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IFERROR(__xludf.DUMMYFUNCTION("""COMPUTED_VALUE"""),137.14)</f>
        <v>137.14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IFERROR(__xludf.DUMMYFUNCTION("""COMPUTED_VALUE"""),136.06)</f>
        <v>136.06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IFERROR(__xludf.DUMMYFUNCTION("""COMPUTED_VALUE"""),126.9)</f>
        <v>126.9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IFERROR(__xludf.DUMMYFUNCTION("""COMPUTED_VALUE"""),128.36)</f>
        <v>128.36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IFERROR(__xludf.DUMMYFUNCTION("""COMPUTED_VALUE"""),136.08)</f>
        <v>136.08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IFERROR(__xludf.DUMMYFUNCTION("""COMPUTED_VALUE"""),132.75)</f>
        <v>132.75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IFERROR(__xludf.DUMMYFUNCTION("""COMPUTED_VALUE"""),142.88)</f>
        <v>142.88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IFERROR(__xludf.DUMMYFUNCTION("""COMPUTED_VALUE"""),128.7)</f>
        <v>128.7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IFERROR(__xludf.DUMMYFUNCTION("""COMPUTED_VALUE"""),125.73)</f>
        <v>125.73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IFERROR(__xludf.DUMMYFUNCTION("""COMPUTED_VALUE"""),123.3)</f>
        <v>123.3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IFERROR(__xludf.DUMMYFUNCTION("""COMPUTED_VALUE"""),126.83)</f>
        <v>126.83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IFERROR(__xludf.DUMMYFUNCTION("""COMPUTED_VALUE"""),124.71)</f>
        <v>124.71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IFERROR(__xludf.DUMMYFUNCTION("""COMPUTED_VALUE"""),141.14)</f>
        <v>141.14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IFERROR(__xludf.DUMMYFUNCTION("""COMPUTED_VALUE"""),123.73)</f>
        <v>123.73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IFERROR(__xludf.DUMMYFUNCTION("""COMPUTED_VALUE"""),117.0)</f>
        <v>117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IFERROR(__xludf.DUMMYFUNCTION("""COMPUTED_VALUE"""),117.45)</f>
        <v>117.45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IFERROR(__xludf.DUMMYFUNCTION("""COMPUTED_VALUE"""),119.36)</f>
        <v>119.36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IFERROR(__xludf.DUMMYFUNCTION("""COMPUTED_VALUE"""),115.43)</f>
        <v>115.43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IFERROR(__xludf.DUMMYFUNCTION("""COMPUTED_VALUE"""),119.7)</f>
        <v>119.7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IFERROR(__xludf.DUMMYFUNCTION("""COMPUTED_VALUE"""),114.73)</f>
        <v>114.73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IFERROR(__xludf.DUMMYFUNCTION("""COMPUTED_VALUE"""),109.06)</f>
        <v>109.06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IFERROR(__xludf.DUMMYFUNCTION("""COMPUTED_VALUE"""),108.99)</f>
        <v>108.99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IFERROR(__xludf.DUMMYFUNCTION("""COMPUTED_VALUE"""),111.98)</f>
        <v>111.98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IFERROR(__xludf.DUMMYFUNCTION("""COMPUTED_VALUE"""),109.86)</f>
        <v>109.86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IFERROR(__xludf.DUMMYFUNCTION("""COMPUTED_VALUE"""),109.76)</f>
        <v>109.76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IFERROR(__xludf.DUMMYFUNCTION("""COMPUTED_VALUE"""),106.75)</f>
        <v>106.75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IFERROR(__xludf.DUMMYFUNCTION("""COMPUTED_VALUE"""),103.48)</f>
        <v>103.48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IFERROR(__xludf.DUMMYFUNCTION("""COMPUTED_VALUE"""),106.89)</f>
        <v>106.89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IFERROR(__xludf.DUMMYFUNCTION("""COMPUTED_VALUE"""),106.88)</f>
        <v>106.88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IFERROR(__xludf.DUMMYFUNCTION("""COMPUTED_VALUE"""),113.91)</f>
        <v>113.91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IFERROR(__xludf.DUMMYFUNCTION("""COMPUTED_VALUE"""),114.75)</f>
        <v>114.75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IFERROR(__xludf.DUMMYFUNCTION("""COMPUTED_VALUE"""),113.37)</f>
        <v>113.37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IFERROR(__xludf.DUMMYFUNCTION("""COMPUTED_VALUE"""),116.19)</f>
        <v>116.19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IFERROR(__xludf.DUMMYFUNCTION("""COMPUTED_VALUE"""),107.51)</f>
        <v>107.51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IFERROR(__xludf.DUMMYFUNCTION("""COMPUTED_VALUE"""),105.18)</f>
        <v>105.18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IFERROR(__xludf.DUMMYFUNCTION("""COMPUTED_VALUE"""),104.63)</f>
        <v>104.63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IFERROR(__xludf.DUMMYFUNCTION("""COMPUTED_VALUE"""),113.63)</f>
        <v>113.63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IFERROR(__xludf.DUMMYFUNCTION("""COMPUTED_VALUE"""),114.73)</f>
        <v>114.73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IFERROR(__xludf.DUMMYFUNCTION("""COMPUTED_VALUE"""),112.5)</f>
        <v>112.5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IFERROR(__xludf.DUMMYFUNCTION("""COMPUTED_VALUE"""),124.2)</f>
        <v>124.2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IFERROR(__xludf.DUMMYFUNCTION("GOOGLEFINANCE(""NSE:WIPRO"",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IFERROR(__xludf.DUMMYFUNCTION("""COMPUTED_VALUE"""),122.6)</f>
        <v>122.6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IFERROR(__xludf.DUMMYFUNCTION("""COMPUTED_VALUE"""),113.04)</f>
        <v>113.04</v>
      </c>
    </row>
    <row r="334" ht="15.75" customHeight="1">
      <c r="B334" s="3">
        <f>IFERROR(__xludf.DUMMYFUNCTION("""COMPUTED_VALUE"""),39465.645833333336)</f>
        <v>39465.64583</v>
      </c>
      <c r="C334" s="2">
        <f>IFERROR(__xludf.DUMMYFUNCTION("""COMPUTED_VALUE"""),109.58)</f>
        <v>109.58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IFERROR(__xludf.DUMMYFUNCTION("""COMPUTED_VALUE"""),118.13)</f>
        <v>118.13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IFERROR(__xludf.DUMMYFUNCTION("""COMPUTED_VALUE"""),101.25)</f>
        <v>101.25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IFERROR(__xludf.DUMMYFUNCTION("""COMPUTED_VALUE"""),106.65)</f>
        <v>106.65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IFERROR(__xludf.DUMMYFUNCTION("""COMPUTED_VALUE"""),97.2)</f>
        <v>97.2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IFERROR(__xludf.DUMMYFUNCTION("""COMPUTED_VALUE"""),98.78)</f>
        <v>98.78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IFERROR(__xludf.DUMMYFUNCTION("""COMPUTED_VALUE"""),101.36)</f>
        <v>101.36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IFERROR(__xludf.DUMMYFUNCTION("""COMPUTED_VALUE"""),99.0)</f>
        <v>99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IFERROR(__xludf.DUMMYFUNCTION("""COMPUTED_VALUE"""),98.46)</f>
        <v>98.46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IFERROR(__xludf.DUMMYFUNCTION("""COMPUTED_VALUE"""),87.63)</f>
        <v>87.63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IFERROR(__xludf.DUMMYFUNCTION("""COMPUTED_VALUE"""),103.39)</f>
        <v>103.39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IFERROR(__xludf.DUMMYFUNCTION("""COMPUTED_VALUE"""),101.16)</f>
        <v>101.16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IFERROR(__xludf.DUMMYFUNCTION("""COMPUTED_VALUE"""),99.21)</f>
        <v>99.21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IFERROR(__xludf.DUMMYFUNCTION("""COMPUTED_VALUE"""),104.6)</f>
        <v>104.6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IFERROR(__xludf.DUMMYFUNCTION("""COMPUTED_VALUE"""),108.02)</f>
        <v>108.02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IFERROR(__xludf.DUMMYFUNCTION("""COMPUTED_VALUE"""),114.39)</f>
        <v>114.39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IFERROR(__xludf.DUMMYFUNCTION("""COMPUTED_VALUE"""),114.75)</f>
        <v>114.75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IFERROR(__xludf.DUMMYFUNCTION("""COMPUTED_VALUE"""),116.07)</f>
        <v>116.07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IFERROR(__xludf.DUMMYFUNCTION("""COMPUTED_VALUE"""),113.6)</f>
        <v>113.6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IFERROR(__xludf.DUMMYFUNCTION("""COMPUTED_VALUE"""),117.0)</f>
        <v>117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IFERROR(__xludf.DUMMYFUNCTION("""COMPUTED_VALUE"""),120.38)</f>
        <v>120.38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IFERROR(__xludf.DUMMYFUNCTION("""COMPUTED_VALUE"""),112.28)</f>
        <v>112.28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IFERROR(__xludf.DUMMYFUNCTION("""COMPUTED_VALUE"""),112.22)</f>
        <v>112.22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IFERROR(__xludf.DUMMYFUNCTION("""COMPUTED_VALUE"""),111.21)</f>
        <v>111.21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IFERROR(__xludf.DUMMYFUNCTION("""COMPUTED_VALUE"""),102.14)</f>
        <v>102.14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IFERROR(__xludf.DUMMYFUNCTION("""COMPUTED_VALUE"""),100.45)</f>
        <v>100.45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IFERROR(__xludf.DUMMYFUNCTION("""COMPUTED_VALUE"""),93.38)</f>
        <v>93.38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IFERROR(__xludf.DUMMYFUNCTION("""COMPUTED_VALUE"""),94.5)</f>
        <v>94.5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IFERROR(__xludf.DUMMYFUNCTION("""COMPUTED_VALUE"""),99.79)</f>
        <v>99.79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IFERROR(__xludf.DUMMYFUNCTION("""COMPUTED_VALUE"""),104.63)</f>
        <v>104.63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IFERROR(__xludf.DUMMYFUNCTION("""COMPUTED_VALUE"""),101.45)</f>
        <v>101.45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IFERROR(__xludf.DUMMYFUNCTION("""COMPUTED_VALUE"""),98.91)</f>
        <v>98.91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IFERROR(__xludf.DUMMYFUNCTION("""COMPUTED_VALUE"""),98.92)</f>
        <v>98.92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IFERROR(__xludf.DUMMYFUNCTION("""COMPUTED_VALUE"""),103.05)</f>
        <v>103.05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IFERROR(__xludf.DUMMYFUNCTION("""COMPUTED_VALUE"""),100.8)</f>
        <v>100.8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IFERROR(__xludf.DUMMYFUNCTION("""COMPUTED_VALUE"""),96.49)</f>
        <v>96.49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IFERROR(__xludf.DUMMYFUNCTION("""COMPUTED_VALUE"""),100.73)</f>
        <v>100.73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IFERROR(__xludf.DUMMYFUNCTION("""COMPUTED_VALUE"""),82.13)</f>
        <v>82.13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IFERROR(__xludf.DUMMYFUNCTION("""COMPUTED_VALUE"""),78.71)</f>
        <v>78.71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IFERROR(__xludf.DUMMYFUNCTION("""COMPUTED_VALUE"""),72.16)</f>
        <v>72.16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IFERROR(__xludf.DUMMYFUNCTION("""COMPUTED_VALUE"""),67.5)</f>
        <v>67.5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IFERROR(__xludf.DUMMYFUNCTION("""COMPUTED_VALUE"""),65.91)</f>
        <v>65.91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IFERROR(__xludf.DUMMYFUNCTION("""COMPUTED_VALUE"""),64.35)</f>
        <v>64.35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IFERROR(__xludf.DUMMYFUNCTION("""COMPUTED_VALUE"""),62.08)</f>
        <v>62.08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IFERROR(__xludf.DUMMYFUNCTION("""COMPUTED_VALUE"""),57.35)</f>
        <v>57.35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IFERROR(__xludf.DUMMYFUNCTION("""COMPUTED_VALUE"""),57.31)</f>
        <v>57.31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IFERROR(__xludf.DUMMYFUNCTION("""COMPUTED_VALUE"""),56.25)</f>
        <v>56.25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IFERROR(__xludf.DUMMYFUNCTION("""COMPUTED_VALUE"""),59.63)</f>
        <v>59.63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IFERROR(__xludf.DUMMYFUNCTION("""COMPUTED_VALUE"""),58.16)</f>
        <v>58.16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IFERROR(__xludf.DUMMYFUNCTION("""COMPUTED_VALUE"""),57.33)</f>
        <v>57.33</v>
      </c>
    </row>
    <row r="384" ht="15.75" customHeight="1"/>
    <row r="385" ht="15.75" customHeight="1"/>
    <row r="386" ht="15.75" customHeight="1">
      <c r="B386" s="2" t="str">
        <f>IFERROR(__xludf.DUMMYFUNCTION("GOOGLEFINANCE(""NSE:WIPRO"",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IFERROR(__xludf.DUMMYFUNCTION("""COMPUTED_VALUE"""),57.08)</f>
        <v>57.08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IFERROR(__xludf.DUMMYFUNCTION("""COMPUTED_VALUE"""),57.38)</f>
        <v>57.38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IFERROR(__xludf.DUMMYFUNCTION("""COMPUTED_VALUE"""),57.12)</f>
        <v>57.12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IFERROR(__xludf.DUMMYFUNCTION("""COMPUTED_VALUE"""),54.11)</f>
        <v>54.11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IFERROR(__xludf.DUMMYFUNCTION("""COMPUTED_VALUE"""),53.73)</f>
        <v>53.73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IFERROR(__xludf.DUMMYFUNCTION("""COMPUTED_VALUE"""),52.2)</f>
        <v>52.2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IFERROR(__xludf.DUMMYFUNCTION("""COMPUTED_VALUE"""),51.73)</f>
        <v>51.73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IFERROR(__xludf.DUMMYFUNCTION("""COMPUTED_VALUE"""),50.49)</f>
        <v>50.49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IFERROR(__xludf.DUMMYFUNCTION("""COMPUTED_VALUE"""),49.5)</f>
        <v>49.5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IFERROR(__xludf.DUMMYFUNCTION("""COMPUTED_VALUE"""),48.49)</f>
        <v>48.49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IFERROR(__xludf.DUMMYFUNCTION("""COMPUTED_VALUE"""),50.85)</f>
        <v>50.85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IFERROR(__xludf.DUMMYFUNCTION("""COMPUTED_VALUE"""),53.53)</f>
        <v>53.53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IFERROR(__xludf.DUMMYFUNCTION("""COMPUTED_VALUE"""),59.36)</f>
        <v>59.36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IFERROR(__xludf.DUMMYFUNCTION("""COMPUTED_VALUE"""),61.29)</f>
        <v>61.29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IFERROR(__xludf.DUMMYFUNCTION("""COMPUTED_VALUE"""),65.21)</f>
        <v>65.21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IFERROR(__xludf.DUMMYFUNCTION("""COMPUTED_VALUE"""),65.77)</f>
        <v>65.77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IFERROR(__xludf.DUMMYFUNCTION("""COMPUTED_VALUE"""),71.88)</f>
        <v>71.88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IFERROR(__xludf.DUMMYFUNCTION("""COMPUTED_VALUE"""),75.03)</f>
        <v>75.03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IFERROR(__xludf.DUMMYFUNCTION("""COMPUTED_VALUE"""),86.56)</f>
        <v>86.56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IFERROR(__xludf.DUMMYFUNCTION("""COMPUTED_VALUE"""),88.2)</f>
        <v>88.2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IFERROR(__xludf.DUMMYFUNCTION("""COMPUTED_VALUE"""),103.49)</f>
        <v>103.49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IFERROR(__xludf.DUMMYFUNCTION("""COMPUTED_VALUE"""),87.23)</f>
        <v>87.23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IFERROR(__xludf.DUMMYFUNCTION("""COMPUTED_VALUE"""),92.03)</f>
        <v>92.03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IFERROR(__xludf.DUMMYFUNCTION("""COMPUTED_VALUE"""),102.38)</f>
        <v>102.38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IFERROR(__xludf.DUMMYFUNCTION("""COMPUTED_VALUE"""),94.48)</f>
        <v>94.48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IFERROR(__xludf.DUMMYFUNCTION("""COMPUTED_VALUE"""),88.43)</f>
        <v>88.43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IFERROR(__xludf.DUMMYFUNCTION("""COMPUTED_VALUE"""),87.08)</f>
        <v>87.08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IFERROR(__xludf.DUMMYFUNCTION("""COMPUTED_VALUE"""),88.63)</f>
        <v>88.63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IFERROR(__xludf.DUMMYFUNCTION("""COMPUTED_VALUE"""),98.26)</f>
        <v>98.26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IFERROR(__xludf.DUMMYFUNCTION("""COMPUTED_VALUE"""),109.08)</f>
        <v>109.08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IFERROR(__xludf.DUMMYFUNCTION("""COMPUTED_VALUE"""),111.6)</f>
        <v>111.6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IFERROR(__xludf.DUMMYFUNCTION("""COMPUTED_VALUE"""),114.95)</f>
        <v>114.95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IFERROR(__xludf.DUMMYFUNCTION("""COMPUTED_VALUE"""),117.56)</f>
        <v>117.56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IFERROR(__xludf.DUMMYFUNCTION("""COMPUTED_VALUE"""),116.08)</f>
        <v>116.08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IFERROR(__xludf.DUMMYFUNCTION("""COMPUTED_VALUE"""),129.53)</f>
        <v>129.53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IFERROR(__xludf.DUMMYFUNCTION("""COMPUTED_VALUE"""),127.13)</f>
        <v>127.13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IFERROR(__xludf.DUMMYFUNCTION("""COMPUTED_VALUE"""),126.68)</f>
        <v>126.68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IFERROR(__xludf.DUMMYFUNCTION("""COMPUTED_VALUE"""),129.47)</f>
        <v>129.47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IFERROR(__xludf.DUMMYFUNCTION("""COMPUTED_VALUE"""),131.72)</f>
        <v>131.72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IFERROR(__xludf.DUMMYFUNCTION("""COMPUTED_VALUE"""),138.38)</f>
        <v>138.38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IFERROR(__xludf.DUMMYFUNCTION("""COMPUTED_VALUE"""),139.39)</f>
        <v>139.39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IFERROR(__xludf.DUMMYFUNCTION("""COMPUTED_VALUE"""),134.89)</f>
        <v>134.89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IFERROR(__xludf.DUMMYFUNCTION("""COMPUTED_VALUE"""),143.87)</f>
        <v>143.87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IFERROR(__xludf.DUMMYFUNCTION("""COMPUTED_VALUE"""),137.7)</f>
        <v>137.7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IFERROR(__xludf.DUMMYFUNCTION("""COMPUTED_VALUE"""),142.97)</f>
        <v>142.97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IFERROR(__xludf.DUMMYFUNCTION("""COMPUTED_VALUE"""),148.37)</f>
        <v>148.37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IFERROR(__xludf.DUMMYFUNCTION("""COMPUTED_VALUE"""),149.56)</f>
        <v>149.56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IFERROR(__xludf.DUMMYFUNCTION("""COMPUTED_VALUE"""),147.6)</f>
        <v>147.6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IFERROR(__xludf.DUMMYFUNCTION("""COMPUTED_VALUE"""),148.39)</f>
        <v>148.39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IFERROR(__xludf.DUMMYFUNCTION("""COMPUTED_VALUE"""),156.27)</f>
        <v>156.27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IFERROR(__xludf.DUMMYFUNCTION("""COMPUTED_VALUE"""),157.48)</f>
        <v>157.48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IFERROR(__xludf.DUMMYFUNCTION("""COMPUTED_VALUE"""),156.81)</f>
        <v>156.81</v>
      </c>
    </row>
    <row r="439" ht="15.75" customHeight="1"/>
    <row r="440" ht="15.75" customHeight="1"/>
    <row r="441" ht="15.75" customHeight="1">
      <c r="B441" s="2" t="str">
        <f>IFERROR(__xludf.DUMMYFUNCTION("GOOGLEFINANCE(""NSE:WIPRO"",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IFERROR(__xludf.DUMMYFUNCTION("""COMPUTED_VALUE"""),159.75)</f>
        <v>159.75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IFERROR(__xludf.DUMMYFUNCTION("""COMPUTED_VALUE"""),169.36)</f>
        <v>169.36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IFERROR(__xludf.DUMMYFUNCTION("""COMPUTED_VALUE"""),170.07)</f>
        <v>170.07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IFERROR(__xludf.DUMMYFUNCTION("""COMPUTED_VALUE"""),158.4)</f>
        <v>158.4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IFERROR(__xludf.DUMMYFUNCTION("""COMPUTED_VALUE"""),149.4)</f>
        <v>149.4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IFERROR(__xludf.DUMMYFUNCTION("""COMPUTED_VALUE"""),153.0)</f>
        <v>153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IFERROR(__xludf.DUMMYFUNCTION("""COMPUTED_VALUE"""),154.82)</f>
        <v>154.82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IFERROR(__xludf.DUMMYFUNCTION("""COMPUTED_VALUE"""),159.3)</f>
        <v>159.3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IFERROR(__xludf.DUMMYFUNCTION("""COMPUTED_VALUE"""),161.3)</f>
        <v>161.3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IFERROR(__xludf.DUMMYFUNCTION("""COMPUTED_VALUE"""),168.75)</f>
        <v>168.75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IFERROR(__xludf.DUMMYFUNCTION("""COMPUTED_VALUE"""),165.35)</f>
        <v>165.35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IFERROR(__xludf.DUMMYFUNCTION("""COMPUTED_VALUE"""),163.24)</f>
        <v>163.24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IFERROR(__xludf.DUMMYFUNCTION("""COMPUTED_VALUE"""),163.53)</f>
        <v>163.53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IFERROR(__xludf.DUMMYFUNCTION("""COMPUTED_VALUE"""),165.24)</f>
        <v>165.24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IFERROR(__xludf.DUMMYFUNCTION("""COMPUTED_VALUE"""),164.14)</f>
        <v>164.14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IFERROR(__xludf.DUMMYFUNCTION("""COMPUTED_VALUE"""),158.63)</f>
        <v>158.63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IFERROR(__xludf.DUMMYFUNCTION("""COMPUTED_VALUE"""),154.13)</f>
        <v>154.13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IFERROR(__xludf.DUMMYFUNCTION("""COMPUTED_VALUE"""),155.86)</f>
        <v>155.86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IFERROR(__xludf.DUMMYFUNCTION("""COMPUTED_VALUE"""),149.78)</f>
        <v>149.78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IFERROR(__xludf.DUMMYFUNCTION("""COMPUTED_VALUE"""),149.85)</f>
        <v>149.85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IFERROR(__xludf.DUMMYFUNCTION("""COMPUTED_VALUE"""),152.12)</f>
        <v>152.12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IFERROR(__xludf.DUMMYFUNCTION("""COMPUTED_VALUE"""),148.48)</f>
        <v>148.48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IFERROR(__xludf.DUMMYFUNCTION("""COMPUTED_VALUE"""),158.4)</f>
        <v>158.4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IFERROR(__xludf.DUMMYFUNCTION("""COMPUTED_VALUE"""),156.75)</f>
        <v>156.75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IFERROR(__xludf.DUMMYFUNCTION("""COMPUTED_VALUE"""),149.21)</f>
        <v>149.21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IFERROR(__xludf.DUMMYFUNCTION("""COMPUTED_VALUE"""),150.99)</f>
        <v>150.99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IFERROR(__xludf.DUMMYFUNCTION("""COMPUTED_VALUE"""),156.24)</f>
        <v>156.24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IFERROR(__xludf.DUMMYFUNCTION("""COMPUTED_VALUE"""),161.42)</f>
        <v>161.42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IFERROR(__xludf.DUMMYFUNCTION("""COMPUTED_VALUE"""),157.84)</f>
        <v>157.84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IFERROR(__xludf.DUMMYFUNCTION("""COMPUTED_VALUE"""),164.85)</f>
        <v>164.85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IFERROR(__xludf.DUMMYFUNCTION("""COMPUTED_VALUE"""),164.44)</f>
        <v>164.44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IFERROR(__xludf.DUMMYFUNCTION("""COMPUTED_VALUE"""),159.19)</f>
        <v>159.19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IFERROR(__xludf.DUMMYFUNCTION("""COMPUTED_VALUE"""),155.89)</f>
        <v>155.89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IFERROR(__xludf.DUMMYFUNCTION("""COMPUTED_VALUE"""),152.94)</f>
        <v>152.94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IFERROR(__xludf.DUMMYFUNCTION("""COMPUTED_VALUE"""),155.87)</f>
        <v>155.87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IFERROR(__xludf.DUMMYFUNCTION("""COMPUTED_VALUE"""),161.96)</f>
        <v>161.96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IFERROR(__xludf.DUMMYFUNCTION("""COMPUTED_VALUE"""),168.75)</f>
        <v>168.75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IFERROR(__xludf.DUMMYFUNCTION("""COMPUTED_VALUE"""),173.61)</f>
        <v>173.61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IFERROR(__xludf.DUMMYFUNCTION("""COMPUTED_VALUE"""),177.0)</f>
        <v>177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IFERROR(__xludf.DUMMYFUNCTION("""COMPUTED_VALUE"""),187.5)</f>
        <v>187.5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IFERROR(__xludf.DUMMYFUNCTION("""COMPUTED_VALUE"""),178.86)</f>
        <v>178.86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IFERROR(__xludf.DUMMYFUNCTION("""COMPUTED_VALUE"""),168.75)</f>
        <v>168.75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IFERROR(__xludf.DUMMYFUNCTION("""COMPUTED_VALUE"""),165.71)</f>
        <v>165.71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IFERROR(__xludf.DUMMYFUNCTION("""COMPUTED_VALUE"""),165.56)</f>
        <v>165.56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IFERROR(__xludf.DUMMYFUNCTION("""COMPUTED_VALUE"""),163.95)</f>
        <v>163.95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IFERROR(__xludf.DUMMYFUNCTION("""COMPUTED_VALUE"""),158.25)</f>
        <v>158.25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IFERROR(__xludf.DUMMYFUNCTION("""COMPUTED_VALUE"""),162.64)</f>
        <v>162.64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IFERROR(__xludf.DUMMYFUNCTION("""COMPUTED_VALUE"""),170.21)</f>
        <v>170.21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IFERROR(__xludf.DUMMYFUNCTION("""COMPUTED_VALUE"""),178.31)</f>
        <v>178.31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IFERROR(__xludf.DUMMYFUNCTION("""COMPUTED_VALUE"""),185.55)</f>
        <v>185.55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IFERROR(__xludf.DUMMYFUNCTION("""COMPUTED_VALUE"""),186.09)</f>
        <v>186.09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IFERROR(__xludf.DUMMYFUNCTION("GOOGLEFINANCE(""NSE:WIPRO"",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IFERROR(__xludf.DUMMYFUNCTION("""COMPUTED_VALUE"""),186.3)</f>
        <v>186.3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IFERROR(__xludf.DUMMYFUNCTION("""COMPUTED_VALUE"""),178.46)</f>
        <v>178.46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IFERROR(__xludf.DUMMYFUNCTION("""COMPUTED_VALUE"""),181.5)</f>
        <v>181.5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IFERROR(__xludf.DUMMYFUNCTION("""COMPUTED_VALUE"""),170.25)</f>
        <v>170.25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IFERROR(__xludf.DUMMYFUNCTION("""COMPUTED_VALUE"""),167.59)</f>
        <v>167.59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IFERROR(__xludf.DUMMYFUNCTION("""COMPUTED_VALUE"""),165.36)</f>
        <v>165.36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IFERROR(__xludf.DUMMYFUNCTION("""COMPUTED_VALUE"""),165.64)</f>
        <v>165.64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IFERROR(__xludf.DUMMYFUNCTION("""COMPUTED_VALUE"""),172.5)</f>
        <v>172.5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IFERROR(__xludf.DUMMYFUNCTION("""COMPUTED_VALUE"""),169.65)</f>
        <v>169.65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IFERROR(__xludf.DUMMYFUNCTION("""COMPUTED_VALUE"""),171.26)</f>
        <v>171.26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IFERROR(__xludf.DUMMYFUNCTION("""COMPUTED_VALUE"""),171.68)</f>
        <v>171.68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IFERROR(__xludf.DUMMYFUNCTION("""COMPUTED_VALUE"""),171.99)</f>
        <v>171.99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IFERROR(__xludf.DUMMYFUNCTION("""COMPUTED_VALUE"""),181.76)</f>
        <v>181.76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IFERROR(__xludf.DUMMYFUNCTION("""COMPUTED_VALUE"""),183.75)</f>
        <v>183.75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IFERROR(__xludf.DUMMYFUNCTION("""COMPUTED_VALUE"""),177.94)</f>
        <v>177.94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IFERROR(__xludf.DUMMYFUNCTION("""COMPUTED_VALUE"""),176.89)</f>
        <v>176.89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IFERROR(__xludf.DUMMYFUNCTION("""COMPUTED_VALUE"""),175.65)</f>
        <v>175.65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IFERROR(__xludf.DUMMYFUNCTION("""COMPUTED_VALUE"""),170.21)</f>
        <v>170.21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IFERROR(__xludf.DUMMYFUNCTION("""COMPUTED_VALUE"""),166.95)</f>
        <v>166.95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IFERROR(__xludf.DUMMYFUNCTION("""COMPUTED_VALUE"""),168.75)</f>
        <v>168.75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IFERROR(__xludf.DUMMYFUNCTION("""COMPUTED_VALUE"""),166.86)</f>
        <v>166.86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IFERROR(__xludf.DUMMYFUNCTION("""COMPUTED_VALUE"""),169.09)</f>
        <v>169.09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IFERROR(__xludf.DUMMYFUNCTION("""COMPUTED_VALUE"""),167.61)</f>
        <v>167.61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IFERROR(__xludf.DUMMYFUNCTION("""COMPUTED_VALUE"""),165.0)</f>
        <v>165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IFERROR(__xludf.DUMMYFUNCTION("""COMPUTED_VALUE"""),159.68)</f>
        <v>159.68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IFERROR(__xludf.DUMMYFUNCTION("""COMPUTED_VALUE"""),160.61)</f>
        <v>160.61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IFERROR(__xludf.DUMMYFUNCTION("""COMPUTED_VALUE"""),163.13)</f>
        <v>163.13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IFERROR(__xludf.DUMMYFUNCTION("""COMPUTED_VALUE"""),160.88)</f>
        <v>160.88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IFERROR(__xludf.DUMMYFUNCTION("""COMPUTED_VALUE"""),156.38)</f>
        <v>156.38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IFERROR(__xludf.DUMMYFUNCTION("""COMPUTED_VALUE"""),154.61)</f>
        <v>154.61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IFERROR(__xludf.DUMMYFUNCTION("""COMPUTED_VALUE"""),148.95)</f>
        <v>148.95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IFERROR(__xludf.DUMMYFUNCTION("""COMPUTED_VALUE"""),135.15)</f>
        <v>135.15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IFERROR(__xludf.DUMMYFUNCTION("""COMPUTED_VALUE"""),132.09)</f>
        <v>132.09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IFERROR(__xludf.DUMMYFUNCTION("""COMPUTED_VALUE"""),126.75)</f>
        <v>126.75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IFERROR(__xludf.DUMMYFUNCTION("""COMPUTED_VALUE"""),132.36)</f>
        <v>132.36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IFERROR(__xludf.DUMMYFUNCTION("""COMPUTED_VALUE"""),129.0)</f>
        <v>129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IFERROR(__xludf.DUMMYFUNCTION("""COMPUTED_VALUE"""),132.88)</f>
        <v>132.88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IFERROR(__xludf.DUMMYFUNCTION("""COMPUTED_VALUE"""),134.98)</f>
        <v>134.98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IFERROR(__xludf.DUMMYFUNCTION("""COMPUTED_VALUE"""),134.4)</f>
        <v>134.4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IFERROR(__xludf.DUMMYFUNCTION("""COMPUTED_VALUE"""),129.38)</f>
        <v>129.38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IFERROR(__xludf.DUMMYFUNCTION("""COMPUTED_VALUE"""),136.86)</f>
        <v>136.86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IFERROR(__xludf.DUMMYFUNCTION("""COMPUTED_VALUE"""),137.4)</f>
        <v>137.4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IFERROR(__xludf.DUMMYFUNCTION("""COMPUTED_VALUE"""),146.25)</f>
        <v>146.25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IFERROR(__xludf.DUMMYFUNCTION("""COMPUTED_VALUE"""),144.38)</f>
        <v>144.38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IFERROR(__xludf.DUMMYFUNCTION("""COMPUTED_VALUE"""),145.24)</f>
        <v>145.24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IFERROR(__xludf.DUMMYFUNCTION("""COMPUTED_VALUE"""),146.04)</f>
        <v>146.04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IFERROR(__xludf.DUMMYFUNCTION("""COMPUTED_VALUE"""),142.5)</f>
        <v>142.5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IFERROR(__xludf.DUMMYFUNCTION("""COMPUTED_VALUE"""),150.0)</f>
        <v>150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IFERROR(__xludf.DUMMYFUNCTION("""COMPUTED_VALUE"""),155.72)</f>
        <v>155.72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IFERROR(__xludf.DUMMYFUNCTION("""COMPUTED_VALUE"""),157.84)</f>
        <v>157.84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IFERROR(__xludf.DUMMYFUNCTION("""COMPUTED_VALUE"""),154.46)</f>
        <v>154.46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IFERROR(__xludf.DUMMYFUNCTION("""COMPUTED_VALUE"""),154.43)</f>
        <v>154.43</v>
      </c>
    </row>
    <row r="549" ht="15.75" customHeight="1"/>
    <row r="550" ht="15.75" customHeight="1"/>
    <row r="551" ht="15.75" customHeight="1">
      <c r="B551" s="2" t="str">
        <f>IFERROR(__xludf.DUMMYFUNCTION("GOOGLEFINANCE(""NSE:WIPRO"",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IFERROR(__xludf.DUMMYFUNCTION("""COMPUTED_VALUE"""),153.19)</f>
        <v>153.19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IFERROR(__xludf.DUMMYFUNCTION("""COMPUTED_VALUE"""),159.34)</f>
        <v>159.34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IFERROR(__xludf.DUMMYFUNCTION("""COMPUTED_VALUE"""),158.59)</f>
        <v>158.59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IFERROR(__xludf.DUMMYFUNCTION("""COMPUTED_VALUE"""),160.89)</f>
        <v>160.89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IFERROR(__xludf.DUMMYFUNCTION("""COMPUTED_VALUE"""),168.92)</f>
        <v>168.92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IFERROR(__xludf.DUMMYFUNCTION("""COMPUTED_VALUE"""),169.88)</f>
        <v>169.88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IFERROR(__xludf.DUMMYFUNCTION("""COMPUTED_VALUE"""),169.13)</f>
        <v>169.13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IFERROR(__xludf.DUMMYFUNCTION("""COMPUTED_VALUE"""),168.02)</f>
        <v>168.02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IFERROR(__xludf.DUMMYFUNCTION("""COMPUTED_VALUE"""),165.06)</f>
        <v>165.06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IFERROR(__xludf.DUMMYFUNCTION("""COMPUTED_VALUE"""),162.73)</f>
        <v>162.73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IFERROR(__xludf.DUMMYFUNCTION("""COMPUTED_VALUE"""),165.64)</f>
        <v>165.64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IFERROR(__xludf.DUMMYFUNCTION("""COMPUTED_VALUE"""),169.39)</f>
        <v>169.39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IFERROR(__xludf.DUMMYFUNCTION("""COMPUTED_VALUE"""),168.49)</f>
        <v>168.49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IFERROR(__xludf.DUMMYFUNCTION("""COMPUTED_VALUE"""),161.06)</f>
        <v>161.06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IFERROR(__xludf.DUMMYFUNCTION("""COMPUTED_VALUE"""),157.46)</f>
        <v>157.46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IFERROR(__xludf.DUMMYFUNCTION("""COMPUTED_VALUE"""),157.69)</f>
        <v>157.69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IFERROR(__xludf.DUMMYFUNCTION("""COMPUTED_VALUE"""),153.71)</f>
        <v>153.71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IFERROR(__xludf.DUMMYFUNCTION("""COMPUTED_VALUE"""),148.5)</f>
        <v>148.5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IFERROR(__xludf.DUMMYFUNCTION("""COMPUTED_VALUE"""),155.91)</f>
        <v>155.91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IFERROR(__xludf.DUMMYFUNCTION("""COMPUTED_VALUE"""),155.59)</f>
        <v>155.59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IFERROR(__xludf.DUMMYFUNCTION("""COMPUTED_VALUE"""),152.81)</f>
        <v>152.81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IFERROR(__xludf.DUMMYFUNCTION("""COMPUTED_VALUE"""),151.69)</f>
        <v>151.69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IFERROR(__xludf.DUMMYFUNCTION("""COMPUTED_VALUE"""),153.66)</f>
        <v>153.66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IFERROR(__xludf.DUMMYFUNCTION("""COMPUTED_VALUE"""),151.69)</f>
        <v>151.69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IFERROR(__xludf.DUMMYFUNCTION("""COMPUTED_VALUE"""),146.91)</f>
        <v>146.91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IFERROR(__xludf.DUMMYFUNCTION("""COMPUTED_VALUE"""),139.5)</f>
        <v>139.5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IFERROR(__xludf.DUMMYFUNCTION("""COMPUTED_VALUE"""),135.64)</f>
        <v>135.64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IFERROR(__xludf.DUMMYFUNCTION("""COMPUTED_VALUE"""),130.59)</f>
        <v>130.59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IFERROR(__xludf.DUMMYFUNCTION("""COMPUTED_VALUE"""),133.13)</f>
        <v>133.13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IFERROR(__xludf.DUMMYFUNCTION("""COMPUTED_VALUE"""),134.08)</f>
        <v>134.08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IFERROR(__xludf.DUMMYFUNCTION("""COMPUTED_VALUE"""),137.53)</f>
        <v>137.53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IFERROR(__xludf.DUMMYFUNCTION("""COMPUTED_VALUE"""),139.69)</f>
        <v>139.69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IFERROR(__xludf.DUMMYFUNCTION("""COMPUTED_VALUE"""),148.48)</f>
        <v>148.48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IFERROR(__xludf.DUMMYFUNCTION("""COMPUTED_VALUE"""),148.11)</f>
        <v>148.11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IFERROR(__xludf.DUMMYFUNCTION("""COMPUTED_VALUE"""),143.87)</f>
        <v>143.87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IFERROR(__xludf.DUMMYFUNCTION("""COMPUTED_VALUE"""),145.22)</f>
        <v>145.22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IFERROR(__xludf.DUMMYFUNCTION("""COMPUTED_VALUE"""),139.84)</f>
        <v>139.84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IFERROR(__xludf.DUMMYFUNCTION("""COMPUTED_VALUE"""),134.03)</f>
        <v>134.03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IFERROR(__xludf.DUMMYFUNCTION("""COMPUTED_VALUE"""),130.54)</f>
        <v>130.54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IFERROR(__xludf.DUMMYFUNCTION("""COMPUTED_VALUE"""),139.86)</f>
        <v>139.86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IFERROR(__xludf.DUMMYFUNCTION("""COMPUTED_VALUE"""),141.77)</f>
        <v>141.77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IFERROR(__xludf.DUMMYFUNCTION("""COMPUTED_VALUE"""),139.91)</f>
        <v>139.91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IFERROR(__xludf.DUMMYFUNCTION("""COMPUTED_VALUE"""),140.87)</f>
        <v>140.87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IFERROR(__xludf.DUMMYFUNCTION("""COMPUTED_VALUE"""),148.5)</f>
        <v>148.5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IFERROR(__xludf.DUMMYFUNCTION("""COMPUTED_VALUE"""),149.98)</f>
        <v>149.98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IFERROR(__xludf.DUMMYFUNCTION("""COMPUTED_VALUE"""),146.25)</f>
        <v>146.25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IFERROR(__xludf.DUMMYFUNCTION("""COMPUTED_VALUE"""),146.63)</f>
        <v>146.63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IFERROR(__xludf.DUMMYFUNCTION("""COMPUTED_VALUE"""),147.36)</f>
        <v>147.36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IFERROR(__xludf.DUMMYFUNCTION("GOOGLEFINANCE(""NSE:WIPRO"",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IFERROR(__xludf.DUMMYFUNCTION("""COMPUTED_VALUE"""),151.84)</f>
        <v>151.84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IFERROR(__xludf.DUMMYFUNCTION("""COMPUTED_VALUE"""),158.55)</f>
        <v>158.55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IFERROR(__xludf.DUMMYFUNCTION("""COMPUTED_VALUE"""),164.85)</f>
        <v>164.85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IFERROR(__xludf.DUMMYFUNCTION("""COMPUTED_VALUE"""),153.15)</f>
        <v>153.15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IFERROR(__xludf.DUMMYFUNCTION("""COMPUTED_VALUE"""),156.47)</f>
        <v>156.47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IFERROR(__xludf.DUMMYFUNCTION("""COMPUTED_VALUE"""),155.81)</f>
        <v>155.81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IFERROR(__xludf.DUMMYFUNCTION("""COMPUTED_VALUE"""),157.82)</f>
        <v>157.82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IFERROR(__xludf.DUMMYFUNCTION("""COMPUTED_VALUE"""),156.92)</f>
        <v>156.92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IFERROR(__xludf.DUMMYFUNCTION("""COMPUTED_VALUE"""),159.68)</f>
        <v>159.68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IFERROR(__xludf.DUMMYFUNCTION("""COMPUTED_VALUE"""),171.0)</f>
        <v>171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IFERROR(__xludf.DUMMYFUNCTION("""COMPUTED_VALUE"""),168.54)</f>
        <v>168.54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IFERROR(__xludf.DUMMYFUNCTION("""COMPUTED_VALUE"""),165.32)</f>
        <v>165.32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IFERROR(__xludf.DUMMYFUNCTION("""COMPUTED_VALUE"""),165.71)</f>
        <v>165.71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IFERROR(__xludf.DUMMYFUNCTION("""COMPUTED_VALUE"""),173.63)</f>
        <v>173.63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IFERROR(__xludf.DUMMYFUNCTION("""COMPUTED_VALUE"""),171.0)</f>
        <v>171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IFERROR(__xludf.DUMMYFUNCTION("""COMPUTED_VALUE"""),147.24)</f>
        <v>147.24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IFERROR(__xludf.DUMMYFUNCTION("""COMPUTED_VALUE"""),130.5)</f>
        <v>130.5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IFERROR(__xludf.DUMMYFUNCTION("""COMPUTED_VALUE"""),134.19)</f>
        <v>134.19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IFERROR(__xludf.DUMMYFUNCTION("""COMPUTED_VALUE"""),133.35)</f>
        <v>133.35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IFERROR(__xludf.DUMMYFUNCTION("""COMPUTED_VALUE"""),128.91)</f>
        <v>128.91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IFERROR(__xludf.DUMMYFUNCTION("""COMPUTED_VALUE"""),129.11)</f>
        <v>129.11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IFERROR(__xludf.DUMMYFUNCTION("""COMPUTED_VALUE"""),127.13)</f>
        <v>127.13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IFERROR(__xludf.DUMMYFUNCTION("""COMPUTED_VALUE"""),130.13)</f>
        <v>130.13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IFERROR(__xludf.DUMMYFUNCTION("""COMPUTED_VALUE"""),131.63)</f>
        <v>131.63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IFERROR(__xludf.DUMMYFUNCTION("""COMPUTED_VALUE"""),132.0)</f>
        <v>132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IFERROR(__xludf.DUMMYFUNCTION("""COMPUTED_VALUE"""),133.01)</f>
        <v>133.01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IFERROR(__xludf.DUMMYFUNCTION("""COMPUTED_VALUE"""),142.5)</f>
        <v>142.5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IFERROR(__xludf.DUMMYFUNCTION("""COMPUTED_VALUE"""),147.75)</f>
        <v>147.75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IFERROR(__xludf.DUMMYFUNCTION("""COMPUTED_VALUE"""),149.06)</f>
        <v>149.06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IFERROR(__xludf.DUMMYFUNCTION("""COMPUTED_VALUE"""),169.39)</f>
        <v>169.39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IFERROR(__xludf.DUMMYFUNCTION("""COMPUTED_VALUE"""),173.89)</f>
        <v>173.89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IFERROR(__xludf.DUMMYFUNCTION("""COMPUTED_VALUE"""),177.34)</f>
        <v>177.34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IFERROR(__xludf.DUMMYFUNCTION("""COMPUTED_VALUE"""),174.0)</f>
        <v>174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IFERROR(__xludf.DUMMYFUNCTION("""COMPUTED_VALUE"""),185.63)</f>
        <v>185.63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IFERROR(__xludf.DUMMYFUNCTION("""COMPUTED_VALUE"""),187.73)</f>
        <v>187.73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IFERROR(__xludf.DUMMYFUNCTION("""COMPUTED_VALUE"""),181.5)</f>
        <v>181.5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IFERROR(__xludf.DUMMYFUNCTION("""COMPUTED_VALUE"""),181.88)</f>
        <v>181.88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IFERROR(__xludf.DUMMYFUNCTION("""COMPUTED_VALUE"""),183.9)</f>
        <v>183.9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IFERROR(__xludf.DUMMYFUNCTION("""COMPUTED_VALUE"""),184.13)</f>
        <v>184.13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IFERROR(__xludf.DUMMYFUNCTION("""COMPUTED_VALUE"""),187.13)</f>
        <v>187.13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IFERROR(__xludf.DUMMYFUNCTION("""COMPUTED_VALUE"""),194.91)</f>
        <v>194.91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IFERROR(__xludf.DUMMYFUNCTION("""COMPUTED_VALUE"""),194.14)</f>
        <v>194.14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IFERROR(__xludf.DUMMYFUNCTION("""COMPUTED_VALUE"""),183.02)</f>
        <v>183.02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IFERROR(__xludf.DUMMYFUNCTION("""COMPUTED_VALUE"""),183.38)</f>
        <v>183.38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IFERROR(__xludf.DUMMYFUNCTION("""COMPUTED_VALUE"""),184.05)</f>
        <v>184.05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IFERROR(__xludf.DUMMYFUNCTION("""COMPUTED_VALUE"""),186.64)</f>
        <v>186.64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IFERROR(__xludf.DUMMYFUNCTION("""COMPUTED_VALUE"""),181.35)</f>
        <v>181.35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IFERROR(__xludf.DUMMYFUNCTION("""COMPUTED_VALUE"""),187.03)</f>
        <v>187.03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IFERROR(__xludf.DUMMYFUNCTION("""COMPUTED_VALUE"""),195.99)</f>
        <v>195.99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IFERROR(__xludf.DUMMYFUNCTION("""COMPUTED_VALUE"""),207.26)</f>
        <v>207.26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IFERROR(__xludf.DUMMYFUNCTION("""COMPUTED_VALUE"""),209.03)</f>
        <v>209.03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IFERROR(__xludf.DUMMYFUNCTION("GOOGLEFINANCE(""NSE:WIPRO"",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IFERROR(__xludf.DUMMYFUNCTION("""COMPUTED_VALUE"""),211.5)</f>
        <v>211.5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IFERROR(__xludf.DUMMYFUNCTION("""COMPUTED_VALUE"""),211.8)</f>
        <v>211.8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IFERROR(__xludf.DUMMYFUNCTION("""COMPUTED_VALUE"""),215.96)</f>
        <v>215.96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IFERROR(__xludf.DUMMYFUNCTION("""COMPUTED_VALUE"""),220.13)</f>
        <v>220.13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IFERROR(__xludf.DUMMYFUNCTION("""COMPUTED_VALUE"""),217.37)</f>
        <v>217.37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IFERROR(__xludf.DUMMYFUNCTION("""COMPUTED_VALUE"""),215.25)</f>
        <v>215.25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IFERROR(__xludf.DUMMYFUNCTION("""COMPUTED_VALUE"""),214.28)</f>
        <v>214.28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IFERROR(__xludf.DUMMYFUNCTION("""COMPUTED_VALUE"""),215.63)</f>
        <v>215.63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IFERROR(__xludf.DUMMYFUNCTION("""COMPUTED_VALUE"""),229.13)</f>
        <v>229.13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IFERROR(__xludf.DUMMYFUNCTION("""COMPUTED_VALUE"""),225.0)</f>
        <v>225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IFERROR(__xludf.DUMMYFUNCTION("""COMPUTED_VALUE"""),215.55)</f>
        <v>215.55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IFERROR(__xludf.DUMMYFUNCTION("""COMPUTED_VALUE"""),215.63)</f>
        <v>215.63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IFERROR(__xludf.DUMMYFUNCTION("""COMPUTED_VALUE"""),214.69)</f>
        <v>214.69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IFERROR(__xludf.DUMMYFUNCTION("""COMPUTED_VALUE"""),214.05)</f>
        <v>214.05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IFERROR(__xludf.DUMMYFUNCTION("""COMPUTED_VALUE"""),223.01)</f>
        <v>223.01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IFERROR(__xludf.DUMMYFUNCTION("""COMPUTED_VALUE"""),213.11)</f>
        <v>213.11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IFERROR(__xludf.DUMMYFUNCTION("""COMPUTED_VALUE"""),201.19)</f>
        <v>201.19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IFERROR(__xludf.DUMMYFUNCTION("""COMPUTED_VALUE"""),198.38)</f>
        <v>198.38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IFERROR(__xludf.DUMMYFUNCTION("""COMPUTED_VALUE"""),199.48)</f>
        <v>199.48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IFERROR(__xludf.DUMMYFUNCTION("""COMPUTED_VALUE"""),189.32)</f>
        <v>189.32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IFERROR(__xludf.DUMMYFUNCTION("""COMPUTED_VALUE"""),194.49)</f>
        <v>194.49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IFERROR(__xludf.DUMMYFUNCTION("""COMPUTED_VALUE"""),191.51)</f>
        <v>191.51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IFERROR(__xludf.DUMMYFUNCTION("""COMPUTED_VALUE"""),201.56)</f>
        <v>201.56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IFERROR(__xludf.DUMMYFUNCTION("""COMPUTED_VALUE"""),203.74)</f>
        <v>203.74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IFERROR(__xludf.DUMMYFUNCTION("""COMPUTED_VALUE"""),205.88)</f>
        <v>205.88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IFERROR(__xludf.DUMMYFUNCTION("""COMPUTED_VALUE"""),209.83)</f>
        <v>209.83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IFERROR(__xludf.DUMMYFUNCTION("""COMPUTED_VALUE"""),209.63)</f>
        <v>209.63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IFERROR(__xludf.DUMMYFUNCTION("""COMPUTED_VALUE"""),208.13)</f>
        <v>208.13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IFERROR(__xludf.DUMMYFUNCTION("""COMPUTED_VALUE"""),217.5)</f>
        <v>217.5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IFERROR(__xludf.DUMMYFUNCTION("""COMPUTED_VALUE"""),209.55)</f>
        <v>209.55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IFERROR(__xludf.DUMMYFUNCTION("""COMPUTED_VALUE"""),207.94)</f>
        <v>207.94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IFERROR(__xludf.DUMMYFUNCTION("""COMPUTED_VALUE"""),207.04)</f>
        <v>207.04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IFERROR(__xludf.DUMMYFUNCTION("""COMPUTED_VALUE"""),209.27)</f>
        <v>209.27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IFERROR(__xludf.DUMMYFUNCTION("""COMPUTED_VALUE"""),213.02)</f>
        <v>213.02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IFERROR(__xludf.DUMMYFUNCTION("""COMPUTED_VALUE"""),218.93)</f>
        <v>218.93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IFERROR(__xludf.DUMMYFUNCTION("""COMPUTED_VALUE"""),223.13)</f>
        <v>223.13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IFERROR(__xludf.DUMMYFUNCTION("""COMPUTED_VALUE"""),222.34)</f>
        <v>222.34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IFERROR(__xludf.DUMMYFUNCTION("""COMPUTED_VALUE"""),224.12)</f>
        <v>224.12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IFERROR(__xludf.DUMMYFUNCTION("""COMPUTED_VALUE"""),231.62)</f>
        <v>231.62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IFERROR(__xludf.DUMMYFUNCTION("""COMPUTED_VALUE"""),233.21)</f>
        <v>233.21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IFERROR(__xludf.DUMMYFUNCTION("""COMPUTED_VALUE"""),222.38)</f>
        <v>222.38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IFERROR(__xludf.DUMMYFUNCTION("""COMPUTED_VALUE"""),220.03)</f>
        <v>220.03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IFERROR(__xludf.DUMMYFUNCTION("""COMPUTED_VALUE"""),212.63)</f>
        <v>212.63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IFERROR(__xludf.DUMMYFUNCTION("""COMPUTED_VALUE"""),213.75)</f>
        <v>213.75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IFERROR(__xludf.DUMMYFUNCTION("""COMPUTED_VALUE"""),213.0)</f>
        <v>213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IFERROR(__xludf.DUMMYFUNCTION("""COMPUTED_VALUE"""),216.24)</f>
        <v>216.24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IFERROR(__xludf.DUMMYFUNCTION("""COMPUTED_VALUE"""),221.25)</f>
        <v>221.25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IFERROR(__xludf.DUMMYFUNCTION("""COMPUTED_VALUE"""),225.34)</f>
        <v>225.34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IFERROR(__xludf.DUMMYFUNCTION("""COMPUTED_VALUE"""),217.59)</f>
        <v>217.59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IFERROR(__xludf.DUMMYFUNCTION("""COMPUTED_VALUE"""),207.96)</f>
        <v>207.96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IFERROR(__xludf.DUMMYFUNCTION("""COMPUTED_VALUE"""),208.86)</f>
        <v>208.86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IFERROR(__xludf.DUMMYFUNCTION("GOOGLEFINANCE(""NSE:WIPRO"",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IFERROR(__xludf.DUMMYFUNCTION("""COMPUTED_VALUE"""),210.09)</f>
        <v>210.09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IFERROR(__xludf.DUMMYFUNCTION("""COMPUTED_VALUE"""),211.88)</f>
        <v>211.88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IFERROR(__xludf.DUMMYFUNCTION("""COMPUTED_VALUE"""),213.56)</f>
        <v>213.56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IFERROR(__xludf.DUMMYFUNCTION("""COMPUTED_VALUE"""),226.5)</f>
        <v>226.5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IFERROR(__xludf.DUMMYFUNCTION("""COMPUTED_VALUE"""),230.44)</f>
        <v>230.44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IFERROR(__xludf.DUMMYFUNCTION("""COMPUTED_VALUE"""),245.51)</f>
        <v>245.51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IFERROR(__xludf.DUMMYFUNCTION("""COMPUTED_VALUE"""),248.96)</f>
        <v>248.96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IFERROR(__xludf.DUMMYFUNCTION("""COMPUTED_VALUE"""),251.63)</f>
        <v>251.63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IFERROR(__xludf.DUMMYFUNCTION("""COMPUTED_VALUE"""),253.88)</f>
        <v>253.88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IFERROR(__xludf.DUMMYFUNCTION("""COMPUTED_VALUE"""),254.1)</f>
        <v>254.1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IFERROR(__xludf.DUMMYFUNCTION("""COMPUTED_VALUE"""),246.26)</f>
        <v>246.26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IFERROR(__xludf.DUMMYFUNCTION("""COMPUTED_VALUE"""),248.98)</f>
        <v>248.98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IFERROR(__xludf.DUMMYFUNCTION("""COMPUTED_VALUE"""),238.67)</f>
        <v>238.67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IFERROR(__xludf.DUMMYFUNCTION("""COMPUTED_VALUE"""),235.86)</f>
        <v>235.86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IFERROR(__xludf.DUMMYFUNCTION("""COMPUTED_VALUE"""),234.66)</f>
        <v>234.66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IFERROR(__xludf.DUMMYFUNCTION("""COMPUTED_VALUE"""),221.64)</f>
        <v>221.64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IFERROR(__xludf.DUMMYFUNCTION("""COMPUTED_VALUE"""),205.01)</f>
        <v>205.01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IFERROR(__xludf.DUMMYFUNCTION("""COMPUTED_VALUE"""),205.63)</f>
        <v>205.63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IFERROR(__xludf.DUMMYFUNCTION("""COMPUTED_VALUE"""),204.15)</f>
        <v>204.15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IFERROR(__xludf.DUMMYFUNCTION("""COMPUTED_VALUE"""),212.29)</f>
        <v>212.29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IFERROR(__xludf.DUMMYFUNCTION("""COMPUTED_VALUE"""),212.06)</f>
        <v>212.06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IFERROR(__xludf.DUMMYFUNCTION("""COMPUTED_VALUE"""),212.98)</f>
        <v>212.98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IFERROR(__xludf.DUMMYFUNCTION("""COMPUTED_VALUE"""),212.61)</f>
        <v>212.61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IFERROR(__xludf.DUMMYFUNCTION("""COMPUTED_VALUE"""),216.66)</f>
        <v>216.66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IFERROR(__xludf.DUMMYFUNCTION("""COMPUTED_VALUE"""),213.0)</f>
        <v>213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IFERROR(__xludf.DUMMYFUNCTION("""COMPUTED_VALUE"""),210.19)</f>
        <v>210.19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IFERROR(__xludf.DUMMYFUNCTION("""COMPUTED_VALUE"""),210.86)</f>
        <v>210.86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IFERROR(__xludf.DUMMYFUNCTION("""COMPUTED_VALUE"""),218.25)</f>
        <v>218.25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IFERROR(__xludf.DUMMYFUNCTION("""COMPUTED_VALUE"""),222.68)</f>
        <v>222.68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IFERROR(__xludf.DUMMYFUNCTION("""COMPUTED_VALUE"""),214.5)</f>
        <v>214.5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IFERROR(__xludf.DUMMYFUNCTION("""COMPUTED_VALUE"""),217.41)</f>
        <v>217.41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IFERROR(__xludf.DUMMYFUNCTION("""COMPUTED_VALUE"""),217.31)</f>
        <v>217.31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IFERROR(__xludf.DUMMYFUNCTION("""COMPUTED_VALUE"""),220.31)</f>
        <v>220.31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IFERROR(__xludf.DUMMYFUNCTION("""COMPUTED_VALUE"""),215.25)</f>
        <v>215.25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IFERROR(__xludf.DUMMYFUNCTION("""COMPUTED_VALUE"""),215.63)</f>
        <v>215.63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IFERROR(__xludf.DUMMYFUNCTION("""COMPUTED_VALUE"""),215.08)</f>
        <v>215.08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IFERROR(__xludf.DUMMYFUNCTION("""COMPUTED_VALUE"""),223.13)</f>
        <v>223.13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IFERROR(__xludf.DUMMYFUNCTION("""COMPUTED_VALUE"""),226.84)</f>
        <v>226.84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IFERROR(__xludf.DUMMYFUNCTION("""COMPUTED_VALUE"""),229.99)</f>
        <v>229.99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IFERROR(__xludf.DUMMYFUNCTION("""COMPUTED_VALUE"""),228.75)</f>
        <v>228.75</v>
      </c>
    </row>
    <row r="757" ht="15.75" customHeight="1">
      <c r="B757" s="3">
        <f>IFERROR(__xludf.DUMMYFUNCTION("""COMPUTED_VALUE"""),42293.64583333333)</f>
        <v>42293.64583</v>
      </c>
      <c r="C757" s="2">
        <f>IFERROR(__xludf.DUMMYFUNCTION("""COMPUTED_VALUE"""),225.0)</f>
        <v>225</v>
      </c>
    </row>
    <row r="758" ht="15.75" customHeight="1">
      <c r="B758" s="3">
        <f>IFERROR(__xludf.DUMMYFUNCTION("""COMPUTED_VALUE"""),42300.64583333333)</f>
        <v>42300.64583</v>
      </c>
      <c r="C758" s="2">
        <f>IFERROR(__xludf.DUMMYFUNCTION("""COMPUTED_VALUE"""),219.09)</f>
        <v>219.09</v>
      </c>
    </row>
    <row r="759" ht="15.75" customHeight="1">
      <c r="B759" s="3">
        <f>IFERROR(__xludf.DUMMYFUNCTION("""COMPUTED_VALUE"""),42307.64583333333)</f>
        <v>42307.64583</v>
      </c>
      <c r="C759" s="2">
        <f>IFERROR(__xludf.DUMMYFUNCTION("""COMPUTED_VALUE"""),217.97)</f>
        <v>217.97</v>
      </c>
    </row>
    <row r="760" ht="15.75" customHeight="1">
      <c r="B760" s="3">
        <f>IFERROR(__xludf.DUMMYFUNCTION("""COMPUTED_VALUE"""),42314.64583333333)</f>
        <v>42314.64583</v>
      </c>
      <c r="C760" s="2">
        <f>IFERROR(__xludf.DUMMYFUNCTION("""COMPUTED_VALUE"""),217.37)</f>
        <v>217.37</v>
      </c>
    </row>
    <row r="761" ht="15.75" customHeight="1">
      <c r="B761" s="3">
        <f>IFERROR(__xludf.DUMMYFUNCTION("""COMPUTED_VALUE"""),42321.64583333333)</f>
        <v>42321.64583</v>
      </c>
      <c r="C761" s="2">
        <f>IFERROR(__xludf.DUMMYFUNCTION("""COMPUTED_VALUE"""),212.63)</f>
        <v>212.63</v>
      </c>
    </row>
    <row r="762" ht="15.75" customHeight="1">
      <c r="B762" s="3">
        <f>IFERROR(__xludf.DUMMYFUNCTION("""COMPUTED_VALUE"""),42328.64583333333)</f>
        <v>42328.64583</v>
      </c>
      <c r="C762" s="2">
        <f>IFERROR(__xludf.DUMMYFUNCTION("""COMPUTED_VALUE"""),215.63)</f>
        <v>215.63</v>
      </c>
    </row>
    <row r="763" ht="15.75" customHeight="1">
      <c r="B763" s="3">
        <f>IFERROR(__xludf.DUMMYFUNCTION("""COMPUTED_VALUE"""),42335.64583333333)</f>
        <v>42335.64583</v>
      </c>
      <c r="C763" s="2">
        <f>IFERROR(__xludf.DUMMYFUNCTION("""COMPUTED_VALUE"""),216.53)</f>
        <v>216.53</v>
      </c>
    </row>
    <row r="764" ht="15.75" customHeight="1">
      <c r="B764" s="3">
        <f>IFERROR(__xludf.DUMMYFUNCTION("""COMPUTED_VALUE"""),42342.64583333333)</f>
        <v>42342.64583</v>
      </c>
      <c r="C764" s="2">
        <f>IFERROR(__xludf.DUMMYFUNCTION("""COMPUTED_VALUE"""),220.29)</f>
        <v>220.29</v>
      </c>
    </row>
    <row r="765" ht="15.75" customHeight="1">
      <c r="B765" s="3">
        <f>IFERROR(__xludf.DUMMYFUNCTION("""COMPUTED_VALUE"""),42349.64583333333)</f>
        <v>42349.64583</v>
      </c>
      <c r="C765" s="2">
        <f>IFERROR(__xludf.DUMMYFUNCTION("""COMPUTED_VALUE"""),217.09)</f>
        <v>217.09</v>
      </c>
    </row>
    <row r="766" ht="15.75" customHeight="1">
      <c r="B766" s="3">
        <f>IFERROR(__xludf.DUMMYFUNCTION("""COMPUTED_VALUE"""),42356.64583333333)</f>
        <v>42356.64583</v>
      </c>
      <c r="C766" s="2">
        <f>IFERROR(__xludf.DUMMYFUNCTION("""COMPUTED_VALUE"""),213.75)</f>
        <v>213.75</v>
      </c>
    </row>
    <row r="767" ht="15.75" customHeight="1">
      <c r="B767" s="3">
        <f>IFERROR(__xludf.DUMMYFUNCTION("""COMPUTED_VALUE"""),42362.64583333333)</f>
        <v>42362.64583</v>
      </c>
      <c r="C767" s="2">
        <f>IFERROR(__xludf.DUMMYFUNCTION("""COMPUTED_VALUE"""),210.0)</f>
        <v>210</v>
      </c>
    </row>
    <row r="768" ht="15.75" customHeight="1">
      <c r="B768" s="3">
        <f>IFERROR(__xludf.DUMMYFUNCTION("""COMPUTED_VALUE"""),42370.64583333333)</f>
        <v>42370.64583</v>
      </c>
      <c r="C768" s="2">
        <f>IFERROR(__xludf.DUMMYFUNCTION("""COMPUTED_VALUE"""),213.08)</f>
        <v>213.08</v>
      </c>
    </row>
    <row r="769" ht="15.75" customHeight="1"/>
    <row r="770" ht="15.75" customHeight="1"/>
    <row r="771" ht="15.75" customHeight="1">
      <c r="B771" s="2" t="str">
        <f>IFERROR(__xludf.DUMMYFUNCTION("GOOGLEFINANCE(""NSE:WIPRO"",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IFERROR(__xludf.DUMMYFUNCTION("""COMPUTED_VALUE"""),211.88)</f>
        <v>211.88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IFERROR(__xludf.DUMMYFUNCTION("""COMPUTED_VALUE"""),207.73)</f>
        <v>207.73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IFERROR(__xludf.DUMMYFUNCTION("""COMPUTED_VALUE"""),208.39)</f>
        <v>208.39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IFERROR(__xludf.DUMMYFUNCTION("""COMPUTED_VALUE"""),212.14)</f>
        <v>212.14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IFERROR(__xludf.DUMMYFUNCTION("""COMPUTED_VALUE"""),215.21)</f>
        <v>215.21</v>
      </c>
    </row>
    <row r="777" ht="15.75" customHeight="1">
      <c r="B777" s="3">
        <f>IFERROR(__xludf.DUMMYFUNCTION("""COMPUTED_VALUE"""),42412.64583333333)</f>
        <v>42412.64583</v>
      </c>
      <c r="C777" s="2">
        <f>IFERROR(__xludf.DUMMYFUNCTION("""COMPUTED_VALUE"""),210.08)</f>
        <v>210.08</v>
      </c>
    </row>
    <row r="778" ht="15.75" customHeight="1">
      <c r="B778" s="3">
        <f>IFERROR(__xludf.DUMMYFUNCTION("""COMPUTED_VALUE"""),42419.64583333333)</f>
        <v>42419.64583</v>
      </c>
      <c r="C778" s="2">
        <f>IFERROR(__xludf.DUMMYFUNCTION("""COMPUTED_VALUE"""),206.06)</f>
        <v>206.06</v>
      </c>
    </row>
    <row r="779" ht="15.75" customHeight="1">
      <c r="B779" s="3">
        <f>IFERROR(__xludf.DUMMYFUNCTION("""COMPUTED_VALUE"""),42426.64583333333)</f>
        <v>42426.64583</v>
      </c>
      <c r="C779" s="2">
        <f>IFERROR(__xludf.DUMMYFUNCTION("""COMPUTED_VALUE"""),205.54)</f>
        <v>205.54</v>
      </c>
    </row>
    <row r="780" ht="15.75" customHeight="1">
      <c r="B780" s="3">
        <f>IFERROR(__xludf.DUMMYFUNCTION("""COMPUTED_VALUE"""),42433.64583333333)</f>
        <v>42433.64583</v>
      </c>
      <c r="C780" s="2">
        <f>IFERROR(__xludf.DUMMYFUNCTION("""COMPUTED_VALUE"""),205.67)</f>
        <v>205.67</v>
      </c>
    </row>
    <row r="781" ht="15.75" customHeight="1">
      <c r="B781" s="3">
        <f>IFERROR(__xludf.DUMMYFUNCTION("""COMPUTED_VALUE"""),42440.64583333333)</f>
        <v>42440.64583</v>
      </c>
      <c r="C781" s="2">
        <f>IFERROR(__xludf.DUMMYFUNCTION("""COMPUTED_VALUE"""),203.81)</f>
        <v>203.81</v>
      </c>
    </row>
    <row r="782" ht="15.75" customHeight="1">
      <c r="B782" s="3">
        <f>IFERROR(__xludf.DUMMYFUNCTION("""COMPUTED_VALUE"""),42447.64583333333)</f>
        <v>42447.64583</v>
      </c>
      <c r="C782" s="2">
        <f>IFERROR(__xludf.DUMMYFUNCTION("""COMPUTED_VALUE"""),207.68)</f>
        <v>207.68</v>
      </c>
    </row>
    <row r="783" ht="15.75" customHeight="1">
      <c r="B783" s="3">
        <f>IFERROR(__xludf.DUMMYFUNCTION("""COMPUTED_VALUE"""),42452.64583333333)</f>
        <v>42452.64583</v>
      </c>
      <c r="C783" s="2">
        <f>IFERROR(__xludf.DUMMYFUNCTION("""COMPUTED_VALUE"""),210.9)</f>
        <v>210.9</v>
      </c>
    </row>
    <row r="784" ht="15.75" customHeight="1">
      <c r="B784" s="3">
        <f>IFERROR(__xludf.DUMMYFUNCTION("""COMPUTED_VALUE"""),42461.64583333333)</f>
        <v>42461.64583</v>
      </c>
      <c r="C784" s="2">
        <f>IFERROR(__xludf.DUMMYFUNCTION("""COMPUTED_VALUE"""),214.69)</f>
        <v>214.69</v>
      </c>
    </row>
    <row r="785" ht="15.75" customHeight="1">
      <c r="B785" s="3">
        <f>IFERROR(__xludf.DUMMYFUNCTION("""COMPUTED_VALUE"""),42468.64583333333)</f>
        <v>42468.64583</v>
      </c>
      <c r="C785" s="2">
        <f>IFERROR(__xludf.DUMMYFUNCTION("""COMPUTED_VALUE"""),214.16)</f>
        <v>214.16</v>
      </c>
    </row>
    <row r="786" ht="15.75" customHeight="1">
      <c r="B786" s="3">
        <f>IFERROR(__xludf.DUMMYFUNCTION("""COMPUTED_VALUE"""),42473.64583333333)</f>
        <v>42473.64583</v>
      </c>
      <c r="C786" s="2">
        <f>IFERROR(__xludf.DUMMYFUNCTION("""COMPUTED_VALUE"""),221.96)</f>
        <v>221.96</v>
      </c>
    </row>
    <row r="787" ht="15.75" customHeight="1">
      <c r="B787" s="3">
        <f>IFERROR(__xludf.DUMMYFUNCTION("""COMPUTED_VALUE"""),42482.64583333333)</f>
        <v>42482.64583</v>
      </c>
      <c r="C787" s="2">
        <f>IFERROR(__xludf.DUMMYFUNCTION("""COMPUTED_VALUE"""),227.63)</f>
        <v>227.63</v>
      </c>
    </row>
    <row r="788" ht="15.75" customHeight="1">
      <c r="B788" s="3">
        <f>IFERROR(__xludf.DUMMYFUNCTION("""COMPUTED_VALUE"""),42489.64583333333)</f>
        <v>42489.64583</v>
      </c>
      <c r="C788" s="2">
        <f>IFERROR(__xludf.DUMMYFUNCTION("""COMPUTED_VALUE"""),211.5)</f>
        <v>211.5</v>
      </c>
    </row>
    <row r="789" ht="15.75" customHeight="1">
      <c r="B789" s="3">
        <f>IFERROR(__xludf.DUMMYFUNCTION("""COMPUTED_VALUE"""),42496.64583333333)</f>
        <v>42496.64583</v>
      </c>
      <c r="C789" s="2">
        <f>IFERROR(__xludf.DUMMYFUNCTION("""COMPUTED_VALUE"""),207.36)</f>
        <v>207.36</v>
      </c>
    </row>
    <row r="790" ht="15.75" customHeight="1">
      <c r="B790" s="3">
        <f>IFERROR(__xludf.DUMMYFUNCTION("""COMPUTED_VALUE"""),42503.64583333333)</f>
        <v>42503.64583</v>
      </c>
      <c r="C790" s="2">
        <f>IFERROR(__xludf.DUMMYFUNCTION("""COMPUTED_VALUE"""),203.72)</f>
        <v>203.72</v>
      </c>
    </row>
    <row r="791" ht="15.75" customHeight="1">
      <c r="B791" s="3">
        <f>IFERROR(__xludf.DUMMYFUNCTION("""COMPUTED_VALUE"""),42510.64583333333)</f>
        <v>42510.64583</v>
      </c>
      <c r="C791" s="2">
        <f>IFERROR(__xludf.DUMMYFUNCTION("""COMPUTED_VALUE"""),205.48)</f>
        <v>205.48</v>
      </c>
    </row>
    <row r="792" ht="15.75" customHeight="1">
      <c r="B792" s="3">
        <f>IFERROR(__xludf.DUMMYFUNCTION("""COMPUTED_VALUE"""),42517.64583333333)</f>
        <v>42517.64583</v>
      </c>
      <c r="C792" s="2">
        <f>IFERROR(__xludf.DUMMYFUNCTION("""COMPUTED_VALUE"""),206.63)</f>
        <v>206.63</v>
      </c>
    </row>
    <row r="793" ht="15.75" customHeight="1">
      <c r="B793" s="3">
        <f>IFERROR(__xludf.DUMMYFUNCTION("""COMPUTED_VALUE"""),42524.64583333333)</f>
        <v>42524.64583</v>
      </c>
      <c r="C793" s="2">
        <f>IFERROR(__xludf.DUMMYFUNCTION("""COMPUTED_VALUE"""),209.61)</f>
        <v>209.61</v>
      </c>
    </row>
    <row r="794" ht="15.75" customHeight="1">
      <c r="B794" s="3">
        <f>IFERROR(__xludf.DUMMYFUNCTION("""COMPUTED_VALUE"""),42531.64583333333)</f>
        <v>42531.64583</v>
      </c>
      <c r="C794" s="2">
        <f>IFERROR(__xludf.DUMMYFUNCTION("""COMPUTED_VALUE"""),205.18)</f>
        <v>205.18</v>
      </c>
    </row>
    <row r="795" ht="15.75" customHeight="1">
      <c r="B795" s="3">
        <f>IFERROR(__xludf.DUMMYFUNCTION("""COMPUTED_VALUE"""),42538.64583333333)</f>
        <v>42538.64583</v>
      </c>
      <c r="C795" s="2">
        <f>IFERROR(__xludf.DUMMYFUNCTION("""COMPUTED_VALUE"""),207.75)</f>
        <v>207.75</v>
      </c>
    </row>
    <row r="796" ht="15.75" customHeight="1">
      <c r="B796" s="3">
        <f>IFERROR(__xludf.DUMMYFUNCTION("""COMPUTED_VALUE"""),42545.64583333333)</f>
        <v>42545.64583</v>
      </c>
      <c r="C796" s="2">
        <f>IFERROR(__xludf.DUMMYFUNCTION("""COMPUTED_VALUE"""),211.82)</f>
        <v>211.82</v>
      </c>
    </row>
    <row r="797" ht="15.75" customHeight="1">
      <c r="B797" s="3">
        <f>IFERROR(__xludf.DUMMYFUNCTION("""COMPUTED_VALUE"""),42552.64583333333)</f>
        <v>42552.64583</v>
      </c>
      <c r="C797" s="2">
        <f>IFERROR(__xludf.DUMMYFUNCTION("""COMPUTED_VALUE"""),211.88)</f>
        <v>211.88</v>
      </c>
    </row>
    <row r="798" ht="15.75" customHeight="1">
      <c r="B798" s="3">
        <f>IFERROR(__xludf.DUMMYFUNCTION("""COMPUTED_VALUE"""),42559.64583333333)</f>
        <v>42559.64583</v>
      </c>
      <c r="C798" s="2">
        <f>IFERROR(__xludf.DUMMYFUNCTION("""COMPUTED_VALUE"""),213.38)</f>
        <v>213.38</v>
      </c>
    </row>
    <row r="799" ht="15.75" customHeight="1">
      <c r="B799" s="3">
        <f>IFERROR(__xludf.DUMMYFUNCTION("""COMPUTED_VALUE"""),42566.64583333333)</f>
        <v>42566.64583</v>
      </c>
      <c r="C799" s="2">
        <f>IFERROR(__xludf.DUMMYFUNCTION("""COMPUTED_VALUE"""),216.68)</f>
        <v>216.68</v>
      </c>
    </row>
    <row r="800" ht="15.75" customHeight="1">
      <c r="B800" s="3">
        <f>IFERROR(__xludf.DUMMYFUNCTION("""COMPUTED_VALUE"""),42573.64583333333)</f>
        <v>42573.64583</v>
      </c>
      <c r="C800" s="2">
        <f>IFERROR(__xludf.DUMMYFUNCTION("""COMPUTED_VALUE"""),207.73)</f>
        <v>207.73</v>
      </c>
    </row>
    <row r="801" ht="15.75" customHeight="1">
      <c r="B801" s="3">
        <f>IFERROR(__xludf.DUMMYFUNCTION("""COMPUTED_VALUE"""),42580.64583333333)</f>
        <v>42580.64583</v>
      </c>
      <c r="C801" s="2">
        <f>IFERROR(__xludf.DUMMYFUNCTION("""COMPUTED_VALUE"""),208.78)</f>
        <v>208.78</v>
      </c>
    </row>
    <row r="802" ht="15.75" customHeight="1">
      <c r="B802" s="3">
        <f>IFERROR(__xludf.DUMMYFUNCTION("""COMPUTED_VALUE"""),42587.64583333333)</f>
        <v>42587.64583</v>
      </c>
      <c r="C802" s="2">
        <f>IFERROR(__xludf.DUMMYFUNCTION("""COMPUTED_VALUE"""),210.66)</f>
        <v>210.66</v>
      </c>
    </row>
    <row r="803" ht="15.75" customHeight="1">
      <c r="B803" s="3">
        <f>IFERROR(__xludf.DUMMYFUNCTION("""COMPUTED_VALUE"""),42594.64583333333)</f>
        <v>42594.64583</v>
      </c>
      <c r="C803" s="2">
        <f>IFERROR(__xludf.DUMMYFUNCTION("""COMPUTED_VALUE"""),207.32)</f>
        <v>207.32</v>
      </c>
    </row>
    <row r="804" ht="15.75" customHeight="1">
      <c r="B804" s="3">
        <f>IFERROR(__xludf.DUMMYFUNCTION("""COMPUTED_VALUE"""),42601.64583333333)</f>
        <v>42601.64583</v>
      </c>
      <c r="C804" s="2">
        <f>IFERROR(__xludf.DUMMYFUNCTION("""COMPUTED_VALUE"""),204.75)</f>
        <v>204.75</v>
      </c>
    </row>
    <row r="805" ht="15.75" customHeight="1">
      <c r="B805" s="3">
        <f>IFERROR(__xludf.DUMMYFUNCTION("""COMPUTED_VALUE"""),42608.64583333333)</f>
        <v>42608.64583</v>
      </c>
      <c r="C805" s="2">
        <f>IFERROR(__xludf.DUMMYFUNCTION("""COMPUTED_VALUE"""),195.75)</f>
        <v>195.75</v>
      </c>
    </row>
    <row r="806" ht="15.75" customHeight="1">
      <c r="B806" s="3">
        <f>IFERROR(__xludf.DUMMYFUNCTION("""COMPUTED_VALUE"""),42615.64583333333)</f>
        <v>42615.64583</v>
      </c>
      <c r="C806" s="2">
        <f>IFERROR(__xludf.DUMMYFUNCTION("""COMPUTED_VALUE"""),186.0)</f>
        <v>186</v>
      </c>
    </row>
    <row r="807" ht="15.75" customHeight="1">
      <c r="B807" s="3">
        <f>IFERROR(__xludf.DUMMYFUNCTION("""COMPUTED_VALUE"""),42622.64583333333)</f>
        <v>42622.64583</v>
      </c>
      <c r="C807" s="2">
        <f>IFERROR(__xludf.DUMMYFUNCTION("""COMPUTED_VALUE"""),183.66)</f>
        <v>183.66</v>
      </c>
    </row>
    <row r="808" ht="15.75" customHeight="1">
      <c r="B808" s="3">
        <f>IFERROR(__xludf.DUMMYFUNCTION("""COMPUTED_VALUE"""),42629.64583333333)</f>
        <v>42629.64583</v>
      </c>
      <c r="C808" s="2">
        <f>IFERROR(__xludf.DUMMYFUNCTION("""COMPUTED_VALUE"""),181.86)</f>
        <v>181.86</v>
      </c>
    </row>
    <row r="809" ht="15.75" customHeight="1">
      <c r="B809" s="3">
        <f>IFERROR(__xludf.DUMMYFUNCTION("""COMPUTED_VALUE"""),42636.64583333333)</f>
        <v>42636.64583</v>
      </c>
      <c r="C809" s="2">
        <f>IFERROR(__xludf.DUMMYFUNCTION("""COMPUTED_VALUE"""),181.95)</f>
        <v>181.95</v>
      </c>
    </row>
    <row r="810" ht="15.75" customHeight="1">
      <c r="B810" s="3">
        <f>IFERROR(__xludf.DUMMYFUNCTION("""COMPUTED_VALUE"""),42643.64583333333)</f>
        <v>42643.64583</v>
      </c>
      <c r="C810" s="2">
        <f>IFERROR(__xludf.DUMMYFUNCTION("""COMPUTED_VALUE"""),181.88)</f>
        <v>181.88</v>
      </c>
    </row>
    <row r="811" ht="15.75" customHeight="1">
      <c r="B811" s="3">
        <f>IFERROR(__xludf.DUMMYFUNCTION("""COMPUTED_VALUE"""),42650.64583333333)</f>
        <v>42650.64583</v>
      </c>
      <c r="C811" s="2">
        <f>IFERROR(__xludf.DUMMYFUNCTION("""COMPUTED_VALUE"""),181.86)</f>
        <v>181.86</v>
      </c>
    </row>
    <row r="812" ht="15.75" customHeight="1">
      <c r="B812" s="3">
        <f>IFERROR(__xludf.DUMMYFUNCTION("""COMPUTED_VALUE"""),42657.64583333333)</f>
        <v>42657.64583</v>
      </c>
      <c r="C812" s="2">
        <f>IFERROR(__xludf.DUMMYFUNCTION("""COMPUTED_VALUE"""),180.45)</f>
        <v>180.45</v>
      </c>
    </row>
    <row r="813" ht="15.75" customHeight="1">
      <c r="B813" s="3">
        <f>IFERROR(__xludf.DUMMYFUNCTION("""COMPUTED_VALUE"""),42664.64583333333)</f>
        <v>42664.64583</v>
      </c>
      <c r="C813" s="2">
        <f>IFERROR(__xludf.DUMMYFUNCTION("""COMPUTED_VALUE"""),187.93)</f>
        <v>187.93</v>
      </c>
    </row>
    <row r="814" ht="15.75" customHeight="1">
      <c r="B814" s="3">
        <f>IFERROR(__xludf.DUMMYFUNCTION("""COMPUTED_VALUE"""),42671.64583333333)</f>
        <v>42671.64583</v>
      </c>
      <c r="C814" s="2">
        <f>IFERROR(__xludf.DUMMYFUNCTION("""COMPUTED_VALUE"""),183.75)</f>
        <v>183.75</v>
      </c>
    </row>
    <row r="815" ht="15.75" customHeight="1">
      <c r="B815" s="3">
        <f>IFERROR(__xludf.DUMMYFUNCTION("""COMPUTED_VALUE"""),42678.64583333333)</f>
        <v>42678.64583</v>
      </c>
      <c r="C815" s="2">
        <f>IFERROR(__xludf.DUMMYFUNCTION("""COMPUTED_VALUE"""),174.92)</f>
        <v>174.92</v>
      </c>
    </row>
    <row r="816" ht="15.75" customHeight="1">
      <c r="B816" s="3">
        <f>IFERROR(__xludf.DUMMYFUNCTION("""COMPUTED_VALUE"""),42685.64583333333)</f>
        <v>42685.64583</v>
      </c>
      <c r="C816" s="2">
        <f>IFERROR(__xludf.DUMMYFUNCTION("""COMPUTED_VALUE"""),170.96)</f>
        <v>170.96</v>
      </c>
    </row>
    <row r="817" ht="15.75" customHeight="1">
      <c r="B817" s="3">
        <f>IFERROR(__xludf.DUMMYFUNCTION("""COMPUTED_VALUE"""),42692.64583333333)</f>
        <v>42692.64583</v>
      </c>
      <c r="C817" s="2">
        <f>IFERROR(__xludf.DUMMYFUNCTION("""COMPUTED_VALUE"""),170.44)</f>
        <v>170.44</v>
      </c>
    </row>
    <row r="818" ht="15.75" customHeight="1">
      <c r="B818" s="3">
        <f>IFERROR(__xludf.DUMMYFUNCTION("""COMPUTED_VALUE"""),42699.64583333333)</f>
        <v>42699.64583</v>
      </c>
      <c r="C818" s="2">
        <f>IFERROR(__xludf.DUMMYFUNCTION("""COMPUTED_VALUE"""),175.13)</f>
        <v>175.13</v>
      </c>
    </row>
    <row r="819" ht="15.75" customHeight="1">
      <c r="B819" s="3">
        <f>IFERROR(__xludf.DUMMYFUNCTION("""COMPUTED_VALUE"""),42706.64583333333)</f>
        <v>42706.64583</v>
      </c>
      <c r="C819" s="2">
        <f>IFERROR(__xludf.DUMMYFUNCTION("""COMPUTED_VALUE"""),176.63)</f>
        <v>176.63</v>
      </c>
    </row>
    <row r="820" ht="15.75" customHeight="1">
      <c r="B820" s="3">
        <f>IFERROR(__xludf.DUMMYFUNCTION("""COMPUTED_VALUE"""),42713.64583333333)</f>
        <v>42713.64583</v>
      </c>
      <c r="C820" s="2">
        <f>IFERROR(__xludf.DUMMYFUNCTION("""COMPUTED_VALUE"""),173.57)</f>
        <v>173.57</v>
      </c>
    </row>
    <row r="821" ht="15.75" customHeight="1">
      <c r="B821" s="3">
        <f>IFERROR(__xludf.DUMMYFUNCTION("""COMPUTED_VALUE"""),42720.64583333333)</f>
        <v>42720.64583</v>
      </c>
      <c r="C821" s="2">
        <f>IFERROR(__xludf.DUMMYFUNCTION("""COMPUTED_VALUE"""),176.96)</f>
        <v>176.96</v>
      </c>
    </row>
    <row r="822" ht="15.75" customHeight="1">
      <c r="B822" s="3">
        <f>IFERROR(__xludf.DUMMYFUNCTION("""COMPUTED_VALUE"""),42727.64583333333)</f>
        <v>42727.64583</v>
      </c>
      <c r="C822" s="2">
        <f>IFERROR(__xludf.DUMMYFUNCTION("""COMPUTED_VALUE"""),176.44)</f>
        <v>176.44</v>
      </c>
    </row>
    <row r="823" ht="15.75" customHeight="1">
      <c r="B823" s="3">
        <f>IFERROR(__xludf.DUMMYFUNCTION("""COMPUTED_VALUE"""),42734.64583333333)</f>
        <v>42734.64583</v>
      </c>
      <c r="C823" s="2">
        <f>IFERROR(__xludf.DUMMYFUNCTION("""COMPUTED_VALUE"""),178.88)</f>
        <v>178.88</v>
      </c>
    </row>
    <row r="824" ht="15.75" customHeight="1"/>
    <row r="825" ht="15.75" customHeight="1"/>
    <row r="826" ht="15.75" customHeight="1">
      <c r="B826" s="2" t="str">
        <f>IFERROR(__xludf.DUMMYFUNCTION("GOOGLEFINANCE(""NSE:WIPRO"",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IFERROR(__xludf.DUMMYFUNCTION("""COMPUTED_VALUE"""),182.21)</f>
        <v>182.21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IFERROR(__xludf.DUMMYFUNCTION("""COMPUTED_VALUE"""),182.42)</f>
        <v>182.42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IFERROR(__xludf.DUMMYFUNCTION("""COMPUTED_VALUE"""),182.89)</f>
        <v>182.89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IFERROR(__xludf.DUMMYFUNCTION("""COMPUTED_VALUE"""),181.61)</f>
        <v>181.61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IFERROR(__xludf.DUMMYFUNCTION("""COMPUTED_VALUE"""),175.5)</f>
        <v>175.5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IFERROR(__xludf.DUMMYFUNCTION("""COMPUTED_VALUE"""),177.08)</f>
        <v>177.08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IFERROR(__xludf.DUMMYFUNCTION("""COMPUTED_VALUE"""),181.37)</f>
        <v>181.37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IFERROR(__xludf.DUMMYFUNCTION("""COMPUTED_VALUE"""),183.47)</f>
        <v>183.47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IFERROR(__xludf.DUMMYFUNCTION("""COMPUTED_VALUE"""),185.87)</f>
        <v>185.87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IFERROR(__xludf.DUMMYFUNCTION("""COMPUTED_VALUE"""),187.35)</f>
        <v>187.35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IFERROR(__xludf.DUMMYFUNCTION("""COMPUTED_VALUE"""),190.13)</f>
        <v>190.13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IFERROR(__xludf.DUMMYFUNCTION("""COMPUTED_VALUE"""),192.75)</f>
        <v>192.75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IFERROR(__xludf.DUMMYFUNCTION("""COMPUTED_VALUE"""),194.51)</f>
        <v>194.51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IFERROR(__xludf.DUMMYFUNCTION("""COMPUTED_VALUE"""),193.69)</f>
        <v>193.69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IFERROR(__xludf.DUMMYFUNCTION("""COMPUTED_VALUE"""),194.18)</f>
        <v>194.18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IFERROR(__xludf.DUMMYFUNCTION("""COMPUTED_VALUE"""),189.41)</f>
        <v>189.41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IFERROR(__xludf.DUMMYFUNCTION("""COMPUTED_VALUE"""),192.19)</f>
        <v>192.19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IFERROR(__xludf.DUMMYFUNCTION("""COMPUTED_VALUE"""),187.99)</f>
        <v>187.99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IFERROR(__xludf.DUMMYFUNCTION("""COMPUTED_VALUE"""),191.31)</f>
        <v>191.31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IFERROR(__xludf.DUMMYFUNCTION("""COMPUTED_VALUE"""),197.94)</f>
        <v>197.94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IFERROR(__xludf.DUMMYFUNCTION("""COMPUTED_VALUE"""),204.34)</f>
        <v>204.34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IFERROR(__xludf.DUMMYFUNCTION("""COMPUTED_VALUE"""),207.71)</f>
        <v>207.71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IFERROR(__xludf.DUMMYFUNCTION("""COMPUTED_VALUE"""),213.0)</f>
        <v>213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IFERROR(__xludf.DUMMYFUNCTION("""COMPUTED_VALUE"""),200.85)</f>
        <v>200.85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IFERROR(__xludf.DUMMYFUNCTION("""COMPUTED_VALUE"""),194.93)</f>
        <v>194.93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IFERROR(__xludf.DUMMYFUNCTION("""COMPUTED_VALUE"""),195.68)</f>
        <v>195.68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IFERROR(__xludf.DUMMYFUNCTION("""COMPUTED_VALUE"""),195.71)</f>
        <v>195.71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IFERROR(__xludf.DUMMYFUNCTION("""COMPUTED_VALUE"""),205.13)</f>
        <v>205.13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IFERROR(__xludf.DUMMYFUNCTION("""COMPUTED_VALUE"""),218.18)</f>
        <v>218.18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IFERROR(__xludf.DUMMYFUNCTION("""COMPUTED_VALUE"""),220.13)</f>
        <v>220.13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IFERROR(__xludf.DUMMYFUNCTION("""COMPUTED_VALUE"""),223.28)</f>
        <v>223.28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IFERROR(__xludf.DUMMYFUNCTION("""COMPUTED_VALUE"""),220.91)</f>
        <v>220.91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IFERROR(__xludf.DUMMYFUNCTION("""COMPUTED_VALUE"""),218.25)</f>
        <v>218.25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IFERROR(__xludf.DUMMYFUNCTION("""COMPUTED_VALUE"""),219.75)</f>
        <v>219.75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IFERROR(__xludf.DUMMYFUNCTION("""COMPUTED_VALUE"""),225.38)</f>
        <v>225.38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IFERROR(__xludf.DUMMYFUNCTION("""COMPUTED_VALUE"""),226.28)</f>
        <v>226.28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IFERROR(__xludf.DUMMYFUNCTION("""COMPUTED_VALUE"""),227.55)</f>
        <v>227.55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IFERROR(__xludf.DUMMYFUNCTION("""COMPUTED_VALUE"""),221.21)</f>
        <v>221.21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IFERROR(__xludf.DUMMYFUNCTION("""COMPUTED_VALUE"""),220.91)</f>
        <v>220.91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IFERROR(__xludf.DUMMYFUNCTION("""COMPUTED_VALUE"""),215.25)</f>
        <v>215.25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IFERROR(__xludf.DUMMYFUNCTION("""COMPUTED_VALUE"""),221.81)</f>
        <v>221.81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IFERROR(__xludf.DUMMYFUNCTION("""COMPUTED_VALUE"""),224.33)</f>
        <v>224.33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IFERROR(__xludf.DUMMYFUNCTION("""COMPUTED_VALUE"""),227.96)</f>
        <v>227.96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IFERROR(__xludf.DUMMYFUNCTION("""COMPUTED_VALUE"""),222.49)</f>
        <v>222.49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IFERROR(__xludf.DUMMYFUNCTION("""COMPUTED_VALUE"""),231.56)</f>
        <v>231.56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IFERROR(__xludf.DUMMYFUNCTION("""COMPUTED_VALUE"""),228.3)</f>
        <v>228.3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IFERROR(__xludf.DUMMYFUNCTION("""COMPUTED_VALUE"""),223.5)</f>
        <v>223.5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IFERROR(__xludf.DUMMYFUNCTION("""COMPUTED_VALUE"""),225.34)</f>
        <v>225.34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IFERROR(__xludf.DUMMYFUNCTION("""COMPUTED_VALUE"""),218.33)</f>
        <v>218.33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IFERROR(__xludf.DUMMYFUNCTION("""COMPUTED_VALUE"""),218.51)</f>
        <v>218.51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IFERROR(__xludf.DUMMYFUNCTION("""COMPUTED_VALUE"""),227.55)</f>
        <v>227.55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IFERROR(__xludf.DUMMYFUNCTION("""COMPUTED_VALUE"""),237.3)</f>
        <v>237.3</v>
      </c>
    </row>
    <row r="879" ht="15.75" customHeight="1"/>
    <row r="880" ht="15.75" customHeight="1"/>
    <row r="881" ht="15.75" customHeight="1">
      <c r="B881" s="2" t="str">
        <f>IFERROR(__xludf.DUMMYFUNCTION("GOOGLEFINANCE(""NSE:WIPRO"",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IFERROR(__xludf.DUMMYFUNCTION("""COMPUTED_VALUE"""),243.0)</f>
        <v>243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IFERROR(__xludf.DUMMYFUNCTION("""COMPUTED_VALUE"""),245.89)</f>
        <v>245.89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IFERROR(__xludf.DUMMYFUNCTION("""COMPUTED_VALUE"""),250.5)</f>
        <v>250.5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IFERROR(__xludf.DUMMYFUNCTION("""COMPUTED_VALUE"""),246.71)</f>
        <v>246.71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IFERROR(__xludf.DUMMYFUNCTION("""COMPUTED_VALUE"""),237.08)</f>
        <v>237.08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IFERROR(__xludf.DUMMYFUNCTION("""COMPUTED_VALUE"""),229.16)</f>
        <v>229.16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IFERROR(__xludf.DUMMYFUNCTION("""COMPUTED_VALUE"""),222.56)</f>
        <v>222.56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IFERROR(__xludf.DUMMYFUNCTION("""COMPUTED_VALUE"""),221.96)</f>
        <v>221.96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IFERROR(__xludf.DUMMYFUNCTION("""COMPUTED_VALUE"""),221.78)</f>
        <v>221.78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IFERROR(__xludf.DUMMYFUNCTION("""COMPUTED_VALUE"""),220.31)</f>
        <v>220.31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IFERROR(__xludf.DUMMYFUNCTION("""COMPUTED_VALUE"""),226.5)</f>
        <v>226.5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IFERROR(__xludf.DUMMYFUNCTION("""COMPUTED_VALUE"""),222.38)</f>
        <v>222.38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IFERROR(__xludf.DUMMYFUNCTION("""COMPUTED_VALUE"""),214.2)</f>
        <v>214.2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IFERROR(__xludf.DUMMYFUNCTION("""COMPUTED_VALUE"""),218.1)</f>
        <v>218.1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IFERROR(__xludf.DUMMYFUNCTION("""COMPUTED_VALUE"""),221.21)</f>
        <v>221.21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IFERROR(__xludf.DUMMYFUNCTION("""COMPUTED_VALUE"""),225.0)</f>
        <v>225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IFERROR(__xludf.DUMMYFUNCTION("""COMPUTED_VALUE"""),225.75)</f>
        <v>225.75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IFERROR(__xludf.DUMMYFUNCTION("""COMPUTED_VALUE"""),211.76)</f>
        <v>211.76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IFERROR(__xludf.DUMMYFUNCTION("""COMPUTED_VALUE"""),206.96)</f>
        <v>206.96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IFERROR(__xludf.DUMMYFUNCTION("""COMPUTED_VALUE"""),210.6)</f>
        <v>210.6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IFERROR(__xludf.DUMMYFUNCTION("""COMPUTED_VALUE"""),202.09)</f>
        <v>202.09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IFERROR(__xludf.DUMMYFUNCTION("""COMPUTED_VALUE"""),198.56)</f>
        <v>198.56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IFERROR(__xludf.DUMMYFUNCTION("""COMPUTED_VALUE"""),199.39)</f>
        <v>199.39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IFERROR(__xludf.DUMMYFUNCTION("""COMPUTED_VALUE"""),202.5)</f>
        <v>202.5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IFERROR(__xludf.DUMMYFUNCTION("""COMPUTED_VALUE"""),201.75)</f>
        <v>201.75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IFERROR(__xludf.DUMMYFUNCTION("""COMPUTED_VALUE"""),196.88)</f>
        <v>196.88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IFERROR(__xludf.DUMMYFUNCTION("""COMPUTED_VALUE"""),198.6)</f>
        <v>198.6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IFERROR(__xludf.DUMMYFUNCTION("""COMPUTED_VALUE"""),217.35)</f>
        <v>217.35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IFERROR(__xludf.DUMMYFUNCTION("""COMPUTED_VALUE"""),217.95)</f>
        <v>217.95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IFERROR(__xludf.DUMMYFUNCTION("""COMPUTED_VALUE"""),211.88)</f>
        <v>211.88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IFERROR(__xludf.DUMMYFUNCTION("""COMPUTED_VALUE"""),210.6)</f>
        <v>210.6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IFERROR(__xludf.DUMMYFUNCTION("""COMPUTED_VALUE"""),210.26)</f>
        <v>210.26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IFERROR(__xludf.DUMMYFUNCTION("""COMPUTED_VALUE"""),215.25)</f>
        <v>215.25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IFERROR(__xludf.DUMMYFUNCTION("""COMPUTED_VALUE"""),221.14)</f>
        <v>221.14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IFERROR(__xludf.DUMMYFUNCTION("""COMPUTED_VALUE"""),229.88)</f>
        <v>229.88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IFERROR(__xludf.DUMMYFUNCTION("""COMPUTED_VALUE"""),246.19)</f>
        <v>246.19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IFERROR(__xludf.DUMMYFUNCTION("""COMPUTED_VALUE"""),249.75)</f>
        <v>249.75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IFERROR(__xludf.DUMMYFUNCTION("""COMPUTED_VALUE"""),253.43)</f>
        <v>253.43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IFERROR(__xludf.DUMMYFUNCTION("""COMPUTED_VALUE"""),253.5)</f>
        <v>253.5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IFERROR(__xludf.DUMMYFUNCTION("""COMPUTED_VALUE"""),249.34)</f>
        <v>249.34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IFERROR(__xludf.DUMMYFUNCTION("""COMPUTED_VALUE"""),242.55)</f>
        <v>242.55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IFERROR(__xludf.DUMMYFUNCTION("""COMPUTED_VALUE"""),246.83)</f>
        <v>246.83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IFERROR(__xludf.DUMMYFUNCTION("""COMPUTED_VALUE"""),245.44)</f>
        <v>245.44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IFERROR(__xludf.DUMMYFUNCTION("""COMPUTED_VALUE"""),250.99)</f>
        <v>250.99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IFERROR(__xludf.DUMMYFUNCTION("""COMPUTED_VALUE"""),246.0)</f>
        <v>246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IFERROR(__xludf.DUMMYFUNCTION("""COMPUTED_VALUE"""),247.88)</f>
        <v>247.88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IFERROR(__xludf.DUMMYFUNCTION("""COMPUTED_VALUE"""),251.55)</f>
        <v>251.55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IFERROR(__xludf.DUMMYFUNCTION("""COMPUTED_VALUE"""),244.8)</f>
        <v>244.8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IFERROR(__xludf.DUMMYFUNCTION("""COMPUTED_VALUE"""),255.94)</f>
        <v>255.94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IFERROR(__xludf.DUMMYFUNCTION("""COMPUTED_VALUE"""),257.96)</f>
        <v>257.96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IFERROR(__xludf.DUMMYFUNCTION("""COMPUTED_VALUE"""),256.69)</f>
        <v>256.69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IFERROR(__xludf.DUMMYFUNCTION("""COMPUTED_VALUE"""),249.68)</f>
        <v>249.68</v>
      </c>
    </row>
    <row r="934" ht="15.75" customHeight="1"/>
    <row r="935" ht="15.75" customHeight="1"/>
    <row r="936" ht="15.75" customHeight="1">
      <c r="B936" s="2" t="str">
        <f>IFERROR(__xludf.DUMMYFUNCTION("GOOGLEFINANCE(""NSE:WIPRO"",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IFERROR(__xludf.DUMMYFUNCTION("""COMPUTED_VALUE"""),250.35)</f>
        <v>250.35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IFERROR(__xludf.DUMMYFUNCTION("""COMPUTED_VALUE"""),249.45)</f>
        <v>249.45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IFERROR(__xludf.DUMMYFUNCTION("""COMPUTED_VALUE"""),260.63)</f>
        <v>260.63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IFERROR(__xludf.DUMMYFUNCTION("""COMPUTED_VALUE"""),268.76)</f>
        <v>268.76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IFERROR(__xludf.DUMMYFUNCTION("""COMPUTED_VALUE"""),279.34)</f>
        <v>279.34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IFERROR(__xludf.DUMMYFUNCTION("""COMPUTED_VALUE"""),281.21)</f>
        <v>281.21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IFERROR(__xludf.DUMMYFUNCTION("""COMPUTED_VALUE"""),284.77)</f>
        <v>284.77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IFERROR(__xludf.DUMMYFUNCTION("""COMPUTED_VALUE"""),285.0)</f>
        <v>285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IFERROR(__xludf.DUMMYFUNCTION("""COMPUTED_VALUE"""),291.71)</f>
        <v>291.71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IFERROR(__xludf.DUMMYFUNCTION("""COMPUTED_VALUE"""),285.9)</f>
        <v>285.9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IFERROR(__xludf.DUMMYFUNCTION("""COMPUTED_VALUE"""),265.6)</f>
        <v>265.6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IFERROR(__xludf.DUMMYFUNCTION("""COMPUTED_VALUE"""),264.75)</f>
        <v>264.75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IFERROR(__xludf.DUMMYFUNCTION("""COMPUTED_VALUE"""),262.0)</f>
        <v>262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IFERROR(__xludf.DUMMYFUNCTION("""COMPUTED_VALUE"""),263.9)</f>
        <v>263.9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IFERROR(__xludf.DUMMYFUNCTION("""COMPUTED_VALUE"""),284.7)</f>
        <v>284.7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IFERROR(__xludf.DUMMYFUNCTION("""COMPUTED_VALUE"""),291.45)</f>
        <v>291.45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IFERROR(__xludf.DUMMYFUNCTION("""COMPUTED_VALUE"""),296.65)</f>
        <v>296.65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IFERROR(__xludf.DUMMYFUNCTION("""COMPUTED_VALUE"""),299.45)</f>
        <v>299.45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IFERROR(__xludf.DUMMYFUNCTION("""COMPUTED_VALUE"""),294.95)</f>
        <v>294.95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IFERROR(__xludf.DUMMYFUNCTION("""COMPUTED_VALUE"""),293.5)</f>
        <v>293.5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IFERROR(__xludf.DUMMYFUNCTION("""COMPUTED_VALUE"""),291.5)</f>
        <v>291.5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IFERROR(__xludf.DUMMYFUNCTION("""COMPUTED_VALUE"""),290.0)</f>
        <v>290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IFERROR(__xludf.DUMMYFUNCTION("""COMPUTED_VALUE"""),295.95)</f>
        <v>295.95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IFERROR(__xludf.DUMMYFUNCTION("""COMPUTED_VALUE"""),301.6)</f>
        <v>301.6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IFERROR(__xludf.DUMMYFUNCTION("""COMPUTED_VALUE"""),300.75)</f>
        <v>300.75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IFERROR(__xludf.DUMMYFUNCTION("""COMPUTED_VALUE"""),288.0)</f>
        <v>288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IFERROR(__xludf.DUMMYFUNCTION("""COMPUTED_VALUE"""),285.6)</f>
        <v>285.6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IFERROR(__xludf.DUMMYFUNCTION("""COMPUTED_VALUE"""),271.25)</f>
        <v>271.25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IFERROR(__xludf.DUMMYFUNCTION("""COMPUTED_VALUE"""),274.15)</f>
        <v>274.15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IFERROR(__xludf.DUMMYFUNCTION("""COMPUTED_VALUE"""),270.0)</f>
        <v>270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IFERROR(__xludf.DUMMYFUNCTION("""COMPUTED_VALUE"""),276.15)</f>
        <v>276.15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IFERROR(__xludf.DUMMYFUNCTION("""COMPUTED_VALUE"""),268.7)</f>
        <v>268.7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IFERROR(__xludf.DUMMYFUNCTION("""COMPUTED_VALUE"""),264.9)</f>
        <v>264.9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IFERROR(__xludf.DUMMYFUNCTION("""COMPUTED_VALUE"""),259.1)</f>
        <v>259.1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IFERROR(__xludf.DUMMYFUNCTION("""COMPUTED_VALUE"""),255.25)</f>
        <v>255.25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IFERROR(__xludf.DUMMYFUNCTION("""COMPUTED_VALUE"""),258.9)</f>
        <v>258.9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IFERROR(__xludf.DUMMYFUNCTION("""COMPUTED_VALUE"""),256.1)</f>
        <v>256.1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IFERROR(__xludf.DUMMYFUNCTION("""COMPUTED_VALUE"""),248.7)</f>
        <v>248.7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IFERROR(__xludf.DUMMYFUNCTION("""COMPUTED_VALUE"""),248.0)</f>
        <v>248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IFERROR(__xludf.DUMMYFUNCTION("""COMPUTED_VALUE"""),240.9)</f>
        <v>240.9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IFERROR(__xludf.DUMMYFUNCTION("""COMPUTED_VALUE"""),242.4)</f>
        <v>242.4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IFERROR(__xludf.DUMMYFUNCTION("""COMPUTED_VALUE"""),251.7)</f>
        <v>251.7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IFERROR(__xludf.DUMMYFUNCTION("""COMPUTED_VALUE"""),255.55)</f>
        <v>255.55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IFERROR(__xludf.DUMMYFUNCTION("""COMPUTED_VALUE"""),261.0)</f>
        <v>261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IFERROR(__xludf.DUMMYFUNCTION("""COMPUTED_VALUE"""),260.8)</f>
        <v>260.8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IFERROR(__xludf.DUMMYFUNCTION("""COMPUTED_VALUE"""),259.0)</f>
        <v>259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IFERROR(__xludf.DUMMYFUNCTION("""COMPUTED_VALUE"""),252.5)</f>
        <v>252.5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IFERROR(__xludf.DUMMYFUNCTION("""COMPUTED_VALUE"""),244.6)</f>
        <v>244.6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IFERROR(__xludf.DUMMYFUNCTION("""COMPUTED_VALUE"""),244.9)</f>
        <v>244.9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IFERROR(__xludf.DUMMYFUNCTION("""COMPUTED_VALUE"""),244.85)</f>
        <v>244.85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IFERROR(__xludf.DUMMYFUNCTION("""COMPUTED_VALUE"""),253.8)</f>
        <v>253.8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IFERROR(__xludf.DUMMYFUNCTION("""COMPUTED_VALUE"""),254.7)</f>
        <v>254.7</v>
      </c>
    </row>
    <row r="989" ht="15.75" customHeight="1"/>
    <row r="990" ht="15.75" customHeight="1"/>
    <row r="991" ht="15.75" customHeight="1">
      <c r="B991" s="2" t="str">
        <f>IFERROR(__xludf.DUMMYFUNCTION("GOOGLEFINANCE(""NSE:WIPRO"",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IFERROR(__xludf.DUMMYFUNCTION("""COMPUTED_VALUE"""),252.7)</f>
        <v>252.7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IFERROR(__xludf.DUMMYFUNCTION("""COMPUTED_VALUE"""),256.5)</f>
        <v>256.5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IFERROR(__xludf.DUMMYFUNCTION("""COMPUTED_VALUE"""),258.35)</f>
        <v>258.35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IFERROR(__xludf.DUMMYFUNCTION("""COMPUTED_VALUE"""),251.95)</f>
        <v>251.95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IFERROR(__xludf.DUMMYFUNCTION("""COMPUTED_VALUE"""),247.9)</f>
        <v>247.9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IFERROR(__xludf.DUMMYFUNCTION("""COMPUTED_VALUE"""),247.0)</f>
        <v>247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IFERROR(__xludf.DUMMYFUNCTION("""COMPUTED_VALUE"""),247.15)</f>
        <v>247.15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IFERROR(__xludf.DUMMYFUNCTION("""COMPUTED_VALUE"""),248.55)</f>
        <v>248.55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IFERROR(__xludf.DUMMYFUNCTION("""COMPUTED_VALUE"""),247.8)</f>
        <v>247.8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IFERROR(__xludf.DUMMYFUNCTION("""COMPUTED_VALUE"""),233.9)</f>
        <v>233.9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IFERROR(__xludf.DUMMYFUNCTION("""COMPUTED_VALUE"""),221.0)</f>
        <v>221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IFERROR(__xludf.DUMMYFUNCTION("""COMPUTED_VALUE"""),193.95)</f>
        <v>193.95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IFERROR(__xludf.DUMMYFUNCTION("""COMPUTED_VALUE"""),189.5)</f>
        <v>189.5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IFERROR(__xludf.DUMMYFUNCTION("""COMPUTED_VALUE"""),199.8)</f>
        <v>199.8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IFERROR(__xludf.DUMMYFUNCTION("""COMPUTED_VALUE"""),202.95)</f>
        <v>202.95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IFERROR(__xludf.DUMMYFUNCTION("""COMPUTED_VALUE"""),198.0)</f>
        <v>198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IFERROR(__xludf.DUMMYFUNCTION("""COMPUTED_VALUE"""),189.0)</f>
        <v>189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IFERROR(__xludf.DUMMYFUNCTION("""COMPUTED_VALUE"""),192.6)</f>
        <v>192.6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IFERROR(__xludf.DUMMYFUNCTION("""COMPUTED_VALUE"""),194.0)</f>
        <v>194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IFERROR(__xludf.DUMMYFUNCTION("""COMPUTED_VALUE"""),191.5)</f>
        <v>191.5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IFERROR(__xludf.DUMMYFUNCTION("""COMPUTED_VALUE"""),191.7)</f>
        <v>191.7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IFERROR(__xludf.DUMMYFUNCTION("""COMPUTED_VALUE"""),214.9)</f>
        <v>214.9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IFERROR(__xludf.DUMMYFUNCTION("""COMPUTED_VALUE"""),221.0)</f>
        <v>221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IFERROR(__xludf.DUMMYFUNCTION("""COMPUTED_VALUE"""),227.3)</f>
        <v>227.3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IFERROR(__xludf.DUMMYFUNCTION("""COMPUTED_VALUE"""),224.1)</f>
        <v>224.1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IFERROR(__xludf.DUMMYFUNCTION("""COMPUTED_VALUE"""),230.0)</f>
        <v>230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IFERROR(__xludf.DUMMYFUNCTION("""COMPUTED_VALUE"""),228.5)</f>
        <v>228.5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IFERROR(__xludf.DUMMYFUNCTION("""COMPUTED_VALUE"""),228.4)</f>
        <v>228.4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IFERROR(__xludf.DUMMYFUNCTION("""COMPUTED_VALUE"""),268.7)</f>
        <v>268.7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IFERROR(__xludf.DUMMYFUNCTION("""COMPUTED_VALUE"""),281.6)</f>
        <v>281.6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IFERROR(__xludf.DUMMYFUNCTION("""COMPUTED_VALUE"""),290.8)</f>
        <v>290.8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IFERROR(__xludf.DUMMYFUNCTION("""COMPUTED_VALUE"""),284.8)</f>
        <v>284.8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IFERROR(__xludf.DUMMYFUNCTION("""COMPUTED_VALUE"""),284.65)</f>
        <v>284.65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IFERROR(__xludf.DUMMYFUNCTION("""COMPUTED_VALUE"""),287.4)</f>
        <v>287.4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IFERROR(__xludf.DUMMYFUNCTION("""COMPUTED_VALUE"""),275.2)</f>
        <v>275.2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IFERROR(__xludf.DUMMYFUNCTION("""COMPUTED_VALUE"""),287.85)</f>
        <v>287.85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IFERROR(__xludf.DUMMYFUNCTION("""COMPUTED_VALUE"""),298.45)</f>
        <v>298.45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IFERROR(__xludf.DUMMYFUNCTION("""COMPUTED_VALUE"""),319.0)</f>
        <v>319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IFERROR(__xludf.DUMMYFUNCTION("""COMPUTED_VALUE"""),324.5)</f>
        <v>324.5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IFERROR(__xludf.DUMMYFUNCTION("""COMPUTED_VALUE"""),318.55)</f>
        <v>318.55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IFERROR(__xludf.DUMMYFUNCTION("""COMPUTED_VALUE"""),376.1)</f>
        <v>376.1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IFERROR(__xludf.DUMMYFUNCTION("""COMPUTED_VALUE"""),381.7)</f>
        <v>381.7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IFERROR(__xludf.DUMMYFUNCTION("""COMPUTED_VALUE"""),350.1)</f>
        <v>350.1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IFERROR(__xludf.DUMMYFUNCTION("""COMPUTED_VALUE"""),345.0)</f>
        <v>345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IFERROR(__xludf.DUMMYFUNCTION("""COMPUTED_VALUE"""),351.55)</f>
        <v>351.55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IFERROR(__xludf.DUMMYFUNCTION("""COMPUTED_VALUE"""),352.35)</f>
        <v>352.35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IFERROR(__xludf.DUMMYFUNCTION("""COMPUTED_VALUE"""),361.4)</f>
        <v>361.4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IFERROR(__xludf.DUMMYFUNCTION("""COMPUTED_VALUE"""),364.0)</f>
        <v>364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IFERROR(__xludf.DUMMYFUNCTION("""COMPUTED_VALUE"""),367.75)</f>
        <v>367.75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IFERROR(__xludf.DUMMYFUNCTION("""COMPUTED_VALUE"""),365.8)</f>
        <v>365.8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IFERROR(__xludf.DUMMYFUNCTION("""COMPUTED_VALUE"""),387.6)</f>
        <v>387.6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IFERROR(__xludf.DUMMYFUNCTION("""COMPUTED_VALUE"""),390.75)</f>
        <v>390.75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IFERROR(__xludf.DUMMYFUNCTION("GOOGLEFINANCE(""NSE:BAJAJ-AUTO"", ""high"",DATE(2003,1,1),DATE(2004,1,1),""weekly"")"),"Date")</f>
        <v>Date</v>
      </c>
      <c r="C1" s="2" t="str">
        <f>IFERROR(__xludf.DUMMYFUNCTION("""COMPUTED_VALUE"""),"High")</f>
        <v>High</v>
      </c>
    </row>
    <row r="2">
      <c r="A2" s="2" t="s">
        <v>2</v>
      </c>
      <c r="B2" s="3">
        <f>IFERROR(__xludf.DUMMYFUNCTION("""COMPUTED_VALUE"""),37624.645833333336)</f>
        <v>37624.64583</v>
      </c>
      <c r="C2" s="2">
        <f>IFERROR(__xludf.DUMMYFUNCTION("""COMPUTED_VALUE"""),255.98)</f>
        <v>255.98</v>
      </c>
    </row>
    <row r="3">
      <c r="A3" s="2" t="s">
        <v>3</v>
      </c>
      <c r="B3" s="3">
        <f>IFERROR(__xludf.DUMMYFUNCTION("""COMPUTED_VALUE"""),37631.645833333336)</f>
        <v>37631.64583</v>
      </c>
      <c r="C3" s="2">
        <f>IFERROR(__xludf.DUMMYFUNCTION("""COMPUTED_VALUE"""),255.0)</f>
        <v>255</v>
      </c>
    </row>
    <row r="4">
      <c r="A4" s="2" t="s">
        <v>4</v>
      </c>
      <c r="B4" s="3">
        <f>IFERROR(__xludf.DUMMYFUNCTION("""COMPUTED_VALUE"""),37638.645833333336)</f>
        <v>37638.64583</v>
      </c>
      <c r="C4" s="2">
        <f>IFERROR(__xludf.DUMMYFUNCTION("""COMPUTED_VALUE"""),269.2)</f>
        <v>269.2</v>
      </c>
    </row>
    <row r="5">
      <c r="A5" s="2" t="s">
        <v>5</v>
      </c>
      <c r="B5" s="3">
        <f>IFERROR(__xludf.DUMMYFUNCTION("""COMPUTED_VALUE"""),37645.645833333336)</f>
        <v>37645.64583</v>
      </c>
      <c r="C5" s="2">
        <f>IFERROR(__xludf.DUMMYFUNCTION("""COMPUTED_VALUE"""),267.0)</f>
        <v>267</v>
      </c>
    </row>
    <row r="6">
      <c r="A6" s="2" t="s">
        <v>6</v>
      </c>
      <c r="B6" s="3">
        <f>IFERROR(__xludf.DUMMYFUNCTION("""COMPUTED_VALUE"""),37652.645833333336)</f>
        <v>37652.64583</v>
      </c>
      <c r="C6" s="2">
        <f>IFERROR(__xludf.DUMMYFUNCTION("""COMPUTED_VALUE"""),259.98)</f>
        <v>259.98</v>
      </c>
    </row>
    <row r="7">
      <c r="A7" s="2" t="s">
        <v>9</v>
      </c>
      <c r="B7" s="3">
        <f>IFERROR(__xludf.DUMMYFUNCTION("""COMPUTED_VALUE"""),37659.645833333336)</f>
        <v>37659.64583</v>
      </c>
      <c r="C7" s="2">
        <f>IFERROR(__xludf.DUMMYFUNCTION("""COMPUTED_VALUE"""),277.2)</f>
        <v>277.2</v>
      </c>
    </row>
    <row r="8">
      <c r="A8" s="2" t="s">
        <v>10</v>
      </c>
      <c r="B8" s="3">
        <f>IFERROR(__xludf.DUMMYFUNCTION("""COMPUTED_VALUE"""),37666.645833333336)</f>
        <v>37666.64583</v>
      </c>
      <c r="C8" s="2">
        <f>IFERROR(__xludf.DUMMYFUNCTION("""COMPUTED_VALUE"""),271.5)</f>
        <v>271.5</v>
      </c>
    </row>
    <row r="9">
      <c r="A9" s="2" t="s">
        <v>11</v>
      </c>
      <c r="B9" s="3">
        <f>IFERROR(__xludf.DUMMYFUNCTION("""COMPUTED_VALUE"""),37673.645833333336)</f>
        <v>37673.64583</v>
      </c>
      <c r="C9" s="2">
        <f>IFERROR(__xludf.DUMMYFUNCTION("""COMPUTED_VALUE"""),266.48)</f>
        <v>266.48</v>
      </c>
    </row>
    <row r="10">
      <c r="A10" s="2" t="s">
        <v>12</v>
      </c>
      <c r="B10" s="3">
        <f>IFERROR(__xludf.DUMMYFUNCTION("""COMPUTED_VALUE"""),37680.645833333336)</f>
        <v>37680.64583</v>
      </c>
      <c r="C10" s="2">
        <f>IFERROR(__xludf.DUMMYFUNCTION("""COMPUTED_VALUE"""),272.0)</f>
        <v>272</v>
      </c>
    </row>
    <row r="11">
      <c r="A11" s="2" t="s">
        <v>13</v>
      </c>
      <c r="B11" s="3">
        <f>IFERROR(__xludf.DUMMYFUNCTION("""COMPUTED_VALUE"""),37687.645833333336)</f>
        <v>37687.64583</v>
      </c>
      <c r="C11" s="2">
        <f>IFERROR(__xludf.DUMMYFUNCTION("""COMPUTED_VALUE"""),261.5)</f>
        <v>261.5</v>
      </c>
    </row>
    <row r="12">
      <c r="A12" s="2" t="s">
        <v>14</v>
      </c>
      <c r="B12" s="3">
        <f>IFERROR(__xludf.DUMMYFUNCTION("""COMPUTED_VALUE"""),37693.645833333336)</f>
        <v>37693.64583</v>
      </c>
      <c r="C12" s="2">
        <f>IFERROR(__xludf.DUMMYFUNCTION("""COMPUTED_VALUE"""),253.5)</f>
        <v>253.5</v>
      </c>
    </row>
    <row r="13">
      <c r="A13" s="2" t="s">
        <v>15</v>
      </c>
      <c r="B13" s="3">
        <f>IFERROR(__xludf.DUMMYFUNCTION("""COMPUTED_VALUE"""),37708.645833333336)</f>
        <v>37708.64583</v>
      </c>
      <c r="C13" s="2">
        <f>IFERROR(__xludf.DUMMYFUNCTION("""COMPUTED_VALUE"""),256.7)</f>
        <v>256.7</v>
      </c>
    </row>
    <row r="14">
      <c r="A14" s="2" t="s">
        <v>16</v>
      </c>
      <c r="B14" s="3">
        <f>IFERROR(__xludf.DUMMYFUNCTION("""COMPUTED_VALUE"""),37715.645833333336)</f>
        <v>37715.64583</v>
      </c>
      <c r="C14" s="2">
        <f>IFERROR(__xludf.DUMMYFUNCTION("""COMPUTED_VALUE"""),264.5)</f>
        <v>264.5</v>
      </c>
    </row>
    <row r="15">
      <c r="A15" s="2" t="s">
        <v>17</v>
      </c>
      <c r="B15" s="3">
        <f>IFERROR(__xludf.DUMMYFUNCTION("""COMPUTED_VALUE"""),37722.645833333336)</f>
        <v>37722.64583</v>
      </c>
      <c r="C15" s="2">
        <f>IFERROR(__xludf.DUMMYFUNCTION("""COMPUTED_VALUE"""),261.38)</f>
        <v>261.38</v>
      </c>
    </row>
    <row r="16">
      <c r="A16" s="2" t="s">
        <v>18</v>
      </c>
      <c r="B16" s="3">
        <f>IFERROR(__xludf.DUMMYFUNCTION("""COMPUTED_VALUE"""),37728.645833333336)</f>
        <v>37728.64583</v>
      </c>
      <c r="C16" s="2">
        <f>IFERROR(__xludf.DUMMYFUNCTION("""COMPUTED_VALUE"""),255.0)</f>
        <v>255</v>
      </c>
    </row>
    <row r="17">
      <c r="A17" s="2" t="s">
        <v>19</v>
      </c>
      <c r="B17" s="3">
        <f>IFERROR(__xludf.DUMMYFUNCTION("""COMPUTED_VALUE"""),37736.645833333336)</f>
        <v>37736.64583</v>
      </c>
      <c r="C17" s="2">
        <f>IFERROR(__xludf.DUMMYFUNCTION("""COMPUTED_VALUE"""),244.0)</f>
        <v>244</v>
      </c>
    </row>
    <row r="18">
      <c r="B18" s="3">
        <f>IFERROR(__xludf.DUMMYFUNCTION("""COMPUTED_VALUE"""),37743.645833333336)</f>
        <v>37743.64583</v>
      </c>
      <c r="C18" s="2">
        <f>IFERROR(__xludf.DUMMYFUNCTION("""COMPUTED_VALUE"""),250.0)</f>
        <v>250</v>
      </c>
    </row>
    <row r="19">
      <c r="B19" s="3">
        <f>IFERROR(__xludf.DUMMYFUNCTION("""COMPUTED_VALUE"""),37750.645833333336)</f>
        <v>37750.64583</v>
      </c>
      <c r="C19" s="2">
        <f>IFERROR(__xludf.DUMMYFUNCTION("""COMPUTED_VALUE"""),245.5)</f>
        <v>245.5</v>
      </c>
    </row>
    <row r="20">
      <c r="B20" s="3">
        <f>IFERROR(__xludf.DUMMYFUNCTION("""COMPUTED_VALUE"""),37757.645833333336)</f>
        <v>37757.64583</v>
      </c>
      <c r="C20" s="2">
        <f>IFERROR(__xludf.DUMMYFUNCTION("""COMPUTED_VALUE"""),243.48)</f>
        <v>243.48</v>
      </c>
    </row>
    <row r="21" ht="15.75" customHeight="1">
      <c r="B21" s="3">
        <f>IFERROR(__xludf.DUMMYFUNCTION("""COMPUTED_VALUE"""),37764.645833333336)</f>
        <v>37764.64583</v>
      </c>
      <c r="C21" s="2">
        <f>IFERROR(__xludf.DUMMYFUNCTION("""COMPUTED_VALUE"""),246.4)</f>
        <v>246.4</v>
      </c>
    </row>
    <row r="22" ht="15.75" customHeight="1">
      <c r="B22" s="3">
        <f>IFERROR(__xludf.DUMMYFUNCTION("""COMPUTED_VALUE"""),37771.645833333336)</f>
        <v>37771.64583</v>
      </c>
      <c r="C22" s="2">
        <f>IFERROR(__xludf.DUMMYFUNCTION("""COMPUTED_VALUE"""),257.25)</f>
        <v>257.25</v>
      </c>
    </row>
    <row r="23" ht="15.75" customHeight="1">
      <c r="B23" s="3">
        <f>IFERROR(__xludf.DUMMYFUNCTION("""COMPUTED_VALUE"""),37778.645833333336)</f>
        <v>37778.64583</v>
      </c>
      <c r="C23" s="2">
        <f>IFERROR(__xludf.DUMMYFUNCTION("""COMPUTED_VALUE"""),257.95)</f>
        <v>257.95</v>
      </c>
    </row>
    <row r="24" ht="15.75" customHeight="1">
      <c r="B24" s="3">
        <f>IFERROR(__xludf.DUMMYFUNCTION("""COMPUTED_VALUE"""),37785.645833333336)</f>
        <v>37785.64583</v>
      </c>
      <c r="C24" s="2">
        <f>IFERROR(__xludf.DUMMYFUNCTION("""COMPUTED_VALUE"""),274.98)</f>
        <v>274.98</v>
      </c>
    </row>
    <row r="25" ht="15.75" customHeight="1">
      <c r="B25" s="3">
        <f>IFERROR(__xludf.DUMMYFUNCTION("""COMPUTED_VALUE"""),37792.645833333336)</f>
        <v>37792.64583</v>
      </c>
      <c r="C25" s="2">
        <f>IFERROR(__xludf.DUMMYFUNCTION("""COMPUTED_VALUE"""),284.7)</f>
        <v>284.7</v>
      </c>
    </row>
    <row r="26" ht="15.75" customHeight="1">
      <c r="B26" s="3">
        <f>IFERROR(__xludf.DUMMYFUNCTION("""COMPUTED_VALUE"""),37799.645833333336)</f>
        <v>37799.64583</v>
      </c>
      <c r="C26" s="2">
        <f>IFERROR(__xludf.DUMMYFUNCTION("""COMPUTED_VALUE"""),310.05)</f>
        <v>310.05</v>
      </c>
    </row>
    <row r="27" ht="15.75" customHeight="1">
      <c r="B27" s="3">
        <f>IFERROR(__xludf.DUMMYFUNCTION("""COMPUTED_VALUE"""),37806.645833333336)</f>
        <v>37806.64583</v>
      </c>
      <c r="C27" s="2">
        <f>IFERROR(__xludf.DUMMYFUNCTION("""COMPUTED_VALUE"""),295.0)</f>
        <v>295</v>
      </c>
    </row>
    <row r="28" ht="15.75" customHeight="1">
      <c r="B28" s="3">
        <f>IFERROR(__xludf.DUMMYFUNCTION("""COMPUTED_VALUE"""),37813.645833333336)</f>
        <v>37813.64583</v>
      </c>
      <c r="C28" s="2">
        <f>IFERROR(__xludf.DUMMYFUNCTION("""COMPUTED_VALUE"""),289.9)</f>
        <v>289.9</v>
      </c>
    </row>
    <row r="29" ht="15.75" customHeight="1">
      <c r="B29" s="3">
        <f>IFERROR(__xludf.DUMMYFUNCTION("""COMPUTED_VALUE"""),37820.645833333336)</f>
        <v>37820.64583</v>
      </c>
      <c r="C29" s="2">
        <f>IFERROR(__xludf.DUMMYFUNCTION("""COMPUTED_VALUE"""),291.0)</f>
        <v>291</v>
      </c>
    </row>
    <row r="30" ht="15.75" customHeight="1">
      <c r="B30" s="3">
        <f>IFERROR(__xludf.DUMMYFUNCTION("""COMPUTED_VALUE"""),37827.645833333336)</f>
        <v>37827.64583</v>
      </c>
      <c r="C30" s="2">
        <f>IFERROR(__xludf.DUMMYFUNCTION("""COMPUTED_VALUE"""),289.9)</f>
        <v>289.9</v>
      </c>
    </row>
    <row r="31" ht="15.75" customHeight="1">
      <c r="B31" s="3">
        <f>IFERROR(__xludf.DUMMYFUNCTION("""COMPUTED_VALUE"""),37834.645833333336)</f>
        <v>37834.64583</v>
      </c>
      <c r="C31" s="2">
        <f>IFERROR(__xludf.DUMMYFUNCTION("""COMPUTED_VALUE"""),326.5)</f>
        <v>326.5</v>
      </c>
    </row>
    <row r="32" ht="15.75" customHeight="1">
      <c r="B32" s="3">
        <f>IFERROR(__xludf.DUMMYFUNCTION("""COMPUTED_VALUE"""),37841.645833333336)</f>
        <v>37841.64583</v>
      </c>
      <c r="C32" s="2">
        <f>IFERROR(__xludf.DUMMYFUNCTION("""COMPUTED_VALUE"""),334.45)</f>
        <v>334.45</v>
      </c>
    </row>
    <row r="33" ht="15.75" customHeight="1">
      <c r="B33" s="3">
        <f>IFERROR(__xludf.DUMMYFUNCTION("""COMPUTED_VALUE"""),37847.645833333336)</f>
        <v>37847.64583</v>
      </c>
      <c r="C33" s="2">
        <f>IFERROR(__xludf.DUMMYFUNCTION("""COMPUTED_VALUE"""),342.5)</f>
        <v>342.5</v>
      </c>
    </row>
    <row r="34" ht="15.75" customHeight="1">
      <c r="B34" s="3">
        <f>IFERROR(__xludf.DUMMYFUNCTION("""COMPUTED_VALUE"""),37855.645833333336)</f>
        <v>37855.64583</v>
      </c>
      <c r="C34" s="2">
        <f>IFERROR(__xludf.DUMMYFUNCTION("""COMPUTED_VALUE"""),362.5)</f>
        <v>362.5</v>
      </c>
    </row>
    <row r="35" ht="15.75" customHeight="1">
      <c r="B35" s="3">
        <f>IFERROR(__xludf.DUMMYFUNCTION("""COMPUTED_VALUE"""),37862.645833333336)</f>
        <v>37862.64583</v>
      </c>
      <c r="C35" s="2">
        <f>IFERROR(__xludf.DUMMYFUNCTION("""COMPUTED_VALUE"""),367.5)</f>
        <v>367.5</v>
      </c>
    </row>
    <row r="36" ht="15.75" customHeight="1">
      <c r="B36" s="3">
        <f>IFERROR(__xludf.DUMMYFUNCTION("""COMPUTED_VALUE"""),37869.645833333336)</f>
        <v>37869.64583</v>
      </c>
      <c r="C36" s="2">
        <f>IFERROR(__xludf.DUMMYFUNCTION("""COMPUTED_VALUE"""),374.0)</f>
        <v>374</v>
      </c>
    </row>
    <row r="37" ht="15.75" customHeight="1">
      <c r="B37" s="3">
        <f>IFERROR(__xludf.DUMMYFUNCTION("""COMPUTED_VALUE"""),37876.645833333336)</f>
        <v>37876.64583</v>
      </c>
      <c r="C37" s="2">
        <f>IFERROR(__xludf.DUMMYFUNCTION("""COMPUTED_VALUE"""),366.95)</f>
        <v>366.95</v>
      </c>
    </row>
    <row r="38" ht="15.75" customHeight="1">
      <c r="B38" s="3">
        <f>IFERROR(__xludf.DUMMYFUNCTION("""COMPUTED_VALUE"""),37883.645833333336)</f>
        <v>37883.64583</v>
      </c>
      <c r="C38" s="2">
        <f>IFERROR(__xludf.DUMMYFUNCTION("""COMPUTED_VALUE"""),373.0)</f>
        <v>373</v>
      </c>
    </row>
    <row r="39" ht="15.75" customHeight="1">
      <c r="B39" s="3">
        <f>IFERROR(__xludf.DUMMYFUNCTION("""COMPUTED_VALUE"""),37890.645833333336)</f>
        <v>37890.64583</v>
      </c>
      <c r="C39" s="2">
        <f>IFERROR(__xludf.DUMMYFUNCTION("""COMPUTED_VALUE"""),403.45)</f>
        <v>403.45</v>
      </c>
    </row>
    <row r="40" ht="15.75" customHeight="1">
      <c r="B40" s="3">
        <f>IFERROR(__xludf.DUMMYFUNCTION("""COMPUTED_VALUE"""),37897.645833333336)</f>
        <v>37897.64583</v>
      </c>
      <c r="C40" s="2">
        <f>IFERROR(__xludf.DUMMYFUNCTION("""COMPUTED_VALUE"""),425.58)</f>
        <v>425.58</v>
      </c>
    </row>
    <row r="41" ht="15.75" customHeight="1">
      <c r="B41" s="3">
        <f>IFERROR(__xludf.DUMMYFUNCTION("""COMPUTED_VALUE"""),37904.645833333336)</f>
        <v>37904.64583</v>
      </c>
      <c r="C41" s="2">
        <f>IFERROR(__xludf.DUMMYFUNCTION("""COMPUTED_VALUE"""),440.0)</f>
        <v>440</v>
      </c>
    </row>
    <row r="42" ht="15.75" customHeight="1">
      <c r="B42" s="3">
        <f>IFERROR(__xludf.DUMMYFUNCTION("""COMPUTED_VALUE"""),37911.645833333336)</f>
        <v>37911.64583</v>
      </c>
      <c r="C42" s="2">
        <f>IFERROR(__xludf.DUMMYFUNCTION("""COMPUTED_VALUE"""),448.98)</f>
        <v>448.98</v>
      </c>
    </row>
    <row r="43" ht="15.75" customHeight="1">
      <c r="B43" s="3">
        <f>IFERROR(__xludf.DUMMYFUNCTION("""COMPUTED_VALUE"""),37925.645833333336)</f>
        <v>37925.64583</v>
      </c>
      <c r="C43" s="2">
        <f>IFERROR(__xludf.DUMMYFUNCTION("""COMPUTED_VALUE"""),462.0)</f>
        <v>462</v>
      </c>
    </row>
    <row r="44" ht="15.75" customHeight="1">
      <c r="B44" s="3">
        <f>IFERROR(__xludf.DUMMYFUNCTION("""COMPUTED_VALUE"""),37932.645833333336)</f>
        <v>37932.64583</v>
      </c>
      <c r="C44" s="2">
        <f>IFERROR(__xludf.DUMMYFUNCTION("""COMPUTED_VALUE"""),481.45)</f>
        <v>481.45</v>
      </c>
    </row>
    <row r="45" ht="15.75" customHeight="1">
      <c r="B45" s="3">
        <f>IFERROR(__xludf.DUMMYFUNCTION("""COMPUTED_VALUE"""),37946.645833333336)</f>
        <v>37946.64583</v>
      </c>
      <c r="C45" s="2">
        <f>IFERROR(__xludf.DUMMYFUNCTION("""COMPUTED_VALUE"""),474.5)</f>
        <v>474.5</v>
      </c>
    </row>
    <row r="46" ht="15.75" customHeight="1">
      <c r="B46" s="3">
        <f>IFERROR(__xludf.DUMMYFUNCTION("""COMPUTED_VALUE"""),37953.645833333336)</f>
        <v>37953.64583</v>
      </c>
      <c r="C46" s="2">
        <f>IFERROR(__xludf.DUMMYFUNCTION("""COMPUTED_VALUE"""),496.0)</f>
        <v>496</v>
      </c>
    </row>
    <row r="47" ht="15.75" customHeight="1">
      <c r="B47" s="3">
        <f>IFERROR(__xludf.DUMMYFUNCTION("""COMPUTED_VALUE"""),37960.645833333336)</f>
        <v>37960.64583</v>
      </c>
      <c r="C47" s="2">
        <f>IFERROR(__xludf.DUMMYFUNCTION("""COMPUTED_VALUE"""),510.5)</f>
        <v>510.5</v>
      </c>
    </row>
    <row r="48" ht="15.75" customHeight="1">
      <c r="B48" s="3">
        <f>IFERROR(__xludf.DUMMYFUNCTION("""COMPUTED_VALUE"""),37967.645833333336)</f>
        <v>37967.64583</v>
      </c>
      <c r="C48" s="2">
        <f>IFERROR(__xludf.DUMMYFUNCTION("""COMPUTED_VALUE"""),525.0)</f>
        <v>525</v>
      </c>
    </row>
    <row r="49" ht="15.75" customHeight="1">
      <c r="B49" s="3">
        <f>IFERROR(__xludf.DUMMYFUNCTION("""COMPUTED_VALUE"""),37974.645833333336)</f>
        <v>37974.64583</v>
      </c>
      <c r="C49" s="2">
        <f>IFERROR(__xludf.DUMMYFUNCTION("""COMPUTED_VALUE"""),562.5)</f>
        <v>562.5</v>
      </c>
    </row>
    <row r="50" ht="15.75" customHeight="1">
      <c r="B50" s="3">
        <f>IFERROR(__xludf.DUMMYFUNCTION("""COMPUTED_VALUE"""),37981.645833333336)</f>
        <v>37981.64583</v>
      </c>
      <c r="C50" s="2">
        <f>IFERROR(__xludf.DUMMYFUNCTION("""COMPUTED_VALUE"""),592.0)</f>
        <v>592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2" t="str">
        <f>IFERROR(__xludf.DUMMYFUNCTION("GOOGLEFINANCE(""NSE:BAJAJ-AUTO"", ""high"",DATE(2004,1,1),DATE(2005,1,1),""weekly"")"),"Date")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IFERROR(__xludf.DUMMYFUNCTION("""COMPUTED_VALUE"""),37988.645833333336)</f>
        <v>37988.64583</v>
      </c>
      <c r="C57" s="2">
        <f>IFERROR(__xludf.DUMMYFUNCTION("""COMPUTED_VALUE"""),605.15)</f>
        <v>605.15</v>
      </c>
    </row>
    <row r="58" ht="15.75" customHeight="1">
      <c r="B58" s="3">
        <f>IFERROR(__xludf.DUMMYFUNCTION("""COMPUTED_VALUE"""),37995.645833333336)</f>
        <v>37995.64583</v>
      </c>
      <c r="C58" s="2">
        <f>IFERROR(__xludf.DUMMYFUNCTION("""COMPUTED_VALUE"""),574.35)</f>
        <v>574.35</v>
      </c>
    </row>
    <row r="59" ht="15.75" customHeight="1">
      <c r="B59" s="3">
        <f>IFERROR(__xludf.DUMMYFUNCTION("""COMPUTED_VALUE"""),38002.645833333336)</f>
        <v>38002.64583</v>
      </c>
      <c r="C59" s="2">
        <f>IFERROR(__xludf.DUMMYFUNCTION("""COMPUTED_VALUE"""),562.5)</f>
        <v>562.5</v>
      </c>
    </row>
    <row r="60" ht="15.75" customHeight="1">
      <c r="B60" s="3">
        <f>IFERROR(__xludf.DUMMYFUNCTION("""COMPUTED_VALUE"""),38009.645833333336)</f>
        <v>38009.64583</v>
      </c>
      <c r="C60" s="2">
        <f>IFERROR(__xludf.DUMMYFUNCTION("""COMPUTED_VALUE"""),549.0)</f>
        <v>549</v>
      </c>
    </row>
    <row r="61" ht="15.75" customHeight="1">
      <c r="B61" s="3">
        <f>IFERROR(__xludf.DUMMYFUNCTION("""COMPUTED_VALUE"""),38016.645833333336)</f>
        <v>38016.64583</v>
      </c>
      <c r="C61" s="2">
        <f>IFERROR(__xludf.DUMMYFUNCTION("""COMPUTED_VALUE"""),519.0)</f>
        <v>519</v>
      </c>
    </row>
    <row r="62" ht="15.75" customHeight="1">
      <c r="B62" s="3">
        <f>IFERROR(__xludf.DUMMYFUNCTION("""COMPUTED_VALUE"""),38023.645833333336)</f>
        <v>38023.64583</v>
      </c>
      <c r="C62" s="2">
        <f>IFERROR(__xludf.DUMMYFUNCTION("""COMPUTED_VALUE"""),535.0)</f>
        <v>535</v>
      </c>
    </row>
    <row r="63" ht="15.75" customHeight="1">
      <c r="B63" s="3">
        <f>IFERROR(__xludf.DUMMYFUNCTION("""COMPUTED_VALUE"""),38030.645833333336)</f>
        <v>38030.64583</v>
      </c>
      <c r="C63" s="2">
        <f>IFERROR(__xludf.DUMMYFUNCTION("""COMPUTED_VALUE"""),522.5)</f>
        <v>522.5</v>
      </c>
    </row>
    <row r="64" ht="15.75" customHeight="1">
      <c r="B64" s="3">
        <f>IFERROR(__xludf.DUMMYFUNCTION("""COMPUTED_VALUE"""),38037.645833333336)</f>
        <v>38037.64583</v>
      </c>
      <c r="C64" s="2">
        <f>IFERROR(__xludf.DUMMYFUNCTION("""COMPUTED_VALUE"""),517.28)</f>
        <v>517.28</v>
      </c>
    </row>
    <row r="65" ht="15.75" customHeight="1">
      <c r="B65" s="3">
        <f>IFERROR(__xludf.DUMMYFUNCTION("""COMPUTED_VALUE"""),38044.645833333336)</f>
        <v>38044.64583</v>
      </c>
      <c r="C65" s="2">
        <f>IFERROR(__xludf.DUMMYFUNCTION("""COMPUTED_VALUE"""),486.03)</f>
        <v>486.03</v>
      </c>
    </row>
    <row r="66" ht="15.75" customHeight="1">
      <c r="B66" s="3">
        <f>IFERROR(__xludf.DUMMYFUNCTION("""COMPUTED_VALUE"""),38051.645833333336)</f>
        <v>38051.64583</v>
      </c>
      <c r="C66" s="2">
        <f>IFERROR(__xludf.DUMMYFUNCTION("""COMPUTED_VALUE"""),493.0)</f>
        <v>493</v>
      </c>
    </row>
    <row r="67" ht="15.75" customHeight="1">
      <c r="B67" s="3">
        <f>IFERROR(__xludf.DUMMYFUNCTION("""COMPUTED_VALUE"""),38058.645833333336)</f>
        <v>38058.64583</v>
      </c>
      <c r="C67" s="2">
        <f>IFERROR(__xludf.DUMMYFUNCTION("""COMPUTED_VALUE"""),466.0)</f>
        <v>466</v>
      </c>
    </row>
    <row r="68" ht="15.75" customHeight="1">
      <c r="B68" s="3">
        <f>IFERROR(__xludf.DUMMYFUNCTION("""COMPUTED_VALUE"""),38065.645833333336)</f>
        <v>38065.64583</v>
      </c>
      <c r="C68" s="2">
        <f>IFERROR(__xludf.DUMMYFUNCTION("""COMPUTED_VALUE"""),439.5)</f>
        <v>439.5</v>
      </c>
    </row>
    <row r="69" ht="15.75" customHeight="1">
      <c r="B69" s="3">
        <f>IFERROR(__xludf.DUMMYFUNCTION("""COMPUTED_VALUE"""),38072.645833333336)</f>
        <v>38072.64583</v>
      </c>
      <c r="C69" s="2">
        <f>IFERROR(__xludf.DUMMYFUNCTION("""COMPUTED_VALUE"""),439.88)</f>
        <v>439.88</v>
      </c>
    </row>
    <row r="70" ht="15.75" customHeight="1">
      <c r="B70" s="3">
        <f>IFERROR(__xludf.DUMMYFUNCTION("""COMPUTED_VALUE"""),38079.645833333336)</f>
        <v>38079.64583</v>
      </c>
      <c r="C70" s="2">
        <f>IFERROR(__xludf.DUMMYFUNCTION("""COMPUTED_VALUE"""),464.35)</f>
        <v>464.35</v>
      </c>
    </row>
    <row r="71" ht="15.75" customHeight="1">
      <c r="B71" s="3">
        <f>IFERROR(__xludf.DUMMYFUNCTION("""COMPUTED_VALUE"""),38085.645833333336)</f>
        <v>38085.64583</v>
      </c>
      <c r="C71" s="2">
        <f>IFERROR(__xludf.DUMMYFUNCTION("""COMPUTED_VALUE"""),475.0)</f>
        <v>475</v>
      </c>
    </row>
    <row r="72" ht="15.75" customHeight="1">
      <c r="B72" s="3">
        <f>IFERROR(__xludf.DUMMYFUNCTION("""COMPUTED_VALUE"""),38100.645833333336)</f>
        <v>38100.64583</v>
      </c>
      <c r="C72" s="2">
        <f>IFERROR(__xludf.DUMMYFUNCTION("""COMPUTED_VALUE"""),483.95)</f>
        <v>483.95</v>
      </c>
    </row>
    <row r="73" ht="15.75" customHeight="1">
      <c r="B73" s="3">
        <f>IFERROR(__xludf.DUMMYFUNCTION("""COMPUTED_VALUE"""),38107.645833333336)</f>
        <v>38107.64583</v>
      </c>
      <c r="C73" s="2">
        <f>IFERROR(__xludf.DUMMYFUNCTION("""COMPUTED_VALUE"""),474.95)</f>
        <v>474.95</v>
      </c>
    </row>
    <row r="74" ht="15.75" customHeight="1">
      <c r="B74" s="3">
        <f>IFERROR(__xludf.DUMMYFUNCTION("""COMPUTED_VALUE"""),38114.645833333336)</f>
        <v>38114.64583</v>
      </c>
      <c r="C74" s="2">
        <f>IFERROR(__xludf.DUMMYFUNCTION("""COMPUTED_VALUE"""),475.0)</f>
        <v>475</v>
      </c>
    </row>
    <row r="75" ht="15.75" customHeight="1">
      <c r="B75" s="3">
        <f>IFERROR(__xludf.DUMMYFUNCTION("""COMPUTED_VALUE"""),38121.645833333336)</f>
        <v>38121.64583</v>
      </c>
      <c r="C75" s="2">
        <f>IFERROR(__xludf.DUMMYFUNCTION("""COMPUTED_VALUE"""),475.05)</f>
        <v>475.05</v>
      </c>
    </row>
    <row r="76" ht="15.75" customHeight="1">
      <c r="B76" s="3">
        <f>IFERROR(__xludf.DUMMYFUNCTION("""COMPUTED_VALUE"""),38128.645833333336)</f>
        <v>38128.64583</v>
      </c>
      <c r="C76" s="2">
        <f>IFERROR(__xludf.DUMMYFUNCTION("""COMPUTED_VALUE"""),480.0)</f>
        <v>480</v>
      </c>
    </row>
    <row r="77" ht="15.75" customHeight="1">
      <c r="B77" s="3">
        <f>IFERROR(__xludf.DUMMYFUNCTION("""COMPUTED_VALUE"""),38135.645833333336)</f>
        <v>38135.64583</v>
      </c>
      <c r="C77" s="2">
        <f>IFERROR(__xludf.DUMMYFUNCTION("""COMPUTED_VALUE"""),449.98)</f>
        <v>449.98</v>
      </c>
    </row>
    <row r="78" ht="15.75" customHeight="1">
      <c r="B78" s="3">
        <f>IFERROR(__xludf.DUMMYFUNCTION("""COMPUTED_VALUE"""),38142.645833333336)</f>
        <v>38142.64583</v>
      </c>
      <c r="C78" s="2">
        <f>IFERROR(__xludf.DUMMYFUNCTION("""COMPUTED_VALUE"""),458.4)</f>
        <v>458.4</v>
      </c>
    </row>
    <row r="79" ht="15.75" customHeight="1">
      <c r="B79" s="3">
        <f>IFERROR(__xludf.DUMMYFUNCTION("""COMPUTED_VALUE"""),38149.645833333336)</f>
        <v>38149.64583</v>
      </c>
      <c r="C79" s="2">
        <f>IFERROR(__xludf.DUMMYFUNCTION("""COMPUTED_VALUE"""),451.0)</f>
        <v>451</v>
      </c>
    </row>
    <row r="80" ht="15.75" customHeight="1">
      <c r="B80" s="3">
        <f>IFERROR(__xludf.DUMMYFUNCTION("""COMPUTED_VALUE"""),38156.645833333336)</f>
        <v>38156.64583</v>
      </c>
      <c r="C80" s="2">
        <f>IFERROR(__xludf.DUMMYFUNCTION("""COMPUTED_VALUE"""),454.4)</f>
        <v>454.4</v>
      </c>
    </row>
    <row r="81" ht="15.75" customHeight="1">
      <c r="B81" s="3">
        <f>IFERROR(__xludf.DUMMYFUNCTION("""COMPUTED_VALUE"""),38163.645833333336)</f>
        <v>38163.64583</v>
      </c>
      <c r="C81" s="2">
        <f>IFERROR(__xludf.DUMMYFUNCTION("""COMPUTED_VALUE"""),462.0)</f>
        <v>462</v>
      </c>
    </row>
    <row r="82" ht="15.75" customHeight="1">
      <c r="B82" s="3">
        <f>IFERROR(__xludf.DUMMYFUNCTION("""COMPUTED_VALUE"""),38170.645833333336)</f>
        <v>38170.64583</v>
      </c>
      <c r="C82" s="2">
        <f>IFERROR(__xludf.DUMMYFUNCTION("""COMPUTED_VALUE"""),458.5)</f>
        <v>458.5</v>
      </c>
    </row>
    <row r="83" ht="15.75" customHeight="1">
      <c r="B83" s="3">
        <f>IFERROR(__xludf.DUMMYFUNCTION("""COMPUTED_VALUE"""),38177.645833333336)</f>
        <v>38177.64583</v>
      </c>
      <c r="C83" s="2">
        <f>IFERROR(__xludf.DUMMYFUNCTION("""COMPUTED_VALUE"""),460.0)</f>
        <v>460</v>
      </c>
    </row>
    <row r="84" ht="15.75" customHeight="1">
      <c r="B84" s="3">
        <f>IFERROR(__xludf.DUMMYFUNCTION("""COMPUTED_VALUE"""),38184.645833333336)</f>
        <v>38184.64583</v>
      </c>
      <c r="C84" s="2">
        <f>IFERROR(__xludf.DUMMYFUNCTION("""COMPUTED_VALUE"""),459.0)</f>
        <v>459</v>
      </c>
    </row>
    <row r="85" ht="15.75" customHeight="1">
      <c r="B85" s="3">
        <f>IFERROR(__xludf.DUMMYFUNCTION("""COMPUTED_VALUE"""),38191.645833333336)</f>
        <v>38191.64583</v>
      </c>
      <c r="C85" s="2">
        <f>IFERROR(__xludf.DUMMYFUNCTION("""COMPUTED_VALUE"""),429.85)</f>
        <v>429.85</v>
      </c>
    </row>
    <row r="86" ht="15.75" customHeight="1">
      <c r="B86" s="3">
        <f>IFERROR(__xludf.DUMMYFUNCTION("""COMPUTED_VALUE"""),38198.645833333336)</f>
        <v>38198.64583</v>
      </c>
      <c r="C86" s="2">
        <f>IFERROR(__xludf.DUMMYFUNCTION("""COMPUTED_VALUE"""),424.0)</f>
        <v>424</v>
      </c>
    </row>
    <row r="87" ht="15.75" customHeight="1">
      <c r="B87" s="3">
        <f>IFERROR(__xludf.DUMMYFUNCTION("""COMPUTED_VALUE"""),38205.645833333336)</f>
        <v>38205.64583</v>
      </c>
      <c r="C87" s="2">
        <f>IFERROR(__xludf.DUMMYFUNCTION("""COMPUTED_VALUE"""),432.5)</f>
        <v>432.5</v>
      </c>
    </row>
    <row r="88" ht="15.75" customHeight="1">
      <c r="B88" s="3">
        <f>IFERROR(__xludf.DUMMYFUNCTION("""COMPUTED_VALUE"""),38212.645833333336)</f>
        <v>38212.64583</v>
      </c>
      <c r="C88" s="2">
        <f>IFERROR(__xludf.DUMMYFUNCTION("""COMPUTED_VALUE"""),450.0)</f>
        <v>450</v>
      </c>
    </row>
    <row r="89" ht="15.75" customHeight="1">
      <c r="B89" s="3">
        <f>IFERROR(__xludf.DUMMYFUNCTION("""COMPUTED_VALUE"""),38219.645833333336)</f>
        <v>38219.64583</v>
      </c>
      <c r="C89" s="2">
        <f>IFERROR(__xludf.DUMMYFUNCTION("""COMPUTED_VALUE"""),449.5)</f>
        <v>449.5</v>
      </c>
    </row>
    <row r="90" ht="15.75" customHeight="1">
      <c r="B90" s="3">
        <f>IFERROR(__xludf.DUMMYFUNCTION("""COMPUTED_VALUE"""),38226.645833333336)</f>
        <v>38226.64583</v>
      </c>
      <c r="C90" s="2">
        <f>IFERROR(__xludf.DUMMYFUNCTION("""COMPUTED_VALUE"""),455.0)</f>
        <v>455</v>
      </c>
    </row>
    <row r="91" ht="15.75" customHeight="1">
      <c r="B91" s="3">
        <f>IFERROR(__xludf.DUMMYFUNCTION("""COMPUTED_VALUE"""),38233.645833333336)</f>
        <v>38233.64583</v>
      </c>
      <c r="C91" s="2">
        <f>IFERROR(__xludf.DUMMYFUNCTION("""COMPUTED_VALUE"""),474.5)</f>
        <v>474.5</v>
      </c>
    </row>
    <row r="92" ht="15.75" customHeight="1">
      <c r="B92" s="3">
        <f>IFERROR(__xludf.DUMMYFUNCTION("""COMPUTED_VALUE"""),38240.645833333336)</f>
        <v>38240.64583</v>
      </c>
      <c r="C92" s="2">
        <f>IFERROR(__xludf.DUMMYFUNCTION("""COMPUTED_VALUE"""),468.0)</f>
        <v>468</v>
      </c>
    </row>
    <row r="93" ht="15.75" customHeight="1">
      <c r="B93" s="3">
        <f>IFERROR(__xludf.DUMMYFUNCTION("""COMPUTED_VALUE"""),38247.645833333336)</f>
        <v>38247.64583</v>
      </c>
      <c r="C93" s="2">
        <f>IFERROR(__xludf.DUMMYFUNCTION("""COMPUTED_VALUE"""),472.4)</f>
        <v>472.4</v>
      </c>
    </row>
    <row r="94" ht="15.75" customHeight="1">
      <c r="B94" s="3">
        <f>IFERROR(__xludf.DUMMYFUNCTION("""COMPUTED_VALUE"""),38254.645833333336)</f>
        <v>38254.64583</v>
      </c>
      <c r="C94" s="2">
        <f>IFERROR(__xludf.DUMMYFUNCTION("""COMPUTED_VALUE"""),498.5)</f>
        <v>498.5</v>
      </c>
    </row>
    <row r="95" ht="15.75" customHeight="1">
      <c r="B95" s="3">
        <f>IFERROR(__xludf.DUMMYFUNCTION("""COMPUTED_VALUE"""),38261.645833333336)</f>
        <v>38261.64583</v>
      </c>
      <c r="C95" s="2">
        <f>IFERROR(__xludf.DUMMYFUNCTION("""COMPUTED_VALUE"""),522.5)</f>
        <v>522.5</v>
      </c>
    </row>
    <row r="96" ht="15.75" customHeight="1">
      <c r="B96" s="3">
        <f>IFERROR(__xludf.DUMMYFUNCTION("""COMPUTED_VALUE"""),38275.645833333336)</f>
        <v>38275.64583</v>
      </c>
      <c r="C96" s="2">
        <f>IFERROR(__xludf.DUMMYFUNCTION("""COMPUTED_VALUE"""),515.0)</f>
        <v>515</v>
      </c>
    </row>
    <row r="97" ht="15.75" customHeight="1">
      <c r="B97" s="3">
        <f>IFERROR(__xludf.DUMMYFUNCTION("""COMPUTED_VALUE"""),38281.645833333336)</f>
        <v>38281.64583</v>
      </c>
      <c r="C97" s="2">
        <f>IFERROR(__xludf.DUMMYFUNCTION("""COMPUTED_VALUE"""),507.4)</f>
        <v>507.4</v>
      </c>
    </row>
    <row r="98" ht="15.75" customHeight="1">
      <c r="B98" s="3">
        <f>IFERROR(__xludf.DUMMYFUNCTION("""COMPUTED_VALUE"""),38289.645833333336)</f>
        <v>38289.64583</v>
      </c>
      <c r="C98" s="2">
        <f>IFERROR(__xludf.DUMMYFUNCTION("""COMPUTED_VALUE"""),488.85)</f>
        <v>488.85</v>
      </c>
    </row>
    <row r="99" ht="15.75" customHeight="1">
      <c r="B99" s="3">
        <f>IFERROR(__xludf.DUMMYFUNCTION("""COMPUTED_VALUE"""),38296.645833333336)</f>
        <v>38296.64583</v>
      </c>
      <c r="C99" s="2">
        <f>IFERROR(__xludf.DUMMYFUNCTION("""COMPUTED_VALUE"""),497.5)</f>
        <v>497.5</v>
      </c>
    </row>
    <row r="100" ht="15.75" customHeight="1">
      <c r="B100" s="3">
        <f>IFERROR(__xludf.DUMMYFUNCTION("""COMPUTED_VALUE"""),38303.645833333336)</f>
        <v>38303.64583</v>
      </c>
      <c r="C100" s="2">
        <f>IFERROR(__xludf.DUMMYFUNCTION("""COMPUTED_VALUE"""),500.0)</f>
        <v>500</v>
      </c>
    </row>
    <row r="101" ht="15.75" customHeight="1">
      <c r="B101" s="3">
        <f>IFERROR(__xludf.DUMMYFUNCTION("""COMPUTED_VALUE"""),38310.645833333336)</f>
        <v>38310.64583</v>
      </c>
      <c r="C101" s="2">
        <f>IFERROR(__xludf.DUMMYFUNCTION("""COMPUTED_VALUE"""),517.4)</f>
        <v>517.4</v>
      </c>
    </row>
    <row r="102" ht="15.75" customHeight="1">
      <c r="B102" s="3">
        <f>IFERROR(__xludf.DUMMYFUNCTION("""COMPUTED_VALUE"""),38316.645833333336)</f>
        <v>38316.64583</v>
      </c>
      <c r="C102" s="2">
        <f>IFERROR(__xludf.DUMMYFUNCTION("""COMPUTED_VALUE"""),507.4)</f>
        <v>507.4</v>
      </c>
    </row>
    <row r="103" ht="15.75" customHeight="1">
      <c r="B103" s="3">
        <f>IFERROR(__xludf.DUMMYFUNCTION("""COMPUTED_VALUE"""),38324.645833333336)</f>
        <v>38324.64583</v>
      </c>
      <c r="C103" s="2">
        <f>IFERROR(__xludf.DUMMYFUNCTION("""COMPUTED_VALUE"""),531.9)</f>
        <v>531.9</v>
      </c>
    </row>
    <row r="104" ht="15.75" customHeight="1">
      <c r="B104" s="3">
        <f>IFERROR(__xludf.DUMMYFUNCTION("""COMPUTED_VALUE"""),38331.645833333336)</f>
        <v>38331.64583</v>
      </c>
      <c r="C104" s="2">
        <f>IFERROR(__xludf.DUMMYFUNCTION("""COMPUTED_VALUE"""),530.0)</f>
        <v>530</v>
      </c>
    </row>
    <row r="105" ht="15.75" customHeight="1">
      <c r="B105" s="3">
        <f>IFERROR(__xludf.DUMMYFUNCTION("""COMPUTED_VALUE"""),38338.645833333336)</f>
        <v>38338.64583</v>
      </c>
      <c r="C105" s="2">
        <f>IFERROR(__xludf.DUMMYFUNCTION("""COMPUTED_VALUE"""),545.85)</f>
        <v>545.85</v>
      </c>
    </row>
    <row r="106" ht="15.75" customHeight="1">
      <c r="B106" s="3">
        <f>IFERROR(__xludf.DUMMYFUNCTION("""COMPUTED_VALUE"""),38345.645833333336)</f>
        <v>38345.64583</v>
      </c>
      <c r="C106" s="2">
        <f>IFERROR(__xludf.DUMMYFUNCTION("""COMPUTED_VALUE"""),571.0)</f>
        <v>571</v>
      </c>
    </row>
    <row r="107" ht="15.75" customHeight="1">
      <c r="B107" s="3">
        <f>IFERROR(__xludf.DUMMYFUNCTION("""COMPUTED_VALUE"""),38352.645833333336)</f>
        <v>38352.64583</v>
      </c>
      <c r="C107" s="2">
        <f>IFERROR(__xludf.DUMMYFUNCTION("""COMPUTED_VALUE"""),580.0)</f>
        <v>580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IFERROR(__xludf.DUMMYFUNCTION("GOOGLEFINANCE(""NSE:BAJAJ-AUTO"", ""high"",DATE(2005,1,1),DATE(2006,1,1),""weekly"")"),"Date")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IFERROR(__xludf.DUMMYFUNCTION("""COMPUTED_VALUE"""),38359.645833333336)</f>
        <v>38359.64583</v>
      </c>
      <c r="C112" s="2">
        <f>IFERROR(__xludf.DUMMYFUNCTION("""COMPUTED_VALUE"""),579.9)</f>
        <v>579.9</v>
      </c>
    </row>
    <row r="113" ht="15.75" customHeight="1">
      <c r="B113" s="3">
        <f>IFERROR(__xludf.DUMMYFUNCTION("""COMPUTED_VALUE"""),38366.645833333336)</f>
        <v>38366.64583</v>
      </c>
      <c r="C113" s="2">
        <f>IFERROR(__xludf.DUMMYFUNCTION("""COMPUTED_VALUE"""),574.95)</f>
        <v>574.95</v>
      </c>
    </row>
    <row r="114" ht="15.75" customHeight="1">
      <c r="B114" s="3">
        <f>IFERROR(__xludf.DUMMYFUNCTION("""COMPUTED_VALUE"""),38372.645833333336)</f>
        <v>38372.64583</v>
      </c>
      <c r="C114" s="2">
        <f>IFERROR(__xludf.DUMMYFUNCTION("""COMPUTED_VALUE"""),550.0)</f>
        <v>550</v>
      </c>
    </row>
    <row r="115" ht="15.75" customHeight="1">
      <c r="B115" s="3">
        <f>IFERROR(__xludf.DUMMYFUNCTION("""COMPUTED_VALUE"""),38380.645833333336)</f>
        <v>38380.64583</v>
      </c>
      <c r="C115" s="2">
        <f>IFERROR(__xludf.DUMMYFUNCTION("""COMPUTED_VALUE"""),530.0)</f>
        <v>530</v>
      </c>
    </row>
    <row r="116" ht="15.75" customHeight="1">
      <c r="B116" s="3">
        <f>IFERROR(__xludf.DUMMYFUNCTION("""COMPUTED_VALUE"""),38387.645833333336)</f>
        <v>38387.64583</v>
      </c>
      <c r="C116" s="2">
        <f>IFERROR(__xludf.DUMMYFUNCTION("""COMPUTED_VALUE"""),542.0)</f>
        <v>542</v>
      </c>
    </row>
    <row r="117" ht="15.75" customHeight="1">
      <c r="B117" s="3">
        <f>IFERROR(__xludf.DUMMYFUNCTION("""COMPUTED_VALUE"""),38394.645833333336)</f>
        <v>38394.64583</v>
      </c>
      <c r="C117" s="2">
        <f>IFERROR(__xludf.DUMMYFUNCTION("""COMPUTED_VALUE"""),549.5)</f>
        <v>549.5</v>
      </c>
    </row>
    <row r="118" ht="15.75" customHeight="1">
      <c r="B118" s="3">
        <f>IFERROR(__xludf.DUMMYFUNCTION("""COMPUTED_VALUE"""),38401.645833333336)</f>
        <v>38401.64583</v>
      </c>
      <c r="C118" s="2">
        <f>IFERROR(__xludf.DUMMYFUNCTION("""COMPUTED_VALUE"""),553.0)</f>
        <v>553</v>
      </c>
    </row>
    <row r="119" ht="15.75" customHeight="1">
      <c r="B119" s="3">
        <f>IFERROR(__xludf.DUMMYFUNCTION("""COMPUTED_VALUE"""),38408.645833333336)</f>
        <v>38408.64583</v>
      </c>
      <c r="C119" s="2">
        <f>IFERROR(__xludf.DUMMYFUNCTION("""COMPUTED_VALUE"""),528.5)</f>
        <v>528.5</v>
      </c>
    </row>
    <row r="120" ht="15.75" customHeight="1">
      <c r="B120" s="3">
        <f>IFERROR(__xludf.DUMMYFUNCTION("""COMPUTED_VALUE"""),38415.645833333336)</f>
        <v>38415.64583</v>
      </c>
      <c r="C120" s="2">
        <f>IFERROR(__xludf.DUMMYFUNCTION("""COMPUTED_VALUE"""),554.5)</f>
        <v>554.5</v>
      </c>
    </row>
    <row r="121" ht="15.75" customHeight="1">
      <c r="B121" s="3">
        <f>IFERROR(__xludf.DUMMYFUNCTION("""COMPUTED_VALUE"""),38422.645833333336)</f>
        <v>38422.64583</v>
      </c>
      <c r="C121" s="2">
        <f>IFERROR(__xludf.DUMMYFUNCTION("""COMPUTED_VALUE"""),566.0)</f>
        <v>566</v>
      </c>
    </row>
    <row r="122" ht="15.75" customHeight="1">
      <c r="B122" s="3">
        <f>IFERROR(__xludf.DUMMYFUNCTION("""COMPUTED_VALUE"""),38429.645833333336)</f>
        <v>38429.64583</v>
      </c>
      <c r="C122" s="2">
        <f>IFERROR(__xludf.DUMMYFUNCTION("""COMPUTED_VALUE"""),561.75)</f>
        <v>561.75</v>
      </c>
    </row>
    <row r="123" ht="15.75" customHeight="1">
      <c r="B123" s="3">
        <f>IFERROR(__xludf.DUMMYFUNCTION("""COMPUTED_VALUE"""),38435.645833333336)</f>
        <v>38435.64583</v>
      </c>
      <c r="C123" s="2">
        <f>IFERROR(__xludf.DUMMYFUNCTION("""COMPUTED_VALUE"""),542.4)</f>
        <v>542.4</v>
      </c>
    </row>
    <row r="124" ht="15.75" customHeight="1">
      <c r="B124" s="3">
        <f>IFERROR(__xludf.DUMMYFUNCTION("""COMPUTED_VALUE"""),38443.645833333336)</f>
        <v>38443.64583</v>
      </c>
      <c r="C124" s="2">
        <f>IFERROR(__xludf.DUMMYFUNCTION("""COMPUTED_VALUE"""),549.0)</f>
        <v>549</v>
      </c>
    </row>
    <row r="125" ht="15.75" customHeight="1">
      <c r="B125" s="3">
        <f>IFERROR(__xludf.DUMMYFUNCTION("""COMPUTED_VALUE"""),38450.645833333336)</f>
        <v>38450.64583</v>
      </c>
      <c r="C125" s="2">
        <f>IFERROR(__xludf.DUMMYFUNCTION("""COMPUTED_VALUE"""),548.0)</f>
        <v>548</v>
      </c>
    </row>
    <row r="126" ht="15.75" customHeight="1">
      <c r="B126" s="3">
        <f>IFERROR(__xludf.DUMMYFUNCTION("""COMPUTED_VALUE"""),38457.645833333336)</f>
        <v>38457.64583</v>
      </c>
      <c r="C126" s="2">
        <f>IFERROR(__xludf.DUMMYFUNCTION("""COMPUTED_VALUE"""),545.0)</f>
        <v>545</v>
      </c>
    </row>
    <row r="127" ht="15.75" customHeight="1">
      <c r="B127" s="3">
        <f>IFERROR(__xludf.DUMMYFUNCTION("""COMPUTED_VALUE"""),38464.645833333336)</f>
        <v>38464.64583</v>
      </c>
      <c r="C127" s="2">
        <f>IFERROR(__xludf.DUMMYFUNCTION("""COMPUTED_VALUE"""),542.25)</f>
        <v>542.25</v>
      </c>
    </row>
    <row r="128" ht="15.75" customHeight="1">
      <c r="B128" s="3">
        <f>IFERROR(__xludf.DUMMYFUNCTION("""COMPUTED_VALUE"""),38471.645833333336)</f>
        <v>38471.64583</v>
      </c>
      <c r="C128" s="2">
        <f>IFERROR(__xludf.DUMMYFUNCTION("""COMPUTED_VALUE"""),552.03)</f>
        <v>552.03</v>
      </c>
    </row>
    <row r="129" ht="15.75" customHeight="1">
      <c r="B129" s="3">
        <f>IFERROR(__xludf.DUMMYFUNCTION("""COMPUTED_VALUE"""),38478.645833333336)</f>
        <v>38478.64583</v>
      </c>
      <c r="C129" s="2">
        <f>IFERROR(__xludf.DUMMYFUNCTION("""COMPUTED_VALUE"""),562.0)</f>
        <v>562</v>
      </c>
    </row>
    <row r="130" ht="15.75" customHeight="1">
      <c r="B130" s="3">
        <f>IFERROR(__xludf.DUMMYFUNCTION("""COMPUTED_VALUE"""),38485.645833333336)</f>
        <v>38485.64583</v>
      </c>
      <c r="C130" s="2">
        <f>IFERROR(__xludf.DUMMYFUNCTION("""COMPUTED_VALUE"""),574.5)</f>
        <v>574.5</v>
      </c>
    </row>
    <row r="131" ht="15.75" customHeight="1">
      <c r="B131" s="3">
        <f>IFERROR(__xludf.DUMMYFUNCTION("""COMPUTED_VALUE"""),38492.645833333336)</f>
        <v>38492.64583</v>
      </c>
      <c r="C131" s="2">
        <f>IFERROR(__xludf.DUMMYFUNCTION("""COMPUTED_VALUE"""),619.85)</f>
        <v>619.85</v>
      </c>
    </row>
    <row r="132" ht="15.75" customHeight="1">
      <c r="B132" s="3">
        <f>IFERROR(__xludf.DUMMYFUNCTION("""COMPUTED_VALUE"""),38499.645833333336)</f>
        <v>38499.64583</v>
      </c>
      <c r="C132" s="2">
        <f>IFERROR(__xludf.DUMMYFUNCTION("""COMPUTED_VALUE"""),625.0)</f>
        <v>625</v>
      </c>
    </row>
    <row r="133" ht="15.75" customHeight="1">
      <c r="B133" s="3">
        <f>IFERROR(__xludf.DUMMYFUNCTION("""COMPUTED_VALUE"""),38513.645833333336)</f>
        <v>38513.64583</v>
      </c>
      <c r="C133" s="2">
        <f>IFERROR(__xludf.DUMMYFUNCTION("""COMPUTED_VALUE"""),647.5)</f>
        <v>647.5</v>
      </c>
    </row>
    <row r="134" ht="15.75" customHeight="1">
      <c r="B134" s="3">
        <f>IFERROR(__xludf.DUMMYFUNCTION("""COMPUTED_VALUE"""),38520.645833333336)</f>
        <v>38520.64583</v>
      </c>
      <c r="C134" s="2">
        <f>IFERROR(__xludf.DUMMYFUNCTION("""COMPUTED_VALUE"""),633.85)</f>
        <v>633.85</v>
      </c>
    </row>
    <row r="135" ht="15.75" customHeight="1">
      <c r="B135" s="3">
        <f>IFERROR(__xludf.DUMMYFUNCTION("""COMPUTED_VALUE"""),38527.645833333336)</f>
        <v>38527.64583</v>
      </c>
      <c r="C135" s="2">
        <f>IFERROR(__xludf.DUMMYFUNCTION("""COMPUTED_VALUE"""),675.0)</f>
        <v>675</v>
      </c>
    </row>
    <row r="136" ht="15.75" customHeight="1">
      <c r="B136" s="3">
        <f>IFERROR(__xludf.DUMMYFUNCTION("""COMPUTED_VALUE"""),38534.645833333336)</f>
        <v>38534.64583</v>
      </c>
      <c r="C136" s="2">
        <f>IFERROR(__xludf.DUMMYFUNCTION("""COMPUTED_VALUE"""),697.5)</f>
        <v>697.5</v>
      </c>
    </row>
    <row r="137" ht="15.75" customHeight="1">
      <c r="B137" s="3">
        <f>IFERROR(__xludf.DUMMYFUNCTION("""COMPUTED_VALUE"""),38541.645833333336)</f>
        <v>38541.64583</v>
      </c>
      <c r="C137" s="2">
        <f>IFERROR(__xludf.DUMMYFUNCTION("""COMPUTED_VALUE"""),700.0)</f>
        <v>700</v>
      </c>
    </row>
    <row r="138" ht="15.75" customHeight="1">
      <c r="B138" s="3">
        <f>IFERROR(__xludf.DUMMYFUNCTION("""COMPUTED_VALUE"""),38548.645833333336)</f>
        <v>38548.64583</v>
      </c>
      <c r="C138" s="2">
        <f>IFERROR(__xludf.DUMMYFUNCTION("""COMPUTED_VALUE"""),700.5)</f>
        <v>700.5</v>
      </c>
    </row>
    <row r="139" ht="15.75" customHeight="1">
      <c r="B139" s="3">
        <f>IFERROR(__xludf.DUMMYFUNCTION("""COMPUTED_VALUE"""),38555.645833333336)</f>
        <v>38555.64583</v>
      </c>
      <c r="C139" s="2">
        <f>IFERROR(__xludf.DUMMYFUNCTION("""COMPUTED_VALUE"""),715.0)</f>
        <v>715</v>
      </c>
    </row>
    <row r="140" ht="15.75" customHeight="1">
      <c r="B140" s="3">
        <f>IFERROR(__xludf.DUMMYFUNCTION("""COMPUTED_VALUE"""),38562.645833333336)</f>
        <v>38562.64583</v>
      </c>
      <c r="C140" s="2">
        <f>IFERROR(__xludf.DUMMYFUNCTION("""COMPUTED_VALUE"""),728.5)</f>
        <v>728.5</v>
      </c>
    </row>
    <row r="141" ht="15.75" customHeight="1">
      <c r="B141" s="3">
        <f>IFERROR(__xludf.DUMMYFUNCTION("""COMPUTED_VALUE"""),38569.645833333336)</f>
        <v>38569.64583</v>
      </c>
      <c r="C141" s="2">
        <f>IFERROR(__xludf.DUMMYFUNCTION("""COMPUTED_VALUE"""),774.0)</f>
        <v>774</v>
      </c>
    </row>
    <row r="142" ht="15.75" customHeight="1">
      <c r="B142" s="3">
        <f>IFERROR(__xludf.DUMMYFUNCTION("""COMPUTED_VALUE"""),38576.645833333336)</f>
        <v>38576.64583</v>
      </c>
      <c r="C142" s="2">
        <f>IFERROR(__xludf.DUMMYFUNCTION("""COMPUTED_VALUE"""),745.0)</f>
        <v>745</v>
      </c>
    </row>
    <row r="143" ht="15.75" customHeight="1">
      <c r="B143" s="3">
        <f>IFERROR(__xludf.DUMMYFUNCTION("""COMPUTED_VALUE"""),38583.645833333336)</f>
        <v>38583.64583</v>
      </c>
      <c r="C143" s="2">
        <f>IFERROR(__xludf.DUMMYFUNCTION("""COMPUTED_VALUE"""),739.98)</f>
        <v>739.98</v>
      </c>
    </row>
    <row r="144" ht="15.75" customHeight="1">
      <c r="B144" s="3">
        <f>IFERROR(__xludf.DUMMYFUNCTION("""COMPUTED_VALUE"""),38590.645833333336)</f>
        <v>38590.64583</v>
      </c>
      <c r="C144" s="2">
        <f>IFERROR(__xludf.DUMMYFUNCTION("""COMPUTED_VALUE"""),722.0)</f>
        <v>722</v>
      </c>
    </row>
    <row r="145" ht="15.75" customHeight="1">
      <c r="B145" s="3">
        <f>IFERROR(__xludf.DUMMYFUNCTION("""COMPUTED_VALUE"""),38597.645833333336)</f>
        <v>38597.64583</v>
      </c>
      <c r="C145" s="2">
        <f>IFERROR(__xludf.DUMMYFUNCTION("""COMPUTED_VALUE"""),754.95)</f>
        <v>754.95</v>
      </c>
    </row>
    <row r="146" ht="15.75" customHeight="1">
      <c r="B146" s="3">
        <f>IFERROR(__xludf.DUMMYFUNCTION("""COMPUTED_VALUE"""),38604.645833333336)</f>
        <v>38604.64583</v>
      </c>
      <c r="C146" s="2">
        <f>IFERROR(__xludf.DUMMYFUNCTION("""COMPUTED_VALUE"""),784.9)</f>
        <v>784.9</v>
      </c>
    </row>
    <row r="147" ht="15.75" customHeight="1">
      <c r="B147" s="3">
        <f>IFERROR(__xludf.DUMMYFUNCTION("""COMPUTED_VALUE"""),38611.645833333336)</f>
        <v>38611.64583</v>
      </c>
      <c r="C147" s="2">
        <f>IFERROR(__xludf.DUMMYFUNCTION("""COMPUTED_VALUE"""),838.0)</f>
        <v>838</v>
      </c>
    </row>
    <row r="148" ht="15.75" customHeight="1">
      <c r="B148" s="3">
        <f>IFERROR(__xludf.DUMMYFUNCTION("""COMPUTED_VALUE"""),38618.645833333336)</f>
        <v>38618.64583</v>
      </c>
      <c r="C148" s="2">
        <f>IFERROR(__xludf.DUMMYFUNCTION("""COMPUTED_VALUE"""),849.88)</f>
        <v>849.88</v>
      </c>
    </row>
    <row r="149" ht="15.75" customHeight="1">
      <c r="B149" s="3">
        <f>IFERROR(__xludf.DUMMYFUNCTION("""COMPUTED_VALUE"""),38625.645833333336)</f>
        <v>38625.64583</v>
      </c>
      <c r="C149" s="2">
        <f>IFERROR(__xludf.DUMMYFUNCTION("""COMPUTED_VALUE"""),857.5)</f>
        <v>857.5</v>
      </c>
    </row>
    <row r="150" ht="15.75" customHeight="1">
      <c r="B150" s="3">
        <f>IFERROR(__xludf.DUMMYFUNCTION("""COMPUTED_VALUE"""),38632.645833333336)</f>
        <v>38632.64583</v>
      </c>
      <c r="C150" s="2">
        <f>IFERROR(__xludf.DUMMYFUNCTION("""COMPUTED_VALUE"""),917.4)</f>
        <v>917.4</v>
      </c>
    </row>
    <row r="151" ht="15.75" customHeight="1">
      <c r="B151" s="3">
        <f>IFERROR(__xludf.DUMMYFUNCTION("""COMPUTED_VALUE"""),38639.645833333336)</f>
        <v>38639.64583</v>
      </c>
      <c r="C151" s="2">
        <f>IFERROR(__xludf.DUMMYFUNCTION("""COMPUTED_VALUE"""),882.5)</f>
        <v>882.5</v>
      </c>
    </row>
    <row r="152" ht="15.75" customHeight="1">
      <c r="B152" s="3">
        <f>IFERROR(__xludf.DUMMYFUNCTION("""COMPUTED_VALUE"""),38646.645833333336)</f>
        <v>38646.64583</v>
      </c>
      <c r="C152" s="2">
        <f>IFERROR(__xludf.DUMMYFUNCTION("""COMPUTED_VALUE"""),913.0)</f>
        <v>913</v>
      </c>
    </row>
    <row r="153" ht="15.75" customHeight="1">
      <c r="B153" s="3">
        <f>IFERROR(__xludf.DUMMYFUNCTION("""COMPUTED_VALUE"""),38653.645833333336)</f>
        <v>38653.64583</v>
      </c>
      <c r="C153" s="2">
        <f>IFERROR(__xludf.DUMMYFUNCTION("""COMPUTED_VALUE"""),908.5)</f>
        <v>908.5</v>
      </c>
    </row>
    <row r="154" ht="15.75" customHeight="1">
      <c r="B154" s="3">
        <f>IFERROR(__xludf.DUMMYFUNCTION("""COMPUTED_VALUE"""),38658.645833333336)</f>
        <v>38658.64583</v>
      </c>
      <c r="C154" s="2">
        <f>IFERROR(__xludf.DUMMYFUNCTION("""COMPUTED_VALUE"""),884.5)</f>
        <v>884.5</v>
      </c>
    </row>
    <row r="155" ht="15.75" customHeight="1">
      <c r="B155" s="3">
        <f>IFERROR(__xludf.DUMMYFUNCTION("""COMPUTED_VALUE"""),38667.645833333336)</f>
        <v>38667.64583</v>
      </c>
      <c r="C155" s="2">
        <f>IFERROR(__xludf.DUMMYFUNCTION("""COMPUTED_VALUE"""),940.35)</f>
        <v>940.35</v>
      </c>
    </row>
    <row r="156" ht="15.75" customHeight="1">
      <c r="B156" s="3">
        <f>IFERROR(__xludf.DUMMYFUNCTION("""COMPUTED_VALUE"""),38674.645833333336)</f>
        <v>38674.64583</v>
      </c>
      <c r="C156" s="2">
        <f>IFERROR(__xludf.DUMMYFUNCTION("""COMPUTED_VALUE"""),1012.0)</f>
        <v>1012</v>
      </c>
    </row>
    <row r="157" ht="15.75" customHeight="1">
      <c r="B157" s="3">
        <f>IFERROR(__xludf.DUMMYFUNCTION("""COMPUTED_VALUE"""),38688.645833333336)</f>
        <v>38688.64583</v>
      </c>
      <c r="C157" s="2">
        <f>IFERROR(__xludf.DUMMYFUNCTION("""COMPUTED_VALUE"""),1075.0)</f>
        <v>1075</v>
      </c>
    </row>
    <row r="158" ht="15.75" customHeight="1">
      <c r="B158" s="3">
        <f>IFERROR(__xludf.DUMMYFUNCTION("""COMPUTED_VALUE"""),38695.645833333336)</f>
        <v>38695.64583</v>
      </c>
      <c r="C158" s="2">
        <f>IFERROR(__xludf.DUMMYFUNCTION("""COMPUTED_VALUE"""),1044.95)</f>
        <v>1044.95</v>
      </c>
    </row>
    <row r="159" ht="15.75" customHeight="1">
      <c r="B159" s="3">
        <f>IFERROR(__xludf.DUMMYFUNCTION("""COMPUTED_VALUE"""),38702.645833333336)</f>
        <v>38702.64583</v>
      </c>
      <c r="C159" s="2">
        <f>IFERROR(__xludf.DUMMYFUNCTION("""COMPUTED_VALUE"""),1082.5)</f>
        <v>1082.5</v>
      </c>
    </row>
    <row r="160" ht="15.75" customHeight="1">
      <c r="B160" s="3">
        <f>IFERROR(__xludf.DUMMYFUNCTION("""COMPUTED_VALUE"""),38709.645833333336)</f>
        <v>38709.64583</v>
      </c>
      <c r="C160" s="2">
        <f>IFERROR(__xludf.DUMMYFUNCTION("""COMPUTED_VALUE"""),1069.5)</f>
        <v>1069.5</v>
      </c>
    </row>
    <row r="161" ht="15.75" customHeight="1">
      <c r="B161" s="3">
        <f>IFERROR(__xludf.DUMMYFUNCTION("""COMPUTED_VALUE"""),38716.645833333336)</f>
        <v>38716.64583</v>
      </c>
      <c r="C161" s="2">
        <f>IFERROR(__xludf.DUMMYFUNCTION("""COMPUTED_VALUE"""),1037.5)</f>
        <v>1037.5</v>
      </c>
    </row>
    <row r="162" ht="15.75" customHeight="1"/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IFERROR(__xludf.DUMMYFUNCTION("GOOGLEFINANCE(""NSE:BAJAJ-AUTO"", ""high"",DATE(2006,1,1),DATE(2007,1,1),""weekly"")"),"Date")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IFERROR(__xludf.DUMMYFUNCTION("""COMPUTED_VALUE"""),38723.645833333336)</f>
        <v>38723.64583</v>
      </c>
      <c r="C167" s="2">
        <f>IFERROR(__xludf.DUMMYFUNCTION("""COMPUTED_VALUE"""),1050.0)</f>
        <v>1050</v>
      </c>
    </row>
    <row r="168" ht="15.75" customHeight="1">
      <c r="B168" s="3">
        <f>IFERROR(__xludf.DUMMYFUNCTION("""COMPUTED_VALUE"""),38730.645833333336)</f>
        <v>38730.64583</v>
      </c>
      <c r="C168" s="2">
        <f>IFERROR(__xludf.DUMMYFUNCTION("""COMPUTED_VALUE"""),1035.0)</f>
        <v>1035</v>
      </c>
    </row>
    <row r="169" ht="15.75" customHeight="1">
      <c r="B169" s="3">
        <f>IFERROR(__xludf.DUMMYFUNCTION("""COMPUTED_VALUE"""),38737.645833333336)</f>
        <v>38737.64583</v>
      </c>
      <c r="C169" s="2">
        <f>IFERROR(__xludf.DUMMYFUNCTION("""COMPUTED_VALUE"""),1040.0)</f>
        <v>1040</v>
      </c>
    </row>
    <row r="170" ht="15.75" customHeight="1">
      <c r="B170" s="3">
        <f>IFERROR(__xludf.DUMMYFUNCTION("""COMPUTED_VALUE"""),38744.645833333336)</f>
        <v>38744.64583</v>
      </c>
      <c r="C170" s="2">
        <f>IFERROR(__xludf.DUMMYFUNCTION("""COMPUTED_VALUE"""),1110.5)</f>
        <v>1110.5</v>
      </c>
    </row>
    <row r="171" ht="15.75" customHeight="1">
      <c r="B171" s="3">
        <f>IFERROR(__xludf.DUMMYFUNCTION("""COMPUTED_VALUE"""),38751.645833333336)</f>
        <v>38751.64583</v>
      </c>
      <c r="C171" s="2">
        <f>IFERROR(__xludf.DUMMYFUNCTION("""COMPUTED_VALUE"""),1117.5)</f>
        <v>1117.5</v>
      </c>
    </row>
    <row r="172" ht="15.75" customHeight="1">
      <c r="B172" s="3">
        <f>IFERROR(__xludf.DUMMYFUNCTION("""COMPUTED_VALUE"""),38758.645833333336)</f>
        <v>38758.64583</v>
      </c>
      <c r="C172" s="2">
        <f>IFERROR(__xludf.DUMMYFUNCTION("""COMPUTED_VALUE"""),1118.97)</f>
        <v>1118.97</v>
      </c>
    </row>
    <row r="173" ht="15.75" customHeight="1">
      <c r="B173" s="3">
        <f>IFERROR(__xludf.DUMMYFUNCTION("""COMPUTED_VALUE"""),38765.645833333336)</f>
        <v>38765.64583</v>
      </c>
      <c r="C173" s="2">
        <f>IFERROR(__xludf.DUMMYFUNCTION("""COMPUTED_VALUE"""),1225.0)</f>
        <v>1225</v>
      </c>
    </row>
    <row r="174" ht="15.75" customHeight="1">
      <c r="B174" s="3">
        <f>IFERROR(__xludf.DUMMYFUNCTION("""COMPUTED_VALUE"""),38772.645833333336)</f>
        <v>38772.64583</v>
      </c>
      <c r="C174" s="2">
        <f>IFERROR(__xludf.DUMMYFUNCTION("""COMPUTED_VALUE"""),1344.0)</f>
        <v>1344</v>
      </c>
    </row>
    <row r="175" ht="15.75" customHeight="1">
      <c r="B175" s="3">
        <f>IFERROR(__xludf.DUMMYFUNCTION("""COMPUTED_VALUE"""),38779.645833333336)</f>
        <v>38779.64583</v>
      </c>
      <c r="C175" s="2">
        <f>IFERROR(__xludf.DUMMYFUNCTION("""COMPUTED_VALUE"""),1404.95)</f>
        <v>1404.95</v>
      </c>
    </row>
    <row r="176" ht="15.75" customHeight="1">
      <c r="B176" s="3">
        <f>IFERROR(__xludf.DUMMYFUNCTION("""COMPUTED_VALUE"""),38786.645833333336)</f>
        <v>38786.64583</v>
      </c>
      <c r="C176" s="2">
        <f>IFERROR(__xludf.DUMMYFUNCTION("""COMPUTED_VALUE"""),1394.0)</f>
        <v>1394</v>
      </c>
    </row>
    <row r="177" ht="15.75" customHeight="1">
      <c r="B177" s="3">
        <f>IFERROR(__xludf.DUMMYFUNCTION("""COMPUTED_VALUE"""),38793.645833333336)</f>
        <v>38793.64583</v>
      </c>
      <c r="C177" s="2">
        <f>IFERROR(__xludf.DUMMYFUNCTION("""COMPUTED_VALUE"""),1429.5)</f>
        <v>1429.5</v>
      </c>
    </row>
    <row r="178" ht="15.75" customHeight="1">
      <c r="B178" s="3">
        <f>IFERROR(__xludf.DUMMYFUNCTION("""COMPUTED_VALUE"""),38800.645833333336)</f>
        <v>38800.64583</v>
      </c>
      <c r="C178" s="2">
        <f>IFERROR(__xludf.DUMMYFUNCTION("""COMPUTED_VALUE"""),1406.5)</f>
        <v>1406.5</v>
      </c>
    </row>
    <row r="179" ht="15.75" customHeight="1">
      <c r="B179" s="3">
        <f>IFERROR(__xludf.DUMMYFUNCTION("""COMPUTED_VALUE"""),38807.645833333336)</f>
        <v>38807.64583</v>
      </c>
      <c r="C179" s="2">
        <f>IFERROR(__xludf.DUMMYFUNCTION("""COMPUTED_VALUE"""),1387.4)</f>
        <v>1387.4</v>
      </c>
    </row>
    <row r="180" ht="15.75" customHeight="1">
      <c r="B180" s="3">
        <f>IFERROR(__xludf.DUMMYFUNCTION("""COMPUTED_VALUE"""),38814.645833333336)</f>
        <v>38814.64583</v>
      </c>
      <c r="C180" s="2">
        <f>IFERROR(__xludf.DUMMYFUNCTION("""COMPUTED_VALUE"""),1445.0)</f>
        <v>1445</v>
      </c>
    </row>
    <row r="181" ht="15.75" customHeight="1">
      <c r="B181" s="3">
        <f>IFERROR(__xludf.DUMMYFUNCTION("""COMPUTED_VALUE"""),38820.645833333336)</f>
        <v>38820.64583</v>
      </c>
      <c r="C181" s="2">
        <f>IFERROR(__xludf.DUMMYFUNCTION("""COMPUTED_VALUE"""),1440.0)</f>
        <v>1440</v>
      </c>
    </row>
    <row r="182" ht="15.75" customHeight="1">
      <c r="B182" s="3">
        <f>IFERROR(__xludf.DUMMYFUNCTION("""COMPUTED_VALUE"""),38828.645833333336)</f>
        <v>38828.64583</v>
      </c>
      <c r="C182" s="2">
        <f>IFERROR(__xludf.DUMMYFUNCTION("""COMPUTED_VALUE"""),1525.0)</f>
        <v>1525</v>
      </c>
    </row>
    <row r="183" ht="15.75" customHeight="1">
      <c r="B183" s="3">
        <f>IFERROR(__xludf.DUMMYFUNCTION("""COMPUTED_VALUE"""),38842.645833333336)</f>
        <v>38842.64583</v>
      </c>
      <c r="C183" s="2">
        <f>IFERROR(__xludf.DUMMYFUNCTION("""COMPUTED_VALUE"""),1585.0)</f>
        <v>1585</v>
      </c>
    </row>
    <row r="184" ht="15.75" customHeight="1">
      <c r="B184" s="3">
        <f>IFERROR(__xludf.DUMMYFUNCTION("""COMPUTED_VALUE"""),38849.645833333336)</f>
        <v>38849.64583</v>
      </c>
      <c r="C184" s="2">
        <f>IFERROR(__xludf.DUMMYFUNCTION("""COMPUTED_VALUE"""),1625.0)</f>
        <v>1625</v>
      </c>
    </row>
    <row r="185" ht="15.75" customHeight="1">
      <c r="B185" s="3">
        <f>IFERROR(__xludf.DUMMYFUNCTION("""COMPUTED_VALUE"""),38856.645833333336)</f>
        <v>38856.64583</v>
      </c>
      <c r="C185" s="2">
        <f>IFERROR(__xludf.DUMMYFUNCTION("""COMPUTED_VALUE"""),1662.5)</f>
        <v>1662.5</v>
      </c>
    </row>
    <row r="186" ht="15.75" customHeight="1">
      <c r="B186" s="3">
        <f>IFERROR(__xludf.DUMMYFUNCTION("""COMPUTED_VALUE"""),38863.645833333336)</f>
        <v>38863.64583</v>
      </c>
      <c r="C186" s="2">
        <f>IFERROR(__xludf.DUMMYFUNCTION("""COMPUTED_VALUE"""),1545.0)</f>
        <v>1545</v>
      </c>
    </row>
    <row r="187" ht="15.75" customHeight="1">
      <c r="B187" s="3">
        <f>IFERROR(__xludf.DUMMYFUNCTION("""COMPUTED_VALUE"""),38870.645833333336)</f>
        <v>38870.64583</v>
      </c>
      <c r="C187" s="2">
        <f>IFERROR(__xludf.DUMMYFUNCTION("""COMPUTED_VALUE"""),1489.35)</f>
        <v>1489.35</v>
      </c>
    </row>
    <row r="188" ht="15.75" customHeight="1">
      <c r="B188" s="3">
        <f>IFERROR(__xludf.DUMMYFUNCTION("""COMPUTED_VALUE"""),38877.645833333336)</f>
        <v>38877.64583</v>
      </c>
      <c r="C188" s="2">
        <f>IFERROR(__xludf.DUMMYFUNCTION("""COMPUTED_VALUE"""),1369.0)</f>
        <v>1369</v>
      </c>
    </row>
    <row r="189" ht="15.75" customHeight="1">
      <c r="B189" s="3">
        <f>IFERROR(__xludf.DUMMYFUNCTION("""COMPUTED_VALUE"""),38884.645833333336)</f>
        <v>38884.64583</v>
      </c>
      <c r="C189" s="2">
        <f>IFERROR(__xludf.DUMMYFUNCTION("""COMPUTED_VALUE"""),1357.5)</f>
        <v>1357.5</v>
      </c>
    </row>
    <row r="190" ht="15.75" customHeight="1">
      <c r="B190" s="3">
        <f>IFERROR(__xludf.DUMMYFUNCTION("""COMPUTED_VALUE"""),38891.645833333336)</f>
        <v>38891.64583</v>
      </c>
      <c r="C190" s="2">
        <f>IFERROR(__xludf.DUMMYFUNCTION("""COMPUTED_VALUE"""),1408.5)</f>
        <v>1408.5</v>
      </c>
    </row>
    <row r="191" ht="15.75" customHeight="1">
      <c r="B191" s="3">
        <f>IFERROR(__xludf.DUMMYFUNCTION("""COMPUTED_VALUE"""),38898.645833333336)</f>
        <v>38898.64583</v>
      </c>
      <c r="C191" s="2">
        <f>IFERROR(__xludf.DUMMYFUNCTION("""COMPUTED_VALUE"""),1382.5)</f>
        <v>1382.5</v>
      </c>
    </row>
    <row r="192" ht="15.75" customHeight="1">
      <c r="B192" s="3">
        <f>IFERROR(__xludf.DUMMYFUNCTION("""COMPUTED_VALUE"""),38905.645833333336)</f>
        <v>38905.64583</v>
      </c>
      <c r="C192" s="2">
        <f>IFERROR(__xludf.DUMMYFUNCTION("""COMPUTED_VALUE"""),1417.38)</f>
        <v>1417.38</v>
      </c>
    </row>
    <row r="193" ht="15.75" customHeight="1">
      <c r="B193" s="3">
        <f>IFERROR(__xludf.DUMMYFUNCTION("""COMPUTED_VALUE"""),38912.645833333336)</f>
        <v>38912.64583</v>
      </c>
      <c r="C193" s="2">
        <f>IFERROR(__xludf.DUMMYFUNCTION("""COMPUTED_VALUE"""),1402.5)</f>
        <v>1402.5</v>
      </c>
    </row>
    <row r="194" ht="15.75" customHeight="1">
      <c r="B194" s="3">
        <f>IFERROR(__xludf.DUMMYFUNCTION("""COMPUTED_VALUE"""),38919.645833333336)</f>
        <v>38919.64583</v>
      </c>
      <c r="C194" s="2">
        <f>IFERROR(__xludf.DUMMYFUNCTION("""COMPUTED_VALUE"""),1325.0)</f>
        <v>1325</v>
      </c>
    </row>
    <row r="195" ht="15.75" customHeight="1">
      <c r="B195" s="3">
        <f>IFERROR(__xludf.DUMMYFUNCTION("""COMPUTED_VALUE"""),38926.645833333336)</f>
        <v>38926.64583</v>
      </c>
      <c r="C195" s="2">
        <f>IFERROR(__xludf.DUMMYFUNCTION("""COMPUTED_VALUE"""),1295.0)</f>
        <v>1295</v>
      </c>
    </row>
    <row r="196" ht="15.75" customHeight="1">
      <c r="B196" s="3">
        <f>IFERROR(__xludf.DUMMYFUNCTION("""COMPUTED_VALUE"""),38933.645833333336)</f>
        <v>38933.64583</v>
      </c>
      <c r="C196" s="2">
        <f>IFERROR(__xludf.DUMMYFUNCTION("""COMPUTED_VALUE"""),1317.0)</f>
        <v>1317</v>
      </c>
    </row>
    <row r="197" ht="15.75" customHeight="1">
      <c r="B197" s="3">
        <f>IFERROR(__xludf.DUMMYFUNCTION("""COMPUTED_VALUE"""),38940.645833333336)</f>
        <v>38940.64583</v>
      </c>
      <c r="C197" s="2">
        <f>IFERROR(__xludf.DUMMYFUNCTION("""COMPUTED_VALUE"""),1350.0)</f>
        <v>1350</v>
      </c>
    </row>
    <row r="198" ht="15.75" customHeight="1">
      <c r="B198" s="3">
        <f>IFERROR(__xludf.DUMMYFUNCTION("""COMPUTED_VALUE"""),38947.645833333336)</f>
        <v>38947.64583</v>
      </c>
      <c r="C198" s="2">
        <f>IFERROR(__xludf.DUMMYFUNCTION("""COMPUTED_VALUE"""),1416.88)</f>
        <v>1416.88</v>
      </c>
    </row>
    <row r="199" ht="15.75" customHeight="1">
      <c r="B199" s="3">
        <f>IFERROR(__xludf.DUMMYFUNCTION("""COMPUTED_VALUE"""),38954.645833333336)</f>
        <v>38954.64583</v>
      </c>
      <c r="C199" s="2">
        <f>IFERROR(__xludf.DUMMYFUNCTION("""COMPUTED_VALUE"""),1399.5)</f>
        <v>1399.5</v>
      </c>
    </row>
    <row r="200" ht="15.75" customHeight="1">
      <c r="B200" s="3">
        <f>IFERROR(__xludf.DUMMYFUNCTION("""COMPUTED_VALUE"""),38961.645833333336)</f>
        <v>38961.64583</v>
      </c>
      <c r="C200" s="2">
        <f>IFERROR(__xludf.DUMMYFUNCTION("""COMPUTED_VALUE"""),1399.38)</f>
        <v>1399.38</v>
      </c>
    </row>
    <row r="201" ht="15.75" customHeight="1">
      <c r="B201" s="3">
        <f>IFERROR(__xludf.DUMMYFUNCTION("""COMPUTED_VALUE"""),38968.645833333336)</f>
        <v>38968.64583</v>
      </c>
      <c r="C201" s="2">
        <f>IFERROR(__xludf.DUMMYFUNCTION("""COMPUTED_VALUE"""),1429.0)</f>
        <v>1429</v>
      </c>
    </row>
    <row r="202" ht="15.75" customHeight="1">
      <c r="B202" s="3">
        <f>IFERROR(__xludf.DUMMYFUNCTION("""COMPUTED_VALUE"""),38975.645833333336)</f>
        <v>38975.64583</v>
      </c>
      <c r="C202" s="2">
        <f>IFERROR(__xludf.DUMMYFUNCTION("""COMPUTED_VALUE"""),1420.0)</f>
        <v>1420</v>
      </c>
    </row>
    <row r="203" ht="15.75" customHeight="1">
      <c r="B203" s="3">
        <f>IFERROR(__xludf.DUMMYFUNCTION("""COMPUTED_VALUE"""),38982.645833333336)</f>
        <v>38982.64583</v>
      </c>
      <c r="C203" s="2">
        <f>IFERROR(__xludf.DUMMYFUNCTION("""COMPUTED_VALUE"""),1472.45)</f>
        <v>1472.45</v>
      </c>
    </row>
    <row r="204" ht="15.75" customHeight="1">
      <c r="B204" s="3">
        <f>IFERROR(__xludf.DUMMYFUNCTION("""COMPUTED_VALUE"""),38989.645833333336)</f>
        <v>38989.64583</v>
      </c>
      <c r="C204" s="2">
        <f>IFERROR(__xludf.DUMMYFUNCTION("""COMPUTED_VALUE"""),1509.0)</f>
        <v>1509</v>
      </c>
    </row>
    <row r="205" ht="15.75" customHeight="1">
      <c r="B205" s="3">
        <f>IFERROR(__xludf.DUMMYFUNCTION("""COMPUTED_VALUE"""),38996.645833333336)</f>
        <v>38996.64583</v>
      </c>
      <c r="C205" s="2">
        <f>IFERROR(__xludf.DUMMYFUNCTION("""COMPUTED_VALUE"""),1567.5)</f>
        <v>1567.5</v>
      </c>
    </row>
    <row r="206" ht="15.75" customHeight="1">
      <c r="B206" s="3">
        <f>IFERROR(__xludf.DUMMYFUNCTION("""COMPUTED_VALUE"""),39003.645833333336)</f>
        <v>39003.64583</v>
      </c>
      <c r="C206" s="2">
        <f>IFERROR(__xludf.DUMMYFUNCTION("""COMPUTED_VALUE"""),1593.5)</f>
        <v>1593.5</v>
      </c>
    </row>
    <row r="207" ht="15.75" customHeight="1">
      <c r="B207" s="3">
        <f>IFERROR(__xludf.DUMMYFUNCTION("""COMPUTED_VALUE"""),39017.645833333336)</f>
        <v>39017.64583</v>
      </c>
      <c r="C207" s="2">
        <f>IFERROR(__xludf.DUMMYFUNCTION("""COMPUTED_VALUE"""),1417.23)</f>
        <v>1417.23</v>
      </c>
    </row>
    <row r="208" ht="15.75" customHeight="1">
      <c r="B208" s="3">
        <f>IFERROR(__xludf.DUMMYFUNCTION("""COMPUTED_VALUE"""),39024.645833333336)</f>
        <v>39024.64583</v>
      </c>
      <c r="C208" s="2">
        <f>IFERROR(__xludf.DUMMYFUNCTION("""COMPUTED_VALUE"""),1426.0)</f>
        <v>1426</v>
      </c>
    </row>
    <row r="209" ht="15.75" customHeight="1">
      <c r="B209" s="3">
        <f>IFERROR(__xludf.DUMMYFUNCTION("""COMPUTED_VALUE"""),39031.645833333336)</f>
        <v>39031.64583</v>
      </c>
      <c r="C209" s="2">
        <f>IFERROR(__xludf.DUMMYFUNCTION("""COMPUTED_VALUE"""),1424.0)</f>
        <v>1424</v>
      </c>
    </row>
    <row r="210" ht="15.75" customHeight="1">
      <c r="B210" s="3">
        <f>IFERROR(__xludf.DUMMYFUNCTION("""COMPUTED_VALUE"""),39038.645833333336)</f>
        <v>39038.64583</v>
      </c>
      <c r="C210" s="2">
        <f>IFERROR(__xludf.DUMMYFUNCTION("""COMPUTED_VALUE"""),1324.0)</f>
        <v>1324</v>
      </c>
    </row>
    <row r="211" ht="15.75" customHeight="1">
      <c r="B211" s="3">
        <f>IFERROR(__xludf.DUMMYFUNCTION("""COMPUTED_VALUE"""),39045.645833333336)</f>
        <v>39045.64583</v>
      </c>
      <c r="C211" s="2">
        <f>IFERROR(__xludf.DUMMYFUNCTION("""COMPUTED_VALUE"""),1342.5)</f>
        <v>1342.5</v>
      </c>
    </row>
    <row r="212" ht="15.75" customHeight="1">
      <c r="B212" s="3">
        <f>IFERROR(__xludf.DUMMYFUNCTION("""COMPUTED_VALUE"""),39052.645833333336)</f>
        <v>39052.64583</v>
      </c>
      <c r="C212" s="2">
        <f>IFERROR(__xludf.DUMMYFUNCTION("""COMPUTED_VALUE"""),1498.4)</f>
        <v>1498.4</v>
      </c>
    </row>
    <row r="213" ht="15.75" customHeight="1">
      <c r="B213" s="3">
        <f>IFERROR(__xludf.DUMMYFUNCTION("""COMPUTED_VALUE"""),39059.645833333336)</f>
        <v>39059.64583</v>
      </c>
      <c r="C213" s="2">
        <f>IFERROR(__xludf.DUMMYFUNCTION("""COMPUTED_VALUE"""),1387.5)</f>
        <v>1387.5</v>
      </c>
    </row>
    <row r="214" ht="15.75" customHeight="1">
      <c r="B214" s="3">
        <f>IFERROR(__xludf.DUMMYFUNCTION("""COMPUTED_VALUE"""),39066.645833333336)</f>
        <v>39066.64583</v>
      </c>
      <c r="C214" s="2">
        <f>IFERROR(__xludf.DUMMYFUNCTION("""COMPUTED_VALUE"""),1325.0)</f>
        <v>1325</v>
      </c>
    </row>
    <row r="215" ht="15.75" customHeight="1">
      <c r="B215" s="3">
        <f>IFERROR(__xludf.DUMMYFUNCTION("""COMPUTED_VALUE"""),39073.645833333336)</f>
        <v>39073.64583</v>
      </c>
      <c r="C215" s="2">
        <f>IFERROR(__xludf.DUMMYFUNCTION("""COMPUTED_VALUE"""),1314.2)</f>
        <v>1314.2</v>
      </c>
    </row>
    <row r="216" ht="15.75" customHeight="1">
      <c r="B216" s="3">
        <f>IFERROR(__xludf.DUMMYFUNCTION("""COMPUTED_VALUE"""),39080.645833333336)</f>
        <v>39080.64583</v>
      </c>
      <c r="C216" s="2">
        <f>IFERROR(__xludf.DUMMYFUNCTION("""COMPUTED_VALUE"""),1339.5)</f>
        <v>1339.5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IFERROR(__xludf.DUMMYFUNCTION("GOOGLEFINANCE(""NSE:BAJAJ-AUTO"", ""high"",DATE(2007,1,1),DATE(2008,1,1),""weekly"")"),"Date")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IFERROR(__xludf.DUMMYFUNCTION("""COMPUTED_VALUE"""),39087.645833333336)</f>
        <v>39087.64583</v>
      </c>
      <c r="C222" s="2">
        <f>IFERROR(__xludf.DUMMYFUNCTION("""COMPUTED_VALUE"""),1425.0)</f>
        <v>1425</v>
      </c>
    </row>
    <row r="223" ht="15.75" customHeight="1">
      <c r="B223" s="3">
        <f>IFERROR(__xludf.DUMMYFUNCTION("""COMPUTED_VALUE"""),39094.645833333336)</f>
        <v>39094.64583</v>
      </c>
      <c r="C223" s="2">
        <f>IFERROR(__xludf.DUMMYFUNCTION("""COMPUTED_VALUE"""),1399.7)</f>
        <v>1399.7</v>
      </c>
    </row>
    <row r="224" ht="15.75" customHeight="1">
      <c r="B224" s="3">
        <f>IFERROR(__xludf.DUMMYFUNCTION("""COMPUTED_VALUE"""),39101.645833333336)</f>
        <v>39101.64583</v>
      </c>
      <c r="C224" s="2">
        <f>IFERROR(__xludf.DUMMYFUNCTION("""COMPUTED_VALUE"""),1425.25)</f>
        <v>1425.25</v>
      </c>
    </row>
    <row r="225" ht="15.75" customHeight="1">
      <c r="B225" s="3">
        <f>IFERROR(__xludf.DUMMYFUNCTION("""COMPUTED_VALUE"""),39107.645833333336)</f>
        <v>39107.64583</v>
      </c>
      <c r="C225" s="2">
        <f>IFERROR(__xludf.DUMMYFUNCTION("""COMPUTED_VALUE"""),1394.5)</f>
        <v>1394.5</v>
      </c>
    </row>
    <row r="226" ht="15.75" customHeight="1">
      <c r="B226" s="3">
        <f>IFERROR(__xludf.DUMMYFUNCTION("""COMPUTED_VALUE"""),39115.645833333336)</f>
        <v>39115.64583</v>
      </c>
      <c r="C226" s="2">
        <f>IFERROR(__xludf.DUMMYFUNCTION("""COMPUTED_VALUE"""),1396.32)</f>
        <v>1396.32</v>
      </c>
    </row>
    <row r="227" ht="15.75" customHeight="1">
      <c r="B227" s="3">
        <f>IFERROR(__xludf.DUMMYFUNCTION("""COMPUTED_VALUE"""),39122.645833333336)</f>
        <v>39122.64583</v>
      </c>
      <c r="C227" s="2">
        <f>IFERROR(__xludf.DUMMYFUNCTION("""COMPUTED_VALUE"""),1586.0)</f>
        <v>1586</v>
      </c>
    </row>
    <row r="228" ht="15.75" customHeight="1">
      <c r="B228" s="3">
        <f>IFERROR(__xludf.DUMMYFUNCTION("""COMPUTED_VALUE"""),39128.645833333336)</f>
        <v>39128.64583</v>
      </c>
      <c r="C228" s="2">
        <f>IFERROR(__xludf.DUMMYFUNCTION("""COMPUTED_VALUE"""),1687.6)</f>
        <v>1687.6</v>
      </c>
    </row>
    <row r="229" ht="15.75" customHeight="1">
      <c r="B229" s="3">
        <f>IFERROR(__xludf.DUMMYFUNCTION("""COMPUTED_VALUE"""),39136.645833333336)</f>
        <v>39136.64583</v>
      </c>
      <c r="C229" s="2">
        <f>IFERROR(__xludf.DUMMYFUNCTION("""COMPUTED_VALUE"""),1538.0)</f>
        <v>1538</v>
      </c>
    </row>
    <row r="230" ht="15.75" customHeight="1">
      <c r="B230" s="3">
        <f>IFERROR(__xludf.DUMMYFUNCTION("""COMPUTED_VALUE"""),39143.645833333336)</f>
        <v>39143.64583</v>
      </c>
      <c r="C230" s="2">
        <f>IFERROR(__xludf.DUMMYFUNCTION("""COMPUTED_VALUE"""),1451.5)</f>
        <v>1451.5</v>
      </c>
    </row>
    <row r="231" ht="15.75" customHeight="1">
      <c r="B231" s="3">
        <f>IFERROR(__xludf.DUMMYFUNCTION("""COMPUTED_VALUE"""),39150.645833333336)</f>
        <v>39150.64583</v>
      </c>
      <c r="C231" s="2">
        <f>IFERROR(__xludf.DUMMYFUNCTION("""COMPUTED_VALUE"""),1277.5)</f>
        <v>1277.5</v>
      </c>
    </row>
    <row r="232" ht="15.75" customHeight="1">
      <c r="B232" s="3">
        <f>IFERROR(__xludf.DUMMYFUNCTION("""COMPUTED_VALUE"""),39157.645833333336)</f>
        <v>39157.64583</v>
      </c>
      <c r="C232" s="2">
        <f>IFERROR(__xludf.DUMMYFUNCTION("""COMPUTED_VALUE"""),1290.0)</f>
        <v>1290</v>
      </c>
    </row>
    <row r="233" ht="15.75" customHeight="1">
      <c r="B233" s="3">
        <f>IFERROR(__xludf.DUMMYFUNCTION("""COMPUTED_VALUE"""),39164.645833333336)</f>
        <v>39164.64583</v>
      </c>
      <c r="C233" s="2">
        <f>IFERROR(__xludf.DUMMYFUNCTION("""COMPUTED_VALUE"""),1295.0)</f>
        <v>1295</v>
      </c>
    </row>
    <row r="234" ht="15.75" customHeight="1">
      <c r="B234" s="3">
        <f>IFERROR(__xludf.DUMMYFUNCTION("""COMPUTED_VALUE"""),39171.645833333336)</f>
        <v>39171.64583</v>
      </c>
      <c r="C234" s="2">
        <f>IFERROR(__xludf.DUMMYFUNCTION("""COMPUTED_VALUE"""),1280.0)</f>
        <v>1280</v>
      </c>
    </row>
    <row r="235" ht="15.75" customHeight="1">
      <c r="B235" s="3">
        <f>IFERROR(__xludf.DUMMYFUNCTION("""COMPUTED_VALUE"""),39177.645833333336)</f>
        <v>39177.64583</v>
      </c>
      <c r="C235" s="2">
        <f>IFERROR(__xludf.DUMMYFUNCTION("""COMPUTED_VALUE"""),1185.0)</f>
        <v>1185</v>
      </c>
    </row>
    <row r="236" ht="15.75" customHeight="1">
      <c r="B236" s="3">
        <f>IFERROR(__xludf.DUMMYFUNCTION("""COMPUTED_VALUE"""),39185.645833333336)</f>
        <v>39185.64583</v>
      </c>
      <c r="C236" s="2">
        <f>IFERROR(__xludf.DUMMYFUNCTION("""COMPUTED_VALUE"""),1225.0)</f>
        <v>1225</v>
      </c>
    </row>
    <row r="237" ht="15.75" customHeight="1">
      <c r="B237" s="3">
        <f>IFERROR(__xludf.DUMMYFUNCTION("""COMPUTED_VALUE"""),39192.645833333336)</f>
        <v>39192.64583</v>
      </c>
      <c r="C237" s="2">
        <f>IFERROR(__xludf.DUMMYFUNCTION("""COMPUTED_VALUE"""),1287.0)</f>
        <v>1287</v>
      </c>
    </row>
    <row r="238" ht="15.75" customHeight="1">
      <c r="B238" s="3">
        <f>IFERROR(__xludf.DUMMYFUNCTION("""COMPUTED_VALUE"""),39199.645833333336)</f>
        <v>39199.64583</v>
      </c>
      <c r="C238" s="2">
        <f>IFERROR(__xludf.DUMMYFUNCTION("""COMPUTED_VALUE"""),1274.5)</f>
        <v>1274.5</v>
      </c>
    </row>
    <row r="239" ht="15.75" customHeight="1">
      <c r="B239" s="3">
        <f>IFERROR(__xludf.DUMMYFUNCTION("""COMPUTED_VALUE"""),39206.645833333336)</f>
        <v>39206.64583</v>
      </c>
      <c r="C239" s="2">
        <f>IFERROR(__xludf.DUMMYFUNCTION("""COMPUTED_VALUE"""),1307.0)</f>
        <v>1307</v>
      </c>
    </row>
    <row r="240" ht="15.75" customHeight="1">
      <c r="B240" s="3">
        <f>IFERROR(__xludf.DUMMYFUNCTION("""COMPUTED_VALUE"""),39213.645833333336)</f>
        <v>39213.64583</v>
      </c>
      <c r="C240" s="2">
        <f>IFERROR(__xludf.DUMMYFUNCTION("""COMPUTED_VALUE"""),1367.5)</f>
        <v>1367.5</v>
      </c>
    </row>
    <row r="241" ht="15.75" customHeight="1">
      <c r="B241" s="3">
        <f>IFERROR(__xludf.DUMMYFUNCTION("""COMPUTED_VALUE"""),39220.645833333336)</f>
        <v>39220.64583</v>
      </c>
      <c r="C241" s="2">
        <f>IFERROR(__xludf.DUMMYFUNCTION("""COMPUTED_VALUE"""),1383.6)</f>
        <v>1383.6</v>
      </c>
    </row>
    <row r="242" ht="15.75" customHeight="1">
      <c r="B242" s="3">
        <f>IFERROR(__xludf.DUMMYFUNCTION("""COMPUTED_VALUE"""),39227.645833333336)</f>
        <v>39227.64583</v>
      </c>
      <c r="C242" s="2">
        <f>IFERROR(__xludf.DUMMYFUNCTION("""COMPUTED_VALUE"""),1160.0)</f>
        <v>1160</v>
      </c>
    </row>
    <row r="243" ht="15.75" customHeight="1">
      <c r="B243" s="3">
        <f>IFERROR(__xludf.DUMMYFUNCTION("""COMPUTED_VALUE"""),39234.645833333336)</f>
        <v>39234.64583</v>
      </c>
      <c r="C243" s="2">
        <f>IFERROR(__xludf.DUMMYFUNCTION("""COMPUTED_VALUE"""),1129.95)</f>
        <v>1129.95</v>
      </c>
    </row>
    <row r="244" ht="15.75" customHeight="1">
      <c r="B244" s="3">
        <f>IFERROR(__xludf.DUMMYFUNCTION("""COMPUTED_VALUE"""),39241.645833333336)</f>
        <v>39241.64583</v>
      </c>
      <c r="C244" s="2">
        <f>IFERROR(__xludf.DUMMYFUNCTION("""COMPUTED_VALUE"""),1177.07)</f>
        <v>1177.07</v>
      </c>
    </row>
    <row r="245" ht="15.75" customHeight="1">
      <c r="B245" s="3">
        <f>IFERROR(__xludf.DUMMYFUNCTION("""COMPUTED_VALUE"""),39248.645833333336)</f>
        <v>39248.64583</v>
      </c>
      <c r="C245" s="2">
        <f>IFERROR(__xludf.DUMMYFUNCTION("""COMPUTED_VALUE"""),1076.5)</f>
        <v>1076.5</v>
      </c>
    </row>
    <row r="246" ht="15.75" customHeight="1">
      <c r="B246" s="3">
        <f>IFERROR(__xludf.DUMMYFUNCTION("""COMPUTED_VALUE"""),39255.645833333336)</f>
        <v>39255.64583</v>
      </c>
      <c r="C246" s="2">
        <f>IFERROR(__xludf.DUMMYFUNCTION("""COMPUTED_VALUE"""),1098.0)</f>
        <v>1098</v>
      </c>
    </row>
    <row r="247" ht="15.75" customHeight="1">
      <c r="B247" s="3">
        <f>IFERROR(__xludf.DUMMYFUNCTION("""COMPUTED_VALUE"""),39262.645833333336)</f>
        <v>39262.64583</v>
      </c>
      <c r="C247" s="2">
        <f>IFERROR(__xludf.DUMMYFUNCTION("""COMPUTED_VALUE"""),1097.5)</f>
        <v>1097.5</v>
      </c>
    </row>
    <row r="248" ht="15.75" customHeight="1">
      <c r="B248" s="3">
        <f>IFERROR(__xludf.DUMMYFUNCTION("""COMPUTED_VALUE"""),39269.645833333336)</f>
        <v>39269.64583</v>
      </c>
      <c r="C248" s="2">
        <f>IFERROR(__xludf.DUMMYFUNCTION("""COMPUTED_VALUE"""),1074.38)</f>
        <v>1074.38</v>
      </c>
    </row>
    <row r="249" ht="15.75" customHeight="1">
      <c r="B249" s="3">
        <f>IFERROR(__xludf.DUMMYFUNCTION("""COMPUTED_VALUE"""),39276.645833333336)</f>
        <v>39276.64583</v>
      </c>
      <c r="C249" s="2">
        <f>IFERROR(__xludf.DUMMYFUNCTION("""COMPUTED_VALUE"""),1119.9)</f>
        <v>1119.9</v>
      </c>
    </row>
    <row r="250" ht="15.75" customHeight="1">
      <c r="B250" s="3">
        <f>IFERROR(__xludf.DUMMYFUNCTION("""COMPUTED_VALUE"""),39283.645833333336)</f>
        <v>39283.64583</v>
      </c>
      <c r="C250" s="2">
        <f>IFERROR(__xludf.DUMMYFUNCTION("""COMPUTED_VALUE"""),1199.45)</f>
        <v>1199.45</v>
      </c>
    </row>
    <row r="251" ht="15.75" customHeight="1">
      <c r="B251" s="3">
        <f>IFERROR(__xludf.DUMMYFUNCTION("""COMPUTED_VALUE"""),39290.645833333336)</f>
        <v>39290.64583</v>
      </c>
      <c r="C251" s="2">
        <f>IFERROR(__xludf.DUMMYFUNCTION("""COMPUTED_VALUE"""),1230.0)</f>
        <v>1230</v>
      </c>
    </row>
    <row r="252" ht="15.75" customHeight="1">
      <c r="B252" s="3">
        <f>IFERROR(__xludf.DUMMYFUNCTION("""COMPUTED_VALUE"""),39297.645833333336)</f>
        <v>39297.64583</v>
      </c>
      <c r="C252" s="2">
        <f>IFERROR(__xludf.DUMMYFUNCTION("""COMPUTED_VALUE"""),1184.95)</f>
        <v>1184.95</v>
      </c>
    </row>
    <row r="253" ht="15.75" customHeight="1">
      <c r="B253" s="3">
        <f>IFERROR(__xludf.DUMMYFUNCTION("""COMPUTED_VALUE"""),39304.645833333336)</f>
        <v>39304.64583</v>
      </c>
      <c r="C253" s="2">
        <f>IFERROR(__xludf.DUMMYFUNCTION("""COMPUTED_VALUE"""),1345.0)</f>
        <v>1345</v>
      </c>
    </row>
    <row r="254" ht="15.75" customHeight="1">
      <c r="B254" s="3">
        <f>IFERROR(__xludf.DUMMYFUNCTION("""COMPUTED_VALUE"""),39311.645833333336)</f>
        <v>39311.64583</v>
      </c>
      <c r="C254" s="2">
        <f>IFERROR(__xludf.DUMMYFUNCTION("""COMPUTED_VALUE"""),1204.95)</f>
        <v>1204.95</v>
      </c>
    </row>
    <row r="255" ht="15.75" customHeight="1">
      <c r="B255" s="3">
        <f>IFERROR(__xludf.DUMMYFUNCTION("""COMPUTED_VALUE"""),39318.645833333336)</f>
        <v>39318.64583</v>
      </c>
      <c r="C255" s="2">
        <f>IFERROR(__xludf.DUMMYFUNCTION("""COMPUTED_VALUE"""),1187.5)</f>
        <v>1187.5</v>
      </c>
    </row>
    <row r="256" ht="15.75" customHeight="1">
      <c r="B256" s="3">
        <f>IFERROR(__xludf.DUMMYFUNCTION("""COMPUTED_VALUE"""),39325.645833333336)</f>
        <v>39325.64583</v>
      </c>
      <c r="C256" s="2">
        <f>IFERROR(__xludf.DUMMYFUNCTION("""COMPUTED_VALUE"""),1220.0)</f>
        <v>1220</v>
      </c>
    </row>
    <row r="257" ht="15.75" customHeight="1">
      <c r="B257" s="3">
        <f>IFERROR(__xludf.DUMMYFUNCTION("""COMPUTED_VALUE"""),39332.645833333336)</f>
        <v>39332.64583</v>
      </c>
      <c r="C257" s="2">
        <f>IFERROR(__xludf.DUMMYFUNCTION("""COMPUTED_VALUE"""),1177.0)</f>
        <v>1177</v>
      </c>
    </row>
    <row r="258" ht="15.75" customHeight="1">
      <c r="B258" s="3">
        <f>IFERROR(__xludf.DUMMYFUNCTION("""COMPUTED_VALUE"""),39339.645833333336)</f>
        <v>39339.64583</v>
      </c>
      <c r="C258" s="2">
        <f>IFERROR(__xludf.DUMMYFUNCTION("""COMPUTED_VALUE"""),1230.0)</f>
        <v>1230</v>
      </c>
    </row>
    <row r="259" ht="15.75" customHeight="1">
      <c r="B259" s="3">
        <f>IFERROR(__xludf.DUMMYFUNCTION("""COMPUTED_VALUE"""),39346.645833333336)</f>
        <v>39346.64583</v>
      </c>
      <c r="C259" s="2">
        <f>IFERROR(__xludf.DUMMYFUNCTION("""COMPUTED_VALUE"""),1295.0)</f>
        <v>1295</v>
      </c>
    </row>
    <row r="260" ht="15.75" customHeight="1">
      <c r="B260" s="3">
        <f>IFERROR(__xludf.DUMMYFUNCTION("""COMPUTED_VALUE"""),39353.645833333336)</f>
        <v>39353.64583</v>
      </c>
      <c r="C260" s="2">
        <f>IFERROR(__xludf.DUMMYFUNCTION("""COMPUTED_VALUE"""),1300.0)</f>
        <v>1300</v>
      </c>
    </row>
    <row r="261" ht="15.75" customHeight="1">
      <c r="B261" s="3">
        <f>IFERROR(__xludf.DUMMYFUNCTION("""COMPUTED_VALUE"""),39360.645833333336)</f>
        <v>39360.64583</v>
      </c>
      <c r="C261" s="2">
        <f>IFERROR(__xludf.DUMMYFUNCTION("""COMPUTED_VALUE"""),1320.0)</f>
        <v>1320</v>
      </c>
    </row>
    <row r="262" ht="15.75" customHeight="1">
      <c r="B262" s="3">
        <f>IFERROR(__xludf.DUMMYFUNCTION("""COMPUTED_VALUE"""),39367.645833333336)</f>
        <v>39367.64583</v>
      </c>
      <c r="C262" s="2">
        <f>IFERROR(__xludf.DUMMYFUNCTION("""COMPUTED_VALUE"""),1342.35)</f>
        <v>1342.35</v>
      </c>
    </row>
    <row r="263" ht="15.75" customHeight="1">
      <c r="B263" s="3">
        <f>IFERROR(__xludf.DUMMYFUNCTION("""COMPUTED_VALUE"""),39374.645833333336)</f>
        <v>39374.64583</v>
      </c>
      <c r="C263" s="2">
        <f>IFERROR(__xludf.DUMMYFUNCTION("""COMPUTED_VALUE"""),1307.45)</f>
        <v>1307.45</v>
      </c>
    </row>
    <row r="264" ht="15.75" customHeight="1">
      <c r="B264" s="3">
        <f>IFERROR(__xludf.DUMMYFUNCTION("""COMPUTED_VALUE"""),39381.645833333336)</f>
        <v>39381.64583</v>
      </c>
      <c r="C264" s="2">
        <f>IFERROR(__xludf.DUMMYFUNCTION("""COMPUTED_VALUE"""),1287.4)</f>
        <v>1287.4</v>
      </c>
    </row>
    <row r="265" ht="15.75" customHeight="1">
      <c r="B265" s="3">
        <f>IFERROR(__xludf.DUMMYFUNCTION("""COMPUTED_VALUE"""),39388.645833333336)</f>
        <v>39388.64583</v>
      </c>
      <c r="C265" s="2">
        <f>IFERROR(__xludf.DUMMYFUNCTION("""COMPUTED_VALUE"""),1284.95)</f>
        <v>1284.95</v>
      </c>
    </row>
    <row r="266" ht="15.75" customHeight="1">
      <c r="B266" s="3">
        <f>IFERROR(__xludf.DUMMYFUNCTION("""COMPUTED_VALUE"""),39402.645833333336)</f>
        <v>39402.64583</v>
      </c>
      <c r="C266" s="2">
        <f>IFERROR(__xludf.DUMMYFUNCTION("""COMPUTED_VALUE"""),1197.5)</f>
        <v>1197.5</v>
      </c>
    </row>
    <row r="267" ht="15.75" customHeight="1">
      <c r="B267" s="3">
        <f>IFERROR(__xludf.DUMMYFUNCTION("""COMPUTED_VALUE"""),39409.645833333336)</f>
        <v>39409.64583</v>
      </c>
      <c r="C267" s="2">
        <f>IFERROR(__xludf.DUMMYFUNCTION("""COMPUTED_VALUE"""),1287.47)</f>
        <v>1287.47</v>
      </c>
    </row>
    <row r="268" ht="15.75" customHeight="1">
      <c r="B268" s="3">
        <f>IFERROR(__xludf.DUMMYFUNCTION("""COMPUTED_VALUE"""),39416.645833333336)</f>
        <v>39416.64583</v>
      </c>
      <c r="C268" s="2">
        <f>IFERROR(__xludf.DUMMYFUNCTION("""COMPUTED_VALUE"""),1375.0)</f>
        <v>1375</v>
      </c>
    </row>
    <row r="269" ht="15.75" customHeight="1">
      <c r="B269" s="3">
        <f>IFERROR(__xludf.DUMMYFUNCTION("""COMPUTED_VALUE"""),39423.645833333336)</f>
        <v>39423.64583</v>
      </c>
      <c r="C269" s="2">
        <f>IFERROR(__xludf.DUMMYFUNCTION("""COMPUTED_VALUE"""),1420.0)</f>
        <v>1420</v>
      </c>
    </row>
    <row r="270" ht="15.75" customHeight="1">
      <c r="B270" s="3">
        <f>IFERROR(__xludf.DUMMYFUNCTION("""COMPUTED_VALUE"""),39430.645833333336)</f>
        <v>39430.64583</v>
      </c>
      <c r="C270" s="2">
        <f>IFERROR(__xludf.DUMMYFUNCTION("""COMPUTED_VALUE"""),1427.5)</f>
        <v>1427.5</v>
      </c>
    </row>
    <row r="271" ht="15.75" customHeight="1">
      <c r="B271" s="3">
        <f>IFERROR(__xludf.DUMMYFUNCTION("""COMPUTED_VALUE"""),39436.645833333336)</f>
        <v>39436.64583</v>
      </c>
      <c r="C271" s="2">
        <f>IFERROR(__xludf.DUMMYFUNCTION("""COMPUTED_VALUE"""),1429.0)</f>
        <v>1429</v>
      </c>
    </row>
    <row r="272" ht="15.75" customHeight="1">
      <c r="B272" s="3">
        <f>IFERROR(__xludf.DUMMYFUNCTION("""COMPUTED_VALUE"""),39444.645833333336)</f>
        <v>39444.64583</v>
      </c>
      <c r="C272" s="2">
        <f>IFERROR(__xludf.DUMMYFUNCTION("""COMPUTED_VALUE"""),1450.0)</f>
        <v>1450</v>
      </c>
    </row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IFERROR(__xludf.DUMMYFUNCTION("GOOGLEFINANCE(""NSE:BAJAJ-AUTO"", ""high"",DATE(2010,1,1),DATE(2011,1,1),""weekly"")"),"Date")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IFERROR(__xludf.DUMMYFUNCTION("""COMPUTED_VALUE"""),40186.645833333336)</f>
        <v>40186.64583</v>
      </c>
      <c r="C277" s="2">
        <f>IFERROR(__xludf.DUMMYFUNCTION("""COMPUTED_VALUE"""),886.48)</f>
        <v>886.48</v>
      </c>
    </row>
    <row r="278" ht="15.75" customHeight="1">
      <c r="B278" s="3">
        <f>IFERROR(__xludf.DUMMYFUNCTION("""COMPUTED_VALUE"""),40193.645833333336)</f>
        <v>40193.64583</v>
      </c>
      <c r="C278" s="2">
        <f>IFERROR(__xludf.DUMMYFUNCTION("""COMPUTED_VALUE"""),873.73)</f>
        <v>873.73</v>
      </c>
    </row>
    <row r="279" ht="15.75" customHeight="1">
      <c r="B279" s="3">
        <f>IFERROR(__xludf.DUMMYFUNCTION("""COMPUTED_VALUE"""),40200.645833333336)</f>
        <v>40200.64583</v>
      </c>
      <c r="C279" s="2">
        <f>IFERROR(__xludf.DUMMYFUNCTION("""COMPUTED_VALUE"""),918.28)</f>
        <v>918.28</v>
      </c>
    </row>
    <row r="280" ht="15.75" customHeight="1">
      <c r="B280" s="3">
        <f>IFERROR(__xludf.DUMMYFUNCTION("""COMPUTED_VALUE"""),40207.645833333336)</f>
        <v>40207.64583</v>
      </c>
      <c r="C280" s="2">
        <f>IFERROR(__xludf.DUMMYFUNCTION("""COMPUTED_VALUE"""),916.3)</f>
        <v>916.3</v>
      </c>
    </row>
    <row r="281" ht="15.75" customHeight="1">
      <c r="B281" s="3">
        <f>IFERROR(__xludf.DUMMYFUNCTION("""COMPUTED_VALUE"""),40220.645833333336)</f>
        <v>40220.64583</v>
      </c>
      <c r="C281" s="2">
        <f>IFERROR(__xludf.DUMMYFUNCTION("""COMPUTED_VALUE"""),899.48)</f>
        <v>899.48</v>
      </c>
    </row>
    <row r="282" ht="15.75" customHeight="1">
      <c r="B282" s="3">
        <f>IFERROR(__xludf.DUMMYFUNCTION("""COMPUTED_VALUE"""),40228.645833333336)</f>
        <v>40228.64583</v>
      </c>
      <c r="C282" s="2">
        <f>IFERROR(__xludf.DUMMYFUNCTION("""COMPUTED_VALUE"""),937.0)</f>
        <v>937</v>
      </c>
    </row>
    <row r="283" ht="15.75" customHeight="1">
      <c r="B283" s="3">
        <f>IFERROR(__xludf.DUMMYFUNCTION("""COMPUTED_VALUE"""),40235.645833333336)</f>
        <v>40235.64583</v>
      </c>
      <c r="C283" s="2">
        <f>IFERROR(__xludf.DUMMYFUNCTION("""COMPUTED_VALUE"""),917.53)</f>
        <v>917.53</v>
      </c>
    </row>
    <row r="284" ht="15.75" customHeight="1">
      <c r="B284" s="3">
        <f>IFERROR(__xludf.DUMMYFUNCTION("""COMPUTED_VALUE"""),40242.645833333336)</f>
        <v>40242.64583</v>
      </c>
      <c r="C284" s="2">
        <f>IFERROR(__xludf.DUMMYFUNCTION("""COMPUTED_VALUE"""),955.0)</f>
        <v>955</v>
      </c>
    </row>
    <row r="285" ht="15.75" customHeight="1">
      <c r="B285" s="3">
        <f>IFERROR(__xludf.DUMMYFUNCTION("""COMPUTED_VALUE"""),40249.645833333336)</f>
        <v>40249.64583</v>
      </c>
      <c r="C285" s="2">
        <f>IFERROR(__xludf.DUMMYFUNCTION("""COMPUTED_VALUE"""),966.5)</f>
        <v>966.5</v>
      </c>
    </row>
    <row r="286" ht="15.75" customHeight="1">
      <c r="B286" s="3">
        <f>IFERROR(__xludf.DUMMYFUNCTION("""COMPUTED_VALUE"""),40256.645833333336)</f>
        <v>40256.64583</v>
      </c>
      <c r="C286" s="2">
        <f>IFERROR(__xludf.DUMMYFUNCTION("""COMPUTED_VALUE"""),937.55)</f>
        <v>937.55</v>
      </c>
    </row>
    <row r="287" ht="15.75" customHeight="1">
      <c r="B287" s="3">
        <f>IFERROR(__xludf.DUMMYFUNCTION("""COMPUTED_VALUE"""),40263.645833333336)</f>
        <v>40263.64583</v>
      </c>
      <c r="C287" s="2">
        <f>IFERROR(__xludf.DUMMYFUNCTION("""COMPUTED_VALUE"""),997.5)</f>
        <v>997.5</v>
      </c>
    </row>
    <row r="288" ht="15.75" customHeight="1">
      <c r="B288" s="3">
        <f>IFERROR(__xludf.DUMMYFUNCTION("""COMPUTED_VALUE"""),40269.645833333336)</f>
        <v>40269.64583</v>
      </c>
      <c r="C288" s="2">
        <f>IFERROR(__xludf.DUMMYFUNCTION("""COMPUTED_VALUE"""),1027.47)</f>
        <v>1027.47</v>
      </c>
    </row>
    <row r="289" ht="15.75" customHeight="1">
      <c r="B289" s="3">
        <f>IFERROR(__xludf.DUMMYFUNCTION("""COMPUTED_VALUE"""),40277.645833333336)</f>
        <v>40277.64583</v>
      </c>
      <c r="C289" s="2">
        <f>IFERROR(__xludf.DUMMYFUNCTION("""COMPUTED_VALUE"""),1056.95)</f>
        <v>1056.95</v>
      </c>
    </row>
    <row r="290" ht="15.75" customHeight="1">
      <c r="B290" s="3">
        <f>IFERROR(__xludf.DUMMYFUNCTION("""COMPUTED_VALUE"""),40284.645833333336)</f>
        <v>40284.64583</v>
      </c>
      <c r="C290" s="2">
        <f>IFERROR(__xludf.DUMMYFUNCTION("""COMPUTED_VALUE"""),1061.35)</f>
        <v>1061.35</v>
      </c>
    </row>
    <row r="291" ht="15.75" customHeight="1">
      <c r="B291" s="3">
        <f>IFERROR(__xludf.DUMMYFUNCTION("""COMPUTED_VALUE"""),40291.645833333336)</f>
        <v>40291.64583</v>
      </c>
      <c r="C291" s="2">
        <f>IFERROR(__xludf.DUMMYFUNCTION("""COMPUTED_VALUE"""),1066.85)</f>
        <v>1066.85</v>
      </c>
    </row>
    <row r="292" ht="15.75" customHeight="1">
      <c r="B292" s="3">
        <f>IFERROR(__xludf.DUMMYFUNCTION("""COMPUTED_VALUE"""),40298.645833333336)</f>
        <v>40298.64583</v>
      </c>
      <c r="C292" s="2">
        <f>IFERROR(__xludf.DUMMYFUNCTION("""COMPUTED_VALUE"""),1062.5)</f>
        <v>1062.5</v>
      </c>
    </row>
    <row r="293" ht="15.75" customHeight="1">
      <c r="B293" s="3">
        <f>IFERROR(__xludf.DUMMYFUNCTION("""COMPUTED_VALUE"""),40305.645833333336)</f>
        <v>40305.64583</v>
      </c>
      <c r="C293" s="2">
        <f>IFERROR(__xludf.DUMMYFUNCTION("""COMPUTED_VALUE"""),1069.5)</f>
        <v>1069.5</v>
      </c>
    </row>
    <row r="294" ht="15.75" customHeight="1">
      <c r="B294" s="3">
        <f>IFERROR(__xludf.DUMMYFUNCTION("""COMPUTED_VALUE"""),40312.645833333336)</f>
        <v>40312.64583</v>
      </c>
      <c r="C294" s="2">
        <f>IFERROR(__xludf.DUMMYFUNCTION("""COMPUTED_VALUE"""),1111.7)</f>
        <v>1111.7</v>
      </c>
    </row>
    <row r="295" ht="15.75" customHeight="1">
      <c r="B295" s="3">
        <f>IFERROR(__xludf.DUMMYFUNCTION("""COMPUTED_VALUE"""),40319.645833333336)</f>
        <v>40319.64583</v>
      </c>
      <c r="C295" s="2">
        <f>IFERROR(__xludf.DUMMYFUNCTION("""COMPUTED_VALUE"""),1094.88)</f>
        <v>1094.88</v>
      </c>
    </row>
    <row r="296" ht="15.75" customHeight="1">
      <c r="B296" s="3">
        <f>IFERROR(__xludf.DUMMYFUNCTION("""COMPUTED_VALUE"""),40326.645833333336)</f>
        <v>40326.64583</v>
      </c>
      <c r="C296" s="2">
        <f>IFERROR(__xludf.DUMMYFUNCTION("""COMPUTED_VALUE"""),1095.0)</f>
        <v>1095</v>
      </c>
    </row>
    <row r="297" ht="15.75" customHeight="1">
      <c r="B297" s="3">
        <f>IFERROR(__xludf.DUMMYFUNCTION("""COMPUTED_VALUE"""),40333.645833333336)</f>
        <v>40333.64583</v>
      </c>
      <c r="C297" s="2">
        <f>IFERROR(__xludf.DUMMYFUNCTION("""COMPUTED_VALUE"""),1123.0)</f>
        <v>1123</v>
      </c>
    </row>
    <row r="298" ht="15.75" customHeight="1">
      <c r="B298" s="3">
        <f>IFERROR(__xludf.DUMMYFUNCTION("""COMPUTED_VALUE"""),40340.645833333336)</f>
        <v>40340.64583</v>
      </c>
      <c r="C298" s="2">
        <f>IFERROR(__xludf.DUMMYFUNCTION("""COMPUTED_VALUE"""),1151.5)</f>
        <v>1151.5</v>
      </c>
    </row>
    <row r="299" ht="15.75" customHeight="1">
      <c r="B299" s="3">
        <f>IFERROR(__xludf.DUMMYFUNCTION("""COMPUTED_VALUE"""),40347.645833333336)</f>
        <v>40347.64583</v>
      </c>
      <c r="C299" s="2">
        <f>IFERROR(__xludf.DUMMYFUNCTION("""COMPUTED_VALUE"""),1157.5)</f>
        <v>1157.5</v>
      </c>
    </row>
    <row r="300" ht="15.75" customHeight="1">
      <c r="B300" s="3">
        <f>IFERROR(__xludf.DUMMYFUNCTION("""COMPUTED_VALUE"""),40354.645833333336)</f>
        <v>40354.64583</v>
      </c>
      <c r="C300" s="2">
        <f>IFERROR(__xludf.DUMMYFUNCTION("""COMPUTED_VALUE"""),1223.55)</f>
        <v>1223.55</v>
      </c>
    </row>
    <row r="301" ht="15.75" customHeight="1">
      <c r="B301" s="3">
        <f>IFERROR(__xludf.DUMMYFUNCTION("""COMPUTED_VALUE"""),40361.645833333336)</f>
        <v>40361.64583</v>
      </c>
      <c r="C301" s="2">
        <f>IFERROR(__xludf.DUMMYFUNCTION("""COMPUTED_VALUE"""),1254.4)</f>
        <v>1254.4</v>
      </c>
    </row>
    <row r="302" ht="15.75" customHeight="1">
      <c r="B302" s="3">
        <f>IFERROR(__xludf.DUMMYFUNCTION("""COMPUTED_VALUE"""),40368.645833333336)</f>
        <v>40368.64583</v>
      </c>
      <c r="C302" s="2">
        <f>IFERROR(__xludf.DUMMYFUNCTION("""COMPUTED_VALUE"""),1248.75)</f>
        <v>1248.75</v>
      </c>
    </row>
    <row r="303" ht="15.75" customHeight="1">
      <c r="B303" s="3">
        <f>IFERROR(__xludf.DUMMYFUNCTION("""COMPUTED_VALUE"""),40375.645833333336)</f>
        <v>40375.64583</v>
      </c>
      <c r="C303" s="2">
        <f>IFERROR(__xludf.DUMMYFUNCTION("""COMPUTED_VALUE"""),1262.5)</f>
        <v>1262.5</v>
      </c>
    </row>
    <row r="304" ht="15.75" customHeight="1">
      <c r="B304" s="3">
        <f>IFERROR(__xludf.DUMMYFUNCTION("""COMPUTED_VALUE"""),40382.645833333336)</f>
        <v>40382.64583</v>
      </c>
      <c r="C304" s="2">
        <f>IFERROR(__xludf.DUMMYFUNCTION("""COMPUTED_VALUE"""),1262.45)</f>
        <v>1262.45</v>
      </c>
    </row>
    <row r="305" ht="15.75" customHeight="1">
      <c r="B305" s="3">
        <f>IFERROR(__xludf.DUMMYFUNCTION("""COMPUTED_VALUE"""),40389.645833333336)</f>
        <v>40389.64583</v>
      </c>
      <c r="C305" s="2">
        <f>IFERROR(__xludf.DUMMYFUNCTION("""COMPUTED_VALUE"""),1367.43)</f>
        <v>1367.43</v>
      </c>
    </row>
    <row r="306" ht="15.75" customHeight="1">
      <c r="B306" s="3">
        <f>IFERROR(__xludf.DUMMYFUNCTION("""COMPUTED_VALUE"""),40396.645833333336)</f>
        <v>40396.64583</v>
      </c>
      <c r="C306" s="2">
        <f>IFERROR(__xludf.DUMMYFUNCTION("""COMPUTED_VALUE"""),1382.5)</f>
        <v>1382.5</v>
      </c>
    </row>
    <row r="307" ht="15.75" customHeight="1">
      <c r="B307" s="3">
        <f>IFERROR(__xludf.DUMMYFUNCTION("""COMPUTED_VALUE"""),40403.645833333336)</f>
        <v>40403.64583</v>
      </c>
      <c r="C307" s="2">
        <f>IFERROR(__xludf.DUMMYFUNCTION("""COMPUTED_VALUE"""),1372.5)</f>
        <v>1372.5</v>
      </c>
    </row>
    <row r="308" ht="15.75" customHeight="1">
      <c r="B308" s="3">
        <f>IFERROR(__xludf.DUMMYFUNCTION("""COMPUTED_VALUE"""),40410.645833333336)</f>
        <v>40410.64583</v>
      </c>
      <c r="C308" s="2">
        <f>IFERROR(__xludf.DUMMYFUNCTION("""COMPUTED_VALUE"""),1409.3)</f>
        <v>1409.3</v>
      </c>
    </row>
    <row r="309" ht="15.75" customHeight="1">
      <c r="B309" s="3">
        <f>IFERROR(__xludf.DUMMYFUNCTION("""COMPUTED_VALUE"""),40417.645833333336)</f>
        <v>40417.64583</v>
      </c>
      <c r="C309" s="2">
        <f>IFERROR(__xludf.DUMMYFUNCTION("""COMPUTED_VALUE"""),1431.48)</f>
        <v>1431.48</v>
      </c>
    </row>
    <row r="310" ht="15.75" customHeight="1">
      <c r="B310" s="3">
        <f>IFERROR(__xludf.DUMMYFUNCTION("""COMPUTED_VALUE"""),40424.645833333336)</f>
        <v>40424.64583</v>
      </c>
      <c r="C310" s="2">
        <f>IFERROR(__xludf.DUMMYFUNCTION("""COMPUTED_VALUE"""),1444.95)</f>
        <v>1444.95</v>
      </c>
    </row>
    <row r="311" ht="15.75" customHeight="1">
      <c r="B311" s="3">
        <f>IFERROR(__xludf.DUMMYFUNCTION("""COMPUTED_VALUE"""),40430.645833333336)</f>
        <v>40430.64583</v>
      </c>
      <c r="C311" s="2">
        <f>IFERROR(__xludf.DUMMYFUNCTION("""COMPUTED_VALUE"""),1535.0)</f>
        <v>1535</v>
      </c>
    </row>
    <row r="312" ht="15.75" customHeight="1">
      <c r="B312" s="3">
        <f>IFERROR(__xludf.DUMMYFUNCTION("""COMPUTED_VALUE"""),40438.645833333336)</f>
        <v>40438.64583</v>
      </c>
      <c r="C312" s="2">
        <f>IFERROR(__xludf.DUMMYFUNCTION("""COMPUTED_VALUE"""),1512.35)</f>
        <v>1512.35</v>
      </c>
    </row>
    <row r="313" ht="15.75" customHeight="1">
      <c r="B313" s="3">
        <f>IFERROR(__xludf.DUMMYFUNCTION("""COMPUTED_VALUE"""),40445.645833333336)</f>
        <v>40445.64583</v>
      </c>
      <c r="C313" s="2">
        <f>IFERROR(__xludf.DUMMYFUNCTION("""COMPUTED_VALUE"""),1478.0)</f>
        <v>1478</v>
      </c>
    </row>
    <row r="314" ht="15.75" customHeight="1">
      <c r="B314" s="3">
        <f>IFERROR(__xludf.DUMMYFUNCTION("""COMPUTED_VALUE"""),40452.645833333336)</f>
        <v>40452.64583</v>
      </c>
      <c r="C314" s="2">
        <f>IFERROR(__xludf.DUMMYFUNCTION("""COMPUTED_VALUE"""),1553.7)</f>
        <v>1553.7</v>
      </c>
    </row>
    <row r="315" ht="15.75" customHeight="1">
      <c r="B315" s="3">
        <f>IFERROR(__xludf.DUMMYFUNCTION("""COMPUTED_VALUE"""),40459.645833333336)</f>
        <v>40459.64583</v>
      </c>
      <c r="C315" s="2">
        <f>IFERROR(__xludf.DUMMYFUNCTION("""COMPUTED_VALUE"""),1615.0)</f>
        <v>1615</v>
      </c>
    </row>
    <row r="316" ht="15.75" customHeight="1">
      <c r="B316" s="3">
        <f>IFERROR(__xludf.DUMMYFUNCTION("""COMPUTED_VALUE"""),40466.645833333336)</f>
        <v>40466.64583</v>
      </c>
      <c r="C316" s="2">
        <f>IFERROR(__xludf.DUMMYFUNCTION("""COMPUTED_VALUE"""),1574.9)</f>
        <v>1574.9</v>
      </c>
    </row>
    <row r="317" ht="15.75" customHeight="1">
      <c r="B317" s="3">
        <f>IFERROR(__xludf.DUMMYFUNCTION("""COMPUTED_VALUE"""),40473.645833333336)</f>
        <v>40473.64583</v>
      </c>
      <c r="C317" s="2">
        <f>IFERROR(__xludf.DUMMYFUNCTION("""COMPUTED_VALUE"""),1554.5)</f>
        <v>1554.5</v>
      </c>
    </row>
    <row r="318" ht="15.75" customHeight="1">
      <c r="B318" s="3">
        <f>IFERROR(__xludf.DUMMYFUNCTION("""COMPUTED_VALUE"""),40480.645833333336)</f>
        <v>40480.64583</v>
      </c>
      <c r="C318" s="2">
        <f>IFERROR(__xludf.DUMMYFUNCTION("""COMPUTED_VALUE"""),1525.0)</f>
        <v>1525</v>
      </c>
    </row>
    <row r="319" ht="15.75" customHeight="1">
      <c r="B319" s="3">
        <f>IFERROR(__xludf.DUMMYFUNCTION("""COMPUTED_VALUE"""),40487.645833333336)</f>
        <v>40487.64583</v>
      </c>
      <c r="C319" s="2">
        <f>IFERROR(__xludf.DUMMYFUNCTION("""COMPUTED_VALUE"""),1622.0)</f>
        <v>1622</v>
      </c>
    </row>
    <row r="320" ht="15.75" customHeight="1">
      <c r="B320" s="3">
        <f>IFERROR(__xludf.DUMMYFUNCTION("""COMPUTED_VALUE"""),40494.645833333336)</f>
        <v>40494.64583</v>
      </c>
      <c r="C320" s="2">
        <f>IFERROR(__xludf.DUMMYFUNCTION("""COMPUTED_VALUE"""),1630.0)</f>
        <v>1630</v>
      </c>
    </row>
    <row r="321" ht="15.75" customHeight="1">
      <c r="B321" s="3">
        <f>IFERROR(__xludf.DUMMYFUNCTION("""COMPUTED_VALUE"""),40501.645833333336)</f>
        <v>40501.64583</v>
      </c>
      <c r="C321" s="2">
        <f>IFERROR(__xludf.DUMMYFUNCTION("""COMPUTED_VALUE"""),1614.0)</f>
        <v>1614</v>
      </c>
    </row>
    <row r="322" ht="15.75" customHeight="1">
      <c r="B322" s="3">
        <f>IFERROR(__xludf.DUMMYFUNCTION("""COMPUTED_VALUE"""),40508.645833333336)</f>
        <v>40508.64583</v>
      </c>
      <c r="C322" s="2">
        <f>IFERROR(__xludf.DUMMYFUNCTION("""COMPUTED_VALUE"""),1665.0)</f>
        <v>1665</v>
      </c>
    </row>
    <row r="323" ht="15.75" customHeight="1">
      <c r="B323" s="3">
        <f>IFERROR(__xludf.DUMMYFUNCTION("""COMPUTED_VALUE"""),40515.645833333336)</f>
        <v>40515.64583</v>
      </c>
      <c r="C323" s="2">
        <f>IFERROR(__xludf.DUMMYFUNCTION("""COMPUTED_VALUE"""),1616.05)</f>
        <v>1616.05</v>
      </c>
    </row>
    <row r="324" ht="15.75" customHeight="1">
      <c r="B324" s="3">
        <f>IFERROR(__xludf.DUMMYFUNCTION("""COMPUTED_VALUE"""),40522.645833333336)</f>
        <v>40522.64583</v>
      </c>
      <c r="C324" s="2">
        <f>IFERROR(__xludf.DUMMYFUNCTION("""COMPUTED_VALUE"""),1623.9)</f>
        <v>1623.9</v>
      </c>
    </row>
    <row r="325" ht="15.75" customHeight="1">
      <c r="B325" s="3">
        <f>IFERROR(__xludf.DUMMYFUNCTION("""COMPUTED_VALUE"""),40528.645833333336)</f>
        <v>40528.64583</v>
      </c>
      <c r="C325" s="2">
        <f>IFERROR(__xludf.DUMMYFUNCTION("""COMPUTED_VALUE"""),1506.8)</f>
        <v>1506.8</v>
      </c>
    </row>
    <row r="326" ht="15.75" customHeight="1">
      <c r="B326" s="3">
        <f>IFERROR(__xludf.DUMMYFUNCTION("""COMPUTED_VALUE"""),40536.645833333336)</f>
        <v>40536.64583</v>
      </c>
      <c r="C326" s="2">
        <f>IFERROR(__xludf.DUMMYFUNCTION("""COMPUTED_VALUE"""),1487.0)</f>
        <v>1487</v>
      </c>
    </row>
    <row r="327" ht="15.75" customHeight="1">
      <c r="B327" s="3">
        <f>IFERROR(__xludf.DUMMYFUNCTION("""COMPUTED_VALUE"""),40543.645833333336)</f>
        <v>40543.64583</v>
      </c>
      <c r="C327" s="2">
        <f>IFERROR(__xludf.DUMMYFUNCTION("""COMPUTED_VALUE"""),1549.0)</f>
        <v>1549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IFERROR(__xludf.DUMMYFUNCTION("GOOGLEFINANCE(""NSE:BAJAJ-AUTO"", ""high"",DATE(2011,1,1),DATE(2012,1,1),""weekly"")"),"Date")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IFERROR(__xludf.DUMMYFUNCTION("""COMPUTED_VALUE"""),40550.645833333336)</f>
        <v>40550.64583</v>
      </c>
      <c r="C332" s="2">
        <f>IFERROR(__xludf.DUMMYFUNCTION("""COMPUTED_VALUE"""),1564.65)</f>
        <v>1564.65</v>
      </c>
    </row>
    <row r="333" ht="15.75" customHeight="1">
      <c r="B333" s="3">
        <f>IFERROR(__xludf.DUMMYFUNCTION("""COMPUTED_VALUE"""),40557.645833333336)</f>
        <v>40557.64583</v>
      </c>
      <c r="C333" s="2">
        <f>IFERROR(__xludf.DUMMYFUNCTION("""COMPUTED_VALUE"""),1331.85)</f>
        <v>1331.85</v>
      </c>
    </row>
    <row r="334" ht="15.75" customHeight="1">
      <c r="B334" s="3">
        <f>IFERROR(__xludf.DUMMYFUNCTION("""COMPUTED_VALUE"""),40564.645833333336)</f>
        <v>40564.64583</v>
      </c>
      <c r="C334" s="2">
        <f>IFERROR(__xludf.DUMMYFUNCTION("""COMPUTED_VALUE"""),1340.0)</f>
        <v>1340</v>
      </c>
    </row>
    <row r="335" ht="15.75" customHeight="1">
      <c r="B335" s="3">
        <f>IFERROR(__xludf.DUMMYFUNCTION("""COMPUTED_VALUE"""),40571.645833333336)</f>
        <v>40571.64583</v>
      </c>
      <c r="C335" s="2">
        <f>IFERROR(__xludf.DUMMYFUNCTION("""COMPUTED_VALUE"""),1338.7)</f>
        <v>1338.7</v>
      </c>
    </row>
    <row r="336" ht="15.75" customHeight="1">
      <c r="B336" s="3">
        <f>IFERROR(__xludf.DUMMYFUNCTION("""COMPUTED_VALUE"""),40578.645833333336)</f>
        <v>40578.64583</v>
      </c>
      <c r="C336" s="2">
        <f>IFERROR(__xludf.DUMMYFUNCTION("""COMPUTED_VALUE"""),1274.4)</f>
        <v>1274.4</v>
      </c>
    </row>
    <row r="337" ht="15.75" customHeight="1">
      <c r="B337" s="3">
        <f>IFERROR(__xludf.DUMMYFUNCTION("""COMPUTED_VALUE"""),40585.645833333336)</f>
        <v>40585.64583</v>
      </c>
      <c r="C337" s="2">
        <f>IFERROR(__xludf.DUMMYFUNCTION("""COMPUTED_VALUE"""),1269.0)</f>
        <v>1269</v>
      </c>
    </row>
    <row r="338" ht="15.75" customHeight="1">
      <c r="B338" s="3">
        <f>IFERROR(__xludf.DUMMYFUNCTION("""COMPUTED_VALUE"""),40592.645833333336)</f>
        <v>40592.64583</v>
      </c>
      <c r="C338" s="2">
        <f>IFERROR(__xludf.DUMMYFUNCTION("""COMPUTED_VALUE"""),1558.15)</f>
        <v>1558.15</v>
      </c>
    </row>
    <row r="339" ht="15.75" customHeight="1">
      <c r="B339" s="3">
        <f>IFERROR(__xludf.DUMMYFUNCTION("""COMPUTED_VALUE"""),40599.645833333336)</f>
        <v>40599.64583</v>
      </c>
      <c r="C339" s="2">
        <f>IFERROR(__xludf.DUMMYFUNCTION("""COMPUTED_VALUE"""),1352.2)</f>
        <v>1352.2</v>
      </c>
    </row>
    <row r="340" ht="15.75" customHeight="1">
      <c r="B340" s="3">
        <f>IFERROR(__xludf.DUMMYFUNCTION("""COMPUTED_VALUE"""),40606.645833333336)</f>
        <v>40606.64583</v>
      </c>
      <c r="C340" s="2">
        <f>IFERROR(__xludf.DUMMYFUNCTION("""COMPUTED_VALUE"""),1389.0)</f>
        <v>1389</v>
      </c>
    </row>
    <row r="341" ht="15.75" customHeight="1">
      <c r="B341" s="3">
        <f>IFERROR(__xludf.DUMMYFUNCTION("""COMPUTED_VALUE"""),40613.645833333336)</f>
        <v>40613.64583</v>
      </c>
      <c r="C341" s="2">
        <f>IFERROR(__xludf.DUMMYFUNCTION("""COMPUTED_VALUE"""),1419.9)</f>
        <v>1419.9</v>
      </c>
    </row>
    <row r="342" ht="15.75" customHeight="1">
      <c r="B342" s="3">
        <f>IFERROR(__xludf.DUMMYFUNCTION("""COMPUTED_VALUE"""),40620.645833333336)</f>
        <v>40620.64583</v>
      </c>
      <c r="C342" s="2">
        <f>IFERROR(__xludf.DUMMYFUNCTION("""COMPUTED_VALUE"""),1392.9)</f>
        <v>1392.9</v>
      </c>
    </row>
    <row r="343" ht="15.75" customHeight="1">
      <c r="B343" s="3">
        <f>IFERROR(__xludf.DUMMYFUNCTION("""COMPUTED_VALUE"""),40627.645833333336)</f>
        <v>40627.64583</v>
      </c>
      <c r="C343" s="2">
        <f>IFERROR(__xludf.DUMMYFUNCTION("""COMPUTED_VALUE"""),1386.5)</f>
        <v>1386.5</v>
      </c>
    </row>
    <row r="344" ht="15.75" customHeight="1">
      <c r="B344" s="3">
        <f>IFERROR(__xludf.DUMMYFUNCTION("""COMPUTED_VALUE"""),40634.645833333336)</f>
        <v>40634.64583</v>
      </c>
      <c r="C344" s="2">
        <f>IFERROR(__xludf.DUMMYFUNCTION("""COMPUTED_VALUE"""),1481.9)</f>
        <v>1481.9</v>
      </c>
    </row>
    <row r="345" ht="15.75" customHeight="1">
      <c r="B345" s="3">
        <f>IFERROR(__xludf.DUMMYFUNCTION("""COMPUTED_VALUE"""),40641.645833333336)</f>
        <v>40641.64583</v>
      </c>
      <c r="C345" s="2">
        <f>IFERROR(__xludf.DUMMYFUNCTION("""COMPUTED_VALUE"""),1474.4)</f>
        <v>1474.4</v>
      </c>
    </row>
    <row r="346" ht="15.75" customHeight="1">
      <c r="B346" s="3">
        <f>IFERROR(__xludf.DUMMYFUNCTION("""COMPUTED_VALUE"""),40648.645833333336)</f>
        <v>40648.64583</v>
      </c>
      <c r="C346" s="2">
        <f>IFERROR(__xludf.DUMMYFUNCTION("""COMPUTED_VALUE"""),1425.0)</f>
        <v>1425</v>
      </c>
    </row>
    <row r="347" ht="15.75" customHeight="1">
      <c r="B347" s="3">
        <f>IFERROR(__xludf.DUMMYFUNCTION("""COMPUTED_VALUE"""),40654.645833333336)</f>
        <v>40654.64583</v>
      </c>
      <c r="C347" s="2">
        <f>IFERROR(__xludf.DUMMYFUNCTION("""COMPUTED_VALUE"""),1484.15)</f>
        <v>1484.15</v>
      </c>
    </row>
    <row r="348" ht="15.75" customHeight="1">
      <c r="B348" s="3">
        <f>IFERROR(__xludf.DUMMYFUNCTION("""COMPUTED_VALUE"""),40662.645833333336)</f>
        <v>40662.64583</v>
      </c>
      <c r="C348" s="2">
        <f>IFERROR(__xludf.DUMMYFUNCTION("""COMPUTED_VALUE"""),1500.5)</f>
        <v>1500.5</v>
      </c>
    </row>
    <row r="349" ht="15.75" customHeight="1">
      <c r="B349" s="3">
        <f>IFERROR(__xludf.DUMMYFUNCTION("""COMPUTED_VALUE"""),40669.645833333336)</f>
        <v>40669.64583</v>
      </c>
      <c r="C349" s="2">
        <f>IFERROR(__xludf.DUMMYFUNCTION("""COMPUTED_VALUE"""),1496.35)</f>
        <v>1496.35</v>
      </c>
    </row>
    <row r="350" ht="15.75" customHeight="1">
      <c r="B350" s="3">
        <f>IFERROR(__xludf.DUMMYFUNCTION("""COMPUTED_VALUE"""),40676.645833333336)</f>
        <v>40676.64583</v>
      </c>
      <c r="C350" s="2">
        <f>IFERROR(__xludf.DUMMYFUNCTION("""COMPUTED_VALUE"""),1363.0)</f>
        <v>1363</v>
      </c>
    </row>
    <row r="351" ht="15.75" customHeight="1">
      <c r="B351" s="3">
        <f>IFERROR(__xludf.DUMMYFUNCTION("""COMPUTED_VALUE"""),40683.645833333336)</f>
        <v>40683.64583</v>
      </c>
      <c r="C351" s="2">
        <f>IFERROR(__xludf.DUMMYFUNCTION("""COMPUTED_VALUE"""),1335.4)</f>
        <v>1335.4</v>
      </c>
    </row>
    <row r="352" ht="15.75" customHeight="1">
      <c r="B352" s="3">
        <f>IFERROR(__xludf.DUMMYFUNCTION("""COMPUTED_VALUE"""),40690.645833333336)</f>
        <v>40690.64583</v>
      </c>
      <c r="C352" s="2">
        <f>IFERROR(__xludf.DUMMYFUNCTION("""COMPUTED_VALUE"""),1327.0)</f>
        <v>1327</v>
      </c>
    </row>
    <row r="353" ht="15.75" customHeight="1">
      <c r="B353" s="3">
        <f>IFERROR(__xludf.DUMMYFUNCTION("""COMPUTED_VALUE"""),40697.645833333336)</f>
        <v>40697.64583</v>
      </c>
      <c r="C353" s="2">
        <f>IFERROR(__xludf.DUMMYFUNCTION("""COMPUTED_VALUE"""),1389.0)</f>
        <v>1389</v>
      </c>
    </row>
    <row r="354" ht="15.75" customHeight="1">
      <c r="B354" s="3">
        <f>IFERROR(__xludf.DUMMYFUNCTION("""COMPUTED_VALUE"""),40704.645833333336)</f>
        <v>40704.64583</v>
      </c>
      <c r="C354" s="2">
        <f>IFERROR(__xludf.DUMMYFUNCTION("""COMPUTED_VALUE"""),1368.9)</f>
        <v>1368.9</v>
      </c>
    </row>
    <row r="355" ht="15.75" customHeight="1">
      <c r="B355" s="3">
        <f>IFERROR(__xludf.DUMMYFUNCTION("""COMPUTED_VALUE"""),40711.645833333336)</f>
        <v>40711.64583</v>
      </c>
      <c r="C355" s="2">
        <f>IFERROR(__xludf.DUMMYFUNCTION("""COMPUTED_VALUE"""),1379.2)</f>
        <v>1379.2</v>
      </c>
    </row>
    <row r="356" ht="15.75" customHeight="1">
      <c r="B356" s="3">
        <f>IFERROR(__xludf.DUMMYFUNCTION("""COMPUTED_VALUE"""),40718.645833333336)</f>
        <v>40718.64583</v>
      </c>
      <c r="C356" s="2">
        <f>IFERROR(__xludf.DUMMYFUNCTION("""COMPUTED_VALUE"""),1399.85)</f>
        <v>1399.85</v>
      </c>
    </row>
    <row r="357" ht="15.75" customHeight="1">
      <c r="B357" s="3">
        <f>IFERROR(__xludf.DUMMYFUNCTION("""COMPUTED_VALUE"""),40725.645833333336)</f>
        <v>40725.64583</v>
      </c>
      <c r="C357" s="2">
        <f>IFERROR(__xludf.DUMMYFUNCTION("""COMPUTED_VALUE"""),1444.0)</f>
        <v>1444</v>
      </c>
    </row>
    <row r="358" ht="15.75" customHeight="1">
      <c r="B358" s="3">
        <f>IFERROR(__xludf.DUMMYFUNCTION("""COMPUTED_VALUE"""),40732.645833333336)</f>
        <v>40732.64583</v>
      </c>
      <c r="C358" s="2">
        <f>IFERROR(__xludf.DUMMYFUNCTION("""COMPUTED_VALUE"""),1476.5)</f>
        <v>1476.5</v>
      </c>
    </row>
    <row r="359" ht="15.75" customHeight="1">
      <c r="B359" s="3">
        <f>IFERROR(__xludf.DUMMYFUNCTION("""COMPUTED_VALUE"""),40739.645833333336)</f>
        <v>40739.64583</v>
      </c>
      <c r="C359" s="2">
        <f>IFERROR(__xludf.DUMMYFUNCTION("""COMPUTED_VALUE"""),1463.2)</f>
        <v>1463.2</v>
      </c>
    </row>
    <row r="360" ht="15.75" customHeight="1">
      <c r="B360" s="3">
        <f>IFERROR(__xludf.DUMMYFUNCTION("""COMPUTED_VALUE"""),40746.645833333336)</f>
        <v>40746.64583</v>
      </c>
      <c r="C360" s="2">
        <f>IFERROR(__xludf.DUMMYFUNCTION("""COMPUTED_VALUE"""),1450.2)</f>
        <v>1450.2</v>
      </c>
    </row>
    <row r="361" ht="15.75" customHeight="1">
      <c r="B361" s="3">
        <f>IFERROR(__xludf.DUMMYFUNCTION("""COMPUTED_VALUE"""),40753.645833333336)</f>
        <v>40753.64583</v>
      </c>
      <c r="C361" s="2">
        <f>IFERROR(__xludf.DUMMYFUNCTION("""COMPUTED_VALUE"""),1482.0)</f>
        <v>1482</v>
      </c>
    </row>
    <row r="362" ht="15.75" customHeight="1">
      <c r="B362" s="3">
        <f>IFERROR(__xludf.DUMMYFUNCTION("""COMPUTED_VALUE"""),40760.645833333336)</f>
        <v>40760.64583</v>
      </c>
      <c r="C362" s="2">
        <f>IFERROR(__xludf.DUMMYFUNCTION("""COMPUTED_VALUE"""),1504.85)</f>
        <v>1504.85</v>
      </c>
    </row>
    <row r="363" ht="15.75" customHeight="1">
      <c r="B363" s="3">
        <f>IFERROR(__xludf.DUMMYFUNCTION("""COMPUTED_VALUE"""),40767.645833333336)</f>
        <v>40767.64583</v>
      </c>
      <c r="C363" s="2">
        <f>IFERROR(__xludf.DUMMYFUNCTION("""COMPUTED_VALUE"""),1493.65)</f>
        <v>1493.65</v>
      </c>
    </row>
    <row r="364" ht="15.75" customHeight="1">
      <c r="B364" s="3">
        <f>IFERROR(__xludf.DUMMYFUNCTION("""COMPUTED_VALUE"""),40774.645833333336)</f>
        <v>40774.64583</v>
      </c>
      <c r="C364" s="2">
        <f>IFERROR(__xludf.DUMMYFUNCTION("""COMPUTED_VALUE"""),1473.05)</f>
        <v>1473.05</v>
      </c>
    </row>
    <row r="365" ht="15.75" customHeight="1">
      <c r="B365" s="3">
        <f>IFERROR(__xludf.DUMMYFUNCTION("""COMPUTED_VALUE"""),40781.645833333336)</f>
        <v>40781.64583</v>
      </c>
      <c r="C365" s="2">
        <f>IFERROR(__xludf.DUMMYFUNCTION("""COMPUTED_VALUE"""),1570.5)</f>
        <v>1570.5</v>
      </c>
    </row>
    <row r="366" ht="15.75" customHeight="1">
      <c r="B366" s="3">
        <f>IFERROR(__xludf.DUMMYFUNCTION("""COMPUTED_VALUE"""),40788.645833333336)</f>
        <v>40788.64583</v>
      </c>
      <c r="C366" s="2">
        <f>IFERROR(__xludf.DUMMYFUNCTION("""COMPUTED_VALUE"""),1639.5)</f>
        <v>1639.5</v>
      </c>
    </row>
    <row r="367" ht="15.75" customHeight="1">
      <c r="B367" s="3">
        <f>IFERROR(__xludf.DUMMYFUNCTION("""COMPUTED_VALUE"""),40795.645833333336)</f>
        <v>40795.64583</v>
      </c>
      <c r="C367" s="2">
        <f>IFERROR(__xludf.DUMMYFUNCTION("""COMPUTED_VALUE"""),1694.85)</f>
        <v>1694.85</v>
      </c>
    </row>
    <row r="368" ht="15.75" customHeight="1">
      <c r="B368" s="3">
        <f>IFERROR(__xludf.DUMMYFUNCTION("""COMPUTED_VALUE"""),40802.645833333336)</f>
        <v>40802.64583</v>
      </c>
      <c r="C368" s="2">
        <f>IFERROR(__xludf.DUMMYFUNCTION("""COMPUTED_VALUE"""),1642.6)</f>
        <v>1642.6</v>
      </c>
    </row>
    <row r="369" ht="15.75" customHeight="1">
      <c r="B369" s="3">
        <f>IFERROR(__xludf.DUMMYFUNCTION("""COMPUTED_VALUE"""),40809.645833333336)</f>
        <v>40809.64583</v>
      </c>
      <c r="C369" s="2">
        <f>IFERROR(__xludf.DUMMYFUNCTION("""COMPUTED_VALUE"""),1633.5)</f>
        <v>1633.5</v>
      </c>
    </row>
    <row r="370" ht="15.75" customHeight="1">
      <c r="B370" s="3">
        <f>IFERROR(__xludf.DUMMYFUNCTION("""COMPUTED_VALUE"""),40816.645833333336)</f>
        <v>40816.64583</v>
      </c>
      <c r="C370" s="2">
        <f>IFERROR(__xludf.DUMMYFUNCTION("""COMPUTED_VALUE"""),1565.45)</f>
        <v>1565.45</v>
      </c>
    </row>
    <row r="371" ht="15.75" customHeight="1">
      <c r="B371" s="3">
        <f>IFERROR(__xludf.DUMMYFUNCTION("""COMPUTED_VALUE"""),40823.645833333336)</f>
        <v>40823.64583</v>
      </c>
      <c r="C371" s="2">
        <f>IFERROR(__xludf.DUMMYFUNCTION("""COMPUTED_VALUE"""),1548.9)</f>
        <v>1548.9</v>
      </c>
    </row>
    <row r="372" ht="15.75" customHeight="1">
      <c r="B372" s="3">
        <f>IFERROR(__xludf.DUMMYFUNCTION("""COMPUTED_VALUE"""),40830.645833333336)</f>
        <v>40830.64583</v>
      </c>
      <c r="C372" s="2">
        <f>IFERROR(__xludf.DUMMYFUNCTION("""COMPUTED_VALUE"""),1639.95)</f>
        <v>1639.95</v>
      </c>
    </row>
    <row r="373" ht="15.75" customHeight="1">
      <c r="B373" s="3">
        <f>IFERROR(__xludf.DUMMYFUNCTION("""COMPUTED_VALUE"""),40837.645833333336)</f>
        <v>40837.64583</v>
      </c>
      <c r="C373" s="2">
        <f>IFERROR(__xludf.DUMMYFUNCTION("""COMPUTED_VALUE"""),1662.65)</f>
        <v>1662.65</v>
      </c>
    </row>
    <row r="374" ht="15.75" customHeight="1">
      <c r="B374" s="3">
        <f>IFERROR(__xludf.DUMMYFUNCTION("""COMPUTED_VALUE"""),40844.645833333336)</f>
        <v>40844.64583</v>
      </c>
      <c r="C374" s="2">
        <f>IFERROR(__xludf.DUMMYFUNCTION("""COMPUTED_VALUE"""),1823.55)</f>
        <v>1823.55</v>
      </c>
    </row>
    <row r="375" ht="15.75" customHeight="1">
      <c r="B375" s="3">
        <f>IFERROR(__xludf.DUMMYFUNCTION("""COMPUTED_VALUE"""),40851.645833333336)</f>
        <v>40851.64583</v>
      </c>
      <c r="C375" s="2">
        <f>IFERROR(__xludf.DUMMYFUNCTION("""COMPUTED_VALUE"""),1769.65)</f>
        <v>1769.65</v>
      </c>
    </row>
    <row r="376" ht="15.75" customHeight="1">
      <c r="B376" s="3">
        <f>IFERROR(__xludf.DUMMYFUNCTION("""COMPUTED_VALUE"""),40858.645833333336)</f>
        <v>40858.64583</v>
      </c>
      <c r="C376" s="2">
        <f>IFERROR(__xludf.DUMMYFUNCTION("""COMPUTED_VALUE"""),1754.0)</f>
        <v>1754</v>
      </c>
    </row>
    <row r="377" ht="15.75" customHeight="1">
      <c r="B377" s="3">
        <f>IFERROR(__xludf.DUMMYFUNCTION("""COMPUTED_VALUE"""),40865.645833333336)</f>
        <v>40865.64583</v>
      </c>
      <c r="C377" s="2">
        <f>IFERROR(__xludf.DUMMYFUNCTION("""COMPUTED_VALUE"""),1774.9)</f>
        <v>1774.9</v>
      </c>
    </row>
    <row r="378" ht="15.75" customHeight="1">
      <c r="B378" s="3">
        <f>IFERROR(__xludf.DUMMYFUNCTION("""COMPUTED_VALUE"""),40872.645833333336)</f>
        <v>40872.64583</v>
      </c>
      <c r="C378" s="2">
        <f>IFERROR(__xludf.DUMMYFUNCTION("""COMPUTED_VALUE"""),1698.75)</f>
        <v>1698.75</v>
      </c>
    </row>
    <row r="379" ht="15.75" customHeight="1">
      <c r="B379" s="3">
        <f>IFERROR(__xludf.DUMMYFUNCTION("""COMPUTED_VALUE"""),40879.645833333336)</f>
        <v>40879.64583</v>
      </c>
      <c r="C379" s="2">
        <f>IFERROR(__xludf.DUMMYFUNCTION("""COMPUTED_VALUE"""),1729.8)</f>
        <v>1729.8</v>
      </c>
    </row>
    <row r="380" ht="15.75" customHeight="1">
      <c r="B380" s="3">
        <f>IFERROR(__xludf.DUMMYFUNCTION("""COMPUTED_VALUE"""),40886.645833333336)</f>
        <v>40886.64583</v>
      </c>
      <c r="C380" s="2">
        <f>IFERROR(__xludf.DUMMYFUNCTION("""COMPUTED_VALUE"""),1739.0)</f>
        <v>1739</v>
      </c>
    </row>
    <row r="381" ht="15.75" customHeight="1">
      <c r="B381" s="3">
        <f>IFERROR(__xludf.DUMMYFUNCTION("""COMPUTED_VALUE"""),40893.645833333336)</f>
        <v>40893.64583</v>
      </c>
      <c r="C381" s="2">
        <f>IFERROR(__xludf.DUMMYFUNCTION("""COMPUTED_VALUE"""),1707.9)</f>
        <v>1707.9</v>
      </c>
    </row>
    <row r="382" ht="15.75" customHeight="1">
      <c r="B382" s="3">
        <f>IFERROR(__xludf.DUMMYFUNCTION("""COMPUTED_VALUE"""),40900.645833333336)</f>
        <v>40900.64583</v>
      </c>
      <c r="C382" s="2">
        <f>IFERROR(__xludf.DUMMYFUNCTION("""COMPUTED_VALUE"""),1661.85)</f>
        <v>1661.85</v>
      </c>
    </row>
    <row r="383" ht="15.75" customHeight="1">
      <c r="B383" s="3">
        <f>IFERROR(__xludf.DUMMYFUNCTION("""COMPUTED_VALUE"""),40907.645833333336)</f>
        <v>40907.64583</v>
      </c>
      <c r="C383" s="2">
        <f>IFERROR(__xludf.DUMMYFUNCTION("""COMPUTED_VALUE"""),1642.7)</f>
        <v>1642.7</v>
      </c>
    </row>
    <row r="384" ht="15.75" customHeight="1"/>
    <row r="385" ht="15.75" customHeight="1"/>
    <row r="386" ht="15.75" customHeight="1">
      <c r="B386" s="2" t="str">
        <f>IFERROR(__xludf.DUMMYFUNCTION("GOOGLEFINANCE(""NSE:BAJAJ-AUTO"", ""high"",DATE(2012,1,1),DATE(2013,1,1),""weekly"")"),"Date")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IFERROR(__xludf.DUMMYFUNCTION("""COMPUTED_VALUE"""),40921.645833333336)</f>
        <v>40921.64583</v>
      </c>
      <c r="C387" s="2">
        <f>IFERROR(__xludf.DUMMYFUNCTION("""COMPUTED_VALUE"""),1489.15)</f>
        <v>1489.15</v>
      </c>
    </row>
    <row r="388" ht="15.75" customHeight="1">
      <c r="B388" s="3">
        <f>IFERROR(__xludf.DUMMYFUNCTION("""COMPUTED_VALUE"""),40928.645833333336)</f>
        <v>40928.64583</v>
      </c>
      <c r="C388" s="2">
        <f>IFERROR(__xludf.DUMMYFUNCTION("""COMPUTED_VALUE"""),1575.0)</f>
        <v>1575</v>
      </c>
    </row>
    <row r="389" ht="15.75" customHeight="1">
      <c r="B389" s="3">
        <f>IFERROR(__xludf.DUMMYFUNCTION("""COMPUTED_VALUE"""),40935.645833333336)</f>
        <v>40935.64583</v>
      </c>
      <c r="C389" s="2">
        <f>IFERROR(__xludf.DUMMYFUNCTION("""COMPUTED_VALUE"""),1609.6)</f>
        <v>1609.6</v>
      </c>
    </row>
    <row r="390" ht="15.75" customHeight="1">
      <c r="B390" s="3">
        <f>IFERROR(__xludf.DUMMYFUNCTION("""COMPUTED_VALUE"""),40942.645833333336)</f>
        <v>40942.64583</v>
      </c>
      <c r="C390" s="2">
        <f>IFERROR(__xludf.DUMMYFUNCTION("""COMPUTED_VALUE"""),1639.8)</f>
        <v>1639.8</v>
      </c>
    </row>
    <row r="391" ht="15.75" customHeight="1">
      <c r="B391" s="3">
        <f>IFERROR(__xludf.DUMMYFUNCTION("""COMPUTED_VALUE"""),40949.645833333336)</f>
        <v>40949.64583</v>
      </c>
      <c r="C391" s="2">
        <f>IFERROR(__xludf.DUMMYFUNCTION("""COMPUTED_VALUE"""),1749.0)</f>
        <v>1749</v>
      </c>
    </row>
    <row r="392" ht="15.75" customHeight="1">
      <c r="B392" s="3">
        <f>IFERROR(__xludf.DUMMYFUNCTION("""COMPUTED_VALUE"""),40956.645833333336)</f>
        <v>40956.64583</v>
      </c>
      <c r="C392" s="2">
        <f>IFERROR(__xludf.DUMMYFUNCTION("""COMPUTED_VALUE"""),1833.0)</f>
        <v>1833</v>
      </c>
    </row>
    <row r="393" ht="15.75" customHeight="1">
      <c r="B393" s="3">
        <f>IFERROR(__xludf.DUMMYFUNCTION("""COMPUTED_VALUE"""),40963.645833333336)</f>
        <v>40963.64583</v>
      </c>
      <c r="C393" s="2">
        <f>IFERROR(__xludf.DUMMYFUNCTION("""COMPUTED_VALUE"""),1840.0)</f>
        <v>1840</v>
      </c>
    </row>
    <row r="394" ht="15.75" customHeight="1">
      <c r="B394" s="3">
        <f>IFERROR(__xludf.DUMMYFUNCTION("""COMPUTED_VALUE"""),40977.645833333336)</f>
        <v>40977.64583</v>
      </c>
      <c r="C394" s="2">
        <f>IFERROR(__xludf.DUMMYFUNCTION("""COMPUTED_VALUE"""),1775.0)</f>
        <v>1775</v>
      </c>
    </row>
    <row r="395" ht="15.75" customHeight="1">
      <c r="B395" s="3">
        <f>IFERROR(__xludf.DUMMYFUNCTION("""COMPUTED_VALUE"""),40984.645833333336)</f>
        <v>40984.64583</v>
      </c>
      <c r="C395" s="2">
        <f>IFERROR(__xludf.DUMMYFUNCTION("""COMPUTED_VALUE"""),1809.0)</f>
        <v>1809</v>
      </c>
    </row>
    <row r="396" ht="15.75" customHeight="1">
      <c r="B396" s="3">
        <f>IFERROR(__xludf.DUMMYFUNCTION("""COMPUTED_VALUE"""),40991.645833333336)</f>
        <v>40991.64583</v>
      </c>
      <c r="C396" s="2">
        <f>IFERROR(__xludf.DUMMYFUNCTION("""COMPUTED_VALUE"""),1745.0)</f>
        <v>1745</v>
      </c>
    </row>
    <row r="397" ht="15.75" customHeight="1">
      <c r="B397" s="3">
        <f>IFERROR(__xludf.DUMMYFUNCTION("""COMPUTED_VALUE"""),40998.645833333336)</f>
        <v>40998.64583</v>
      </c>
      <c r="C397" s="2">
        <f>IFERROR(__xludf.DUMMYFUNCTION("""COMPUTED_VALUE"""),1720.0)</f>
        <v>1720</v>
      </c>
    </row>
    <row r="398" ht="15.75" customHeight="1">
      <c r="B398" s="3">
        <f>IFERROR(__xludf.DUMMYFUNCTION("""COMPUTED_VALUE"""),41003.645833333336)</f>
        <v>41003.64583</v>
      </c>
      <c r="C398" s="2">
        <f>IFERROR(__xludf.DUMMYFUNCTION("""COMPUTED_VALUE"""),1696.0)</f>
        <v>1696</v>
      </c>
    </row>
    <row r="399" ht="15.75" customHeight="1">
      <c r="B399" s="3">
        <f>IFERROR(__xludf.DUMMYFUNCTION("""COMPUTED_VALUE"""),41012.645833333336)</f>
        <v>41012.64583</v>
      </c>
      <c r="C399" s="2">
        <f>IFERROR(__xludf.DUMMYFUNCTION("""COMPUTED_VALUE"""),1687.1)</f>
        <v>1687.1</v>
      </c>
    </row>
    <row r="400" ht="15.75" customHeight="1">
      <c r="B400" s="3">
        <f>IFERROR(__xludf.DUMMYFUNCTION("""COMPUTED_VALUE"""),41019.645833333336)</f>
        <v>41019.64583</v>
      </c>
      <c r="C400" s="2">
        <f>IFERROR(__xludf.DUMMYFUNCTION("""COMPUTED_VALUE"""),1758.0)</f>
        <v>1758</v>
      </c>
    </row>
    <row r="401" ht="15.75" customHeight="1">
      <c r="B401" s="3">
        <f>IFERROR(__xludf.DUMMYFUNCTION("""COMPUTED_VALUE"""),41033.645833333336)</f>
        <v>41033.64583</v>
      </c>
      <c r="C401" s="2">
        <f>IFERROR(__xludf.DUMMYFUNCTION("""COMPUTED_VALUE"""),1638.9)</f>
        <v>1638.9</v>
      </c>
    </row>
    <row r="402" ht="15.75" customHeight="1">
      <c r="B402" s="3">
        <f>IFERROR(__xludf.DUMMYFUNCTION("""COMPUTED_VALUE"""),41040.645833333336)</f>
        <v>41040.64583</v>
      </c>
      <c r="C402" s="2">
        <f>IFERROR(__xludf.DUMMYFUNCTION("""COMPUTED_VALUE"""),1566.1)</f>
        <v>1566.1</v>
      </c>
    </row>
    <row r="403" ht="15.75" customHeight="1">
      <c r="B403" s="3">
        <f>IFERROR(__xludf.DUMMYFUNCTION("""COMPUTED_VALUE"""),41047.645833333336)</f>
        <v>41047.64583</v>
      </c>
      <c r="C403" s="2">
        <f>IFERROR(__xludf.DUMMYFUNCTION("""COMPUTED_VALUE"""),1637.5)</f>
        <v>1637.5</v>
      </c>
    </row>
    <row r="404" ht="15.75" customHeight="1">
      <c r="B404" s="3">
        <f>IFERROR(__xludf.DUMMYFUNCTION("""COMPUTED_VALUE"""),41054.645833333336)</f>
        <v>41054.64583</v>
      </c>
      <c r="C404" s="2">
        <f>IFERROR(__xludf.DUMMYFUNCTION("""COMPUTED_VALUE"""),1540.0)</f>
        <v>1540</v>
      </c>
    </row>
    <row r="405" ht="15.75" customHeight="1">
      <c r="B405" s="3">
        <f>IFERROR(__xludf.DUMMYFUNCTION("""COMPUTED_VALUE"""),41061.645833333336)</f>
        <v>41061.64583</v>
      </c>
      <c r="C405" s="2">
        <f>IFERROR(__xludf.DUMMYFUNCTION("""COMPUTED_VALUE"""),1533.05)</f>
        <v>1533.05</v>
      </c>
    </row>
    <row r="406" ht="15.75" customHeight="1">
      <c r="B406" s="3">
        <f>IFERROR(__xludf.DUMMYFUNCTION("""COMPUTED_VALUE"""),41068.645833333336)</f>
        <v>41068.64583</v>
      </c>
      <c r="C406" s="2">
        <f>IFERROR(__xludf.DUMMYFUNCTION("""COMPUTED_VALUE"""),1567.0)</f>
        <v>1567</v>
      </c>
    </row>
    <row r="407" ht="15.75" customHeight="1">
      <c r="B407" s="3">
        <f>IFERROR(__xludf.DUMMYFUNCTION("""COMPUTED_VALUE"""),41075.645833333336)</f>
        <v>41075.64583</v>
      </c>
      <c r="C407" s="2">
        <f>IFERROR(__xludf.DUMMYFUNCTION("""COMPUTED_VALUE"""),1582.4)</f>
        <v>1582.4</v>
      </c>
    </row>
    <row r="408" ht="15.75" customHeight="1">
      <c r="B408" s="3">
        <f>IFERROR(__xludf.DUMMYFUNCTION("""COMPUTED_VALUE"""),41082.645833333336)</f>
        <v>41082.64583</v>
      </c>
      <c r="C408" s="2">
        <f>IFERROR(__xludf.DUMMYFUNCTION("""COMPUTED_VALUE"""),1558.85)</f>
        <v>1558.85</v>
      </c>
    </row>
    <row r="409" ht="15.75" customHeight="1">
      <c r="B409" s="3">
        <f>IFERROR(__xludf.DUMMYFUNCTION("""COMPUTED_VALUE"""),41089.645833333336)</f>
        <v>41089.64583</v>
      </c>
      <c r="C409" s="2">
        <f>IFERROR(__xludf.DUMMYFUNCTION("""COMPUTED_VALUE"""),1579.0)</f>
        <v>1579</v>
      </c>
    </row>
    <row r="410" ht="15.75" customHeight="1">
      <c r="B410" s="3">
        <f>IFERROR(__xludf.DUMMYFUNCTION("""COMPUTED_VALUE"""),41096.645833333336)</f>
        <v>41096.64583</v>
      </c>
      <c r="C410" s="2">
        <f>IFERROR(__xludf.DUMMYFUNCTION("""COMPUTED_VALUE"""),1590.9)</f>
        <v>1590.9</v>
      </c>
    </row>
    <row r="411" ht="15.75" customHeight="1">
      <c r="B411" s="3">
        <f>IFERROR(__xludf.DUMMYFUNCTION("""COMPUTED_VALUE"""),41103.645833333336)</f>
        <v>41103.64583</v>
      </c>
      <c r="C411" s="2">
        <f>IFERROR(__xludf.DUMMYFUNCTION("""COMPUTED_VALUE"""),1535.55)</f>
        <v>1535.55</v>
      </c>
    </row>
    <row r="412" ht="15.75" customHeight="1">
      <c r="B412" s="3">
        <f>IFERROR(__xludf.DUMMYFUNCTION("""COMPUTED_VALUE"""),41110.645833333336)</f>
        <v>41110.64583</v>
      </c>
      <c r="C412" s="2">
        <f>IFERROR(__xludf.DUMMYFUNCTION("""COMPUTED_VALUE"""),1596.0)</f>
        <v>1596</v>
      </c>
    </row>
    <row r="413" ht="15.75" customHeight="1">
      <c r="B413" s="3">
        <f>IFERROR(__xludf.DUMMYFUNCTION("""COMPUTED_VALUE"""),41117.645833333336)</f>
        <v>41117.64583</v>
      </c>
      <c r="C413" s="2">
        <f>IFERROR(__xludf.DUMMYFUNCTION("""COMPUTED_VALUE"""),1605.9)</f>
        <v>1605.9</v>
      </c>
    </row>
    <row r="414" ht="15.75" customHeight="1">
      <c r="B414" s="3">
        <f>IFERROR(__xludf.DUMMYFUNCTION("""COMPUTED_VALUE"""),41124.645833333336)</f>
        <v>41124.64583</v>
      </c>
      <c r="C414" s="2">
        <f>IFERROR(__xludf.DUMMYFUNCTION("""COMPUTED_VALUE"""),1631.7)</f>
        <v>1631.7</v>
      </c>
    </row>
    <row r="415" ht="15.75" customHeight="1">
      <c r="B415" s="3">
        <f>IFERROR(__xludf.DUMMYFUNCTION("""COMPUTED_VALUE"""),41131.645833333336)</f>
        <v>41131.64583</v>
      </c>
      <c r="C415" s="2">
        <f>IFERROR(__xludf.DUMMYFUNCTION("""COMPUTED_VALUE"""),1709.45)</f>
        <v>1709.45</v>
      </c>
    </row>
    <row r="416" ht="15.75" customHeight="1">
      <c r="B416" s="3">
        <f>IFERROR(__xludf.DUMMYFUNCTION("""COMPUTED_VALUE"""),41138.645833333336)</f>
        <v>41138.64583</v>
      </c>
      <c r="C416" s="2">
        <f>IFERROR(__xludf.DUMMYFUNCTION("""COMPUTED_VALUE"""),1715.3)</f>
        <v>1715.3</v>
      </c>
    </row>
    <row r="417" ht="15.75" customHeight="1">
      <c r="B417" s="3">
        <f>IFERROR(__xludf.DUMMYFUNCTION("""COMPUTED_VALUE"""),41145.645833333336)</f>
        <v>41145.64583</v>
      </c>
      <c r="C417" s="2">
        <f>IFERROR(__xludf.DUMMYFUNCTION("""COMPUTED_VALUE"""),1737.45)</f>
        <v>1737.45</v>
      </c>
    </row>
    <row r="418" ht="15.75" customHeight="1">
      <c r="B418" s="3">
        <f>IFERROR(__xludf.DUMMYFUNCTION("""COMPUTED_VALUE"""),41152.645833333336)</f>
        <v>41152.64583</v>
      </c>
      <c r="C418" s="2">
        <f>IFERROR(__xludf.DUMMYFUNCTION("""COMPUTED_VALUE"""),1731.0)</f>
        <v>1731</v>
      </c>
    </row>
    <row r="419" ht="15.75" customHeight="1">
      <c r="B419" s="3">
        <f>IFERROR(__xludf.DUMMYFUNCTION("""COMPUTED_VALUE"""),41166.645833333336)</f>
        <v>41166.64583</v>
      </c>
      <c r="C419" s="2">
        <f>IFERROR(__xludf.DUMMYFUNCTION("""COMPUTED_VALUE"""),1760.0)</f>
        <v>1760</v>
      </c>
    </row>
    <row r="420" ht="15.75" customHeight="1">
      <c r="B420" s="3">
        <f>IFERROR(__xludf.DUMMYFUNCTION("""COMPUTED_VALUE"""),41173.645833333336)</f>
        <v>41173.64583</v>
      </c>
      <c r="C420" s="2">
        <f>IFERROR(__xludf.DUMMYFUNCTION("""COMPUTED_VALUE"""),1809.9)</f>
        <v>1809.9</v>
      </c>
    </row>
    <row r="421" ht="15.75" customHeight="1">
      <c r="B421" s="3">
        <f>IFERROR(__xludf.DUMMYFUNCTION("""COMPUTED_VALUE"""),41180.645833333336)</f>
        <v>41180.64583</v>
      </c>
      <c r="C421" s="2">
        <f>IFERROR(__xludf.DUMMYFUNCTION("""COMPUTED_VALUE"""),1850.1)</f>
        <v>1850.1</v>
      </c>
    </row>
    <row r="422" ht="15.75" customHeight="1">
      <c r="B422" s="3">
        <f>IFERROR(__xludf.DUMMYFUNCTION("""COMPUTED_VALUE"""),41187.645833333336)</f>
        <v>41187.64583</v>
      </c>
      <c r="C422" s="2">
        <f>IFERROR(__xludf.DUMMYFUNCTION("""COMPUTED_VALUE"""),1841.1)</f>
        <v>1841.1</v>
      </c>
    </row>
    <row r="423" ht="15.75" customHeight="1">
      <c r="B423" s="3">
        <f>IFERROR(__xludf.DUMMYFUNCTION("""COMPUTED_VALUE"""),41194.645833333336)</f>
        <v>41194.64583</v>
      </c>
      <c r="C423" s="2">
        <f>IFERROR(__xludf.DUMMYFUNCTION("""COMPUTED_VALUE"""),1767.0)</f>
        <v>1767</v>
      </c>
    </row>
    <row r="424" ht="15.75" customHeight="1">
      <c r="B424" s="3">
        <f>IFERROR(__xludf.DUMMYFUNCTION("""COMPUTED_VALUE"""),41201.645833333336)</f>
        <v>41201.64583</v>
      </c>
      <c r="C424" s="2">
        <f>IFERROR(__xludf.DUMMYFUNCTION("""COMPUTED_VALUE"""),1795.0)</f>
        <v>1795</v>
      </c>
    </row>
    <row r="425" ht="15.75" customHeight="1">
      <c r="B425" s="3">
        <f>IFERROR(__xludf.DUMMYFUNCTION("""COMPUTED_VALUE"""),41208.645833333336)</f>
        <v>41208.64583</v>
      </c>
      <c r="C425" s="2">
        <f>IFERROR(__xludf.DUMMYFUNCTION("""COMPUTED_VALUE"""),1800.0)</f>
        <v>1800</v>
      </c>
    </row>
    <row r="426" ht="15.75" customHeight="1">
      <c r="B426" s="3">
        <f>IFERROR(__xludf.DUMMYFUNCTION("""COMPUTED_VALUE"""),41215.645833333336)</f>
        <v>41215.64583</v>
      </c>
      <c r="C426" s="2">
        <f>IFERROR(__xludf.DUMMYFUNCTION("""COMPUTED_VALUE"""),1906.0)</f>
        <v>1906</v>
      </c>
    </row>
    <row r="427" ht="15.75" customHeight="1">
      <c r="B427" s="3">
        <f>IFERROR(__xludf.DUMMYFUNCTION("""COMPUTED_VALUE"""),41222.645833333336)</f>
        <v>41222.64583</v>
      </c>
      <c r="C427" s="2">
        <f>IFERROR(__xludf.DUMMYFUNCTION("""COMPUTED_VALUE"""),1898.0)</f>
        <v>1898</v>
      </c>
    </row>
    <row r="428" ht="15.75" customHeight="1">
      <c r="B428" s="3">
        <f>IFERROR(__xludf.DUMMYFUNCTION("""COMPUTED_VALUE"""),41229.645833333336)</f>
        <v>41229.64583</v>
      </c>
      <c r="C428" s="2">
        <f>IFERROR(__xludf.DUMMYFUNCTION("""COMPUTED_VALUE"""),1875.0)</f>
        <v>1875</v>
      </c>
    </row>
    <row r="429" ht="15.75" customHeight="1">
      <c r="B429" s="3">
        <f>IFERROR(__xludf.DUMMYFUNCTION("""COMPUTED_VALUE"""),41236.645833333336)</f>
        <v>41236.64583</v>
      </c>
      <c r="C429" s="2">
        <f>IFERROR(__xludf.DUMMYFUNCTION("""COMPUTED_VALUE"""),1862.5)</f>
        <v>1862.5</v>
      </c>
    </row>
    <row r="430" ht="15.75" customHeight="1">
      <c r="B430" s="3">
        <f>IFERROR(__xludf.DUMMYFUNCTION("""COMPUTED_VALUE"""),41243.645833333336)</f>
        <v>41243.64583</v>
      </c>
      <c r="C430" s="2">
        <f>IFERROR(__xludf.DUMMYFUNCTION("""COMPUTED_VALUE"""),1977.85)</f>
        <v>1977.85</v>
      </c>
    </row>
    <row r="431" ht="15.75" customHeight="1">
      <c r="B431" s="3">
        <f>IFERROR(__xludf.DUMMYFUNCTION("""COMPUTED_VALUE"""),41250.645833333336)</f>
        <v>41250.64583</v>
      </c>
      <c r="C431" s="2">
        <f>IFERROR(__xludf.DUMMYFUNCTION("""COMPUTED_VALUE"""),1973.95)</f>
        <v>1973.95</v>
      </c>
    </row>
    <row r="432" ht="15.75" customHeight="1">
      <c r="B432" s="3">
        <f>IFERROR(__xludf.DUMMYFUNCTION("""COMPUTED_VALUE"""),41257.645833333336)</f>
        <v>41257.64583</v>
      </c>
      <c r="C432" s="2">
        <f>IFERROR(__xludf.DUMMYFUNCTION("""COMPUTED_VALUE"""),2105.9)</f>
        <v>2105.9</v>
      </c>
    </row>
    <row r="433" ht="15.75" customHeight="1">
      <c r="B433" s="3">
        <f>IFERROR(__xludf.DUMMYFUNCTION("""COMPUTED_VALUE"""),41264.645833333336)</f>
        <v>41264.64583</v>
      </c>
      <c r="C433" s="2">
        <f>IFERROR(__xludf.DUMMYFUNCTION("""COMPUTED_VALUE"""),2156.55)</f>
        <v>2156.55</v>
      </c>
    </row>
    <row r="434" ht="15.75" customHeight="1">
      <c r="B434" s="3">
        <f>IFERROR(__xludf.DUMMYFUNCTION("""COMPUTED_VALUE"""),41271.645833333336)</f>
        <v>41271.64583</v>
      </c>
      <c r="C434" s="2">
        <f>IFERROR(__xludf.DUMMYFUNCTION("""COMPUTED_VALUE"""),2167.35)</f>
        <v>2167.35</v>
      </c>
    </row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>
      <c r="B441" s="2" t="str">
        <f>IFERROR(__xludf.DUMMYFUNCTION("GOOGLEFINANCE(""NSE:BAJAJ-AUTO"", ""high"",DATE(2013,1,1),DATE(2014,1,1),""weekly"")"),"Date")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IFERROR(__xludf.DUMMYFUNCTION("""COMPUTED_VALUE"""),41278.645833333336)</f>
        <v>41278.64583</v>
      </c>
      <c r="C442" s="2">
        <f>IFERROR(__xludf.DUMMYFUNCTION("""COMPUTED_VALUE"""),2229.0)</f>
        <v>2229</v>
      </c>
    </row>
    <row r="443" ht="15.75" customHeight="1">
      <c r="B443" s="3">
        <f>IFERROR(__xludf.DUMMYFUNCTION("""COMPUTED_VALUE"""),41285.645833333336)</f>
        <v>41285.64583</v>
      </c>
      <c r="C443" s="2">
        <f>IFERROR(__xludf.DUMMYFUNCTION("""COMPUTED_VALUE"""),2215.5)</f>
        <v>2215.5</v>
      </c>
    </row>
    <row r="444" ht="15.75" customHeight="1">
      <c r="B444" s="3">
        <f>IFERROR(__xludf.DUMMYFUNCTION("""COMPUTED_VALUE"""),41292.645833333336)</f>
        <v>41292.64583</v>
      </c>
      <c r="C444" s="2">
        <f>IFERROR(__xludf.DUMMYFUNCTION("""COMPUTED_VALUE"""),2153.7)</f>
        <v>2153.7</v>
      </c>
    </row>
    <row r="445" ht="15.75" customHeight="1">
      <c r="B445" s="3">
        <f>IFERROR(__xludf.DUMMYFUNCTION("""COMPUTED_VALUE"""),41299.645833333336)</f>
        <v>41299.64583</v>
      </c>
      <c r="C445" s="2">
        <f>IFERROR(__xludf.DUMMYFUNCTION("""COMPUTED_VALUE"""),2098.0)</f>
        <v>2098</v>
      </c>
    </row>
    <row r="446" ht="15.75" customHeight="1">
      <c r="B446" s="3">
        <f>IFERROR(__xludf.DUMMYFUNCTION("""COMPUTED_VALUE"""),41306.645833333336)</f>
        <v>41306.64583</v>
      </c>
      <c r="C446" s="2">
        <f>IFERROR(__xludf.DUMMYFUNCTION("""COMPUTED_VALUE"""),2109.35)</f>
        <v>2109.35</v>
      </c>
    </row>
    <row r="447" ht="15.75" customHeight="1">
      <c r="B447" s="3">
        <f>IFERROR(__xludf.DUMMYFUNCTION("""COMPUTED_VALUE"""),41313.645833333336)</f>
        <v>41313.64583</v>
      </c>
      <c r="C447" s="2">
        <f>IFERROR(__xludf.DUMMYFUNCTION("""COMPUTED_VALUE"""),2118.3)</f>
        <v>2118.3</v>
      </c>
    </row>
    <row r="448" ht="15.75" customHeight="1">
      <c r="B448" s="3">
        <f>IFERROR(__xludf.DUMMYFUNCTION("""COMPUTED_VALUE"""),41320.645833333336)</f>
        <v>41320.64583</v>
      </c>
      <c r="C448" s="2">
        <f>IFERROR(__xludf.DUMMYFUNCTION("""COMPUTED_VALUE"""),2084.9)</f>
        <v>2084.9</v>
      </c>
    </row>
    <row r="449" ht="15.75" customHeight="1">
      <c r="B449" s="3">
        <f>IFERROR(__xludf.DUMMYFUNCTION("""COMPUTED_VALUE"""),41327.645833333336)</f>
        <v>41327.64583</v>
      </c>
      <c r="C449" s="2">
        <f>IFERROR(__xludf.DUMMYFUNCTION("""COMPUTED_VALUE"""),2019.9)</f>
        <v>2019.9</v>
      </c>
    </row>
    <row r="450" ht="15.75" customHeight="1">
      <c r="B450" s="3">
        <f>IFERROR(__xludf.DUMMYFUNCTION("""COMPUTED_VALUE"""),41334.645833333336)</f>
        <v>41334.64583</v>
      </c>
      <c r="C450" s="2">
        <f>IFERROR(__xludf.DUMMYFUNCTION("""COMPUTED_VALUE"""),2042.2)</f>
        <v>2042.2</v>
      </c>
    </row>
    <row r="451" ht="15.75" customHeight="1">
      <c r="B451" s="3">
        <f>IFERROR(__xludf.DUMMYFUNCTION("""COMPUTED_VALUE"""),41341.645833333336)</f>
        <v>41341.64583</v>
      </c>
      <c r="C451" s="2">
        <f>IFERROR(__xludf.DUMMYFUNCTION("""COMPUTED_VALUE"""),2025.45)</f>
        <v>2025.45</v>
      </c>
    </row>
    <row r="452" ht="15.75" customHeight="1">
      <c r="B452" s="3">
        <f>IFERROR(__xludf.DUMMYFUNCTION("""COMPUTED_VALUE"""),41348.645833333336)</f>
        <v>41348.64583</v>
      </c>
      <c r="C452" s="2">
        <f>IFERROR(__xludf.DUMMYFUNCTION("""COMPUTED_VALUE"""),2021.45)</f>
        <v>2021.45</v>
      </c>
    </row>
    <row r="453" ht="15.75" customHeight="1">
      <c r="B453" s="3">
        <f>IFERROR(__xludf.DUMMYFUNCTION("""COMPUTED_VALUE"""),41355.645833333336)</f>
        <v>41355.64583</v>
      </c>
      <c r="C453" s="2">
        <f>IFERROR(__xludf.DUMMYFUNCTION("""COMPUTED_VALUE"""),1862.45)</f>
        <v>1862.45</v>
      </c>
    </row>
    <row r="454" ht="15.75" customHeight="1">
      <c r="B454" s="3">
        <f>IFERROR(__xludf.DUMMYFUNCTION("""COMPUTED_VALUE"""),41361.645833333336)</f>
        <v>41361.64583</v>
      </c>
      <c r="C454" s="2">
        <f>IFERROR(__xludf.DUMMYFUNCTION("""COMPUTED_VALUE"""),1839.0)</f>
        <v>1839</v>
      </c>
    </row>
    <row r="455" ht="15.75" customHeight="1">
      <c r="B455" s="3">
        <f>IFERROR(__xludf.DUMMYFUNCTION("""COMPUTED_VALUE"""),41369.645833333336)</f>
        <v>41369.64583</v>
      </c>
      <c r="C455" s="2">
        <f>IFERROR(__xludf.DUMMYFUNCTION("""COMPUTED_VALUE"""),1818.25)</f>
        <v>1818.25</v>
      </c>
    </row>
    <row r="456" ht="15.75" customHeight="1">
      <c r="B456" s="3">
        <f>IFERROR(__xludf.DUMMYFUNCTION("""COMPUTED_VALUE"""),41376.645833333336)</f>
        <v>41376.64583</v>
      </c>
      <c r="C456" s="2">
        <f>IFERROR(__xludf.DUMMYFUNCTION("""COMPUTED_VALUE"""),1734.0)</f>
        <v>1734</v>
      </c>
    </row>
    <row r="457" ht="15.75" customHeight="1">
      <c r="B457" s="3">
        <f>IFERROR(__xludf.DUMMYFUNCTION("""COMPUTED_VALUE"""),41382.645833333336)</f>
        <v>41382.64583</v>
      </c>
      <c r="C457" s="2">
        <f>IFERROR(__xludf.DUMMYFUNCTION("""COMPUTED_VALUE"""),1817.2)</f>
        <v>1817.2</v>
      </c>
    </row>
    <row r="458" ht="15.75" customHeight="1">
      <c r="B458" s="3">
        <f>IFERROR(__xludf.DUMMYFUNCTION("""COMPUTED_VALUE"""),41390.645833333336)</f>
        <v>41390.64583</v>
      </c>
      <c r="C458" s="2">
        <f>IFERROR(__xludf.DUMMYFUNCTION("""COMPUTED_VALUE"""),1905.0)</f>
        <v>1905</v>
      </c>
    </row>
    <row r="459" ht="15.75" customHeight="1">
      <c r="B459" s="3">
        <f>IFERROR(__xludf.DUMMYFUNCTION("""COMPUTED_VALUE"""),41397.645833333336)</f>
        <v>41397.64583</v>
      </c>
      <c r="C459" s="2">
        <f>IFERROR(__xludf.DUMMYFUNCTION("""COMPUTED_VALUE"""),1934.0)</f>
        <v>1934</v>
      </c>
    </row>
    <row r="460" ht="15.75" customHeight="1">
      <c r="B460" s="3">
        <f>IFERROR(__xludf.DUMMYFUNCTION("""COMPUTED_VALUE"""),41411.645833333336)</f>
        <v>41411.64583</v>
      </c>
      <c r="C460" s="2">
        <f>IFERROR(__xludf.DUMMYFUNCTION("""COMPUTED_VALUE"""),1883.75)</f>
        <v>1883.75</v>
      </c>
    </row>
    <row r="461" ht="15.75" customHeight="1">
      <c r="B461" s="3">
        <f>IFERROR(__xludf.DUMMYFUNCTION("""COMPUTED_VALUE"""),41418.645833333336)</f>
        <v>41418.64583</v>
      </c>
      <c r="C461" s="2">
        <f>IFERROR(__xludf.DUMMYFUNCTION("""COMPUTED_VALUE"""),1888.0)</f>
        <v>1888</v>
      </c>
    </row>
    <row r="462" ht="15.75" customHeight="1">
      <c r="B462" s="3">
        <f>IFERROR(__xludf.DUMMYFUNCTION("""COMPUTED_VALUE"""),41425.645833333336)</f>
        <v>41425.64583</v>
      </c>
      <c r="C462" s="2">
        <f>IFERROR(__xludf.DUMMYFUNCTION("""COMPUTED_VALUE"""),1860.0)</f>
        <v>1860</v>
      </c>
    </row>
    <row r="463" ht="15.75" customHeight="1">
      <c r="B463" s="3">
        <f>IFERROR(__xludf.DUMMYFUNCTION("""COMPUTED_VALUE"""),41432.645833333336)</f>
        <v>41432.64583</v>
      </c>
      <c r="C463" s="2">
        <f>IFERROR(__xludf.DUMMYFUNCTION("""COMPUTED_VALUE"""),1820.35)</f>
        <v>1820.35</v>
      </c>
    </row>
    <row r="464" ht="15.75" customHeight="1">
      <c r="B464" s="3">
        <f>IFERROR(__xludf.DUMMYFUNCTION("""COMPUTED_VALUE"""),41439.645833333336)</f>
        <v>41439.64583</v>
      </c>
      <c r="C464" s="2">
        <f>IFERROR(__xludf.DUMMYFUNCTION("""COMPUTED_VALUE"""),1789.4)</f>
        <v>1789.4</v>
      </c>
    </row>
    <row r="465" ht="15.75" customHeight="1">
      <c r="B465" s="3">
        <f>IFERROR(__xludf.DUMMYFUNCTION("""COMPUTED_VALUE"""),41446.645833333336)</f>
        <v>41446.64583</v>
      </c>
      <c r="C465" s="2">
        <f>IFERROR(__xludf.DUMMYFUNCTION("""COMPUTED_VALUE"""),1855.0)</f>
        <v>1855</v>
      </c>
    </row>
    <row r="466" ht="15.75" customHeight="1">
      <c r="B466" s="3">
        <f>IFERROR(__xludf.DUMMYFUNCTION("""COMPUTED_VALUE"""),41453.645833333336)</f>
        <v>41453.64583</v>
      </c>
      <c r="C466" s="2">
        <f>IFERROR(__xludf.DUMMYFUNCTION("""COMPUTED_VALUE"""),1940.0)</f>
        <v>1940</v>
      </c>
    </row>
    <row r="467" ht="15.75" customHeight="1">
      <c r="B467" s="3">
        <f>IFERROR(__xludf.DUMMYFUNCTION("""COMPUTED_VALUE"""),41460.645833333336)</f>
        <v>41460.64583</v>
      </c>
      <c r="C467" s="2">
        <f>IFERROR(__xludf.DUMMYFUNCTION("""COMPUTED_VALUE"""),1969.9)</f>
        <v>1969.9</v>
      </c>
    </row>
    <row r="468" ht="15.75" customHeight="1">
      <c r="B468" s="3">
        <f>IFERROR(__xludf.DUMMYFUNCTION("""COMPUTED_VALUE"""),41467.645833333336)</f>
        <v>41467.64583</v>
      </c>
      <c r="C468" s="2">
        <f>IFERROR(__xludf.DUMMYFUNCTION("""COMPUTED_VALUE"""),1917.1)</f>
        <v>1917.1</v>
      </c>
    </row>
    <row r="469" ht="15.75" customHeight="1">
      <c r="B469" s="3">
        <f>IFERROR(__xludf.DUMMYFUNCTION("""COMPUTED_VALUE"""),41474.645833333336)</f>
        <v>41474.64583</v>
      </c>
      <c r="C469" s="2">
        <f>IFERROR(__xludf.DUMMYFUNCTION("""COMPUTED_VALUE"""),1987.75)</f>
        <v>1987.75</v>
      </c>
    </row>
    <row r="470" ht="15.75" customHeight="1">
      <c r="B470" s="3">
        <f>IFERROR(__xludf.DUMMYFUNCTION("""COMPUTED_VALUE"""),41481.645833333336)</f>
        <v>41481.64583</v>
      </c>
      <c r="C470" s="2">
        <f>IFERROR(__xludf.DUMMYFUNCTION("""COMPUTED_VALUE"""),2050.0)</f>
        <v>2050</v>
      </c>
    </row>
    <row r="471" ht="15.75" customHeight="1">
      <c r="B471" s="3">
        <f>IFERROR(__xludf.DUMMYFUNCTION("""COMPUTED_VALUE"""),41488.645833333336)</f>
        <v>41488.64583</v>
      </c>
      <c r="C471" s="2">
        <f>IFERROR(__xludf.DUMMYFUNCTION("""COMPUTED_VALUE"""),2050.0)</f>
        <v>2050</v>
      </c>
    </row>
    <row r="472" ht="15.75" customHeight="1">
      <c r="B472" s="3">
        <f>IFERROR(__xludf.DUMMYFUNCTION("""COMPUTED_VALUE"""),41494.645833333336)</f>
        <v>41494.64583</v>
      </c>
      <c r="C472" s="2">
        <f>IFERROR(__xludf.DUMMYFUNCTION("""COMPUTED_VALUE"""),1920.05)</f>
        <v>1920.05</v>
      </c>
    </row>
    <row r="473" ht="15.75" customHeight="1">
      <c r="B473" s="3">
        <f>IFERROR(__xludf.DUMMYFUNCTION("""COMPUTED_VALUE"""),41502.645833333336)</f>
        <v>41502.64583</v>
      </c>
      <c r="C473" s="2">
        <f>IFERROR(__xludf.DUMMYFUNCTION("""COMPUTED_VALUE"""),1924.95)</f>
        <v>1924.95</v>
      </c>
    </row>
    <row r="474" ht="15.75" customHeight="1">
      <c r="B474" s="3">
        <f>IFERROR(__xludf.DUMMYFUNCTION("""COMPUTED_VALUE"""),41509.645833333336)</f>
        <v>41509.64583</v>
      </c>
      <c r="C474" s="2">
        <f>IFERROR(__xludf.DUMMYFUNCTION("""COMPUTED_VALUE"""),1834.0)</f>
        <v>1834</v>
      </c>
    </row>
    <row r="475" ht="15.75" customHeight="1">
      <c r="B475" s="3">
        <f>IFERROR(__xludf.DUMMYFUNCTION("""COMPUTED_VALUE"""),41516.645833333336)</f>
        <v>41516.64583</v>
      </c>
      <c r="C475" s="2">
        <f>IFERROR(__xludf.DUMMYFUNCTION("""COMPUTED_VALUE"""),1850.0)</f>
        <v>1850</v>
      </c>
    </row>
    <row r="476" ht="15.75" customHeight="1">
      <c r="B476" s="3">
        <f>IFERROR(__xludf.DUMMYFUNCTION("""COMPUTED_VALUE"""),41523.645833333336)</f>
        <v>41523.64583</v>
      </c>
      <c r="C476" s="2">
        <f>IFERROR(__xludf.DUMMYFUNCTION("""COMPUTED_VALUE"""),1937.0)</f>
        <v>1937</v>
      </c>
    </row>
    <row r="477" ht="15.75" customHeight="1">
      <c r="B477" s="3">
        <f>IFERROR(__xludf.DUMMYFUNCTION("""COMPUTED_VALUE"""),41530.645833333336)</f>
        <v>41530.64583</v>
      </c>
      <c r="C477" s="2">
        <f>IFERROR(__xludf.DUMMYFUNCTION("""COMPUTED_VALUE"""),2013.9)</f>
        <v>2013.9</v>
      </c>
    </row>
    <row r="478" ht="15.75" customHeight="1">
      <c r="B478" s="3">
        <f>IFERROR(__xludf.DUMMYFUNCTION("""COMPUTED_VALUE"""),41537.645833333336)</f>
        <v>41537.64583</v>
      </c>
      <c r="C478" s="2">
        <f>IFERROR(__xludf.DUMMYFUNCTION("""COMPUTED_VALUE"""),2062.45)</f>
        <v>2062.45</v>
      </c>
    </row>
    <row r="479" ht="15.75" customHeight="1">
      <c r="B479" s="3">
        <f>IFERROR(__xludf.DUMMYFUNCTION("""COMPUTED_VALUE"""),41544.645833333336)</f>
        <v>41544.64583</v>
      </c>
      <c r="C479" s="2">
        <f>IFERROR(__xludf.DUMMYFUNCTION("""COMPUTED_VALUE"""),2048.8)</f>
        <v>2048.8</v>
      </c>
    </row>
    <row r="480" ht="15.75" customHeight="1">
      <c r="B480" s="3">
        <f>IFERROR(__xludf.DUMMYFUNCTION("""COMPUTED_VALUE"""),41551.645833333336)</f>
        <v>41551.64583</v>
      </c>
      <c r="C480" s="2">
        <f>IFERROR(__xludf.DUMMYFUNCTION("""COMPUTED_VALUE"""),2152.0)</f>
        <v>2152</v>
      </c>
    </row>
    <row r="481" ht="15.75" customHeight="1">
      <c r="B481" s="3">
        <f>IFERROR(__xludf.DUMMYFUNCTION("""COMPUTED_VALUE"""),41558.645833333336)</f>
        <v>41558.64583</v>
      </c>
      <c r="C481" s="2">
        <f>IFERROR(__xludf.DUMMYFUNCTION("""COMPUTED_VALUE"""),2179.0)</f>
        <v>2179</v>
      </c>
    </row>
    <row r="482" ht="15.75" customHeight="1">
      <c r="B482" s="3">
        <f>IFERROR(__xludf.DUMMYFUNCTION("""COMPUTED_VALUE"""),41565.645833333336)</f>
        <v>41565.64583</v>
      </c>
      <c r="C482" s="2">
        <f>IFERROR(__xludf.DUMMYFUNCTION("""COMPUTED_VALUE"""),2195.0)</f>
        <v>2195</v>
      </c>
    </row>
    <row r="483" ht="15.75" customHeight="1">
      <c r="B483" s="3">
        <f>IFERROR(__xludf.DUMMYFUNCTION("""COMPUTED_VALUE"""),41572.645833333336)</f>
        <v>41572.64583</v>
      </c>
      <c r="C483" s="2">
        <f>IFERROR(__xludf.DUMMYFUNCTION("""COMPUTED_VALUE"""),2168.9)</f>
        <v>2168.9</v>
      </c>
    </row>
    <row r="484" ht="15.75" customHeight="1">
      <c r="B484" s="3">
        <f>IFERROR(__xludf.DUMMYFUNCTION("""COMPUTED_VALUE"""),41579.645833333336)</f>
        <v>41579.64583</v>
      </c>
      <c r="C484" s="2">
        <f>IFERROR(__xludf.DUMMYFUNCTION("""COMPUTED_VALUE"""),2157.0)</f>
        <v>2157</v>
      </c>
    </row>
    <row r="485" ht="15.75" customHeight="1">
      <c r="B485" s="3">
        <f>IFERROR(__xludf.DUMMYFUNCTION("""COMPUTED_VALUE"""),41586.645833333336)</f>
        <v>41586.64583</v>
      </c>
      <c r="C485" s="2">
        <f>IFERROR(__xludf.DUMMYFUNCTION("""COMPUTED_VALUE"""),2150.0)</f>
        <v>2150</v>
      </c>
    </row>
    <row r="486" ht="15.75" customHeight="1">
      <c r="B486" s="3">
        <f>IFERROR(__xludf.DUMMYFUNCTION("""COMPUTED_VALUE"""),41592.645833333336)</f>
        <v>41592.64583</v>
      </c>
      <c r="C486" s="2">
        <f>IFERROR(__xludf.DUMMYFUNCTION("""COMPUTED_VALUE"""),2062.0)</f>
        <v>2062</v>
      </c>
    </row>
    <row r="487" ht="15.75" customHeight="1">
      <c r="B487" s="3">
        <f>IFERROR(__xludf.DUMMYFUNCTION("""COMPUTED_VALUE"""),41600.645833333336)</f>
        <v>41600.64583</v>
      </c>
      <c r="C487" s="2">
        <f>IFERROR(__xludf.DUMMYFUNCTION("""COMPUTED_VALUE"""),2060.0)</f>
        <v>2060</v>
      </c>
    </row>
    <row r="488" ht="15.75" customHeight="1">
      <c r="B488" s="3">
        <f>IFERROR(__xludf.DUMMYFUNCTION("""COMPUTED_VALUE"""),41607.645833333336)</f>
        <v>41607.64583</v>
      </c>
      <c r="C488" s="2">
        <f>IFERROR(__xludf.DUMMYFUNCTION("""COMPUTED_VALUE"""),1979.0)</f>
        <v>1979</v>
      </c>
    </row>
    <row r="489" ht="15.75" customHeight="1">
      <c r="B489" s="3">
        <f>IFERROR(__xludf.DUMMYFUNCTION("""COMPUTED_VALUE"""),41614.645833333336)</f>
        <v>41614.64583</v>
      </c>
      <c r="C489" s="2">
        <f>IFERROR(__xludf.DUMMYFUNCTION("""COMPUTED_VALUE"""),1997.0)</f>
        <v>1997</v>
      </c>
    </row>
    <row r="490" ht="15.75" customHeight="1">
      <c r="B490" s="3">
        <f>IFERROR(__xludf.DUMMYFUNCTION("""COMPUTED_VALUE"""),41621.645833333336)</f>
        <v>41621.64583</v>
      </c>
      <c r="C490" s="2">
        <f>IFERROR(__xludf.DUMMYFUNCTION("""COMPUTED_VALUE"""),2013.4)</f>
        <v>2013.4</v>
      </c>
    </row>
    <row r="491" ht="15.75" customHeight="1">
      <c r="B491" s="3">
        <f>IFERROR(__xludf.DUMMYFUNCTION("""COMPUTED_VALUE"""),41628.645833333336)</f>
        <v>41628.64583</v>
      </c>
      <c r="C491" s="2">
        <f>IFERROR(__xludf.DUMMYFUNCTION("""COMPUTED_VALUE"""),1945.0)</f>
        <v>1945</v>
      </c>
    </row>
    <row r="492" ht="15.75" customHeight="1">
      <c r="B492" s="3">
        <f>IFERROR(__xludf.DUMMYFUNCTION("""COMPUTED_VALUE"""),41635.645833333336)</f>
        <v>41635.64583</v>
      </c>
      <c r="C492" s="2">
        <f>IFERROR(__xludf.DUMMYFUNCTION("""COMPUTED_VALUE"""),2014.1)</f>
        <v>2014.1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IFERROR(__xludf.DUMMYFUNCTION("GOOGLEFINANCE(""NSE:BAJAJ-AUTO"", ""high"",DATE(2014,1,1),DATE(2015,1,1),""weekly"")"),"Date")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IFERROR(__xludf.DUMMYFUNCTION("""COMPUTED_VALUE"""),41642.645833333336)</f>
        <v>41642.64583</v>
      </c>
      <c r="C497" s="2">
        <f>IFERROR(__xludf.DUMMYFUNCTION("""COMPUTED_VALUE"""),1942.2)</f>
        <v>1942.2</v>
      </c>
    </row>
    <row r="498" ht="15.75" customHeight="1">
      <c r="B498" s="3">
        <f>IFERROR(__xludf.DUMMYFUNCTION("""COMPUTED_VALUE"""),41649.645833333336)</f>
        <v>41649.64583</v>
      </c>
      <c r="C498" s="2">
        <f>IFERROR(__xludf.DUMMYFUNCTION("""COMPUTED_VALUE"""),1923.0)</f>
        <v>1923</v>
      </c>
    </row>
    <row r="499" ht="15.75" customHeight="1">
      <c r="B499" s="3">
        <f>IFERROR(__xludf.DUMMYFUNCTION("""COMPUTED_VALUE"""),41656.645833333336)</f>
        <v>41656.64583</v>
      </c>
      <c r="C499" s="2">
        <f>IFERROR(__xludf.DUMMYFUNCTION("""COMPUTED_VALUE"""),1939.0)</f>
        <v>1939</v>
      </c>
    </row>
    <row r="500" ht="15.75" customHeight="1">
      <c r="B500" s="3">
        <f>IFERROR(__xludf.DUMMYFUNCTION("""COMPUTED_VALUE"""),41663.645833333336)</f>
        <v>41663.64583</v>
      </c>
      <c r="C500" s="2">
        <f>IFERROR(__xludf.DUMMYFUNCTION("""COMPUTED_VALUE"""),1953.0)</f>
        <v>1953</v>
      </c>
    </row>
    <row r="501" ht="15.75" customHeight="1">
      <c r="B501" s="3">
        <f>IFERROR(__xludf.DUMMYFUNCTION("""COMPUTED_VALUE"""),41670.645833333336)</f>
        <v>41670.64583</v>
      </c>
      <c r="C501" s="2">
        <f>IFERROR(__xludf.DUMMYFUNCTION("""COMPUTED_VALUE"""),1968.0)</f>
        <v>1968</v>
      </c>
    </row>
    <row r="502" ht="15.75" customHeight="1">
      <c r="B502" s="3">
        <f>IFERROR(__xludf.DUMMYFUNCTION("""COMPUTED_VALUE"""),41677.645833333336)</f>
        <v>41677.64583</v>
      </c>
      <c r="C502" s="2">
        <f>IFERROR(__xludf.DUMMYFUNCTION("""COMPUTED_VALUE"""),1939.8)</f>
        <v>1939.8</v>
      </c>
    </row>
    <row r="503" ht="15.75" customHeight="1">
      <c r="B503" s="3">
        <f>IFERROR(__xludf.DUMMYFUNCTION("""COMPUTED_VALUE"""),41684.645833333336)</f>
        <v>41684.64583</v>
      </c>
      <c r="C503" s="2">
        <f>IFERROR(__xludf.DUMMYFUNCTION("""COMPUTED_VALUE"""),1959.45)</f>
        <v>1959.45</v>
      </c>
    </row>
    <row r="504" ht="15.75" customHeight="1">
      <c r="B504" s="3">
        <f>IFERROR(__xludf.DUMMYFUNCTION("""COMPUTED_VALUE"""),41691.645833333336)</f>
        <v>41691.64583</v>
      </c>
      <c r="C504" s="2">
        <f>IFERROR(__xludf.DUMMYFUNCTION("""COMPUTED_VALUE"""),1869.35)</f>
        <v>1869.35</v>
      </c>
    </row>
    <row r="505" ht="15.75" customHeight="1">
      <c r="B505" s="3">
        <f>IFERROR(__xludf.DUMMYFUNCTION("""COMPUTED_VALUE"""),41698.645833333336)</f>
        <v>41698.64583</v>
      </c>
      <c r="C505" s="2">
        <f>IFERROR(__xludf.DUMMYFUNCTION("""COMPUTED_VALUE"""),1957.95)</f>
        <v>1957.95</v>
      </c>
    </row>
    <row r="506" ht="15.75" customHeight="1">
      <c r="B506" s="3">
        <f>IFERROR(__xludf.DUMMYFUNCTION("""COMPUTED_VALUE"""),41705.645833333336)</f>
        <v>41705.64583</v>
      </c>
      <c r="C506" s="2">
        <f>IFERROR(__xludf.DUMMYFUNCTION("""COMPUTED_VALUE"""),2005.0)</f>
        <v>2005</v>
      </c>
    </row>
    <row r="507" ht="15.75" customHeight="1">
      <c r="B507" s="3">
        <f>IFERROR(__xludf.DUMMYFUNCTION("""COMPUTED_VALUE"""),41712.645833333336)</f>
        <v>41712.64583</v>
      </c>
      <c r="C507" s="2">
        <f>IFERROR(__xludf.DUMMYFUNCTION("""COMPUTED_VALUE"""),2038.2)</f>
        <v>2038.2</v>
      </c>
    </row>
    <row r="508" ht="15.75" customHeight="1">
      <c r="B508" s="3">
        <f>IFERROR(__xludf.DUMMYFUNCTION("""COMPUTED_VALUE"""),41726.645833333336)</f>
        <v>41726.64583</v>
      </c>
      <c r="C508" s="2">
        <f>IFERROR(__xludf.DUMMYFUNCTION("""COMPUTED_VALUE"""),2096.8)</f>
        <v>2096.8</v>
      </c>
    </row>
    <row r="509" ht="15.75" customHeight="1">
      <c r="B509" s="3">
        <f>IFERROR(__xludf.DUMMYFUNCTION("""COMPUTED_VALUE"""),41733.645833333336)</f>
        <v>41733.64583</v>
      </c>
      <c r="C509" s="2">
        <f>IFERROR(__xludf.DUMMYFUNCTION("""COMPUTED_VALUE"""),2100.0)</f>
        <v>2100</v>
      </c>
    </row>
    <row r="510" ht="15.75" customHeight="1">
      <c r="B510" s="3">
        <f>IFERROR(__xludf.DUMMYFUNCTION("""COMPUTED_VALUE"""),41740.645833333336)</f>
        <v>41740.64583</v>
      </c>
      <c r="C510" s="2">
        <f>IFERROR(__xludf.DUMMYFUNCTION("""COMPUTED_VALUE"""),2057.9)</f>
        <v>2057.9</v>
      </c>
    </row>
    <row r="511" ht="15.75" customHeight="1">
      <c r="B511" s="3">
        <f>IFERROR(__xludf.DUMMYFUNCTION("""COMPUTED_VALUE"""),41746.645833333336)</f>
        <v>41746.64583</v>
      </c>
      <c r="C511" s="2">
        <f>IFERROR(__xludf.DUMMYFUNCTION("""COMPUTED_VALUE"""),2025.7)</f>
        <v>2025.7</v>
      </c>
    </row>
    <row r="512" ht="15.75" customHeight="1">
      <c r="B512" s="3">
        <f>IFERROR(__xludf.DUMMYFUNCTION("""COMPUTED_VALUE"""),41754.645833333336)</f>
        <v>41754.64583</v>
      </c>
      <c r="C512" s="2">
        <f>IFERROR(__xludf.DUMMYFUNCTION("""COMPUTED_VALUE"""),2035.9)</f>
        <v>2035.9</v>
      </c>
    </row>
    <row r="513" ht="15.75" customHeight="1">
      <c r="B513" s="3">
        <f>IFERROR(__xludf.DUMMYFUNCTION("""COMPUTED_VALUE"""),41761.645833333336)</f>
        <v>41761.64583</v>
      </c>
      <c r="C513" s="2">
        <f>IFERROR(__xludf.DUMMYFUNCTION("""COMPUTED_VALUE"""),1999.0)</f>
        <v>1999</v>
      </c>
    </row>
    <row r="514" ht="15.75" customHeight="1">
      <c r="B514" s="3">
        <f>IFERROR(__xludf.DUMMYFUNCTION("""COMPUTED_VALUE"""),41768.645833333336)</f>
        <v>41768.64583</v>
      </c>
      <c r="C514" s="2">
        <f>IFERROR(__xludf.DUMMYFUNCTION("""COMPUTED_VALUE"""),1927.0)</f>
        <v>1927</v>
      </c>
    </row>
    <row r="515" ht="15.75" customHeight="1">
      <c r="B515" s="3">
        <f>IFERROR(__xludf.DUMMYFUNCTION("""COMPUTED_VALUE"""),41775.645833333336)</f>
        <v>41775.64583</v>
      </c>
      <c r="C515" s="2">
        <f>IFERROR(__xludf.DUMMYFUNCTION("""COMPUTED_VALUE"""),2094.7)</f>
        <v>2094.7</v>
      </c>
    </row>
    <row r="516" ht="15.75" customHeight="1">
      <c r="B516" s="3">
        <f>IFERROR(__xludf.DUMMYFUNCTION("""COMPUTED_VALUE"""),41782.645833333336)</f>
        <v>41782.64583</v>
      </c>
      <c r="C516" s="2">
        <f>IFERROR(__xludf.DUMMYFUNCTION("""COMPUTED_VALUE"""),2028.7)</f>
        <v>2028.7</v>
      </c>
    </row>
    <row r="517" ht="15.75" customHeight="1">
      <c r="B517" s="3">
        <f>IFERROR(__xludf.DUMMYFUNCTION("""COMPUTED_VALUE"""),41789.645833333336)</f>
        <v>41789.64583</v>
      </c>
      <c r="C517" s="2">
        <f>IFERROR(__xludf.DUMMYFUNCTION("""COMPUTED_VALUE"""),2012.9)</f>
        <v>2012.9</v>
      </c>
    </row>
    <row r="518" ht="15.75" customHeight="1">
      <c r="B518" s="3">
        <f>IFERROR(__xludf.DUMMYFUNCTION("""COMPUTED_VALUE"""),41796.645833333336)</f>
        <v>41796.64583</v>
      </c>
      <c r="C518" s="2">
        <f>IFERROR(__xludf.DUMMYFUNCTION("""COMPUTED_VALUE"""),2054.0)</f>
        <v>2054</v>
      </c>
    </row>
    <row r="519" ht="15.75" customHeight="1">
      <c r="B519" s="3">
        <f>IFERROR(__xludf.DUMMYFUNCTION("""COMPUTED_VALUE"""),41803.645833333336)</f>
        <v>41803.64583</v>
      </c>
      <c r="C519" s="2">
        <f>IFERROR(__xludf.DUMMYFUNCTION("""COMPUTED_VALUE"""),2228.0)</f>
        <v>2228</v>
      </c>
    </row>
    <row r="520" ht="15.75" customHeight="1">
      <c r="B520" s="3">
        <f>IFERROR(__xludf.DUMMYFUNCTION("""COMPUTED_VALUE"""),41810.645833333336)</f>
        <v>41810.64583</v>
      </c>
      <c r="C520" s="2">
        <f>IFERROR(__xludf.DUMMYFUNCTION("""COMPUTED_VALUE"""),2210.0)</f>
        <v>2210</v>
      </c>
    </row>
    <row r="521" ht="15.75" customHeight="1">
      <c r="B521" s="3">
        <f>IFERROR(__xludf.DUMMYFUNCTION("""COMPUTED_VALUE"""),41817.645833333336)</f>
        <v>41817.64583</v>
      </c>
      <c r="C521" s="2">
        <f>IFERROR(__xludf.DUMMYFUNCTION("""COMPUTED_VALUE"""),2320.0)</f>
        <v>2320</v>
      </c>
    </row>
    <row r="522" ht="15.75" customHeight="1">
      <c r="B522" s="3">
        <f>IFERROR(__xludf.DUMMYFUNCTION("""COMPUTED_VALUE"""),41824.645833333336)</f>
        <v>41824.64583</v>
      </c>
      <c r="C522" s="2">
        <f>IFERROR(__xludf.DUMMYFUNCTION("""COMPUTED_VALUE"""),2364.85)</f>
        <v>2364.85</v>
      </c>
    </row>
    <row r="523" ht="15.75" customHeight="1">
      <c r="B523" s="3">
        <f>IFERROR(__xludf.DUMMYFUNCTION("""COMPUTED_VALUE"""),41831.645833333336)</f>
        <v>41831.64583</v>
      </c>
      <c r="C523" s="2">
        <f>IFERROR(__xludf.DUMMYFUNCTION("""COMPUTED_VALUE"""),2324.6)</f>
        <v>2324.6</v>
      </c>
    </row>
    <row r="524" ht="15.75" customHeight="1">
      <c r="B524" s="3">
        <f>IFERROR(__xludf.DUMMYFUNCTION("""COMPUTED_VALUE"""),41838.645833333336)</f>
        <v>41838.64583</v>
      </c>
      <c r="C524" s="2">
        <f>IFERROR(__xludf.DUMMYFUNCTION("""COMPUTED_VALUE"""),2169.0)</f>
        <v>2169</v>
      </c>
    </row>
    <row r="525" ht="15.75" customHeight="1">
      <c r="B525" s="3">
        <f>IFERROR(__xludf.DUMMYFUNCTION("""COMPUTED_VALUE"""),41845.645833333336)</f>
        <v>41845.64583</v>
      </c>
      <c r="C525" s="2">
        <f>IFERROR(__xludf.DUMMYFUNCTION("""COMPUTED_VALUE"""),2122.9)</f>
        <v>2122.9</v>
      </c>
    </row>
    <row r="526" ht="15.75" customHeight="1">
      <c r="B526" s="3">
        <f>IFERROR(__xludf.DUMMYFUNCTION("""COMPUTED_VALUE"""),41852.645833333336)</f>
        <v>41852.64583</v>
      </c>
      <c r="C526" s="2">
        <f>IFERROR(__xludf.DUMMYFUNCTION("""COMPUTED_VALUE"""),2108.05)</f>
        <v>2108.05</v>
      </c>
    </row>
    <row r="527" ht="15.75" customHeight="1">
      <c r="B527" s="3">
        <f>IFERROR(__xludf.DUMMYFUNCTION("""COMPUTED_VALUE"""),41859.645833333336)</f>
        <v>41859.64583</v>
      </c>
      <c r="C527" s="2">
        <f>IFERROR(__xludf.DUMMYFUNCTION("""COMPUTED_VALUE"""),2178.0)</f>
        <v>2178</v>
      </c>
    </row>
    <row r="528" ht="15.75" customHeight="1">
      <c r="B528" s="3">
        <f>IFERROR(__xludf.DUMMYFUNCTION("""COMPUTED_VALUE"""),41865.645833333336)</f>
        <v>41865.64583</v>
      </c>
      <c r="C528" s="2">
        <f>IFERROR(__xludf.DUMMYFUNCTION("""COMPUTED_VALUE"""),2165.0)</f>
        <v>2165</v>
      </c>
    </row>
    <row r="529" ht="15.75" customHeight="1">
      <c r="B529" s="3">
        <f>IFERROR(__xludf.DUMMYFUNCTION("""COMPUTED_VALUE"""),41873.645833333336)</f>
        <v>41873.64583</v>
      </c>
      <c r="C529" s="2">
        <f>IFERROR(__xludf.DUMMYFUNCTION("""COMPUTED_VALUE"""),2278.6)</f>
        <v>2278.6</v>
      </c>
    </row>
    <row r="530" ht="15.75" customHeight="1">
      <c r="B530" s="3">
        <f>IFERROR(__xludf.DUMMYFUNCTION("""COMPUTED_VALUE"""),41879.645833333336)</f>
        <v>41879.64583</v>
      </c>
      <c r="C530" s="2">
        <f>IFERROR(__xludf.DUMMYFUNCTION("""COMPUTED_VALUE"""),2304.6)</f>
        <v>2304.6</v>
      </c>
    </row>
    <row r="531" ht="15.75" customHeight="1">
      <c r="B531" s="3">
        <f>IFERROR(__xludf.DUMMYFUNCTION("""COMPUTED_VALUE"""),41887.645833333336)</f>
        <v>41887.64583</v>
      </c>
      <c r="C531" s="2">
        <f>IFERROR(__xludf.DUMMYFUNCTION("""COMPUTED_VALUE"""),2349.0)</f>
        <v>2349</v>
      </c>
    </row>
    <row r="532" ht="15.75" customHeight="1">
      <c r="B532" s="3">
        <f>IFERROR(__xludf.DUMMYFUNCTION("""COMPUTED_VALUE"""),41894.645833333336)</f>
        <v>41894.64583</v>
      </c>
      <c r="C532" s="2">
        <f>IFERROR(__xludf.DUMMYFUNCTION("""COMPUTED_VALUE"""),2382.95)</f>
        <v>2382.95</v>
      </c>
    </row>
    <row r="533" ht="15.75" customHeight="1">
      <c r="B533" s="3">
        <f>IFERROR(__xludf.DUMMYFUNCTION("""COMPUTED_VALUE"""),41901.645833333336)</f>
        <v>41901.64583</v>
      </c>
      <c r="C533" s="2">
        <f>IFERROR(__xludf.DUMMYFUNCTION("""COMPUTED_VALUE"""),2428.2)</f>
        <v>2428.2</v>
      </c>
    </row>
    <row r="534" ht="15.75" customHeight="1">
      <c r="B534" s="3">
        <f>IFERROR(__xludf.DUMMYFUNCTION("""COMPUTED_VALUE"""),41908.645833333336)</f>
        <v>41908.64583</v>
      </c>
      <c r="C534" s="2">
        <f>IFERROR(__xludf.DUMMYFUNCTION("""COMPUTED_VALUE"""),2457.0)</f>
        <v>2457</v>
      </c>
    </row>
    <row r="535" ht="15.75" customHeight="1">
      <c r="B535" s="3">
        <f>IFERROR(__xludf.DUMMYFUNCTION("""COMPUTED_VALUE"""),41913.645833333336)</f>
        <v>41913.64583</v>
      </c>
      <c r="C535" s="2">
        <f>IFERROR(__xludf.DUMMYFUNCTION("""COMPUTED_VALUE"""),2371.35)</f>
        <v>2371.35</v>
      </c>
    </row>
    <row r="536" ht="15.75" customHeight="1">
      <c r="B536" s="3">
        <f>IFERROR(__xludf.DUMMYFUNCTION("""COMPUTED_VALUE"""),41922.645833333336)</f>
        <v>41922.64583</v>
      </c>
      <c r="C536" s="2">
        <f>IFERROR(__xludf.DUMMYFUNCTION("""COMPUTED_VALUE"""),2380.75)</f>
        <v>2380.75</v>
      </c>
    </row>
    <row r="537" ht="15.75" customHeight="1">
      <c r="B537" s="3">
        <f>IFERROR(__xludf.DUMMYFUNCTION("""COMPUTED_VALUE"""),41929.645833333336)</f>
        <v>41929.64583</v>
      </c>
      <c r="C537" s="2">
        <f>IFERROR(__xludf.DUMMYFUNCTION("""COMPUTED_VALUE"""),2440.9)</f>
        <v>2440.9</v>
      </c>
    </row>
    <row r="538" ht="15.75" customHeight="1">
      <c r="B538" s="3">
        <f>IFERROR(__xludf.DUMMYFUNCTION("""COMPUTED_VALUE"""),41935.645833333336)</f>
        <v>41935.64583</v>
      </c>
      <c r="C538" s="2">
        <f>IFERROR(__xludf.DUMMYFUNCTION("""COMPUTED_VALUE"""),2529.0)</f>
        <v>2529</v>
      </c>
    </row>
    <row r="539" ht="15.75" customHeight="1">
      <c r="B539" s="3">
        <f>IFERROR(__xludf.DUMMYFUNCTION("""COMPUTED_VALUE"""),41943.645833333336)</f>
        <v>41943.64583</v>
      </c>
      <c r="C539" s="2">
        <f>IFERROR(__xludf.DUMMYFUNCTION("""COMPUTED_VALUE"""),2628.25)</f>
        <v>2628.25</v>
      </c>
    </row>
    <row r="540" ht="15.75" customHeight="1">
      <c r="B540" s="3">
        <f>IFERROR(__xludf.DUMMYFUNCTION("""COMPUTED_VALUE"""),41950.645833333336)</f>
        <v>41950.64583</v>
      </c>
      <c r="C540" s="2">
        <f>IFERROR(__xludf.DUMMYFUNCTION("""COMPUTED_VALUE"""),2624.75)</f>
        <v>2624.75</v>
      </c>
    </row>
    <row r="541" ht="15.75" customHeight="1">
      <c r="B541" s="3">
        <f>IFERROR(__xludf.DUMMYFUNCTION("""COMPUTED_VALUE"""),41957.64583333333)</f>
        <v>41957.64583</v>
      </c>
      <c r="C541" s="2">
        <f>IFERROR(__xludf.DUMMYFUNCTION("""COMPUTED_VALUE"""),2663.65)</f>
        <v>2663.65</v>
      </c>
    </row>
    <row r="542" ht="15.75" customHeight="1">
      <c r="B542" s="3">
        <f>IFERROR(__xludf.DUMMYFUNCTION("""COMPUTED_VALUE"""),41964.64583333333)</f>
        <v>41964.64583</v>
      </c>
      <c r="C542" s="2">
        <f>IFERROR(__xludf.DUMMYFUNCTION("""COMPUTED_VALUE"""),2688.0)</f>
        <v>2688</v>
      </c>
    </row>
    <row r="543" ht="15.75" customHeight="1">
      <c r="B543" s="3">
        <f>IFERROR(__xludf.DUMMYFUNCTION("""COMPUTED_VALUE"""),41971.64583333333)</f>
        <v>41971.64583</v>
      </c>
      <c r="C543" s="2">
        <f>IFERROR(__xludf.DUMMYFUNCTION("""COMPUTED_VALUE"""),2695.0)</f>
        <v>2695</v>
      </c>
    </row>
    <row r="544" ht="15.75" customHeight="1">
      <c r="B544" s="3">
        <f>IFERROR(__xludf.DUMMYFUNCTION("""COMPUTED_VALUE"""),41978.64583333333)</f>
        <v>41978.64583</v>
      </c>
      <c r="C544" s="2">
        <f>IFERROR(__xludf.DUMMYFUNCTION("""COMPUTED_VALUE"""),2660.8)</f>
        <v>2660.8</v>
      </c>
    </row>
    <row r="545" ht="15.75" customHeight="1">
      <c r="B545" s="3">
        <f>IFERROR(__xludf.DUMMYFUNCTION("""COMPUTED_VALUE"""),41985.64583333333)</f>
        <v>41985.64583</v>
      </c>
      <c r="C545" s="2">
        <f>IFERROR(__xludf.DUMMYFUNCTION("""COMPUTED_VALUE"""),2641.2)</f>
        <v>2641.2</v>
      </c>
    </row>
    <row r="546" ht="15.75" customHeight="1">
      <c r="B546" s="3">
        <f>IFERROR(__xludf.DUMMYFUNCTION("""COMPUTED_VALUE"""),41992.64583333333)</f>
        <v>41992.64583</v>
      </c>
      <c r="C546" s="2">
        <f>IFERROR(__xludf.DUMMYFUNCTION("""COMPUTED_VALUE"""),2545.05)</f>
        <v>2545.05</v>
      </c>
    </row>
    <row r="547" ht="15.75" customHeight="1">
      <c r="B547" s="3">
        <f>IFERROR(__xludf.DUMMYFUNCTION("""COMPUTED_VALUE"""),41999.64583333333)</f>
        <v>41999.64583</v>
      </c>
      <c r="C547" s="2">
        <f>IFERROR(__xludf.DUMMYFUNCTION("""COMPUTED_VALUE"""),2539.0)</f>
        <v>2539</v>
      </c>
    </row>
    <row r="548" ht="15.75" customHeight="1"/>
    <row r="549" ht="15.75" customHeight="1"/>
    <row r="550" ht="15.75" customHeight="1"/>
    <row r="551" ht="15.75" customHeight="1">
      <c r="B551" s="2" t="str">
        <f>IFERROR(__xludf.DUMMYFUNCTION("GOOGLEFINANCE(""NSE:BAJAJ-AUTO"", ""high"",DATE(2015,1,1),DATE(2016,1,1),""weekly"")"),"Date")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IFERROR(__xludf.DUMMYFUNCTION("""COMPUTED_VALUE"""),42006.64583333333)</f>
        <v>42006.64583</v>
      </c>
      <c r="C552" s="2">
        <f>IFERROR(__xludf.DUMMYFUNCTION("""COMPUTED_VALUE"""),2505.0)</f>
        <v>2505</v>
      </c>
    </row>
    <row r="553" ht="15.75" customHeight="1">
      <c r="B553" s="3">
        <f>IFERROR(__xludf.DUMMYFUNCTION("""COMPUTED_VALUE"""),42013.64583333333)</f>
        <v>42013.64583</v>
      </c>
      <c r="C553" s="2">
        <f>IFERROR(__xludf.DUMMYFUNCTION("""COMPUTED_VALUE"""),2481.2)</f>
        <v>2481.2</v>
      </c>
    </row>
    <row r="554" ht="15.75" customHeight="1">
      <c r="B554" s="3">
        <f>IFERROR(__xludf.DUMMYFUNCTION("""COMPUTED_VALUE"""),42020.64583333333)</f>
        <v>42020.64583</v>
      </c>
      <c r="C554" s="2">
        <f>IFERROR(__xludf.DUMMYFUNCTION("""COMPUTED_VALUE"""),2442.0)</f>
        <v>2442</v>
      </c>
    </row>
    <row r="555" ht="15.75" customHeight="1">
      <c r="B555" s="3">
        <f>IFERROR(__xludf.DUMMYFUNCTION("""COMPUTED_VALUE"""),42027.64583333333)</f>
        <v>42027.64583</v>
      </c>
      <c r="C555" s="2">
        <f>IFERROR(__xludf.DUMMYFUNCTION("""COMPUTED_VALUE"""),2491.25)</f>
        <v>2491.25</v>
      </c>
    </row>
    <row r="556" ht="15.75" customHeight="1">
      <c r="B556" s="3">
        <f>IFERROR(__xludf.DUMMYFUNCTION("""COMPUTED_VALUE"""),42034.64583333333)</f>
        <v>42034.64583</v>
      </c>
      <c r="C556" s="2">
        <f>IFERROR(__xludf.DUMMYFUNCTION("""COMPUTED_VALUE"""),2439.95)</f>
        <v>2439.95</v>
      </c>
    </row>
    <row r="557" ht="15.75" customHeight="1">
      <c r="B557" s="3">
        <f>IFERROR(__xludf.DUMMYFUNCTION("""COMPUTED_VALUE"""),42041.64583333333)</f>
        <v>42041.64583</v>
      </c>
      <c r="C557" s="2">
        <f>IFERROR(__xludf.DUMMYFUNCTION("""COMPUTED_VALUE"""),2421.25)</f>
        <v>2421.25</v>
      </c>
    </row>
    <row r="558" ht="15.75" customHeight="1">
      <c r="B558" s="3">
        <f>IFERROR(__xludf.DUMMYFUNCTION("""COMPUTED_VALUE"""),42048.64583333333)</f>
        <v>42048.64583</v>
      </c>
      <c r="C558" s="2">
        <f>IFERROR(__xludf.DUMMYFUNCTION("""COMPUTED_VALUE"""),2314.9)</f>
        <v>2314.9</v>
      </c>
    </row>
    <row r="559" ht="15.75" customHeight="1">
      <c r="B559" s="3">
        <f>IFERROR(__xludf.DUMMYFUNCTION("""COMPUTED_VALUE"""),42055.64583333333)</f>
        <v>42055.64583</v>
      </c>
      <c r="C559" s="2">
        <f>IFERROR(__xludf.DUMMYFUNCTION("""COMPUTED_VALUE"""),2280.85)</f>
        <v>2280.85</v>
      </c>
    </row>
    <row r="560" ht="15.75" customHeight="1">
      <c r="B560" s="3">
        <f>IFERROR(__xludf.DUMMYFUNCTION("""COMPUTED_VALUE"""),42068.64583333333)</f>
        <v>42068.64583</v>
      </c>
      <c r="C560" s="2">
        <f>IFERROR(__xludf.DUMMYFUNCTION("""COMPUTED_VALUE"""),2209.35)</f>
        <v>2209.35</v>
      </c>
    </row>
    <row r="561" ht="15.75" customHeight="1">
      <c r="B561" s="3">
        <f>IFERROR(__xludf.DUMMYFUNCTION("""COMPUTED_VALUE"""),42076.64583333333)</f>
        <v>42076.64583</v>
      </c>
      <c r="C561" s="2">
        <f>IFERROR(__xludf.DUMMYFUNCTION("""COMPUTED_VALUE"""),2156.0)</f>
        <v>2156</v>
      </c>
    </row>
    <row r="562" ht="15.75" customHeight="1">
      <c r="B562" s="3">
        <f>IFERROR(__xludf.DUMMYFUNCTION("""COMPUTED_VALUE"""),42083.64583333333)</f>
        <v>42083.64583</v>
      </c>
      <c r="C562" s="2">
        <f>IFERROR(__xludf.DUMMYFUNCTION("""COMPUTED_VALUE"""),2059.0)</f>
        <v>2059</v>
      </c>
    </row>
    <row r="563" ht="15.75" customHeight="1">
      <c r="B563" s="3">
        <f>IFERROR(__xludf.DUMMYFUNCTION("""COMPUTED_VALUE"""),42090.64583333333)</f>
        <v>42090.64583</v>
      </c>
      <c r="C563" s="2">
        <f>IFERROR(__xludf.DUMMYFUNCTION("""COMPUTED_VALUE"""),2041.8)</f>
        <v>2041.8</v>
      </c>
    </row>
    <row r="564" ht="15.75" customHeight="1">
      <c r="B564" s="3">
        <f>IFERROR(__xludf.DUMMYFUNCTION("""COMPUTED_VALUE"""),42095.64583333333)</f>
        <v>42095.64583</v>
      </c>
      <c r="C564" s="2">
        <f>IFERROR(__xludf.DUMMYFUNCTION("""COMPUTED_VALUE"""),2043.7)</f>
        <v>2043.7</v>
      </c>
    </row>
    <row r="565" ht="15.75" customHeight="1">
      <c r="B565" s="3">
        <f>IFERROR(__xludf.DUMMYFUNCTION("""COMPUTED_VALUE"""),42104.64583333333)</f>
        <v>42104.64583</v>
      </c>
      <c r="C565" s="2">
        <f>IFERROR(__xludf.DUMMYFUNCTION("""COMPUTED_VALUE"""),2128.0)</f>
        <v>2128</v>
      </c>
    </row>
    <row r="566" ht="15.75" customHeight="1">
      <c r="B566" s="3">
        <f>IFERROR(__xludf.DUMMYFUNCTION("""COMPUTED_VALUE"""),42111.64583333333)</f>
        <v>42111.64583</v>
      </c>
      <c r="C566" s="2">
        <f>IFERROR(__xludf.DUMMYFUNCTION("""COMPUTED_VALUE"""),2115.3)</f>
        <v>2115.3</v>
      </c>
    </row>
    <row r="567" ht="15.75" customHeight="1">
      <c r="B567" s="3">
        <f>IFERROR(__xludf.DUMMYFUNCTION("""COMPUTED_VALUE"""),42118.64583333333)</f>
        <v>42118.64583</v>
      </c>
      <c r="C567" s="2">
        <f>IFERROR(__xludf.DUMMYFUNCTION("""COMPUTED_VALUE"""),2083.05)</f>
        <v>2083.05</v>
      </c>
    </row>
    <row r="568" ht="15.75" customHeight="1">
      <c r="B568" s="3">
        <f>IFERROR(__xludf.DUMMYFUNCTION("""COMPUTED_VALUE"""),42124.64583333333)</f>
        <v>42124.64583</v>
      </c>
      <c r="C568" s="2">
        <f>IFERROR(__xludf.DUMMYFUNCTION("""COMPUTED_VALUE"""),2009.95)</f>
        <v>2009.95</v>
      </c>
    </row>
    <row r="569" ht="15.75" customHeight="1">
      <c r="B569" s="3">
        <f>IFERROR(__xludf.DUMMYFUNCTION("""COMPUTED_VALUE"""),42132.64583333333)</f>
        <v>42132.64583</v>
      </c>
      <c r="C569" s="2">
        <f>IFERROR(__xludf.DUMMYFUNCTION("""COMPUTED_VALUE"""),2148.1)</f>
        <v>2148.1</v>
      </c>
    </row>
    <row r="570" ht="15.75" customHeight="1">
      <c r="B570" s="3">
        <f>IFERROR(__xludf.DUMMYFUNCTION("""COMPUTED_VALUE"""),42139.64583333333)</f>
        <v>42139.64583</v>
      </c>
      <c r="C570" s="2">
        <f>IFERROR(__xludf.DUMMYFUNCTION("""COMPUTED_VALUE"""),2193.25)</f>
        <v>2193.25</v>
      </c>
    </row>
    <row r="571" ht="15.75" customHeight="1">
      <c r="B571" s="3">
        <f>IFERROR(__xludf.DUMMYFUNCTION("""COMPUTED_VALUE"""),42146.64583333333)</f>
        <v>42146.64583</v>
      </c>
      <c r="C571" s="2">
        <f>IFERROR(__xludf.DUMMYFUNCTION("""COMPUTED_VALUE"""),2340.9)</f>
        <v>2340.9</v>
      </c>
    </row>
    <row r="572" ht="15.75" customHeight="1">
      <c r="B572" s="3">
        <f>IFERROR(__xludf.DUMMYFUNCTION("""COMPUTED_VALUE"""),42153.64583333333)</f>
        <v>42153.64583</v>
      </c>
      <c r="C572" s="2">
        <f>IFERROR(__xludf.DUMMYFUNCTION("""COMPUTED_VALUE"""),2336.75)</f>
        <v>2336.75</v>
      </c>
    </row>
    <row r="573" ht="15.75" customHeight="1">
      <c r="B573" s="3">
        <f>IFERROR(__xludf.DUMMYFUNCTION("""COMPUTED_VALUE"""),42160.64583333333)</f>
        <v>42160.64583</v>
      </c>
      <c r="C573" s="2">
        <f>IFERROR(__xludf.DUMMYFUNCTION("""COMPUTED_VALUE"""),2351.0)</f>
        <v>2351</v>
      </c>
    </row>
    <row r="574" ht="15.75" customHeight="1">
      <c r="B574" s="3">
        <f>IFERROR(__xludf.DUMMYFUNCTION("""COMPUTED_VALUE"""),42167.64583333333)</f>
        <v>42167.64583</v>
      </c>
      <c r="C574" s="2">
        <f>IFERROR(__xludf.DUMMYFUNCTION("""COMPUTED_VALUE"""),2297.0)</f>
        <v>2297</v>
      </c>
    </row>
    <row r="575" ht="15.75" customHeight="1">
      <c r="B575" s="3">
        <f>IFERROR(__xludf.DUMMYFUNCTION("""COMPUTED_VALUE"""),42174.64583333333)</f>
        <v>42174.64583</v>
      </c>
      <c r="C575" s="2">
        <f>IFERROR(__xludf.DUMMYFUNCTION("""COMPUTED_VALUE"""),2425.0)</f>
        <v>2425</v>
      </c>
    </row>
    <row r="576" ht="15.75" customHeight="1">
      <c r="B576" s="3">
        <f>IFERROR(__xludf.DUMMYFUNCTION("""COMPUTED_VALUE"""),42181.64583333333)</f>
        <v>42181.64583</v>
      </c>
      <c r="C576" s="2">
        <f>IFERROR(__xludf.DUMMYFUNCTION("""COMPUTED_VALUE"""),2554.0)</f>
        <v>2554</v>
      </c>
    </row>
    <row r="577" ht="15.75" customHeight="1">
      <c r="B577" s="3">
        <f>IFERROR(__xludf.DUMMYFUNCTION("""COMPUTED_VALUE"""),42188.64583333333)</f>
        <v>42188.64583</v>
      </c>
      <c r="C577" s="2">
        <f>IFERROR(__xludf.DUMMYFUNCTION("""COMPUTED_VALUE"""),2609.0)</f>
        <v>2609</v>
      </c>
    </row>
    <row r="578" ht="15.75" customHeight="1">
      <c r="B578" s="3">
        <f>IFERROR(__xludf.DUMMYFUNCTION("""COMPUTED_VALUE"""),42195.64583333333)</f>
        <v>42195.64583</v>
      </c>
      <c r="C578" s="2">
        <f>IFERROR(__xludf.DUMMYFUNCTION("""COMPUTED_VALUE"""),2612.9)</f>
        <v>2612.9</v>
      </c>
    </row>
    <row r="579" ht="15.75" customHeight="1">
      <c r="B579" s="3">
        <f>IFERROR(__xludf.DUMMYFUNCTION("""COMPUTED_VALUE"""),42202.64583333333)</f>
        <v>42202.64583</v>
      </c>
      <c r="C579" s="2">
        <f>IFERROR(__xludf.DUMMYFUNCTION("""COMPUTED_VALUE"""),2567.6)</f>
        <v>2567.6</v>
      </c>
    </row>
    <row r="580" ht="15.75" customHeight="1">
      <c r="B580" s="3">
        <f>IFERROR(__xludf.DUMMYFUNCTION("""COMPUTED_VALUE"""),42209.64583333333)</f>
        <v>42209.64583</v>
      </c>
      <c r="C580" s="2">
        <f>IFERROR(__xludf.DUMMYFUNCTION("""COMPUTED_VALUE"""),2656.0)</f>
        <v>2656</v>
      </c>
    </row>
    <row r="581" ht="15.75" customHeight="1">
      <c r="B581" s="3">
        <f>IFERROR(__xludf.DUMMYFUNCTION("""COMPUTED_VALUE"""),42216.64583333333)</f>
        <v>42216.64583</v>
      </c>
      <c r="C581" s="2">
        <f>IFERROR(__xludf.DUMMYFUNCTION("""COMPUTED_VALUE"""),2555.6)</f>
        <v>2555.6</v>
      </c>
    </row>
    <row r="582" ht="15.75" customHeight="1">
      <c r="B582" s="3">
        <f>IFERROR(__xludf.DUMMYFUNCTION("""COMPUTED_VALUE"""),42223.64583333333)</f>
        <v>42223.64583</v>
      </c>
      <c r="C582" s="2">
        <f>IFERROR(__xludf.DUMMYFUNCTION("""COMPUTED_VALUE"""),2608.0)</f>
        <v>2608</v>
      </c>
    </row>
    <row r="583" ht="15.75" customHeight="1">
      <c r="B583" s="3">
        <f>IFERROR(__xludf.DUMMYFUNCTION("""COMPUTED_VALUE"""),42230.64583333333)</f>
        <v>42230.64583</v>
      </c>
      <c r="C583" s="2">
        <f>IFERROR(__xludf.DUMMYFUNCTION("""COMPUTED_VALUE"""),2573.65)</f>
        <v>2573.65</v>
      </c>
    </row>
    <row r="584" ht="15.75" customHeight="1">
      <c r="B584" s="3">
        <f>IFERROR(__xludf.DUMMYFUNCTION("""COMPUTED_VALUE"""),42237.64583333333)</f>
        <v>42237.64583</v>
      </c>
      <c r="C584" s="2">
        <f>IFERROR(__xludf.DUMMYFUNCTION("""COMPUTED_VALUE"""),2570.0)</f>
        <v>2570</v>
      </c>
    </row>
    <row r="585" ht="15.75" customHeight="1">
      <c r="B585" s="3">
        <f>IFERROR(__xludf.DUMMYFUNCTION("""COMPUTED_VALUE"""),42244.64583333333)</f>
        <v>42244.64583</v>
      </c>
      <c r="C585" s="2">
        <f>IFERROR(__xludf.DUMMYFUNCTION("""COMPUTED_VALUE"""),2355.7)</f>
        <v>2355.7</v>
      </c>
    </row>
    <row r="586" ht="15.75" customHeight="1">
      <c r="B586" s="3">
        <f>IFERROR(__xludf.DUMMYFUNCTION("""COMPUTED_VALUE"""),42251.64583333333)</f>
        <v>42251.64583</v>
      </c>
      <c r="C586" s="2">
        <f>IFERROR(__xludf.DUMMYFUNCTION("""COMPUTED_VALUE"""),2282.45)</f>
        <v>2282.45</v>
      </c>
    </row>
    <row r="587" ht="15.75" customHeight="1">
      <c r="B587" s="3">
        <f>IFERROR(__xludf.DUMMYFUNCTION("""COMPUTED_VALUE"""),42258.64583333333)</f>
        <v>42258.64583</v>
      </c>
      <c r="C587" s="2">
        <f>IFERROR(__xludf.DUMMYFUNCTION("""COMPUTED_VALUE"""),2334.2)</f>
        <v>2334.2</v>
      </c>
    </row>
    <row r="588" ht="15.75" customHeight="1">
      <c r="B588" s="3">
        <f>IFERROR(__xludf.DUMMYFUNCTION("""COMPUTED_VALUE"""),42265.64583333333)</f>
        <v>42265.64583</v>
      </c>
      <c r="C588" s="2">
        <f>IFERROR(__xludf.DUMMYFUNCTION("""COMPUTED_VALUE"""),2378.55)</f>
        <v>2378.55</v>
      </c>
    </row>
    <row r="589" ht="15.75" customHeight="1">
      <c r="B589" s="3">
        <f>IFERROR(__xludf.DUMMYFUNCTION("""COMPUTED_VALUE"""),42271.64583333333)</f>
        <v>42271.64583</v>
      </c>
      <c r="C589" s="2">
        <f>IFERROR(__xludf.DUMMYFUNCTION("""COMPUTED_VALUE"""),2333.0)</f>
        <v>2333</v>
      </c>
    </row>
    <row r="590" ht="15.75" customHeight="1">
      <c r="B590" s="3">
        <f>IFERROR(__xludf.DUMMYFUNCTION("""COMPUTED_VALUE"""),42278.64583333333)</f>
        <v>42278.64583</v>
      </c>
      <c r="C590" s="2">
        <f>IFERROR(__xludf.DUMMYFUNCTION("""COMPUTED_VALUE"""),2327.35)</f>
        <v>2327.35</v>
      </c>
    </row>
    <row r="591" ht="15.75" customHeight="1">
      <c r="B591" s="3">
        <f>IFERROR(__xludf.DUMMYFUNCTION("""COMPUTED_VALUE"""),42286.64583333333)</f>
        <v>42286.64583</v>
      </c>
      <c r="C591" s="2">
        <f>IFERROR(__xludf.DUMMYFUNCTION("""COMPUTED_VALUE"""),2486.0)</f>
        <v>2486</v>
      </c>
    </row>
    <row r="592" ht="15.75" customHeight="1">
      <c r="B592" s="3">
        <f>IFERROR(__xludf.DUMMYFUNCTION("""COMPUTED_VALUE"""),42293.64583333333)</f>
        <v>42293.64583</v>
      </c>
      <c r="C592" s="2">
        <f>IFERROR(__xludf.DUMMYFUNCTION("""COMPUTED_VALUE"""),2487.75)</f>
        <v>2487.75</v>
      </c>
    </row>
    <row r="593" ht="15.75" customHeight="1">
      <c r="B593" s="3">
        <f>IFERROR(__xludf.DUMMYFUNCTION("""COMPUTED_VALUE"""),42300.64583333333)</f>
        <v>42300.64583</v>
      </c>
      <c r="C593" s="2">
        <f>IFERROR(__xludf.DUMMYFUNCTION("""COMPUTED_VALUE"""),2564.2)</f>
        <v>2564.2</v>
      </c>
    </row>
    <row r="594" ht="15.75" customHeight="1">
      <c r="B594" s="3">
        <f>IFERROR(__xludf.DUMMYFUNCTION("""COMPUTED_VALUE"""),42307.64583333333)</f>
        <v>42307.64583</v>
      </c>
      <c r="C594" s="2">
        <f>IFERROR(__xludf.DUMMYFUNCTION("""COMPUTED_VALUE"""),2600.0)</f>
        <v>2600</v>
      </c>
    </row>
    <row r="595" ht="15.75" customHeight="1">
      <c r="B595" s="3">
        <f>IFERROR(__xludf.DUMMYFUNCTION("""COMPUTED_VALUE"""),42314.64583333333)</f>
        <v>42314.64583</v>
      </c>
      <c r="C595" s="2">
        <f>IFERROR(__xludf.DUMMYFUNCTION("""COMPUTED_VALUE"""),2575.0)</f>
        <v>2575</v>
      </c>
    </row>
    <row r="596" ht="15.75" customHeight="1">
      <c r="B596" s="3">
        <f>IFERROR(__xludf.DUMMYFUNCTION("""COMPUTED_VALUE"""),42321.64583333333)</f>
        <v>42321.64583</v>
      </c>
      <c r="C596" s="2">
        <f>IFERROR(__xludf.DUMMYFUNCTION("""COMPUTED_VALUE"""),2475.0)</f>
        <v>2475</v>
      </c>
    </row>
    <row r="597" ht="15.75" customHeight="1">
      <c r="B597" s="3">
        <f>IFERROR(__xludf.DUMMYFUNCTION("""COMPUTED_VALUE"""),42328.64583333333)</f>
        <v>42328.64583</v>
      </c>
      <c r="C597" s="2">
        <f>IFERROR(__xludf.DUMMYFUNCTION("""COMPUTED_VALUE"""),2510.0)</f>
        <v>2510</v>
      </c>
    </row>
    <row r="598" ht="15.75" customHeight="1">
      <c r="B598" s="3">
        <f>IFERROR(__xludf.DUMMYFUNCTION("""COMPUTED_VALUE"""),42335.64583333333)</f>
        <v>42335.64583</v>
      </c>
      <c r="C598" s="2">
        <f>IFERROR(__xludf.DUMMYFUNCTION("""COMPUTED_VALUE"""),2544.9)</f>
        <v>2544.9</v>
      </c>
    </row>
    <row r="599" ht="15.75" customHeight="1">
      <c r="B599" s="3">
        <f>IFERROR(__xludf.DUMMYFUNCTION("""COMPUTED_VALUE"""),42342.64583333333)</f>
        <v>42342.64583</v>
      </c>
      <c r="C599" s="2">
        <f>IFERROR(__xludf.DUMMYFUNCTION("""COMPUTED_VALUE"""),2515.0)</f>
        <v>2515</v>
      </c>
    </row>
    <row r="600" ht="15.75" customHeight="1">
      <c r="B600" s="3">
        <f>IFERROR(__xludf.DUMMYFUNCTION("""COMPUTED_VALUE"""),42349.64583333333)</f>
        <v>42349.64583</v>
      </c>
      <c r="C600" s="2">
        <f>IFERROR(__xludf.DUMMYFUNCTION("""COMPUTED_VALUE"""),2485.0)</f>
        <v>2485</v>
      </c>
    </row>
    <row r="601" ht="15.75" customHeight="1">
      <c r="B601" s="3">
        <f>IFERROR(__xludf.DUMMYFUNCTION("""COMPUTED_VALUE"""),42356.64583333333)</f>
        <v>42356.64583</v>
      </c>
      <c r="C601" s="2">
        <f>IFERROR(__xludf.DUMMYFUNCTION("""COMPUTED_VALUE"""),2541.7)</f>
        <v>2541.7</v>
      </c>
    </row>
    <row r="602" ht="15.75" customHeight="1">
      <c r="B602" s="3">
        <f>IFERROR(__xludf.DUMMYFUNCTION("""COMPUTED_VALUE"""),42362.64583333333)</f>
        <v>42362.64583</v>
      </c>
      <c r="C602" s="2">
        <f>IFERROR(__xludf.DUMMYFUNCTION("""COMPUTED_VALUE"""),2507.0)</f>
        <v>2507</v>
      </c>
    </row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IFERROR(__xludf.DUMMYFUNCTION("GOOGLEFINANCE(""NSE:BAJAJ-AUTO"", ""high"",DATE(2016,1,1),DATE(2017,1,1),""weekly"")"),"Date")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IFERROR(__xludf.DUMMYFUNCTION("""COMPUTED_VALUE"""),42377.64583333333)</f>
        <v>42377.64583</v>
      </c>
      <c r="C607" s="2">
        <f>IFERROR(__xludf.DUMMYFUNCTION("""COMPUTED_VALUE"""),2547.6)</f>
        <v>2547.6</v>
      </c>
    </row>
    <row r="608" ht="15.75" customHeight="1">
      <c r="B608" s="3">
        <f>IFERROR(__xludf.DUMMYFUNCTION("""COMPUTED_VALUE"""),42384.64583333333)</f>
        <v>42384.64583</v>
      </c>
      <c r="C608" s="2">
        <f>IFERROR(__xludf.DUMMYFUNCTION("""COMPUTED_VALUE"""),2387.9)</f>
        <v>2387.9</v>
      </c>
    </row>
    <row r="609" ht="15.75" customHeight="1">
      <c r="B609" s="3">
        <f>IFERROR(__xludf.DUMMYFUNCTION("""COMPUTED_VALUE"""),42391.64583333333)</f>
        <v>42391.64583</v>
      </c>
      <c r="C609" s="2">
        <f>IFERROR(__xludf.DUMMYFUNCTION("""COMPUTED_VALUE"""),2335.1)</f>
        <v>2335.1</v>
      </c>
    </row>
    <row r="610" ht="15.75" customHeight="1">
      <c r="B610" s="3">
        <f>IFERROR(__xludf.DUMMYFUNCTION("""COMPUTED_VALUE"""),42398.64583333333)</f>
        <v>42398.64583</v>
      </c>
      <c r="C610" s="2">
        <f>IFERROR(__xludf.DUMMYFUNCTION("""COMPUTED_VALUE"""),2359.9)</f>
        <v>2359.9</v>
      </c>
    </row>
    <row r="611" ht="15.75" customHeight="1">
      <c r="B611" s="3">
        <f>IFERROR(__xludf.DUMMYFUNCTION("""COMPUTED_VALUE"""),42405.64583333333)</f>
        <v>42405.64583</v>
      </c>
      <c r="C611" s="2">
        <f>IFERROR(__xludf.DUMMYFUNCTION("""COMPUTED_VALUE"""),2395.0)</f>
        <v>2395</v>
      </c>
    </row>
    <row r="612" ht="15.75" customHeight="1">
      <c r="B612" s="3">
        <f>IFERROR(__xludf.DUMMYFUNCTION("""COMPUTED_VALUE"""),42412.64583333333)</f>
        <v>42412.64583</v>
      </c>
      <c r="C612" s="2">
        <f>IFERROR(__xludf.DUMMYFUNCTION("""COMPUTED_VALUE"""),2390.0)</f>
        <v>2390</v>
      </c>
    </row>
    <row r="613" ht="15.75" customHeight="1">
      <c r="B613" s="3">
        <f>IFERROR(__xludf.DUMMYFUNCTION("""COMPUTED_VALUE"""),42419.64583333333)</f>
        <v>42419.64583</v>
      </c>
      <c r="C613" s="2">
        <f>IFERROR(__xludf.DUMMYFUNCTION("""COMPUTED_VALUE"""),2467.0)</f>
        <v>2467</v>
      </c>
    </row>
    <row r="614" ht="15.75" customHeight="1">
      <c r="B614" s="3">
        <f>IFERROR(__xludf.DUMMYFUNCTION("""COMPUTED_VALUE"""),42426.64583333333)</f>
        <v>42426.64583</v>
      </c>
      <c r="C614" s="2">
        <f>IFERROR(__xludf.DUMMYFUNCTION("""COMPUTED_VALUE"""),2485.0)</f>
        <v>2485</v>
      </c>
    </row>
    <row r="615" ht="15.75" customHeight="1">
      <c r="B615" s="3">
        <f>IFERROR(__xludf.DUMMYFUNCTION("""COMPUTED_VALUE"""),42433.64583333333)</f>
        <v>42433.64583</v>
      </c>
      <c r="C615" s="2">
        <f>IFERROR(__xludf.DUMMYFUNCTION("""COMPUTED_VALUE"""),2324.1)</f>
        <v>2324.1</v>
      </c>
    </row>
    <row r="616" ht="15.75" customHeight="1">
      <c r="B616" s="3">
        <f>IFERROR(__xludf.DUMMYFUNCTION("""COMPUTED_VALUE"""),42440.64583333333)</f>
        <v>42440.64583</v>
      </c>
      <c r="C616" s="2">
        <f>IFERROR(__xludf.DUMMYFUNCTION("""COMPUTED_VALUE"""),2347.0)</f>
        <v>2347</v>
      </c>
    </row>
    <row r="617" ht="15.75" customHeight="1">
      <c r="B617" s="3">
        <f>IFERROR(__xludf.DUMMYFUNCTION("""COMPUTED_VALUE"""),42447.64583333333)</f>
        <v>42447.64583</v>
      </c>
      <c r="C617" s="2">
        <f>IFERROR(__xludf.DUMMYFUNCTION("""COMPUTED_VALUE"""),2333.0)</f>
        <v>2333</v>
      </c>
    </row>
    <row r="618" ht="15.75" customHeight="1">
      <c r="B618" s="3">
        <f>IFERROR(__xludf.DUMMYFUNCTION("""COMPUTED_VALUE"""),42452.64583333333)</f>
        <v>42452.64583</v>
      </c>
      <c r="C618" s="2">
        <f>IFERROR(__xludf.DUMMYFUNCTION("""COMPUTED_VALUE"""),2364.0)</f>
        <v>2364</v>
      </c>
    </row>
    <row r="619" ht="15.75" customHeight="1">
      <c r="B619" s="3">
        <f>IFERROR(__xludf.DUMMYFUNCTION("""COMPUTED_VALUE"""),42461.64583333333)</f>
        <v>42461.64583</v>
      </c>
      <c r="C619" s="2">
        <f>IFERROR(__xludf.DUMMYFUNCTION("""COMPUTED_VALUE"""),2457.0)</f>
        <v>2457</v>
      </c>
    </row>
    <row r="620" ht="15.75" customHeight="1">
      <c r="B620" s="3">
        <f>IFERROR(__xludf.DUMMYFUNCTION("""COMPUTED_VALUE"""),42468.64583333333)</f>
        <v>42468.64583</v>
      </c>
      <c r="C620" s="2">
        <f>IFERROR(__xludf.DUMMYFUNCTION("""COMPUTED_VALUE"""),2477.7)</f>
        <v>2477.7</v>
      </c>
    </row>
    <row r="621" ht="15.75" customHeight="1">
      <c r="B621" s="3">
        <f>IFERROR(__xludf.DUMMYFUNCTION("""COMPUTED_VALUE"""),42473.64583333333)</f>
        <v>42473.64583</v>
      </c>
      <c r="C621" s="2">
        <f>IFERROR(__xludf.DUMMYFUNCTION("""COMPUTED_VALUE"""),2614.5)</f>
        <v>2614.5</v>
      </c>
    </row>
    <row r="622" ht="15.75" customHeight="1">
      <c r="B622" s="3">
        <f>IFERROR(__xludf.DUMMYFUNCTION("""COMPUTED_VALUE"""),42482.64583333333)</f>
        <v>42482.64583</v>
      </c>
      <c r="C622" s="2">
        <f>IFERROR(__xludf.DUMMYFUNCTION("""COMPUTED_VALUE"""),2609.9)</f>
        <v>2609.9</v>
      </c>
    </row>
    <row r="623" ht="15.75" customHeight="1">
      <c r="B623" s="3">
        <f>IFERROR(__xludf.DUMMYFUNCTION("""COMPUTED_VALUE"""),42489.64583333333)</f>
        <v>42489.64583</v>
      </c>
      <c r="C623" s="2">
        <f>IFERROR(__xludf.DUMMYFUNCTION("""COMPUTED_VALUE"""),2583.15)</f>
        <v>2583.15</v>
      </c>
    </row>
    <row r="624" ht="15.75" customHeight="1">
      <c r="B624" s="3">
        <f>IFERROR(__xludf.DUMMYFUNCTION("""COMPUTED_VALUE"""),42496.64583333333)</f>
        <v>42496.64583</v>
      </c>
      <c r="C624" s="2">
        <f>IFERROR(__xludf.DUMMYFUNCTION("""COMPUTED_VALUE"""),2525.0)</f>
        <v>2525</v>
      </c>
    </row>
    <row r="625" ht="15.75" customHeight="1">
      <c r="B625" s="3">
        <f>IFERROR(__xludf.DUMMYFUNCTION("""COMPUTED_VALUE"""),42503.64583333333)</f>
        <v>42503.64583</v>
      </c>
      <c r="C625" s="2">
        <f>IFERROR(__xludf.DUMMYFUNCTION("""COMPUTED_VALUE"""),2558.0)</f>
        <v>2558</v>
      </c>
    </row>
    <row r="626" ht="15.75" customHeight="1">
      <c r="B626" s="3">
        <f>IFERROR(__xludf.DUMMYFUNCTION("""COMPUTED_VALUE"""),42510.64583333333)</f>
        <v>42510.64583</v>
      </c>
      <c r="C626" s="2">
        <f>IFERROR(__xludf.DUMMYFUNCTION("""COMPUTED_VALUE"""),2535.0)</f>
        <v>2535</v>
      </c>
    </row>
    <row r="627" ht="15.75" customHeight="1">
      <c r="B627" s="3">
        <f>IFERROR(__xludf.DUMMYFUNCTION("""COMPUTED_VALUE"""),42517.64583333333)</f>
        <v>42517.64583</v>
      </c>
      <c r="C627" s="2">
        <f>IFERROR(__xludf.DUMMYFUNCTION("""COMPUTED_VALUE"""),2581.95)</f>
        <v>2581.95</v>
      </c>
    </row>
    <row r="628" ht="15.75" customHeight="1">
      <c r="B628" s="3">
        <f>IFERROR(__xludf.DUMMYFUNCTION("""COMPUTED_VALUE"""),42524.64583333333)</f>
        <v>42524.64583</v>
      </c>
      <c r="C628" s="2">
        <f>IFERROR(__xludf.DUMMYFUNCTION("""COMPUTED_VALUE"""),2659.15)</f>
        <v>2659.15</v>
      </c>
    </row>
    <row r="629" ht="15.75" customHeight="1">
      <c r="B629" s="3">
        <f>IFERROR(__xludf.DUMMYFUNCTION("""COMPUTED_VALUE"""),42531.64583333333)</f>
        <v>42531.64583</v>
      </c>
      <c r="C629" s="2">
        <f>IFERROR(__xludf.DUMMYFUNCTION("""COMPUTED_VALUE"""),2658.0)</f>
        <v>2658</v>
      </c>
    </row>
    <row r="630" ht="15.75" customHeight="1">
      <c r="B630" s="3">
        <f>IFERROR(__xludf.DUMMYFUNCTION("""COMPUTED_VALUE"""),42538.64583333333)</f>
        <v>42538.64583</v>
      </c>
      <c r="C630" s="2">
        <f>IFERROR(__xludf.DUMMYFUNCTION("""COMPUTED_VALUE"""),2610.1)</f>
        <v>2610.1</v>
      </c>
    </row>
    <row r="631" ht="15.75" customHeight="1">
      <c r="B631" s="3">
        <f>IFERROR(__xludf.DUMMYFUNCTION("""COMPUTED_VALUE"""),42545.64583333333)</f>
        <v>42545.64583</v>
      </c>
      <c r="C631" s="2">
        <f>IFERROR(__xludf.DUMMYFUNCTION("""COMPUTED_VALUE"""),2684.75)</f>
        <v>2684.75</v>
      </c>
    </row>
    <row r="632" ht="15.75" customHeight="1">
      <c r="B632" s="3">
        <f>IFERROR(__xludf.DUMMYFUNCTION("""COMPUTED_VALUE"""),42552.64583333333)</f>
        <v>42552.64583</v>
      </c>
      <c r="C632" s="2">
        <f>IFERROR(__xludf.DUMMYFUNCTION("""COMPUTED_VALUE"""),2719.95)</f>
        <v>2719.95</v>
      </c>
    </row>
    <row r="633" ht="15.75" customHeight="1">
      <c r="B633" s="3">
        <f>IFERROR(__xludf.DUMMYFUNCTION("""COMPUTED_VALUE"""),42559.64583333333)</f>
        <v>42559.64583</v>
      </c>
      <c r="C633" s="2">
        <f>IFERROR(__xludf.DUMMYFUNCTION("""COMPUTED_VALUE"""),2690.0)</f>
        <v>2690</v>
      </c>
    </row>
    <row r="634" ht="15.75" customHeight="1">
      <c r="B634" s="3">
        <f>IFERROR(__xludf.DUMMYFUNCTION("""COMPUTED_VALUE"""),42566.64583333333)</f>
        <v>42566.64583</v>
      </c>
      <c r="C634" s="2">
        <f>IFERROR(__xludf.DUMMYFUNCTION("""COMPUTED_VALUE"""),2700.0)</f>
        <v>2700</v>
      </c>
    </row>
    <row r="635" ht="15.75" customHeight="1">
      <c r="B635" s="3">
        <f>IFERROR(__xludf.DUMMYFUNCTION("""COMPUTED_VALUE"""),42573.64583333333)</f>
        <v>42573.64583</v>
      </c>
      <c r="C635" s="2">
        <f>IFERROR(__xludf.DUMMYFUNCTION("""COMPUTED_VALUE"""),2801.85)</f>
        <v>2801.85</v>
      </c>
    </row>
    <row r="636" ht="15.75" customHeight="1">
      <c r="B636" s="3">
        <f>IFERROR(__xludf.DUMMYFUNCTION("""COMPUTED_VALUE"""),42580.64583333333)</f>
        <v>42580.64583</v>
      </c>
      <c r="C636" s="2">
        <f>IFERROR(__xludf.DUMMYFUNCTION("""COMPUTED_VALUE"""),2754.1)</f>
        <v>2754.1</v>
      </c>
    </row>
    <row r="637" ht="15.75" customHeight="1">
      <c r="B637" s="3">
        <f>IFERROR(__xludf.DUMMYFUNCTION("""COMPUTED_VALUE"""),42587.64583333333)</f>
        <v>42587.64583</v>
      </c>
      <c r="C637" s="2">
        <f>IFERROR(__xludf.DUMMYFUNCTION("""COMPUTED_VALUE"""),2881.0)</f>
        <v>2881</v>
      </c>
    </row>
    <row r="638" ht="15.75" customHeight="1">
      <c r="B638" s="3">
        <f>IFERROR(__xludf.DUMMYFUNCTION("""COMPUTED_VALUE"""),42594.64583333333)</f>
        <v>42594.64583</v>
      </c>
      <c r="C638" s="2">
        <f>IFERROR(__xludf.DUMMYFUNCTION("""COMPUTED_VALUE"""),2918.05)</f>
        <v>2918.05</v>
      </c>
    </row>
    <row r="639" ht="15.75" customHeight="1">
      <c r="B639" s="3">
        <f>IFERROR(__xludf.DUMMYFUNCTION("""COMPUTED_VALUE"""),42601.64583333333)</f>
        <v>42601.64583</v>
      </c>
      <c r="C639" s="2">
        <f>IFERROR(__xludf.DUMMYFUNCTION("""COMPUTED_VALUE"""),2958.25)</f>
        <v>2958.25</v>
      </c>
    </row>
    <row r="640" ht="15.75" customHeight="1">
      <c r="B640" s="3">
        <f>IFERROR(__xludf.DUMMYFUNCTION("""COMPUTED_VALUE"""),42608.64583333333)</f>
        <v>42608.64583</v>
      </c>
      <c r="C640" s="2">
        <f>IFERROR(__xludf.DUMMYFUNCTION("""COMPUTED_VALUE"""),2950.0)</f>
        <v>2950</v>
      </c>
    </row>
    <row r="641" ht="15.75" customHeight="1">
      <c r="B641" s="3">
        <f>IFERROR(__xludf.DUMMYFUNCTION("""COMPUTED_VALUE"""),42615.64583333333)</f>
        <v>42615.64583</v>
      </c>
      <c r="C641" s="2">
        <f>IFERROR(__xludf.DUMMYFUNCTION("""COMPUTED_VALUE"""),3037.75)</f>
        <v>3037.75</v>
      </c>
    </row>
    <row r="642" ht="15.75" customHeight="1">
      <c r="B642" s="3">
        <f>IFERROR(__xludf.DUMMYFUNCTION("""COMPUTED_VALUE"""),42622.64583333333)</f>
        <v>42622.64583</v>
      </c>
      <c r="C642" s="2">
        <f>IFERROR(__xludf.DUMMYFUNCTION("""COMPUTED_VALUE"""),3120.0)</f>
        <v>3120</v>
      </c>
    </row>
    <row r="643" ht="15.75" customHeight="1">
      <c r="B643" s="3">
        <f>IFERROR(__xludf.DUMMYFUNCTION("""COMPUTED_VALUE"""),42629.64583333333)</f>
        <v>42629.64583</v>
      </c>
      <c r="C643" s="2">
        <f>IFERROR(__xludf.DUMMYFUNCTION("""COMPUTED_VALUE"""),3031.0)</f>
        <v>3031</v>
      </c>
    </row>
    <row r="644" ht="15.75" customHeight="1">
      <c r="B644" s="3">
        <f>IFERROR(__xludf.DUMMYFUNCTION("""COMPUTED_VALUE"""),42636.64583333333)</f>
        <v>42636.64583</v>
      </c>
      <c r="C644" s="2">
        <f>IFERROR(__xludf.DUMMYFUNCTION("""COMPUTED_VALUE"""),3012.3)</f>
        <v>3012.3</v>
      </c>
    </row>
    <row r="645" ht="15.75" customHeight="1">
      <c r="B645" s="3">
        <f>IFERROR(__xludf.DUMMYFUNCTION("""COMPUTED_VALUE"""),42643.64583333333)</f>
        <v>42643.64583</v>
      </c>
      <c r="C645" s="2">
        <f>IFERROR(__xludf.DUMMYFUNCTION("""COMPUTED_VALUE"""),2953.95)</f>
        <v>2953.95</v>
      </c>
    </row>
    <row r="646" ht="15.75" customHeight="1">
      <c r="B646" s="3">
        <f>IFERROR(__xludf.DUMMYFUNCTION("""COMPUTED_VALUE"""),42650.64583333333)</f>
        <v>42650.64583</v>
      </c>
      <c r="C646" s="2">
        <f>IFERROR(__xludf.DUMMYFUNCTION("""COMPUTED_VALUE"""),2917.0)</f>
        <v>2917</v>
      </c>
    </row>
    <row r="647" ht="15.75" customHeight="1">
      <c r="B647" s="3">
        <f>IFERROR(__xludf.DUMMYFUNCTION("""COMPUTED_VALUE"""),42657.64583333333)</f>
        <v>42657.64583</v>
      </c>
      <c r="C647" s="2">
        <f>IFERROR(__xludf.DUMMYFUNCTION("""COMPUTED_VALUE"""),2906.75)</f>
        <v>2906.75</v>
      </c>
    </row>
    <row r="648" ht="15.75" customHeight="1">
      <c r="B648" s="3">
        <f>IFERROR(__xludf.DUMMYFUNCTION("""COMPUTED_VALUE"""),42664.64583333333)</f>
        <v>42664.64583</v>
      </c>
      <c r="C648" s="2">
        <f>IFERROR(__xludf.DUMMYFUNCTION("""COMPUTED_VALUE"""),2834.9)</f>
        <v>2834.9</v>
      </c>
    </row>
    <row r="649" ht="15.75" customHeight="1">
      <c r="B649" s="3">
        <f>IFERROR(__xludf.DUMMYFUNCTION("""COMPUTED_VALUE"""),42671.64583333333)</f>
        <v>42671.64583</v>
      </c>
      <c r="C649" s="2">
        <f>IFERROR(__xludf.DUMMYFUNCTION("""COMPUTED_VALUE"""),2857.5)</f>
        <v>2857.5</v>
      </c>
    </row>
    <row r="650" ht="15.75" customHeight="1">
      <c r="B650" s="3">
        <f>IFERROR(__xludf.DUMMYFUNCTION("""COMPUTED_VALUE"""),42678.64583333333)</f>
        <v>42678.64583</v>
      </c>
      <c r="C650" s="2">
        <f>IFERROR(__xludf.DUMMYFUNCTION("""COMPUTED_VALUE"""),2875.0)</f>
        <v>2875</v>
      </c>
    </row>
    <row r="651" ht="15.75" customHeight="1">
      <c r="B651" s="3">
        <f>IFERROR(__xludf.DUMMYFUNCTION("""COMPUTED_VALUE"""),42685.64583333333)</f>
        <v>42685.64583</v>
      </c>
      <c r="C651" s="2">
        <f>IFERROR(__xludf.DUMMYFUNCTION("""COMPUTED_VALUE"""),2875.25)</f>
        <v>2875.25</v>
      </c>
    </row>
    <row r="652" ht="15.75" customHeight="1">
      <c r="B652" s="3">
        <f>IFERROR(__xludf.DUMMYFUNCTION("""COMPUTED_VALUE"""),42692.64583333333)</f>
        <v>42692.64583</v>
      </c>
      <c r="C652" s="2">
        <f>IFERROR(__xludf.DUMMYFUNCTION("""COMPUTED_VALUE"""),2665.0)</f>
        <v>2665</v>
      </c>
    </row>
    <row r="653" ht="15.75" customHeight="1">
      <c r="B653" s="3">
        <f>IFERROR(__xludf.DUMMYFUNCTION("""COMPUTED_VALUE"""),42699.64583333333)</f>
        <v>42699.64583</v>
      </c>
      <c r="C653" s="2">
        <f>IFERROR(__xludf.DUMMYFUNCTION("""COMPUTED_VALUE"""),2658.0)</f>
        <v>2658</v>
      </c>
    </row>
    <row r="654" ht="15.75" customHeight="1">
      <c r="B654" s="3">
        <f>IFERROR(__xludf.DUMMYFUNCTION("""COMPUTED_VALUE"""),42706.64583333333)</f>
        <v>42706.64583</v>
      </c>
      <c r="C654" s="2">
        <f>IFERROR(__xludf.DUMMYFUNCTION("""COMPUTED_VALUE"""),2718.0)</f>
        <v>2718</v>
      </c>
    </row>
    <row r="655" ht="15.75" customHeight="1">
      <c r="B655" s="3">
        <f>IFERROR(__xludf.DUMMYFUNCTION("""COMPUTED_VALUE"""),42713.64583333333)</f>
        <v>42713.64583</v>
      </c>
      <c r="C655" s="2">
        <f>IFERROR(__xludf.DUMMYFUNCTION("""COMPUTED_VALUE"""),2789.25)</f>
        <v>2789.25</v>
      </c>
    </row>
    <row r="656" ht="15.75" customHeight="1">
      <c r="B656" s="3">
        <f>IFERROR(__xludf.DUMMYFUNCTION("""COMPUTED_VALUE"""),42720.64583333333)</f>
        <v>42720.64583</v>
      </c>
      <c r="C656" s="2">
        <f>IFERROR(__xludf.DUMMYFUNCTION("""COMPUTED_VALUE"""),2716.3)</f>
        <v>2716.3</v>
      </c>
    </row>
    <row r="657" ht="15.75" customHeight="1">
      <c r="B657" s="3">
        <f>IFERROR(__xludf.DUMMYFUNCTION("""COMPUTED_VALUE"""),42727.64583333333)</f>
        <v>42727.64583</v>
      </c>
      <c r="C657" s="2">
        <f>IFERROR(__xludf.DUMMYFUNCTION("""COMPUTED_VALUE"""),2662.3)</f>
        <v>2662.3</v>
      </c>
    </row>
    <row r="658" ht="15.75" customHeight="1">
      <c r="B658" s="3">
        <f>IFERROR(__xludf.DUMMYFUNCTION("""COMPUTED_VALUE"""),42734.64583333333)</f>
        <v>42734.64583</v>
      </c>
      <c r="C658" s="2">
        <f>IFERROR(__xludf.DUMMYFUNCTION("""COMPUTED_VALUE"""),2666.8)</f>
        <v>2666.8</v>
      </c>
    </row>
    <row r="659" ht="15.75" customHeight="1"/>
    <row r="660" ht="15.75" customHeight="1"/>
    <row r="661" ht="15.75" customHeight="1">
      <c r="B661" s="2" t="str">
        <f>IFERROR(__xludf.DUMMYFUNCTION("GOOGLEFINANCE(""NSE:BAJAJ-AUTO"", ""high"",DATE(2017,1,1),DATE(2018,1,1),""weekly"")"),"Date")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IFERROR(__xludf.DUMMYFUNCTION("""COMPUTED_VALUE"""),42741.64583333333)</f>
        <v>42741.64583</v>
      </c>
      <c r="C662" s="2">
        <f>IFERROR(__xludf.DUMMYFUNCTION("""COMPUTED_VALUE"""),2739.9)</f>
        <v>2739.9</v>
      </c>
    </row>
    <row r="663" ht="15.75" customHeight="1">
      <c r="B663" s="3">
        <f>IFERROR(__xludf.DUMMYFUNCTION("""COMPUTED_VALUE"""),42748.64583333333)</f>
        <v>42748.64583</v>
      </c>
      <c r="C663" s="2">
        <f>IFERROR(__xludf.DUMMYFUNCTION("""COMPUTED_VALUE"""),2753.75)</f>
        <v>2753.75</v>
      </c>
    </row>
    <row r="664" ht="15.75" customHeight="1">
      <c r="B664" s="3">
        <f>IFERROR(__xludf.DUMMYFUNCTION("""COMPUTED_VALUE"""),42755.64583333333)</f>
        <v>42755.64583</v>
      </c>
      <c r="C664" s="2">
        <f>IFERROR(__xludf.DUMMYFUNCTION("""COMPUTED_VALUE"""),2743.0)</f>
        <v>2743</v>
      </c>
    </row>
    <row r="665" ht="15.75" customHeight="1">
      <c r="B665" s="3">
        <f>IFERROR(__xludf.DUMMYFUNCTION("""COMPUTED_VALUE"""),42762.64583333333)</f>
        <v>42762.64583</v>
      </c>
      <c r="C665" s="2">
        <f>IFERROR(__xludf.DUMMYFUNCTION("""COMPUTED_VALUE"""),2885.2)</f>
        <v>2885.2</v>
      </c>
    </row>
    <row r="666" ht="15.75" customHeight="1">
      <c r="B666" s="3">
        <f>IFERROR(__xludf.DUMMYFUNCTION("""COMPUTED_VALUE"""),42769.64583333333)</f>
        <v>42769.64583</v>
      </c>
      <c r="C666" s="2">
        <f>IFERROR(__xludf.DUMMYFUNCTION("""COMPUTED_VALUE"""),2919.0)</f>
        <v>2919</v>
      </c>
    </row>
    <row r="667" ht="15.75" customHeight="1">
      <c r="B667" s="3">
        <f>IFERROR(__xludf.DUMMYFUNCTION("""COMPUTED_VALUE"""),42776.64583333333)</f>
        <v>42776.64583</v>
      </c>
      <c r="C667" s="2">
        <f>IFERROR(__xludf.DUMMYFUNCTION("""COMPUTED_VALUE"""),2825.0)</f>
        <v>2825</v>
      </c>
    </row>
    <row r="668" ht="15.75" customHeight="1">
      <c r="B668" s="3">
        <f>IFERROR(__xludf.DUMMYFUNCTION("""COMPUTED_VALUE"""),42783.64583333333)</f>
        <v>42783.64583</v>
      </c>
      <c r="C668" s="2">
        <f>IFERROR(__xludf.DUMMYFUNCTION("""COMPUTED_VALUE"""),2817.0)</f>
        <v>2817</v>
      </c>
    </row>
    <row r="669" ht="15.75" customHeight="1">
      <c r="B669" s="3">
        <f>IFERROR(__xludf.DUMMYFUNCTION("""COMPUTED_VALUE"""),42789.64583333333)</f>
        <v>42789.64583</v>
      </c>
      <c r="C669" s="2">
        <f>IFERROR(__xludf.DUMMYFUNCTION("""COMPUTED_VALUE"""),2824.45)</f>
        <v>2824.45</v>
      </c>
    </row>
    <row r="670" ht="15.75" customHeight="1">
      <c r="B670" s="3">
        <f>IFERROR(__xludf.DUMMYFUNCTION("""COMPUTED_VALUE"""),42797.64583333333)</f>
        <v>42797.64583</v>
      </c>
      <c r="C670" s="2">
        <f>IFERROR(__xludf.DUMMYFUNCTION("""COMPUTED_VALUE"""),2845.0)</f>
        <v>2845</v>
      </c>
    </row>
    <row r="671" ht="15.75" customHeight="1">
      <c r="B671" s="3">
        <f>IFERROR(__xludf.DUMMYFUNCTION("""COMPUTED_VALUE"""),42804.64583333333)</f>
        <v>42804.64583</v>
      </c>
      <c r="C671" s="2">
        <f>IFERROR(__xludf.DUMMYFUNCTION("""COMPUTED_VALUE"""),2896.0)</f>
        <v>2896</v>
      </c>
    </row>
    <row r="672" ht="15.75" customHeight="1">
      <c r="B672" s="3">
        <f>IFERROR(__xludf.DUMMYFUNCTION("""COMPUTED_VALUE"""),42811.64583333333)</f>
        <v>42811.64583</v>
      </c>
      <c r="C672" s="2">
        <f>IFERROR(__xludf.DUMMYFUNCTION("""COMPUTED_VALUE"""),2948.7)</f>
        <v>2948.7</v>
      </c>
    </row>
    <row r="673" ht="15.75" customHeight="1">
      <c r="B673" s="3">
        <f>IFERROR(__xludf.DUMMYFUNCTION("""COMPUTED_VALUE"""),42818.64583333333)</f>
        <v>42818.64583</v>
      </c>
      <c r="C673" s="2">
        <f>IFERROR(__xludf.DUMMYFUNCTION("""COMPUTED_VALUE"""),2932.5)</f>
        <v>2932.5</v>
      </c>
    </row>
    <row r="674" ht="15.75" customHeight="1">
      <c r="B674" s="3">
        <f>IFERROR(__xludf.DUMMYFUNCTION("""COMPUTED_VALUE"""),42825.64583333333)</f>
        <v>42825.64583</v>
      </c>
      <c r="C674" s="2">
        <f>IFERROR(__xludf.DUMMYFUNCTION("""COMPUTED_VALUE"""),2853.0)</f>
        <v>2853</v>
      </c>
    </row>
    <row r="675" ht="15.75" customHeight="1">
      <c r="B675" s="3">
        <f>IFERROR(__xludf.DUMMYFUNCTION("""COMPUTED_VALUE"""),42832.64583333333)</f>
        <v>42832.64583</v>
      </c>
      <c r="C675" s="2">
        <f>IFERROR(__xludf.DUMMYFUNCTION("""COMPUTED_VALUE"""),2845.95)</f>
        <v>2845.95</v>
      </c>
    </row>
    <row r="676" ht="15.75" customHeight="1">
      <c r="B676" s="3">
        <f>IFERROR(__xludf.DUMMYFUNCTION("""COMPUTED_VALUE"""),42838.64583333333)</f>
        <v>42838.64583</v>
      </c>
      <c r="C676" s="2">
        <f>IFERROR(__xludf.DUMMYFUNCTION("""COMPUTED_VALUE"""),2868.5)</f>
        <v>2868.5</v>
      </c>
    </row>
    <row r="677" ht="15.75" customHeight="1">
      <c r="B677" s="3">
        <f>IFERROR(__xludf.DUMMYFUNCTION("""COMPUTED_VALUE"""),42846.64583333333)</f>
        <v>42846.64583</v>
      </c>
      <c r="C677" s="2">
        <f>IFERROR(__xludf.DUMMYFUNCTION("""COMPUTED_VALUE"""),2862.7)</f>
        <v>2862.7</v>
      </c>
    </row>
    <row r="678" ht="15.75" customHeight="1">
      <c r="B678" s="3">
        <f>IFERROR(__xludf.DUMMYFUNCTION("""COMPUTED_VALUE"""),42853.64583333333)</f>
        <v>42853.64583</v>
      </c>
      <c r="C678" s="2">
        <f>IFERROR(__xludf.DUMMYFUNCTION("""COMPUTED_VALUE"""),2915.0)</f>
        <v>2915</v>
      </c>
    </row>
    <row r="679" ht="15.75" customHeight="1">
      <c r="B679" s="3">
        <f>IFERROR(__xludf.DUMMYFUNCTION("""COMPUTED_VALUE"""),42860.64583333333)</f>
        <v>42860.64583</v>
      </c>
      <c r="C679" s="2">
        <f>IFERROR(__xludf.DUMMYFUNCTION("""COMPUTED_VALUE"""),2947.6)</f>
        <v>2947.6</v>
      </c>
    </row>
    <row r="680" ht="15.75" customHeight="1">
      <c r="B680" s="3">
        <f>IFERROR(__xludf.DUMMYFUNCTION("""COMPUTED_VALUE"""),42867.64583333333)</f>
        <v>42867.64583</v>
      </c>
      <c r="C680" s="2">
        <f>IFERROR(__xludf.DUMMYFUNCTION("""COMPUTED_VALUE"""),3018.45)</f>
        <v>3018.45</v>
      </c>
    </row>
    <row r="681" ht="15.75" customHeight="1">
      <c r="B681" s="3">
        <f>IFERROR(__xludf.DUMMYFUNCTION("""COMPUTED_VALUE"""),42874.64583333333)</f>
        <v>42874.64583</v>
      </c>
      <c r="C681" s="2">
        <f>IFERROR(__xludf.DUMMYFUNCTION("""COMPUTED_VALUE"""),3047.5)</f>
        <v>3047.5</v>
      </c>
    </row>
    <row r="682" ht="15.75" customHeight="1">
      <c r="B682" s="3">
        <f>IFERROR(__xludf.DUMMYFUNCTION("""COMPUTED_VALUE"""),42881.64583333333)</f>
        <v>42881.64583</v>
      </c>
      <c r="C682" s="2">
        <f>IFERROR(__xludf.DUMMYFUNCTION("""COMPUTED_VALUE"""),3003.95)</f>
        <v>3003.95</v>
      </c>
    </row>
    <row r="683" ht="15.75" customHeight="1">
      <c r="B683" s="3">
        <f>IFERROR(__xludf.DUMMYFUNCTION("""COMPUTED_VALUE"""),42888.64583333333)</f>
        <v>42888.64583</v>
      </c>
      <c r="C683" s="2">
        <f>IFERROR(__xludf.DUMMYFUNCTION("""COMPUTED_VALUE"""),2888.25)</f>
        <v>2888.25</v>
      </c>
    </row>
    <row r="684" ht="15.75" customHeight="1">
      <c r="B684" s="3">
        <f>IFERROR(__xludf.DUMMYFUNCTION("""COMPUTED_VALUE"""),42895.64583333333)</f>
        <v>42895.64583</v>
      </c>
      <c r="C684" s="2">
        <f>IFERROR(__xludf.DUMMYFUNCTION("""COMPUTED_VALUE"""),2930.45)</f>
        <v>2930.45</v>
      </c>
    </row>
    <row r="685" ht="15.75" customHeight="1">
      <c r="B685" s="3">
        <f>IFERROR(__xludf.DUMMYFUNCTION("""COMPUTED_VALUE"""),42902.64583333333)</f>
        <v>42902.64583</v>
      </c>
      <c r="C685" s="2">
        <f>IFERROR(__xludf.DUMMYFUNCTION("""COMPUTED_VALUE"""),2866.4)</f>
        <v>2866.4</v>
      </c>
    </row>
    <row r="686" ht="15.75" customHeight="1">
      <c r="B686" s="3">
        <f>IFERROR(__xludf.DUMMYFUNCTION("""COMPUTED_VALUE"""),42909.64583333333)</f>
        <v>42909.64583</v>
      </c>
      <c r="C686" s="2">
        <f>IFERROR(__xludf.DUMMYFUNCTION("""COMPUTED_VALUE"""),2894.0)</f>
        <v>2894</v>
      </c>
    </row>
    <row r="687" ht="15.75" customHeight="1">
      <c r="B687" s="3">
        <f>IFERROR(__xludf.DUMMYFUNCTION("""COMPUTED_VALUE"""),42916.64583333333)</f>
        <v>42916.64583</v>
      </c>
      <c r="C687" s="2">
        <f>IFERROR(__xludf.DUMMYFUNCTION("""COMPUTED_VALUE"""),2829.15)</f>
        <v>2829.15</v>
      </c>
    </row>
    <row r="688" ht="15.75" customHeight="1">
      <c r="B688" s="3">
        <f>IFERROR(__xludf.DUMMYFUNCTION("""COMPUTED_VALUE"""),42923.64583333333)</f>
        <v>42923.64583</v>
      </c>
      <c r="C688" s="2">
        <f>IFERROR(__xludf.DUMMYFUNCTION("""COMPUTED_VALUE"""),2793.5)</f>
        <v>2793.5</v>
      </c>
    </row>
    <row r="689" ht="15.75" customHeight="1">
      <c r="B689" s="3">
        <f>IFERROR(__xludf.DUMMYFUNCTION("""COMPUTED_VALUE"""),42930.64583333333)</f>
        <v>42930.64583</v>
      </c>
      <c r="C689" s="2">
        <f>IFERROR(__xludf.DUMMYFUNCTION("""COMPUTED_VALUE"""),2818.0)</f>
        <v>2818</v>
      </c>
    </row>
    <row r="690" ht="15.75" customHeight="1">
      <c r="B690" s="3">
        <f>IFERROR(__xludf.DUMMYFUNCTION("""COMPUTED_VALUE"""),42937.64583333333)</f>
        <v>42937.64583</v>
      </c>
      <c r="C690" s="2">
        <f>IFERROR(__xludf.DUMMYFUNCTION("""COMPUTED_VALUE"""),2855.85)</f>
        <v>2855.85</v>
      </c>
    </row>
    <row r="691" ht="15.75" customHeight="1">
      <c r="B691" s="3">
        <f>IFERROR(__xludf.DUMMYFUNCTION("""COMPUTED_VALUE"""),42944.64583333333)</f>
        <v>42944.64583</v>
      </c>
      <c r="C691" s="2">
        <f>IFERROR(__xludf.DUMMYFUNCTION("""COMPUTED_VALUE"""),2869.1)</f>
        <v>2869.1</v>
      </c>
    </row>
    <row r="692" ht="15.75" customHeight="1">
      <c r="B692" s="3">
        <f>IFERROR(__xludf.DUMMYFUNCTION("""COMPUTED_VALUE"""),42951.64583333333)</f>
        <v>42951.64583</v>
      </c>
      <c r="C692" s="2">
        <f>IFERROR(__xludf.DUMMYFUNCTION("""COMPUTED_VALUE"""),2900.0)</f>
        <v>2900</v>
      </c>
    </row>
    <row r="693" ht="15.75" customHeight="1">
      <c r="B693" s="3">
        <f>IFERROR(__xludf.DUMMYFUNCTION("""COMPUTED_VALUE"""),42958.64583333333)</f>
        <v>42958.64583</v>
      </c>
      <c r="C693" s="2">
        <f>IFERROR(__xludf.DUMMYFUNCTION("""COMPUTED_VALUE"""),2981.0)</f>
        <v>2981</v>
      </c>
    </row>
    <row r="694" ht="15.75" customHeight="1">
      <c r="B694" s="3">
        <f>IFERROR(__xludf.DUMMYFUNCTION("""COMPUTED_VALUE"""),42965.64583333333)</f>
        <v>42965.64583</v>
      </c>
      <c r="C694" s="2">
        <f>IFERROR(__xludf.DUMMYFUNCTION("""COMPUTED_VALUE"""),2868.1)</f>
        <v>2868.1</v>
      </c>
    </row>
    <row r="695" ht="15.75" customHeight="1">
      <c r="B695" s="3">
        <f>IFERROR(__xludf.DUMMYFUNCTION("""COMPUTED_VALUE"""),42971.64583333333)</f>
        <v>42971.64583</v>
      </c>
      <c r="C695" s="2">
        <f>IFERROR(__xludf.DUMMYFUNCTION("""COMPUTED_VALUE"""),2820.0)</f>
        <v>2820</v>
      </c>
    </row>
    <row r="696" ht="15.75" customHeight="1">
      <c r="B696" s="3">
        <f>IFERROR(__xludf.DUMMYFUNCTION("""COMPUTED_VALUE"""),42979.64583333333)</f>
        <v>42979.64583</v>
      </c>
      <c r="C696" s="2">
        <f>IFERROR(__xludf.DUMMYFUNCTION("""COMPUTED_VALUE"""),2935.0)</f>
        <v>2935</v>
      </c>
    </row>
    <row r="697" ht="15.75" customHeight="1">
      <c r="B697" s="3">
        <f>IFERROR(__xludf.DUMMYFUNCTION("""COMPUTED_VALUE"""),42986.64583333333)</f>
        <v>42986.64583</v>
      </c>
      <c r="C697" s="2">
        <f>IFERROR(__xludf.DUMMYFUNCTION("""COMPUTED_VALUE"""),2984.5)</f>
        <v>2984.5</v>
      </c>
    </row>
    <row r="698" ht="15.75" customHeight="1">
      <c r="B698" s="3">
        <f>IFERROR(__xludf.DUMMYFUNCTION("""COMPUTED_VALUE"""),42993.64583333333)</f>
        <v>42993.64583</v>
      </c>
      <c r="C698" s="2">
        <f>IFERROR(__xludf.DUMMYFUNCTION("""COMPUTED_VALUE"""),3036.05)</f>
        <v>3036.05</v>
      </c>
    </row>
    <row r="699" ht="15.75" customHeight="1">
      <c r="B699" s="3">
        <f>IFERROR(__xludf.DUMMYFUNCTION("""COMPUTED_VALUE"""),43000.64583333333)</f>
        <v>43000.64583</v>
      </c>
      <c r="C699" s="2">
        <f>IFERROR(__xludf.DUMMYFUNCTION("""COMPUTED_VALUE"""),3155.05)</f>
        <v>3155.05</v>
      </c>
    </row>
    <row r="700" ht="15.75" customHeight="1">
      <c r="B700" s="3">
        <f>IFERROR(__xludf.DUMMYFUNCTION("""COMPUTED_VALUE"""),43007.64583333333)</f>
        <v>43007.64583</v>
      </c>
      <c r="C700" s="2">
        <f>IFERROR(__xludf.DUMMYFUNCTION("""COMPUTED_VALUE"""),3138.6)</f>
        <v>3138.6</v>
      </c>
    </row>
    <row r="701" ht="15.75" customHeight="1">
      <c r="B701" s="3">
        <f>IFERROR(__xludf.DUMMYFUNCTION("""COMPUTED_VALUE"""),43014.64583333333)</f>
        <v>43014.64583</v>
      </c>
      <c r="C701" s="2">
        <f>IFERROR(__xludf.DUMMYFUNCTION("""COMPUTED_VALUE"""),3212.95)</f>
        <v>3212.95</v>
      </c>
    </row>
    <row r="702" ht="15.75" customHeight="1">
      <c r="B702" s="3">
        <f>IFERROR(__xludf.DUMMYFUNCTION("""COMPUTED_VALUE"""),43021.64583333333)</f>
        <v>43021.64583</v>
      </c>
      <c r="C702" s="2">
        <f>IFERROR(__xludf.DUMMYFUNCTION("""COMPUTED_VALUE"""),3216.9)</f>
        <v>3216.9</v>
      </c>
    </row>
    <row r="703" ht="15.75" customHeight="1">
      <c r="B703" s="3">
        <f>IFERROR(__xludf.DUMMYFUNCTION("""COMPUTED_VALUE"""),43027.83333333333)</f>
        <v>43027.83333</v>
      </c>
      <c r="C703" s="2">
        <f>IFERROR(__xludf.DUMMYFUNCTION("""COMPUTED_VALUE"""),3315.0)</f>
        <v>3315</v>
      </c>
    </row>
    <row r="704" ht="15.75" customHeight="1">
      <c r="B704" s="3">
        <f>IFERROR(__xludf.DUMMYFUNCTION("""COMPUTED_VALUE"""),43035.64583333333)</f>
        <v>43035.64583</v>
      </c>
      <c r="C704" s="2">
        <f>IFERROR(__xludf.DUMMYFUNCTION("""COMPUTED_VALUE"""),3344.9)</f>
        <v>3344.9</v>
      </c>
    </row>
    <row r="705" ht="15.75" customHeight="1">
      <c r="B705" s="3">
        <f>IFERROR(__xludf.DUMMYFUNCTION("""COMPUTED_VALUE"""),43042.64583333333)</f>
        <v>43042.64583</v>
      </c>
      <c r="C705" s="2">
        <f>IFERROR(__xludf.DUMMYFUNCTION("""COMPUTED_VALUE"""),3323.9)</f>
        <v>3323.9</v>
      </c>
    </row>
    <row r="706" ht="15.75" customHeight="1">
      <c r="B706" s="3">
        <f>IFERROR(__xludf.DUMMYFUNCTION("""COMPUTED_VALUE"""),43049.64583333333)</f>
        <v>43049.64583</v>
      </c>
      <c r="C706" s="2">
        <f>IFERROR(__xludf.DUMMYFUNCTION("""COMPUTED_VALUE"""),3275.0)</f>
        <v>3275</v>
      </c>
    </row>
    <row r="707" ht="15.75" customHeight="1">
      <c r="B707" s="3">
        <f>IFERROR(__xludf.DUMMYFUNCTION("""COMPUTED_VALUE"""),43056.64583333333)</f>
        <v>43056.64583</v>
      </c>
      <c r="C707" s="2">
        <f>IFERROR(__xludf.DUMMYFUNCTION("""COMPUTED_VALUE"""),3287.1)</f>
        <v>3287.1</v>
      </c>
    </row>
    <row r="708" ht="15.75" customHeight="1">
      <c r="B708" s="3">
        <f>IFERROR(__xludf.DUMMYFUNCTION("""COMPUTED_VALUE"""),43063.64583333333)</f>
        <v>43063.64583</v>
      </c>
      <c r="C708" s="2">
        <f>IFERROR(__xludf.DUMMYFUNCTION("""COMPUTED_VALUE"""),3348.0)</f>
        <v>3348</v>
      </c>
    </row>
    <row r="709" ht="15.75" customHeight="1">
      <c r="B709" s="3">
        <f>IFERROR(__xludf.DUMMYFUNCTION("""COMPUTED_VALUE"""),43070.64583333333)</f>
        <v>43070.64583</v>
      </c>
      <c r="C709" s="2">
        <f>IFERROR(__xludf.DUMMYFUNCTION("""COMPUTED_VALUE"""),3373.8)</f>
        <v>3373.8</v>
      </c>
    </row>
    <row r="710" ht="15.75" customHeight="1">
      <c r="B710" s="3">
        <f>IFERROR(__xludf.DUMMYFUNCTION("""COMPUTED_VALUE"""),43077.64583333333)</f>
        <v>43077.64583</v>
      </c>
      <c r="C710" s="2">
        <f>IFERROR(__xludf.DUMMYFUNCTION("""COMPUTED_VALUE"""),3247.0)</f>
        <v>3247</v>
      </c>
    </row>
    <row r="711" ht="15.75" customHeight="1">
      <c r="B711" s="3">
        <f>IFERROR(__xludf.DUMMYFUNCTION("""COMPUTED_VALUE"""),43084.64583333333)</f>
        <v>43084.64583</v>
      </c>
      <c r="C711" s="2">
        <f>IFERROR(__xludf.DUMMYFUNCTION("""COMPUTED_VALUE"""),3265.0)</f>
        <v>3265</v>
      </c>
    </row>
    <row r="712" ht="15.75" customHeight="1">
      <c r="B712" s="3">
        <f>IFERROR(__xludf.DUMMYFUNCTION("""COMPUTED_VALUE"""),43091.64583333333)</f>
        <v>43091.64583</v>
      </c>
      <c r="C712" s="2">
        <f>IFERROR(__xludf.DUMMYFUNCTION("""COMPUTED_VALUE"""),3358.05)</f>
        <v>3358.05</v>
      </c>
    </row>
    <row r="713" ht="15.75" customHeight="1">
      <c r="B713" s="3">
        <f>IFERROR(__xludf.DUMMYFUNCTION("""COMPUTED_VALUE"""),43098.64583333333)</f>
        <v>43098.64583</v>
      </c>
      <c r="C713" s="2">
        <f>IFERROR(__xludf.DUMMYFUNCTION("""COMPUTED_VALUE"""),3385.0)</f>
        <v>3385</v>
      </c>
    </row>
    <row r="714" ht="15.75" customHeight="1"/>
    <row r="715" ht="15.75" customHeight="1"/>
    <row r="716" ht="15.75" customHeight="1">
      <c r="B716" s="2" t="str">
        <f>IFERROR(__xludf.DUMMYFUNCTION("GOOGLEFINANCE(""NSE:BAJAJ-AUTO"", ""high"",DATE(2018,1,1),DATE(2019,1,1),""weekly"")"),"Date")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IFERROR(__xludf.DUMMYFUNCTION("""COMPUTED_VALUE"""),43105.64583333333)</f>
        <v>43105.64583</v>
      </c>
      <c r="C717" s="2">
        <f>IFERROR(__xludf.DUMMYFUNCTION("""COMPUTED_VALUE"""),3348.0)</f>
        <v>3348</v>
      </c>
    </row>
    <row r="718" ht="15.75" customHeight="1">
      <c r="B718" s="3">
        <f>IFERROR(__xludf.DUMMYFUNCTION("""COMPUTED_VALUE"""),43112.64583333333)</f>
        <v>43112.64583</v>
      </c>
      <c r="C718" s="2">
        <f>IFERROR(__xludf.DUMMYFUNCTION("""COMPUTED_VALUE"""),3296.7)</f>
        <v>3296.7</v>
      </c>
    </row>
    <row r="719" ht="15.75" customHeight="1">
      <c r="B719" s="3">
        <f>IFERROR(__xludf.DUMMYFUNCTION("""COMPUTED_VALUE"""),43119.64583333333)</f>
        <v>43119.64583</v>
      </c>
      <c r="C719" s="2">
        <f>IFERROR(__xludf.DUMMYFUNCTION("""COMPUTED_VALUE"""),3241.9)</f>
        <v>3241.9</v>
      </c>
    </row>
    <row r="720" ht="15.75" customHeight="1">
      <c r="B720" s="3">
        <f>IFERROR(__xludf.DUMMYFUNCTION("""COMPUTED_VALUE"""),43125.64583333333)</f>
        <v>43125.64583</v>
      </c>
      <c r="C720" s="2">
        <f>IFERROR(__xludf.DUMMYFUNCTION("""COMPUTED_VALUE"""),3349.95)</f>
        <v>3349.95</v>
      </c>
    </row>
    <row r="721" ht="15.75" customHeight="1">
      <c r="B721" s="3">
        <f>IFERROR(__xludf.DUMMYFUNCTION("""COMPUTED_VALUE"""),43133.64583333333)</f>
        <v>43133.64583</v>
      </c>
      <c r="C721" s="2">
        <f>IFERROR(__xludf.DUMMYFUNCTION("""COMPUTED_VALUE"""),3468.35)</f>
        <v>3468.35</v>
      </c>
    </row>
    <row r="722" ht="15.75" customHeight="1">
      <c r="B722" s="3">
        <f>IFERROR(__xludf.DUMMYFUNCTION("""COMPUTED_VALUE"""),43140.64583333333)</f>
        <v>43140.64583</v>
      </c>
      <c r="C722" s="2">
        <f>IFERROR(__xludf.DUMMYFUNCTION("""COMPUTED_VALUE"""),3233.0)</f>
        <v>3233</v>
      </c>
    </row>
    <row r="723" ht="15.75" customHeight="1">
      <c r="B723" s="3">
        <f>IFERROR(__xludf.DUMMYFUNCTION("""COMPUTED_VALUE"""),43147.64583333333)</f>
        <v>43147.64583</v>
      </c>
      <c r="C723" s="2">
        <f>IFERROR(__xludf.DUMMYFUNCTION("""COMPUTED_VALUE"""),3167.1)</f>
        <v>3167.1</v>
      </c>
    </row>
    <row r="724" ht="15.75" customHeight="1">
      <c r="B724" s="3">
        <f>IFERROR(__xludf.DUMMYFUNCTION("""COMPUTED_VALUE"""),43154.64583333333)</f>
        <v>43154.64583</v>
      </c>
      <c r="C724" s="2">
        <f>IFERROR(__xludf.DUMMYFUNCTION("""COMPUTED_VALUE"""),3117.5)</f>
        <v>3117.5</v>
      </c>
    </row>
    <row r="725" ht="15.75" customHeight="1">
      <c r="B725" s="3">
        <f>IFERROR(__xludf.DUMMYFUNCTION("""COMPUTED_VALUE"""),43160.64583333333)</f>
        <v>43160.64583</v>
      </c>
      <c r="C725" s="2">
        <f>IFERROR(__xludf.DUMMYFUNCTION("""COMPUTED_VALUE"""),3080.0)</f>
        <v>3080</v>
      </c>
    </row>
    <row r="726" ht="15.75" customHeight="1">
      <c r="B726" s="3">
        <f>IFERROR(__xludf.DUMMYFUNCTION("""COMPUTED_VALUE"""),43168.64583333333)</f>
        <v>43168.64583</v>
      </c>
      <c r="C726" s="2">
        <f>IFERROR(__xludf.DUMMYFUNCTION("""COMPUTED_VALUE"""),3020.9)</f>
        <v>3020.9</v>
      </c>
    </row>
    <row r="727" ht="15.75" customHeight="1">
      <c r="B727" s="3">
        <f>IFERROR(__xludf.DUMMYFUNCTION("""COMPUTED_VALUE"""),43175.64583333333)</f>
        <v>43175.64583</v>
      </c>
      <c r="C727" s="2">
        <f>IFERROR(__xludf.DUMMYFUNCTION("""COMPUTED_VALUE"""),3004.0)</f>
        <v>3004</v>
      </c>
    </row>
    <row r="728" ht="15.75" customHeight="1">
      <c r="B728" s="3">
        <f>IFERROR(__xludf.DUMMYFUNCTION("""COMPUTED_VALUE"""),43182.64583333333)</f>
        <v>43182.64583</v>
      </c>
      <c r="C728" s="2">
        <f>IFERROR(__xludf.DUMMYFUNCTION("""COMPUTED_VALUE"""),2920.85)</f>
        <v>2920.85</v>
      </c>
    </row>
    <row r="729" ht="15.75" customHeight="1">
      <c r="B729" s="3">
        <f>IFERROR(__xludf.DUMMYFUNCTION("""COMPUTED_VALUE"""),43187.64583333333)</f>
        <v>43187.64583</v>
      </c>
      <c r="C729" s="2">
        <f>IFERROR(__xludf.DUMMYFUNCTION("""COMPUTED_VALUE"""),2864.75)</f>
        <v>2864.75</v>
      </c>
    </row>
    <row r="730" ht="15.75" customHeight="1">
      <c r="B730" s="3">
        <f>IFERROR(__xludf.DUMMYFUNCTION("""COMPUTED_VALUE"""),43196.64583333333)</f>
        <v>43196.64583</v>
      </c>
      <c r="C730" s="2">
        <f>IFERROR(__xludf.DUMMYFUNCTION("""COMPUTED_VALUE"""),2829.9)</f>
        <v>2829.9</v>
      </c>
    </row>
    <row r="731" ht="15.75" customHeight="1">
      <c r="B731" s="3">
        <f>IFERROR(__xludf.DUMMYFUNCTION("""COMPUTED_VALUE"""),43203.64583333333)</f>
        <v>43203.64583</v>
      </c>
      <c r="C731" s="2">
        <f>IFERROR(__xludf.DUMMYFUNCTION("""COMPUTED_VALUE"""),2806.0)</f>
        <v>2806</v>
      </c>
    </row>
    <row r="732" ht="15.75" customHeight="1">
      <c r="B732" s="3">
        <f>IFERROR(__xludf.DUMMYFUNCTION("""COMPUTED_VALUE"""),43210.64583333333)</f>
        <v>43210.64583</v>
      </c>
      <c r="C732" s="2">
        <f>IFERROR(__xludf.DUMMYFUNCTION("""COMPUTED_VALUE"""),2879.0)</f>
        <v>2879</v>
      </c>
    </row>
    <row r="733" ht="15.75" customHeight="1">
      <c r="B733" s="3">
        <f>IFERROR(__xludf.DUMMYFUNCTION("""COMPUTED_VALUE"""),43217.64583333333)</f>
        <v>43217.64583</v>
      </c>
      <c r="C733" s="2">
        <f>IFERROR(__xludf.DUMMYFUNCTION("""COMPUTED_VALUE"""),2960.0)</f>
        <v>2960</v>
      </c>
    </row>
    <row r="734" ht="15.75" customHeight="1">
      <c r="B734" s="3">
        <f>IFERROR(__xludf.DUMMYFUNCTION("""COMPUTED_VALUE"""),43224.64583333333)</f>
        <v>43224.64583</v>
      </c>
      <c r="C734" s="2">
        <f>IFERROR(__xludf.DUMMYFUNCTION("""COMPUTED_VALUE"""),3043.4)</f>
        <v>3043.4</v>
      </c>
    </row>
    <row r="735" ht="15.75" customHeight="1">
      <c r="B735" s="3">
        <f>IFERROR(__xludf.DUMMYFUNCTION("""COMPUTED_VALUE"""),43231.64583333333)</f>
        <v>43231.64583</v>
      </c>
      <c r="C735" s="2">
        <f>IFERROR(__xludf.DUMMYFUNCTION("""COMPUTED_VALUE"""),2942.95)</f>
        <v>2942.95</v>
      </c>
    </row>
    <row r="736" ht="15.75" customHeight="1">
      <c r="B736" s="3">
        <f>IFERROR(__xludf.DUMMYFUNCTION("""COMPUTED_VALUE"""),43238.64583333333)</f>
        <v>43238.64583</v>
      </c>
      <c r="C736" s="2">
        <f>IFERROR(__xludf.DUMMYFUNCTION("""COMPUTED_VALUE"""),2915.0)</f>
        <v>2915</v>
      </c>
    </row>
    <row r="737" ht="15.75" customHeight="1">
      <c r="B737" s="3">
        <f>IFERROR(__xludf.DUMMYFUNCTION("""COMPUTED_VALUE"""),43245.64583333333)</f>
        <v>43245.64583</v>
      </c>
      <c r="C737" s="2">
        <f>IFERROR(__xludf.DUMMYFUNCTION("""COMPUTED_VALUE"""),2832.15)</f>
        <v>2832.15</v>
      </c>
    </row>
    <row r="738" ht="15.75" customHeight="1">
      <c r="B738" s="3">
        <f>IFERROR(__xludf.DUMMYFUNCTION("""COMPUTED_VALUE"""),43252.64583333333)</f>
        <v>43252.64583</v>
      </c>
      <c r="C738" s="2">
        <f>IFERROR(__xludf.DUMMYFUNCTION("""COMPUTED_VALUE"""),2911.4)</f>
        <v>2911.4</v>
      </c>
    </row>
    <row r="739" ht="15.75" customHeight="1">
      <c r="B739" s="3">
        <f>IFERROR(__xludf.DUMMYFUNCTION("""COMPUTED_VALUE"""),43259.64583333333)</f>
        <v>43259.64583</v>
      </c>
      <c r="C739" s="2">
        <f>IFERROR(__xludf.DUMMYFUNCTION("""COMPUTED_VALUE"""),2939.4)</f>
        <v>2939.4</v>
      </c>
    </row>
    <row r="740" ht="15.75" customHeight="1">
      <c r="B740" s="3">
        <f>IFERROR(__xludf.DUMMYFUNCTION("""COMPUTED_VALUE"""),43266.64583333333)</f>
        <v>43266.64583</v>
      </c>
      <c r="C740" s="2">
        <f>IFERROR(__xludf.DUMMYFUNCTION("""COMPUTED_VALUE"""),2934.0)</f>
        <v>2934</v>
      </c>
    </row>
    <row r="741" ht="15.75" customHeight="1">
      <c r="B741" s="3">
        <f>IFERROR(__xludf.DUMMYFUNCTION("""COMPUTED_VALUE"""),43273.64583333333)</f>
        <v>43273.64583</v>
      </c>
      <c r="C741" s="2">
        <f>IFERROR(__xludf.DUMMYFUNCTION("""COMPUTED_VALUE"""),2917.7)</f>
        <v>2917.7</v>
      </c>
    </row>
    <row r="742" ht="15.75" customHeight="1">
      <c r="B742" s="3">
        <f>IFERROR(__xludf.DUMMYFUNCTION("""COMPUTED_VALUE"""),43280.64583333333)</f>
        <v>43280.64583</v>
      </c>
      <c r="C742" s="2">
        <f>IFERROR(__xludf.DUMMYFUNCTION("""COMPUTED_VALUE"""),2839.8)</f>
        <v>2839.8</v>
      </c>
    </row>
    <row r="743" ht="15.75" customHeight="1">
      <c r="B743" s="3">
        <f>IFERROR(__xludf.DUMMYFUNCTION("""COMPUTED_VALUE"""),43287.64583333333)</f>
        <v>43287.64583</v>
      </c>
      <c r="C743" s="2">
        <f>IFERROR(__xludf.DUMMYFUNCTION("""COMPUTED_VALUE"""),3078.25)</f>
        <v>3078.25</v>
      </c>
    </row>
    <row r="744" ht="15.75" customHeight="1">
      <c r="B744" s="3">
        <f>IFERROR(__xludf.DUMMYFUNCTION("""COMPUTED_VALUE"""),43294.64583333333)</f>
        <v>43294.64583</v>
      </c>
      <c r="C744" s="2">
        <f>IFERROR(__xludf.DUMMYFUNCTION("""COMPUTED_VALUE"""),3194.95)</f>
        <v>3194.95</v>
      </c>
    </row>
    <row r="745" ht="15.75" customHeight="1">
      <c r="B745" s="3">
        <f>IFERROR(__xludf.DUMMYFUNCTION("""COMPUTED_VALUE"""),43301.64583333333)</f>
        <v>43301.64583</v>
      </c>
      <c r="C745" s="2">
        <f>IFERROR(__xludf.DUMMYFUNCTION("""COMPUTED_VALUE"""),3165.0)</f>
        <v>3165</v>
      </c>
    </row>
    <row r="746" ht="15.75" customHeight="1">
      <c r="B746" s="3">
        <f>IFERROR(__xludf.DUMMYFUNCTION("""COMPUTED_VALUE"""),43308.64583333333)</f>
        <v>43308.64583</v>
      </c>
      <c r="C746" s="2">
        <f>IFERROR(__xludf.DUMMYFUNCTION("""COMPUTED_VALUE"""),2841.6)</f>
        <v>2841.6</v>
      </c>
    </row>
    <row r="747" ht="15.75" customHeight="1">
      <c r="B747" s="3">
        <f>IFERROR(__xludf.DUMMYFUNCTION("""COMPUTED_VALUE"""),43315.64583333333)</f>
        <v>43315.64583</v>
      </c>
      <c r="C747" s="2">
        <f>IFERROR(__xludf.DUMMYFUNCTION("""COMPUTED_VALUE"""),2768.0)</f>
        <v>2768</v>
      </c>
    </row>
    <row r="748" ht="15.75" customHeight="1">
      <c r="B748" s="3">
        <f>IFERROR(__xludf.DUMMYFUNCTION("""COMPUTED_VALUE"""),43322.64583333333)</f>
        <v>43322.64583</v>
      </c>
      <c r="C748" s="2">
        <f>IFERROR(__xludf.DUMMYFUNCTION("""COMPUTED_VALUE"""),2716.0)</f>
        <v>2716</v>
      </c>
    </row>
    <row r="749" ht="15.75" customHeight="1">
      <c r="B749" s="3">
        <f>IFERROR(__xludf.DUMMYFUNCTION("""COMPUTED_VALUE"""),43329.64583333333)</f>
        <v>43329.64583</v>
      </c>
      <c r="C749" s="2">
        <f>IFERROR(__xludf.DUMMYFUNCTION("""COMPUTED_VALUE"""),2678.0)</f>
        <v>2678</v>
      </c>
    </row>
    <row r="750" ht="15.75" customHeight="1">
      <c r="B750" s="3">
        <f>IFERROR(__xludf.DUMMYFUNCTION("""COMPUTED_VALUE"""),43336.64583333333)</f>
        <v>43336.64583</v>
      </c>
      <c r="C750" s="2">
        <f>IFERROR(__xludf.DUMMYFUNCTION("""COMPUTED_VALUE"""),2770.0)</f>
        <v>2770</v>
      </c>
    </row>
    <row r="751" ht="15.75" customHeight="1">
      <c r="B751" s="3">
        <f>IFERROR(__xludf.DUMMYFUNCTION("""COMPUTED_VALUE"""),43343.64583333333)</f>
        <v>43343.64583</v>
      </c>
      <c r="C751" s="2">
        <f>IFERROR(__xludf.DUMMYFUNCTION("""COMPUTED_VALUE"""),2755.0)</f>
        <v>2755</v>
      </c>
    </row>
    <row r="752" ht="15.75" customHeight="1">
      <c r="B752" s="3">
        <f>IFERROR(__xludf.DUMMYFUNCTION("""COMPUTED_VALUE"""),43350.64583333333)</f>
        <v>43350.64583</v>
      </c>
      <c r="C752" s="2">
        <f>IFERROR(__xludf.DUMMYFUNCTION("""COMPUTED_VALUE"""),2932.0)</f>
        <v>2932</v>
      </c>
    </row>
    <row r="753" ht="15.75" customHeight="1">
      <c r="B753" s="3">
        <f>IFERROR(__xludf.DUMMYFUNCTION("""COMPUTED_VALUE"""),43357.64583333333)</f>
        <v>43357.64583</v>
      </c>
      <c r="C753" s="2">
        <f>IFERROR(__xludf.DUMMYFUNCTION("""COMPUTED_VALUE"""),2949.0)</f>
        <v>2949</v>
      </c>
    </row>
    <row r="754" ht="15.75" customHeight="1">
      <c r="B754" s="3">
        <f>IFERROR(__xludf.DUMMYFUNCTION("""COMPUTED_VALUE"""),43364.64583333333)</f>
        <v>43364.64583</v>
      </c>
      <c r="C754" s="2">
        <f>IFERROR(__xludf.DUMMYFUNCTION("""COMPUTED_VALUE"""),2879.9)</f>
        <v>2879.9</v>
      </c>
    </row>
    <row r="755" ht="15.75" customHeight="1">
      <c r="B755" s="3">
        <f>IFERROR(__xludf.DUMMYFUNCTION("""COMPUTED_VALUE"""),43371.64583333333)</f>
        <v>43371.64583</v>
      </c>
      <c r="C755" s="2">
        <f>IFERROR(__xludf.DUMMYFUNCTION("""COMPUTED_VALUE"""),2826.0)</f>
        <v>2826</v>
      </c>
    </row>
    <row r="756" ht="15.75" customHeight="1">
      <c r="B756" s="3">
        <f>IFERROR(__xludf.DUMMYFUNCTION("""COMPUTED_VALUE"""),43378.64583333333)</f>
        <v>43378.64583</v>
      </c>
      <c r="C756" s="2">
        <f>IFERROR(__xludf.DUMMYFUNCTION("""COMPUTED_VALUE"""),2769.9)</f>
        <v>2769.9</v>
      </c>
    </row>
    <row r="757" ht="15.75" customHeight="1">
      <c r="B757" s="3">
        <f>IFERROR(__xludf.DUMMYFUNCTION("""COMPUTED_VALUE"""),43385.64583333333)</f>
        <v>43385.64583</v>
      </c>
      <c r="C757" s="2">
        <f>IFERROR(__xludf.DUMMYFUNCTION("""COMPUTED_VALUE"""),2648.95)</f>
        <v>2648.95</v>
      </c>
    </row>
    <row r="758" ht="15.75" customHeight="1">
      <c r="B758" s="3">
        <f>IFERROR(__xludf.DUMMYFUNCTION("""COMPUTED_VALUE"""),43392.64583333333)</f>
        <v>43392.64583</v>
      </c>
      <c r="C758" s="2">
        <f>IFERROR(__xludf.DUMMYFUNCTION("""COMPUTED_VALUE"""),2649.65)</f>
        <v>2649.65</v>
      </c>
    </row>
    <row r="759" ht="15.75" customHeight="1">
      <c r="B759" s="3">
        <f>IFERROR(__xludf.DUMMYFUNCTION("""COMPUTED_VALUE"""),43399.64583333333)</f>
        <v>43399.64583</v>
      </c>
      <c r="C759" s="2">
        <f>IFERROR(__xludf.DUMMYFUNCTION("""COMPUTED_VALUE"""),2619.9)</f>
        <v>2619.9</v>
      </c>
    </row>
    <row r="760" ht="15.75" customHeight="1">
      <c r="B760" s="3">
        <f>IFERROR(__xludf.DUMMYFUNCTION("""COMPUTED_VALUE"""),43406.64583333333)</f>
        <v>43406.64583</v>
      </c>
      <c r="C760" s="2">
        <f>IFERROR(__xludf.DUMMYFUNCTION("""COMPUTED_VALUE"""),2700.0)</f>
        <v>2700</v>
      </c>
    </row>
    <row r="761" ht="15.75" customHeight="1">
      <c r="B761" s="3">
        <f>IFERROR(__xludf.DUMMYFUNCTION("""COMPUTED_VALUE"""),43413.64583333333)</f>
        <v>43413.64583</v>
      </c>
      <c r="C761" s="2">
        <f>IFERROR(__xludf.DUMMYFUNCTION("""COMPUTED_VALUE"""),2745.0)</f>
        <v>2745</v>
      </c>
    </row>
    <row r="762" ht="15.75" customHeight="1">
      <c r="B762" s="3">
        <f>IFERROR(__xludf.DUMMYFUNCTION("""COMPUTED_VALUE"""),43420.64583333333)</f>
        <v>43420.64583</v>
      </c>
      <c r="C762" s="2">
        <f>IFERROR(__xludf.DUMMYFUNCTION("""COMPUTED_VALUE"""),2726.0)</f>
        <v>2726</v>
      </c>
    </row>
    <row r="763" ht="15.75" customHeight="1">
      <c r="B763" s="3">
        <f>IFERROR(__xludf.DUMMYFUNCTION("""COMPUTED_VALUE"""),43426.64583333333)</f>
        <v>43426.64583</v>
      </c>
      <c r="C763" s="2">
        <f>IFERROR(__xludf.DUMMYFUNCTION("""COMPUTED_VALUE"""),2708.0)</f>
        <v>2708</v>
      </c>
    </row>
    <row r="764" ht="15.75" customHeight="1">
      <c r="B764" s="3">
        <f>IFERROR(__xludf.DUMMYFUNCTION("""COMPUTED_VALUE"""),43434.64583333333)</f>
        <v>43434.64583</v>
      </c>
      <c r="C764" s="2">
        <f>IFERROR(__xludf.DUMMYFUNCTION("""COMPUTED_VALUE"""),2769.7)</f>
        <v>2769.7</v>
      </c>
    </row>
    <row r="765" ht="15.75" customHeight="1">
      <c r="B765" s="3">
        <f>IFERROR(__xludf.DUMMYFUNCTION("""COMPUTED_VALUE"""),43441.64583333333)</f>
        <v>43441.64583</v>
      </c>
      <c r="C765" s="2">
        <f>IFERROR(__xludf.DUMMYFUNCTION("""COMPUTED_VALUE"""),2799.4)</f>
        <v>2799.4</v>
      </c>
    </row>
    <row r="766" ht="15.75" customHeight="1">
      <c r="B766" s="3">
        <f>IFERROR(__xludf.DUMMYFUNCTION("""COMPUTED_VALUE"""),43448.64583333333)</f>
        <v>43448.64583</v>
      </c>
      <c r="C766" s="2">
        <f>IFERROR(__xludf.DUMMYFUNCTION("""COMPUTED_VALUE"""),2885.65)</f>
        <v>2885.65</v>
      </c>
    </row>
    <row r="767" ht="15.75" customHeight="1">
      <c r="B767" s="3">
        <f>IFERROR(__xludf.DUMMYFUNCTION("""COMPUTED_VALUE"""),43455.64583333333)</f>
        <v>43455.64583</v>
      </c>
      <c r="C767" s="2">
        <f>IFERROR(__xludf.DUMMYFUNCTION("""COMPUTED_VALUE"""),2905.0)</f>
        <v>2905</v>
      </c>
    </row>
    <row r="768" ht="15.75" customHeight="1">
      <c r="B768" s="3">
        <f>IFERROR(__xludf.DUMMYFUNCTION("""COMPUTED_VALUE"""),43462.64583333333)</f>
        <v>43462.64583</v>
      </c>
      <c r="C768" s="2">
        <f>IFERROR(__xludf.DUMMYFUNCTION("""COMPUTED_VALUE"""),2832.7)</f>
        <v>2832.7</v>
      </c>
    </row>
    <row r="769" ht="15.75" customHeight="1"/>
    <row r="770" ht="15.75" customHeight="1"/>
    <row r="771" ht="15.75" customHeight="1">
      <c r="B771" s="2" t="str">
        <f>IFERROR(__xludf.DUMMYFUNCTION("GOOGLEFINANCE(""NSE:BAJAJ-AUTO"", ""high"",DATE(2019,1,1),DATE(2020,1,1),""weekly"")"),"Date")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IFERROR(__xludf.DUMMYFUNCTION("""COMPUTED_VALUE"""),43469.64583333333)</f>
        <v>43469.64583</v>
      </c>
      <c r="C772" s="2">
        <f>IFERROR(__xludf.DUMMYFUNCTION("""COMPUTED_VALUE"""),2763.0)</f>
        <v>2763</v>
      </c>
    </row>
    <row r="773" ht="15.75" customHeight="1">
      <c r="B773" s="3">
        <f>IFERROR(__xludf.DUMMYFUNCTION("""COMPUTED_VALUE"""),43476.64583333333)</f>
        <v>43476.64583</v>
      </c>
      <c r="C773" s="2">
        <f>IFERROR(__xludf.DUMMYFUNCTION("""COMPUTED_VALUE"""),2740.0)</f>
        <v>2740</v>
      </c>
    </row>
    <row r="774" ht="15.75" customHeight="1">
      <c r="B774" s="3">
        <f>IFERROR(__xludf.DUMMYFUNCTION("""COMPUTED_VALUE"""),43483.64583333333)</f>
        <v>43483.64583</v>
      </c>
      <c r="C774" s="2">
        <f>IFERROR(__xludf.DUMMYFUNCTION("""COMPUTED_VALUE"""),2747.2)</f>
        <v>2747.2</v>
      </c>
    </row>
    <row r="775" ht="15.75" customHeight="1">
      <c r="B775" s="3">
        <f>IFERROR(__xludf.DUMMYFUNCTION("""COMPUTED_VALUE"""),43490.64583333333)</f>
        <v>43490.64583</v>
      </c>
      <c r="C775" s="2">
        <f>IFERROR(__xludf.DUMMYFUNCTION("""COMPUTED_VALUE"""),2724.75)</f>
        <v>2724.75</v>
      </c>
    </row>
    <row r="776" ht="15.75" customHeight="1">
      <c r="B776" s="3">
        <f>IFERROR(__xludf.DUMMYFUNCTION("""COMPUTED_VALUE"""),43497.64583333333)</f>
        <v>43497.64583</v>
      </c>
      <c r="C776" s="2">
        <f>IFERROR(__xludf.DUMMYFUNCTION("""COMPUTED_VALUE"""),2670.0)</f>
        <v>2670</v>
      </c>
    </row>
    <row r="777" ht="15.75" customHeight="1">
      <c r="B777" s="3">
        <f>IFERROR(__xludf.DUMMYFUNCTION("""COMPUTED_VALUE"""),43504.64583333333)</f>
        <v>43504.64583</v>
      </c>
      <c r="C777" s="2">
        <f>IFERROR(__xludf.DUMMYFUNCTION("""COMPUTED_VALUE"""),2879.1)</f>
        <v>2879.1</v>
      </c>
    </row>
    <row r="778" ht="15.75" customHeight="1">
      <c r="B778" s="3">
        <f>IFERROR(__xludf.DUMMYFUNCTION("""COMPUTED_VALUE"""),43511.64583333333)</f>
        <v>43511.64583</v>
      </c>
      <c r="C778" s="2">
        <f>IFERROR(__xludf.DUMMYFUNCTION("""COMPUTED_VALUE"""),2875.0)</f>
        <v>2875</v>
      </c>
    </row>
    <row r="779" ht="15.75" customHeight="1">
      <c r="B779" s="3">
        <f>IFERROR(__xludf.DUMMYFUNCTION("""COMPUTED_VALUE"""),43518.64583333333)</f>
        <v>43518.64583</v>
      </c>
      <c r="C779" s="2">
        <f>IFERROR(__xludf.DUMMYFUNCTION("""COMPUTED_VALUE"""),2847.0)</f>
        <v>2847</v>
      </c>
    </row>
    <row r="780" ht="15.75" customHeight="1">
      <c r="B780" s="3">
        <f>IFERROR(__xludf.DUMMYFUNCTION("""COMPUTED_VALUE"""),43525.64583333333)</f>
        <v>43525.64583</v>
      </c>
      <c r="C780" s="2">
        <f>IFERROR(__xludf.DUMMYFUNCTION("""COMPUTED_VALUE"""),2943.0)</f>
        <v>2943</v>
      </c>
    </row>
    <row r="781" ht="15.75" customHeight="1">
      <c r="B781" s="3">
        <f>IFERROR(__xludf.DUMMYFUNCTION("""COMPUTED_VALUE"""),43532.64583333333)</f>
        <v>43532.64583</v>
      </c>
      <c r="C781" s="2">
        <f>IFERROR(__xludf.DUMMYFUNCTION("""COMPUTED_VALUE"""),2964.6)</f>
        <v>2964.6</v>
      </c>
    </row>
    <row r="782" ht="15.75" customHeight="1">
      <c r="B782" s="3">
        <f>IFERROR(__xludf.DUMMYFUNCTION("""COMPUTED_VALUE"""),43539.64583333333)</f>
        <v>43539.64583</v>
      </c>
      <c r="C782" s="2">
        <f>IFERROR(__xludf.DUMMYFUNCTION("""COMPUTED_VALUE"""),3047.2)</f>
        <v>3047.2</v>
      </c>
    </row>
    <row r="783" ht="15.75" customHeight="1">
      <c r="B783" s="3">
        <f>IFERROR(__xludf.DUMMYFUNCTION("""COMPUTED_VALUE"""),43546.64583333333)</f>
        <v>43546.64583</v>
      </c>
      <c r="C783" s="2">
        <f>IFERROR(__xludf.DUMMYFUNCTION("""COMPUTED_VALUE"""),3047.8)</f>
        <v>3047.8</v>
      </c>
    </row>
    <row r="784" ht="15.75" customHeight="1">
      <c r="B784" s="3">
        <f>IFERROR(__xludf.DUMMYFUNCTION("""COMPUTED_VALUE"""),43553.64583333333)</f>
        <v>43553.64583</v>
      </c>
      <c r="C784" s="2">
        <f>IFERROR(__xludf.DUMMYFUNCTION("""COMPUTED_VALUE"""),3020.45)</f>
        <v>3020.45</v>
      </c>
    </row>
    <row r="785" ht="15.75" customHeight="1">
      <c r="B785" s="3">
        <f>IFERROR(__xludf.DUMMYFUNCTION("""COMPUTED_VALUE"""),43560.64583333333)</f>
        <v>43560.64583</v>
      </c>
      <c r="C785" s="2">
        <f>IFERROR(__xludf.DUMMYFUNCTION("""COMPUTED_VALUE"""),2950.0)</f>
        <v>2950</v>
      </c>
    </row>
    <row r="786" ht="15.75" customHeight="1">
      <c r="B786" s="3">
        <f>IFERROR(__xludf.DUMMYFUNCTION("""COMPUTED_VALUE"""),43567.64583333333)</f>
        <v>43567.64583</v>
      </c>
      <c r="C786" s="2">
        <f>IFERROR(__xludf.DUMMYFUNCTION("""COMPUTED_VALUE"""),3025.95)</f>
        <v>3025.95</v>
      </c>
    </row>
    <row r="787" ht="15.75" customHeight="1">
      <c r="B787" s="3">
        <f>IFERROR(__xludf.DUMMYFUNCTION("""COMPUTED_VALUE"""),43573.64583333333)</f>
        <v>43573.64583</v>
      </c>
      <c r="C787" s="2">
        <f>IFERROR(__xludf.DUMMYFUNCTION("""COMPUTED_VALUE"""),3089.9)</f>
        <v>3089.9</v>
      </c>
    </row>
    <row r="788" ht="15.75" customHeight="1">
      <c r="B788" s="3">
        <f>IFERROR(__xludf.DUMMYFUNCTION("""COMPUTED_VALUE"""),43581.64583333333)</f>
        <v>43581.64583</v>
      </c>
      <c r="C788" s="2">
        <f>IFERROR(__xludf.DUMMYFUNCTION("""COMPUTED_VALUE"""),3110.0)</f>
        <v>3110</v>
      </c>
    </row>
    <row r="789" ht="15.75" customHeight="1">
      <c r="B789" s="3">
        <f>IFERROR(__xludf.DUMMYFUNCTION("""COMPUTED_VALUE"""),43588.64583333333)</f>
        <v>43588.64583</v>
      </c>
      <c r="C789" s="2">
        <f>IFERROR(__xludf.DUMMYFUNCTION("""COMPUTED_VALUE"""),3066.0)</f>
        <v>3066</v>
      </c>
    </row>
    <row r="790" ht="15.75" customHeight="1">
      <c r="B790" s="3">
        <f>IFERROR(__xludf.DUMMYFUNCTION("""COMPUTED_VALUE"""),43595.64583333333)</f>
        <v>43595.64583</v>
      </c>
      <c r="C790" s="2">
        <f>IFERROR(__xludf.DUMMYFUNCTION("""COMPUTED_VALUE"""),3054.0)</f>
        <v>3054</v>
      </c>
    </row>
    <row r="791" ht="15.75" customHeight="1">
      <c r="B791" s="3">
        <f>IFERROR(__xludf.DUMMYFUNCTION("""COMPUTED_VALUE"""),43602.64583333333)</f>
        <v>43602.64583</v>
      </c>
      <c r="C791" s="2">
        <f>IFERROR(__xludf.DUMMYFUNCTION("""COMPUTED_VALUE"""),3149.95)</f>
        <v>3149.95</v>
      </c>
    </row>
    <row r="792" ht="15.75" customHeight="1">
      <c r="B792" s="3">
        <f>IFERROR(__xludf.DUMMYFUNCTION("""COMPUTED_VALUE"""),43609.64583333333)</f>
        <v>43609.64583</v>
      </c>
      <c r="C792" s="2">
        <f>IFERROR(__xludf.DUMMYFUNCTION("""COMPUTED_VALUE"""),3098.9)</f>
        <v>3098.9</v>
      </c>
    </row>
    <row r="793" ht="15.75" customHeight="1">
      <c r="B793" s="3">
        <f>IFERROR(__xludf.DUMMYFUNCTION("""COMPUTED_VALUE"""),43616.64583333333)</f>
        <v>43616.64583</v>
      </c>
      <c r="C793" s="2">
        <f>IFERROR(__xludf.DUMMYFUNCTION("""COMPUTED_VALUE"""),3108.35)</f>
        <v>3108.35</v>
      </c>
    </row>
    <row r="794" ht="15.75" customHeight="1">
      <c r="B794" s="3">
        <f>IFERROR(__xludf.DUMMYFUNCTION("""COMPUTED_VALUE"""),43623.64583333333)</f>
        <v>43623.64583</v>
      </c>
      <c r="C794" s="2">
        <f>IFERROR(__xludf.DUMMYFUNCTION("""COMPUTED_VALUE"""),3077.95)</f>
        <v>3077.95</v>
      </c>
    </row>
    <row r="795" ht="15.75" customHeight="1">
      <c r="B795" s="3">
        <f>IFERROR(__xludf.DUMMYFUNCTION("""COMPUTED_VALUE"""),43630.64583333333)</f>
        <v>43630.64583</v>
      </c>
      <c r="C795" s="2">
        <f>IFERROR(__xludf.DUMMYFUNCTION("""COMPUTED_VALUE"""),3025.0)</f>
        <v>3025</v>
      </c>
    </row>
    <row r="796" ht="15.75" customHeight="1">
      <c r="B796" s="3">
        <f>IFERROR(__xludf.DUMMYFUNCTION("""COMPUTED_VALUE"""),43637.64583333333)</f>
        <v>43637.64583</v>
      </c>
      <c r="C796" s="2">
        <f>IFERROR(__xludf.DUMMYFUNCTION("""COMPUTED_VALUE"""),2910.9)</f>
        <v>2910.9</v>
      </c>
    </row>
    <row r="797" ht="15.75" customHeight="1">
      <c r="B797" s="3">
        <f>IFERROR(__xludf.DUMMYFUNCTION("""COMPUTED_VALUE"""),43644.64583333333)</f>
        <v>43644.64583</v>
      </c>
      <c r="C797" s="2">
        <f>IFERROR(__xludf.DUMMYFUNCTION("""COMPUTED_VALUE"""),2909.9)</f>
        <v>2909.9</v>
      </c>
    </row>
    <row r="798" ht="15.75" customHeight="1">
      <c r="B798" s="3">
        <f>IFERROR(__xludf.DUMMYFUNCTION("""COMPUTED_VALUE"""),43651.64583333333)</f>
        <v>43651.64583</v>
      </c>
      <c r="C798" s="2">
        <f>IFERROR(__xludf.DUMMYFUNCTION("""COMPUTED_VALUE"""),2927.95)</f>
        <v>2927.95</v>
      </c>
    </row>
    <row r="799" ht="15.75" customHeight="1">
      <c r="B799" s="3">
        <f>IFERROR(__xludf.DUMMYFUNCTION("""COMPUTED_VALUE"""),43658.64583333333)</f>
        <v>43658.64583</v>
      </c>
      <c r="C799" s="2">
        <f>IFERROR(__xludf.DUMMYFUNCTION("""COMPUTED_VALUE"""),2827.55)</f>
        <v>2827.55</v>
      </c>
    </row>
    <row r="800" ht="15.75" customHeight="1">
      <c r="B800" s="3">
        <f>IFERROR(__xludf.DUMMYFUNCTION("""COMPUTED_VALUE"""),43665.64583333333)</f>
        <v>43665.64583</v>
      </c>
      <c r="C800" s="2">
        <f>IFERROR(__xludf.DUMMYFUNCTION("""COMPUTED_VALUE"""),2754.0)</f>
        <v>2754</v>
      </c>
    </row>
    <row r="801" ht="15.75" customHeight="1">
      <c r="B801" s="3">
        <f>IFERROR(__xludf.DUMMYFUNCTION("""COMPUTED_VALUE"""),43672.64583333333)</f>
        <v>43672.64583</v>
      </c>
      <c r="C801" s="2">
        <f>IFERROR(__xludf.DUMMYFUNCTION("""COMPUTED_VALUE"""),2679.95)</f>
        <v>2679.95</v>
      </c>
    </row>
    <row r="802" ht="15.75" customHeight="1">
      <c r="B802" s="3">
        <f>IFERROR(__xludf.DUMMYFUNCTION("""COMPUTED_VALUE"""),43679.64583333333)</f>
        <v>43679.64583</v>
      </c>
      <c r="C802" s="2">
        <f>IFERROR(__xludf.DUMMYFUNCTION("""COMPUTED_VALUE"""),2618.0)</f>
        <v>2618</v>
      </c>
    </row>
    <row r="803" ht="15.75" customHeight="1">
      <c r="B803" s="3">
        <f>IFERROR(__xludf.DUMMYFUNCTION("""COMPUTED_VALUE"""),43686.64583333333)</f>
        <v>43686.64583</v>
      </c>
      <c r="C803" s="2">
        <f>IFERROR(__xludf.DUMMYFUNCTION("""COMPUTED_VALUE"""),2741.5)</f>
        <v>2741.5</v>
      </c>
    </row>
    <row r="804" ht="15.75" customHeight="1">
      <c r="B804" s="3">
        <f>IFERROR(__xludf.DUMMYFUNCTION("""COMPUTED_VALUE"""),43693.64583333333)</f>
        <v>43693.64583</v>
      </c>
      <c r="C804" s="2">
        <f>IFERROR(__xludf.DUMMYFUNCTION("""COMPUTED_VALUE"""),2760.0)</f>
        <v>2760</v>
      </c>
    </row>
    <row r="805" ht="15.75" customHeight="1">
      <c r="B805" s="3">
        <f>IFERROR(__xludf.DUMMYFUNCTION("""COMPUTED_VALUE"""),43700.64583333333)</f>
        <v>43700.64583</v>
      </c>
      <c r="C805" s="2">
        <f>IFERROR(__xludf.DUMMYFUNCTION("""COMPUTED_VALUE"""),2775.0)</f>
        <v>2775</v>
      </c>
    </row>
    <row r="806" ht="15.75" customHeight="1">
      <c r="B806" s="3">
        <f>IFERROR(__xludf.DUMMYFUNCTION("""COMPUTED_VALUE"""),43707.64583333333)</f>
        <v>43707.64583</v>
      </c>
      <c r="C806" s="2">
        <f>IFERROR(__xludf.DUMMYFUNCTION("""COMPUTED_VALUE"""),2813.95)</f>
        <v>2813.95</v>
      </c>
    </row>
    <row r="807" ht="15.75" customHeight="1">
      <c r="B807" s="3">
        <f>IFERROR(__xludf.DUMMYFUNCTION("""COMPUTED_VALUE"""),43714.64583333333)</f>
        <v>43714.64583</v>
      </c>
      <c r="C807" s="2">
        <f>IFERROR(__xludf.DUMMYFUNCTION("""COMPUTED_VALUE"""),2864.8)</f>
        <v>2864.8</v>
      </c>
    </row>
    <row r="808" ht="15.75" customHeight="1">
      <c r="B808" s="3">
        <f>IFERROR(__xludf.DUMMYFUNCTION("""COMPUTED_VALUE"""),43721.64583333333)</f>
        <v>43721.64583</v>
      </c>
      <c r="C808" s="2">
        <f>IFERROR(__xludf.DUMMYFUNCTION("""COMPUTED_VALUE"""),2920.45)</f>
        <v>2920.45</v>
      </c>
    </row>
    <row r="809" ht="15.75" customHeight="1">
      <c r="B809" s="3">
        <f>IFERROR(__xludf.DUMMYFUNCTION("""COMPUTED_VALUE"""),43728.64583333333)</f>
        <v>43728.64583</v>
      </c>
      <c r="C809" s="2">
        <f>IFERROR(__xludf.DUMMYFUNCTION("""COMPUTED_VALUE"""),3020.1)</f>
        <v>3020.1</v>
      </c>
    </row>
    <row r="810" ht="15.75" customHeight="1">
      <c r="B810" s="3">
        <f>IFERROR(__xludf.DUMMYFUNCTION("""COMPUTED_VALUE"""),43735.64583333333)</f>
        <v>43735.64583</v>
      </c>
      <c r="C810" s="2">
        <f>IFERROR(__xludf.DUMMYFUNCTION("""COMPUTED_VALUE"""),3027.15)</f>
        <v>3027.15</v>
      </c>
    </row>
    <row r="811" ht="15.75" customHeight="1">
      <c r="B811" s="3">
        <f>IFERROR(__xludf.DUMMYFUNCTION("""COMPUTED_VALUE"""),43742.64583333333)</f>
        <v>43742.64583</v>
      </c>
      <c r="C811" s="2">
        <f>IFERROR(__xludf.DUMMYFUNCTION("""COMPUTED_VALUE"""),2977.7)</f>
        <v>2977.7</v>
      </c>
    </row>
    <row r="812" ht="15.75" customHeight="1">
      <c r="B812" s="3">
        <f>IFERROR(__xludf.DUMMYFUNCTION("""COMPUTED_VALUE"""),43749.64583333333)</f>
        <v>43749.64583</v>
      </c>
      <c r="C812" s="2">
        <f>IFERROR(__xludf.DUMMYFUNCTION("""COMPUTED_VALUE"""),2932.0)</f>
        <v>2932</v>
      </c>
    </row>
    <row r="813" ht="15.75" customHeight="1">
      <c r="B813" s="3">
        <f>IFERROR(__xludf.DUMMYFUNCTION("""COMPUTED_VALUE"""),43756.64583333333)</f>
        <v>43756.64583</v>
      </c>
      <c r="C813" s="2">
        <f>IFERROR(__xludf.DUMMYFUNCTION("""COMPUTED_VALUE"""),3140.0)</f>
        <v>3140</v>
      </c>
    </row>
    <row r="814" ht="15.75" customHeight="1">
      <c r="B814" s="3">
        <f>IFERROR(__xludf.DUMMYFUNCTION("""COMPUTED_VALUE"""),43763.79166666667)</f>
        <v>43763.79167</v>
      </c>
      <c r="C814" s="2">
        <f>IFERROR(__xludf.DUMMYFUNCTION("""COMPUTED_VALUE"""),3237.35)</f>
        <v>3237.35</v>
      </c>
    </row>
    <row r="815" ht="15.75" customHeight="1">
      <c r="B815" s="3">
        <f>IFERROR(__xludf.DUMMYFUNCTION("""COMPUTED_VALUE"""),43770.64583333333)</f>
        <v>43770.64583</v>
      </c>
      <c r="C815" s="2">
        <f>IFERROR(__xludf.DUMMYFUNCTION("""COMPUTED_VALUE"""),3289.0)</f>
        <v>3289</v>
      </c>
    </row>
    <row r="816" ht="15.75" customHeight="1">
      <c r="B816" s="3">
        <f>IFERROR(__xludf.DUMMYFUNCTION("""COMPUTED_VALUE"""),43777.64583333333)</f>
        <v>43777.64583</v>
      </c>
      <c r="C816" s="2">
        <f>IFERROR(__xludf.DUMMYFUNCTION("""COMPUTED_VALUE"""),3288.8)</f>
        <v>3288.8</v>
      </c>
    </row>
    <row r="817" ht="15.75" customHeight="1">
      <c r="B817" s="3">
        <f>IFERROR(__xludf.DUMMYFUNCTION("""COMPUTED_VALUE"""),43784.64583333333)</f>
        <v>43784.64583</v>
      </c>
      <c r="C817" s="2">
        <f>IFERROR(__xludf.DUMMYFUNCTION("""COMPUTED_VALUE"""),3254.0)</f>
        <v>3254</v>
      </c>
    </row>
    <row r="818" ht="15.75" customHeight="1">
      <c r="B818" s="3">
        <f>IFERROR(__xludf.DUMMYFUNCTION("""COMPUTED_VALUE"""),43791.64583333333)</f>
        <v>43791.64583</v>
      </c>
      <c r="C818" s="2">
        <f>IFERROR(__xludf.DUMMYFUNCTION("""COMPUTED_VALUE"""),3225.0)</f>
        <v>3225</v>
      </c>
    </row>
    <row r="819" ht="15.75" customHeight="1">
      <c r="B819" s="3">
        <f>IFERROR(__xludf.DUMMYFUNCTION("""COMPUTED_VALUE"""),43798.64583333333)</f>
        <v>43798.64583</v>
      </c>
      <c r="C819" s="2">
        <f>IFERROR(__xludf.DUMMYFUNCTION("""COMPUTED_VALUE"""),3228.0)</f>
        <v>3228</v>
      </c>
    </row>
    <row r="820" ht="15.75" customHeight="1">
      <c r="B820" s="3">
        <f>IFERROR(__xludf.DUMMYFUNCTION("""COMPUTED_VALUE"""),43805.64583333333)</f>
        <v>43805.64583</v>
      </c>
      <c r="C820" s="2">
        <f>IFERROR(__xludf.DUMMYFUNCTION("""COMPUTED_VALUE"""),3286.4)</f>
        <v>3286.4</v>
      </c>
    </row>
    <row r="821" ht="15.75" customHeight="1">
      <c r="B821" s="3">
        <f>IFERROR(__xludf.DUMMYFUNCTION("""COMPUTED_VALUE"""),43812.64583333333)</f>
        <v>43812.64583</v>
      </c>
      <c r="C821" s="2">
        <f>IFERROR(__xludf.DUMMYFUNCTION("""COMPUTED_VALUE"""),3283.3)</f>
        <v>3283.3</v>
      </c>
    </row>
    <row r="822" ht="15.75" customHeight="1">
      <c r="B822" s="3">
        <f>IFERROR(__xludf.DUMMYFUNCTION("""COMPUTED_VALUE"""),43819.64583333333)</f>
        <v>43819.64583</v>
      </c>
      <c r="C822" s="2">
        <f>IFERROR(__xludf.DUMMYFUNCTION("""COMPUTED_VALUE"""),3280.0)</f>
        <v>3280</v>
      </c>
    </row>
    <row r="823" ht="15.75" customHeight="1">
      <c r="B823" s="3">
        <f>IFERROR(__xludf.DUMMYFUNCTION("""COMPUTED_VALUE"""),43826.64583333333)</f>
        <v>43826.64583</v>
      </c>
      <c r="C823" s="2">
        <f>IFERROR(__xludf.DUMMYFUNCTION("""COMPUTED_VALUE"""),3258.0)</f>
        <v>3258</v>
      </c>
    </row>
    <row r="824" ht="15.75" customHeight="1"/>
    <row r="825" ht="15.75" customHeight="1"/>
    <row r="826" ht="15.75" customHeight="1">
      <c r="B826" s="2" t="str">
        <f>IFERROR(__xludf.DUMMYFUNCTION("GOOGLEFINANCE(""NSE:BAJAJ-AUTO"", ""high"",DATE(2020,1,1),DATE(2021,1,1),""weekly"")"),"Date")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IFERROR(__xludf.DUMMYFUNCTION("""COMPUTED_VALUE"""),43833.64583333333)</f>
        <v>43833.64583</v>
      </c>
      <c r="C827" s="2">
        <f>IFERROR(__xludf.DUMMYFUNCTION("""COMPUTED_VALUE"""),3260.0)</f>
        <v>3260</v>
      </c>
    </row>
    <row r="828" ht="15.75" customHeight="1">
      <c r="B828" s="3">
        <f>IFERROR(__xludf.DUMMYFUNCTION("""COMPUTED_VALUE"""),43840.64583333333)</f>
        <v>43840.64583</v>
      </c>
      <c r="C828" s="2">
        <f>IFERROR(__xludf.DUMMYFUNCTION("""COMPUTED_VALUE"""),3117.0)</f>
        <v>3117</v>
      </c>
    </row>
    <row r="829" ht="15.75" customHeight="1">
      <c r="B829" s="3">
        <f>IFERROR(__xludf.DUMMYFUNCTION("""COMPUTED_VALUE"""),43847.64583333333)</f>
        <v>43847.64583</v>
      </c>
      <c r="C829" s="2">
        <f>IFERROR(__xludf.DUMMYFUNCTION("""COMPUTED_VALUE"""),3150.0)</f>
        <v>3150</v>
      </c>
    </row>
    <row r="830" ht="15.75" customHeight="1">
      <c r="B830" s="3">
        <f>IFERROR(__xludf.DUMMYFUNCTION("""COMPUTED_VALUE"""),43854.64583333333)</f>
        <v>43854.64583</v>
      </c>
      <c r="C830" s="2">
        <f>IFERROR(__xludf.DUMMYFUNCTION("""COMPUTED_VALUE"""),3144.65)</f>
        <v>3144.65</v>
      </c>
    </row>
    <row r="831" ht="15.75" customHeight="1">
      <c r="B831" s="3">
        <f>IFERROR(__xludf.DUMMYFUNCTION("""COMPUTED_VALUE"""),43862.70833333333)</f>
        <v>43862.70833</v>
      </c>
      <c r="C831" s="2">
        <f>IFERROR(__xludf.DUMMYFUNCTION("""COMPUTED_VALUE"""),3239.95)</f>
        <v>3239.95</v>
      </c>
    </row>
    <row r="832" ht="15.75" customHeight="1">
      <c r="B832" s="3">
        <f>IFERROR(__xludf.DUMMYFUNCTION("""COMPUTED_VALUE"""),43868.64583333333)</f>
        <v>43868.64583</v>
      </c>
      <c r="C832" s="2">
        <f>IFERROR(__xludf.DUMMYFUNCTION("""COMPUTED_VALUE"""),3315.15)</f>
        <v>3315.15</v>
      </c>
    </row>
    <row r="833" ht="15.75" customHeight="1">
      <c r="B833" s="3">
        <f>IFERROR(__xludf.DUMMYFUNCTION("""COMPUTED_VALUE"""),43875.64583333333)</f>
        <v>43875.64583</v>
      </c>
      <c r="C833" s="2">
        <f>IFERROR(__xludf.DUMMYFUNCTION("""COMPUTED_VALUE"""),3205.0)</f>
        <v>3205</v>
      </c>
    </row>
    <row r="834" ht="15.75" customHeight="1">
      <c r="B834" s="3">
        <f>IFERROR(__xludf.DUMMYFUNCTION("""COMPUTED_VALUE"""),43881.64583333333)</f>
        <v>43881.64583</v>
      </c>
      <c r="C834" s="2">
        <f>IFERROR(__xludf.DUMMYFUNCTION("""COMPUTED_VALUE"""),3159.45)</f>
        <v>3159.45</v>
      </c>
    </row>
    <row r="835" ht="15.75" customHeight="1">
      <c r="B835" s="3">
        <f>IFERROR(__xludf.DUMMYFUNCTION("""COMPUTED_VALUE"""),43889.64583333333)</f>
        <v>43889.64583</v>
      </c>
      <c r="C835" s="2">
        <f>IFERROR(__xludf.DUMMYFUNCTION("""COMPUTED_VALUE"""),3084.65)</f>
        <v>3084.65</v>
      </c>
    </row>
    <row r="836" ht="15.75" customHeight="1">
      <c r="B836" s="3">
        <f>IFERROR(__xludf.DUMMYFUNCTION("""COMPUTED_VALUE"""),43896.64583333333)</f>
        <v>43896.64583</v>
      </c>
      <c r="C836" s="2">
        <f>IFERROR(__xludf.DUMMYFUNCTION("""COMPUTED_VALUE"""),2944.5)</f>
        <v>2944.5</v>
      </c>
    </row>
    <row r="837" ht="15.75" customHeight="1">
      <c r="B837" s="3">
        <f>IFERROR(__xludf.DUMMYFUNCTION("""COMPUTED_VALUE"""),43903.64583333333)</f>
        <v>43903.64583</v>
      </c>
      <c r="C837" s="2">
        <f>IFERROR(__xludf.DUMMYFUNCTION("""COMPUTED_VALUE"""),2690.0)</f>
        <v>2690</v>
      </c>
    </row>
    <row r="838" ht="15.75" customHeight="1">
      <c r="B838" s="3">
        <f>IFERROR(__xludf.DUMMYFUNCTION("""COMPUTED_VALUE"""),43910.64583333333)</f>
        <v>43910.64583</v>
      </c>
      <c r="C838" s="2">
        <f>IFERROR(__xludf.DUMMYFUNCTION("""COMPUTED_VALUE"""),2389.0)</f>
        <v>2389</v>
      </c>
    </row>
    <row r="839" ht="15.75" customHeight="1">
      <c r="B839" s="3">
        <f>IFERROR(__xludf.DUMMYFUNCTION("""COMPUTED_VALUE"""),43917.64583333333)</f>
        <v>43917.64583</v>
      </c>
      <c r="C839" s="2">
        <f>IFERROR(__xludf.DUMMYFUNCTION("""COMPUTED_VALUE"""),2389.0)</f>
        <v>2389</v>
      </c>
    </row>
    <row r="840" ht="15.75" customHeight="1">
      <c r="B840" s="3">
        <f>IFERROR(__xludf.DUMMYFUNCTION("""COMPUTED_VALUE"""),43924.64583333333)</f>
        <v>43924.64583</v>
      </c>
      <c r="C840" s="2">
        <f>IFERROR(__xludf.DUMMYFUNCTION("""COMPUTED_VALUE"""),2095.8)</f>
        <v>2095.8</v>
      </c>
    </row>
    <row r="841" ht="15.75" customHeight="1">
      <c r="B841" s="3">
        <f>IFERROR(__xludf.DUMMYFUNCTION("""COMPUTED_VALUE"""),43930.64583333333)</f>
        <v>43930.64583</v>
      </c>
      <c r="C841" s="2">
        <f>IFERROR(__xludf.DUMMYFUNCTION("""COMPUTED_VALUE"""),2524.95)</f>
        <v>2524.95</v>
      </c>
    </row>
    <row r="842" ht="15.75" customHeight="1">
      <c r="B842" s="3">
        <f>IFERROR(__xludf.DUMMYFUNCTION("""COMPUTED_VALUE"""),43938.64583333333)</f>
        <v>43938.64583</v>
      </c>
      <c r="C842" s="2">
        <f>IFERROR(__xludf.DUMMYFUNCTION("""COMPUTED_VALUE"""),2483.6)</f>
        <v>2483.6</v>
      </c>
    </row>
    <row r="843" ht="15.75" customHeight="1">
      <c r="B843" s="3">
        <f>IFERROR(__xludf.DUMMYFUNCTION("""COMPUTED_VALUE"""),43945.64583333333)</f>
        <v>43945.64583</v>
      </c>
      <c r="C843" s="2">
        <f>IFERROR(__xludf.DUMMYFUNCTION("""COMPUTED_VALUE"""),2472.0)</f>
        <v>2472</v>
      </c>
    </row>
    <row r="844" ht="15.75" customHeight="1">
      <c r="B844" s="3">
        <f>IFERROR(__xludf.DUMMYFUNCTION("""COMPUTED_VALUE"""),43951.64583333333)</f>
        <v>43951.64583</v>
      </c>
      <c r="C844" s="2">
        <f>IFERROR(__xludf.DUMMYFUNCTION("""COMPUTED_VALUE"""),2654.0)</f>
        <v>2654</v>
      </c>
    </row>
    <row r="845" ht="15.75" customHeight="1">
      <c r="B845" s="3">
        <f>IFERROR(__xludf.DUMMYFUNCTION("""COMPUTED_VALUE"""),43959.64583333333)</f>
        <v>43959.64583</v>
      </c>
      <c r="C845" s="2">
        <f>IFERROR(__xludf.DUMMYFUNCTION("""COMPUTED_VALUE"""),2554.95)</f>
        <v>2554.95</v>
      </c>
    </row>
    <row r="846" ht="15.75" customHeight="1">
      <c r="B846" s="3">
        <f>IFERROR(__xludf.DUMMYFUNCTION("""COMPUTED_VALUE"""),43966.64583333333)</f>
        <v>43966.64583</v>
      </c>
      <c r="C846" s="2">
        <f>IFERROR(__xludf.DUMMYFUNCTION("""COMPUTED_VALUE"""),2774.0)</f>
        <v>2774</v>
      </c>
    </row>
    <row r="847" ht="15.75" customHeight="1">
      <c r="B847" s="3">
        <f>IFERROR(__xludf.DUMMYFUNCTION("""COMPUTED_VALUE"""),43973.64583333333)</f>
        <v>43973.64583</v>
      </c>
      <c r="C847" s="2">
        <f>IFERROR(__xludf.DUMMYFUNCTION("""COMPUTED_VALUE"""),2724.2)</f>
        <v>2724.2</v>
      </c>
    </row>
    <row r="848" ht="15.75" customHeight="1">
      <c r="B848" s="3">
        <f>IFERROR(__xludf.DUMMYFUNCTION("""COMPUTED_VALUE"""),43980.64583333333)</f>
        <v>43980.64583</v>
      </c>
      <c r="C848" s="2">
        <f>IFERROR(__xludf.DUMMYFUNCTION("""COMPUTED_VALUE"""),2741.0)</f>
        <v>2741</v>
      </c>
    </row>
    <row r="849" ht="15.75" customHeight="1">
      <c r="B849" s="3">
        <f>IFERROR(__xludf.DUMMYFUNCTION("""COMPUTED_VALUE"""),43987.64583333333)</f>
        <v>43987.64583</v>
      </c>
      <c r="C849" s="2">
        <f>IFERROR(__xludf.DUMMYFUNCTION("""COMPUTED_VALUE"""),2876.5)</f>
        <v>2876.5</v>
      </c>
    </row>
    <row r="850" ht="15.75" customHeight="1">
      <c r="B850" s="3">
        <f>IFERROR(__xludf.DUMMYFUNCTION("""COMPUTED_VALUE"""),43994.64583333333)</f>
        <v>43994.64583</v>
      </c>
      <c r="C850" s="2">
        <f>IFERROR(__xludf.DUMMYFUNCTION("""COMPUTED_VALUE"""),2814.6)</f>
        <v>2814.6</v>
      </c>
    </row>
    <row r="851" ht="15.75" customHeight="1">
      <c r="B851" s="3">
        <f>IFERROR(__xludf.DUMMYFUNCTION("""COMPUTED_VALUE"""),44001.64583333333)</f>
        <v>44001.64583</v>
      </c>
      <c r="C851" s="2">
        <f>IFERROR(__xludf.DUMMYFUNCTION("""COMPUTED_VALUE"""),2786.95)</f>
        <v>2786.95</v>
      </c>
    </row>
    <row r="852" ht="15.75" customHeight="1">
      <c r="B852" s="3">
        <f>IFERROR(__xludf.DUMMYFUNCTION("""COMPUTED_VALUE"""),44008.64583333333)</f>
        <v>44008.64583</v>
      </c>
      <c r="C852" s="2">
        <f>IFERROR(__xludf.DUMMYFUNCTION("""COMPUTED_VALUE"""),2979.9)</f>
        <v>2979.9</v>
      </c>
    </row>
    <row r="853" ht="15.75" customHeight="1">
      <c r="B853" s="3">
        <f>IFERROR(__xludf.DUMMYFUNCTION("""COMPUTED_VALUE"""),44015.64583333333)</f>
        <v>44015.64583</v>
      </c>
      <c r="C853" s="2">
        <f>IFERROR(__xludf.DUMMYFUNCTION("""COMPUTED_VALUE"""),2960.0)</f>
        <v>2960</v>
      </c>
    </row>
    <row r="854" ht="15.75" customHeight="1">
      <c r="B854" s="3">
        <f>IFERROR(__xludf.DUMMYFUNCTION("""COMPUTED_VALUE"""),44022.64583333333)</f>
        <v>44022.64583</v>
      </c>
      <c r="C854" s="2">
        <f>IFERROR(__xludf.DUMMYFUNCTION("""COMPUTED_VALUE"""),2974.0)</f>
        <v>2974</v>
      </c>
    </row>
    <row r="855" ht="15.75" customHeight="1">
      <c r="B855" s="3">
        <f>IFERROR(__xludf.DUMMYFUNCTION("""COMPUTED_VALUE"""),44029.64583333333)</f>
        <v>44029.64583</v>
      </c>
      <c r="C855" s="2">
        <f>IFERROR(__xludf.DUMMYFUNCTION("""COMPUTED_VALUE"""),3000.0)</f>
        <v>3000</v>
      </c>
    </row>
    <row r="856" ht="15.75" customHeight="1">
      <c r="B856" s="3">
        <f>IFERROR(__xludf.DUMMYFUNCTION("""COMPUTED_VALUE"""),44036.64583333333)</f>
        <v>44036.64583</v>
      </c>
      <c r="C856" s="2">
        <f>IFERROR(__xludf.DUMMYFUNCTION("""COMPUTED_VALUE"""),3057.0)</f>
        <v>3057</v>
      </c>
    </row>
    <row r="857" ht="15.75" customHeight="1">
      <c r="B857" s="3">
        <f>IFERROR(__xludf.DUMMYFUNCTION("""COMPUTED_VALUE"""),44043.64583333333)</f>
        <v>44043.64583</v>
      </c>
      <c r="C857" s="2">
        <f>IFERROR(__xludf.DUMMYFUNCTION("""COMPUTED_VALUE"""),3149.0)</f>
        <v>3149</v>
      </c>
    </row>
    <row r="858" ht="15.75" customHeight="1">
      <c r="B858" s="3">
        <f>IFERROR(__xludf.DUMMYFUNCTION("""COMPUTED_VALUE"""),44050.64583333333)</f>
        <v>44050.64583</v>
      </c>
      <c r="C858" s="2">
        <f>IFERROR(__xludf.DUMMYFUNCTION("""COMPUTED_VALUE"""),3075.0)</f>
        <v>3075</v>
      </c>
    </row>
    <row r="859" ht="15.75" customHeight="1">
      <c r="B859" s="3">
        <f>IFERROR(__xludf.DUMMYFUNCTION("""COMPUTED_VALUE"""),44057.64583333333)</f>
        <v>44057.64583</v>
      </c>
      <c r="C859" s="2">
        <f>IFERROR(__xludf.DUMMYFUNCTION("""COMPUTED_VALUE"""),3060.0)</f>
        <v>3060</v>
      </c>
    </row>
    <row r="860" ht="15.75" customHeight="1">
      <c r="B860" s="3">
        <f>IFERROR(__xludf.DUMMYFUNCTION("""COMPUTED_VALUE"""),44064.64583333333)</f>
        <v>44064.64583</v>
      </c>
      <c r="C860" s="2">
        <f>IFERROR(__xludf.DUMMYFUNCTION("""COMPUTED_VALUE"""),3159.0)</f>
        <v>3159</v>
      </c>
    </row>
    <row r="861" ht="15.75" customHeight="1">
      <c r="B861" s="3">
        <f>IFERROR(__xludf.DUMMYFUNCTION("""COMPUTED_VALUE"""),44071.64583333333)</f>
        <v>44071.64583</v>
      </c>
      <c r="C861" s="2">
        <f>IFERROR(__xludf.DUMMYFUNCTION("""COMPUTED_VALUE"""),3138.0)</f>
        <v>3138</v>
      </c>
    </row>
    <row r="862" ht="15.75" customHeight="1">
      <c r="B862" s="3">
        <f>IFERROR(__xludf.DUMMYFUNCTION("""COMPUTED_VALUE"""),44078.64583333333)</f>
        <v>44078.64583</v>
      </c>
      <c r="C862" s="2">
        <f>IFERROR(__xludf.DUMMYFUNCTION("""COMPUTED_VALUE"""),3029.0)</f>
        <v>3029</v>
      </c>
    </row>
    <row r="863" ht="15.75" customHeight="1">
      <c r="B863" s="3">
        <f>IFERROR(__xludf.DUMMYFUNCTION("""COMPUTED_VALUE"""),44085.64583333333)</f>
        <v>44085.64583</v>
      </c>
      <c r="C863" s="2">
        <f>IFERROR(__xludf.DUMMYFUNCTION("""COMPUTED_VALUE"""),2941.95)</f>
        <v>2941.95</v>
      </c>
    </row>
    <row r="864" ht="15.75" customHeight="1">
      <c r="B864" s="3">
        <f>IFERROR(__xludf.DUMMYFUNCTION("""COMPUTED_VALUE"""),44092.64583333333)</f>
        <v>44092.64583</v>
      </c>
      <c r="C864" s="2">
        <f>IFERROR(__xludf.DUMMYFUNCTION("""COMPUTED_VALUE"""),3070.0)</f>
        <v>3070</v>
      </c>
    </row>
    <row r="865" ht="15.75" customHeight="1">
      <c r="B865" s="3">
        <f>IFERROR(__xludf.DUMMYFUNCTION("""COMPUTED_VALUE"""),44099.64583333333)</f>
        <v>44099.64583</v>
      </c>
      <c r="C865" s="2">
        <f>IFERROR(__xludf.DUMMYFUNCTION("""COMPUTED_VALUE"""),3047.6)</f>
        <v>3047.6</v>
      </c>
    </row>
    <row r="866" ht="15.75" customHeight="1">
      <c r="B866" s="3">
        <f>IFERROR(__xludf.DUMMYFUNCTION("""COMPUTED_VALUE"""),44105.64583333333)</f>
        <v>44105.64583</v>
      </c>
      <c r="C866" s="2">
        <f>IFERROR(__xludf.DUMMYFUNCTION("""COMPUTED_VALUE"""),3113.95)</f>
        <v>3113.95</v>
      </c>
    </row>
    <row r="867" ht="15.75" customHeight="1">
      <c r="B867" s="3">
        <f>IFERROR(__xludf.DUMMYFUNCTION("""COMPUTED_VALUE"""),44113.64583333333)</f>
        <v>44113.64583</v>
      </c>
      <c r="C867" s="2">
        <f>IFERROR(__xludf.DUMMYFUNCTION("""COMPUTED_VALUE"""),3110.8)</f>
        <v>3110.8</v>
      </c>
    </row>
    <row r="868" ht="15.75" customHeight="1">
      <c r="B868" s="3">
        <f>IFERROR(__xludf.DUMMYFUNCTION("""COMPUTED_VALUE"""),44120.64583333333)</f>
        <v>44120.64583</v>
      </c>
      <c r="C868" s="2">
        <f>IFERROR(__xludf.DUMMYFUNCTION("""COMPUTED_VALUE"""),3130.0)</f>
        <v>3130</v>
      </c>
    </row>
    <row r="869" ht="15.75" customHeight="1">
      <c r="B869" s="3">
        <f>IFERROR(__xludf.DUMMYFUNCTION("""COMPUTED_VALUE"""),44127.64583333333)</f>
        <v>44127.64583</v>
      </c>
      <c r="C869" s="2">
        <f>IFERROR(__xludf.DUMMYFUNCTION("""COMPUTED_VALUE"""),3095.5)</f>
        <v>3095.5</v>
      </c>
    </row>
    <row r="870" ht="15.75" customHeight="1">
      <c r="B870" s="3">
        <f>IFERROR(__xludf.DUMMYFUNCTION("""COMPUTED_VALUE"""),44134.64583333333)</f>
        <v>44134.64583</v>
      </c>
      <c r="C870" s="2">
        <f>IFERROR(__xludf.DUMMYFUNCTION("""COMPUTED_VALUE"""),3113.75)</f>
        <v>3113.75</v>
      </c>
    </row>
    <row r="871" ht="15.75" customHeight="1">
      <c r="B871" s="3">
        <f>IFERROR(__xludf.DUMMYFUNCTION("""COMPUTED_VALUE"""),44141.64583333333)</f>
        <v>44141.64583</v>
      </c>
      <c r="C871" s="2">
        <f>IFERROR(__xludf.DUMMYFUNCTION("""COMPUTED_VALUE"""),3000.0)</f>
        <v>3000</v>
      </c>
    </row>
    <row r="872" ht="15.75" customHeight="1">
      <c r="B872" s="3">
        <f>IFERROR(__xludf.DUMMYFUNCTION("""COMPUTED_VALUE"""),44155.64583333333)</f>
        <v>44155.64583</v>
      </c>
      <c r="C872" s="2">
        <f>IFERROR(__xludf.DUMMYFUNCTION("""COMPUTED_VALUE"""),3085.0)</f>
        <v>3085</v>
      </c>
    </row>
    <row r="873" ht="15.75" customHeight="1">
      <c r="B873" s="3">
        <f>IFERROR(__xludf.DUMMYFUNCTION("""COMPUTED_VALUE"""),44162.64583333333)</f>
        <v>44162.64583</v>
      </c>
      <c r="C873" s="2">
        <f>IFERROR(__xludf.DUMMYFUNCTION("""COMPUTED_VALUE"""),3249.0)</f>
        <v>3249</v>
      </c>
    </row>
    <row r="874" ht="15.75" customHeight="1">
      <c r="B874" s="3">
        <f>IFERROR(__xludf.DUMMYFUNCTION("""COMPUTED_VALUE"""),44169.64583333333)</f>
        <v>44169.64583</v>
      </c>
      <c r="C874" s="2">
        <f>IFERROR(__xludf.DUMMYFUNCTION("""COMPUTED_VALUE"""),3371.2)</f>
        <v>3371.2</v>
      </c>
    </row>
    <row r="875" ht="15.75" customHeight="1">
      <c r="B875" s="3">
        <f>IFERROR(__xludf.DUMMYFUNCTION("""COMPUTED_VALUE"""),44176.64583333333)</f>
        <v>44176.64583</v>
      </c>
      <c r="C875" s="2">
        <f>IFERROR(__xludf.DUMMYFUNCTION("""COMPUTED_VALUE"""),3384.75)</f>
        <v>3384.75</v>
      </c>
    </row>
    <row r="876" ht="15.75" customHeight="1">
      <c r="B876" s="3">
        <f>IFERROR(__xludf.DUMMYFUNCTION("""COMPUTED_VALUE"""),44183.64583333333)</f>
        <v>44183.64583</v>
      </c>
      <c r="C876" s="2">
        <f>IFERROR(__xludf.DUMMYFUNCTION("""COMPUTED_VALUE"""),3363.0)</f>
        <v>3363</v>
      </c>
    </row>
    <row r="877" ht="15.75" customHeight="1">
      <c r="B877" s="3">
        <f>IFERROR(__xludf.DUMMYFUNCTION("""COMPUTED_VALUE"""),44189.64583333333)</f>
        <v>44189.64583</v>
      </c>
      <c r="C877" s="2">
        <f>IFERROR(__xludf.DUMMYFUNCTION("""COMPUTED_VALUE"""),3423.55)</f>
        <v>3423.55</v>
      </c>
    </row>
    <row r="878" ht="15.75" customHeight="1">
      <c r="B878" s="3">
        <f>IFERROR(__xludf.DUMMYFUNCTION("""COMPUTED_VALUE"""),44197.64583333333)</f>
        <v>44197.64583</v>
      </c>
      <c r="C878" s="2">
        <f>IFERROR(__xludf.DUMMYFUNCTION("""COMPUTED_VALUE"""),3494.0)</f>
        <v>3494</v>
      </c>
    </row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IFERROR(__xludf.DUMMYFUNCTION("GOOGLEFINANCE(""NSE:GRASIM"", ""high"",DATE(2003,1,1),DATE(2004,1,1),""weekly"")"),"Date")</f>
        <v>Date</v>
      </c>
      <c r="C1" s="2" t="str">
        <f>IFERROR(__xludf.DUMMYFUNCTION("""COMPUTED_VALUE"""),"High")</f>
        <v>High</v>
      </c>
    </row>
    <row r="2">
      <c r="A2" s="2" t="s">
        <v>2</v>
      </c>
      <c r="B2" s="3">
        <f>IFERROR(__xludf.DUMMYFUNCTION("""COMPUTED_VALUE"""),37624.645833333336)</f>
        <v>37624.64583</v>
      </c>
      <c r="C2" s="2">
        <f>IFERROR(__xludf.DUMMYFUNCTION("""COMPUTED_VALUE"""),45.72)</f>
        <v>45.72</v>
      </c>
    </row>
    <row r="3">
      <c r="A3" s="2" t="s">
        <v>3</v>
      </c>
      <c r="B3" s="3">
        <f>IFERROR(__xludf.DUMMYFUNCTION("""COMPUTED_VALUE"""),37631.645833333336)</f>
        <v>37631.64583</v>
      </c>
      <c r="C3" s="2">
        <f>IFERROR(__xludf.DUMMYFUNCTION("""COMPUTED_VALUE"""),48.96)</f>
        <v>48.96</v>
      </c>
    </row>
    <row r="4">
      <c r="A4" s="2" t="s">
        <v>4</v>
      </c>
      <c r="B4" s="3">
        <f>IFERROR(__xludf.DUMMYFUNCTION("""COMPUTED_VALUE"""),37638.645833333336)</f>
        <v>37638.64583</v>
      </c>
      <c r="C4" s="2">
        <f>IFERROR(__xludf.DUMMYFUNCTION("""COMPUTED_VALUE"""),45.57)</f>
        <v>45.57</v>
      </c>
    </row>
    <row r="5">
      <c r="A5" s="2" t="s">
        <v>5</v>
      </c>
      <c r="B5" s="3">
        <f>IFERROR(__xludf.DUMMYFUNCTION("""COMPUTED_VALUE"""),37645.645833333336)</f>
        <v>37645.64583</v>
      </c>
      <c r="C5" s="2">
        <f>IFERROR(__xludf.DUMMYFUNCTION("""COMPUTED_VALUE"""),48.67)</f>
        <v>48.67</v>
      </c>
    </row>
    <row r="6">
      <c r="A6" s="2" t="s">
        <v>6</v>
      </c>
      <c r="B6" s="3">
        <f>IFERROR(__xludf.DUMMYFUNCTION("""COMPUTED_VALUE"""),37652.645833333336)</f>
        <v>37652.64583</v>
      </c>
      <c r="C6" s="2">
        <f>IFERROR(__xludf.DUMMYFUNCTION("""COMPUTED_VALUE"""),48.24)</f>
        <v>48.24</v>
      </c>
    </row>
    <row r="7">
      <c r="A7" s="2" t="s">
        <v>7</v>
      </c>
      <c r="B7" s="3">
        <f>IFERROR(__xludf.DUMMYFUNCTION("""COMPUTED_VALUE"""),37659.645833333336)</f>
        <v>37659.64583</v>
      </c>
      <c r="C7" s="2">
        <f>IFERROR(__xludf.DUMMYFUNCTION("""COMPUTED_VALUE"""),49.39)</f>
        <v>49.39</v>
      </c>
    </row>
    <row r="8">
      <c r="A8" s="2" t="s">
        <v>8</v>
      </c>
      <c r="B8" s="3">
        <f>IFERROR(__xludf.DUMMYFUNCTION("""COMPUTED_VALUE"""),37666.645833333336)</f>
        <v>37666.64583</v>
      </c>
      <c r="C8" s="2">
        <f>IFERROR(__xludf.DUMMYFUNCTION("""COMPUTED_VALUE"""),49.38)</f>
        <v>49.38</v>
      </c>
    </row>
    <row r="9">
      <c r="A9" s="2" t="s">
        <v>10</v>
      </c>
      <c r="B9" s="3">
        <f>IFERROR(__xludf.DUMMYFUNCTION("""COMPUTED_VALUE"""),37673.645833333336)</f>
        <v>37673.64583</v>
      </c>
      <c r="C9" s="2">
        <f>IFERROR(__xludf.DUMMYFUNCTION("""COMPUTED_VALUE"""),49.68)</f>
        <v>49.68</v>
      </c>
    </row>
    <row r="10">
      <c r="A10" s="2" t="s">
        <v>11</v>
      </c>
      <c r="B10" s="3">
        <f>IFERROR(__xludf.DUMMYFUNCTION("""COMPUTED_VALUE"""),37680.645833333336)</f>
        <v>37680.64583</v>
      </c>
      <c r="C10" s="2">
        <f>IFERROR(__xludf.DUMMYFUNCTION("""COMPUTED_VALUE"""),52.04)</f>
        <v>52.04</v>
      </c>
    </row>
    <row r="11">
      <c r="A11" s="2" t="s">
        <v>12</v>
      </c>
      <c r="B11" s="3">
        <f>IFERROR(__xludf.DUMMYFUNCTION("""COMPUTED_VALUE"""),37687.645833333336)</f>
        <v>37687.64583</v>
      </c>
      <c r="C11" s="2">
        <f>IFERROR(__xludf.DUMMYFUNCTION("""COMPUTED_VALUE"""),50.33)</f>
        <v>50.33</v>
      </c>
    </row>
    <row r="12">
      <c r="A12" s="2" t="s">
        <v>13</v>
      </c>
      <c r="B12" s="3">
        <f>IFERROR(__xludf.DUMMYFUNCTION("""COMPUTED_VALUE"""),37693.645833333336)</f>
        <v>37693.64583</v>
      </c>
      <c r="C12" s="2">
        <f>IFERROR(__xludf.DUMMYFUNCTION("""COMPUTED_VALUE"""),48.66)</f>
        <v>48.66</v>
      </c>
    </row>
    <row r="13">
      <c r="A13" s="2" t="s">
        <v>14</v>
      </c>
      <c r="B13" s="3">
        <f>IFERROR(__xludf.DUMMYFUNCTION("""COMPUTED_VALUE"""),37708.645833333336)</f>
        <v>37708.64583</v>
      </c>
      <c r="C13" s="2">
        <f>IFERROR(__xludf.DUMMYFUNCTION("""COMPUTED_VALUE"""),48.96)</f>
        <v>48.96</v>
      </c>
    </row>
    <row r="14">
      <c r="A14" s="2" t="s">
        <v>15</v>
      </c>
      <c r="B14" s="3">
        <f>IFERROR(__xludf.DUMMYFUNCTION("""COMPUTED_VALUE"""),37715.645833333336)</f>
        <v>37715.64583</v>
      </c>
      <c r="C14" s="2">
        <f>IFERROR(__xludf.DUMMYFUNCTION("""COMPUTED_VALUE"""),50.11)</f>
        <v>50.11</v>
      </c>
    </row>
    <row r="15">
      <c r="A15" s="2" t="s">
        <v>17</v>
      </c>
      <c r="B15" s="3">
        <f>IFERROR(__xludf.DUMMYFUNCTION("""COMPUTED_VALUE"""),37722.645833333336)</f>
        <v>37722.64583</v>
      </c>
      <c r="C15" s="2">
        <f>IFERROR(__xludf.DUMMYFUNCTION("""COMPUTED_VALUE"""),49.75)</f>
        <v>49.75</v>
      </c>
    </row>
    <row r="16">
      <c r="A16" s="2" t="s">
        <v>18</v>
      </c>
      <c r="B16" s="3">
        <f>IFERROR(__xludf.DUMMYFUNCTION("""COMPUTED_VALUE"""),37728.645833333336)</f>
        <v>37728.64583</v>
      </c>
      <c r="C16" s="2">
        <f>IFERROR(__xludf.DUMMYFUNCTION("""COMPUTED_VALUE"""),49.35)</f>
        <v>49.35</v>
      </c>
    </row>
    <row r="17">
      <c r="A17" s="2" t="s">
        <v>19</v>
      </c>
      <c r="B17" s="3">
        <f>IFERROR(__xludf.DUMMYFUNCTION("""COMPUTED_VALUE"""),37736.645833333336)</f>
        <v>37736.64583</v>
      </c>
      <c r="C17" s="2">
        <f>IFERROR(__xludf.DUMMYFUNCTION("""COMPUTED_VALUE"""),51.74)</f>
        <v>51.74</v>
      </c>
    </row>
    <row r="18">
      <c r="B18" s="3">
        <f>IFERROR(__xludf.DUMMYFUNCTION("""COMPUTED_VALUE"""),37743.645833333336)</f>
        <v>37743.64583</v>
      </c>
      <c r="C18" s="2">
        <f>IFERROR(__xludf.DUMMYFUNCTION("""COMPUTED_VALUE"""),53.1)</f>
        <v>53.1</v>
      </c>
    </row>
    <row r="19">
      <c r="B19" s="3">
        <f>IFERROR(__xludf.DUMMYFUNCTION("""COMPUTED_VALUE"""),37750.645833333336)</f>
        <v>37750.64583</v>
      </c>
      <c r="C19" s="2">
        <f>IFERROR(__xludf.DUMMYFUNCTION("""COMPUTED_VALUE"""),52.77)</f>
        <v>52.77</v>
      </c>
    </row>
    <row r="20">
      <c r="B20" s="3">
        <f>IFERROR(__xludf.DUMMYFUNCTION("""COMPUTED_VALUE"""),37757.645833333336)</f>
        <v>37757.64583</v>
      </c>
      <c r="C20" s="2">
        <f>IFERROR(__xludf.DUMMYFUNCTION("""COMPUTED_VALUE"""),51.66)</f>
        <v>51.66</v>
      </c>
    </row>
    <row r="21" ht="15.75" customHeight="1">
      <c r="B21" s="3">
        <f>IFERROR(__xludf.DUMMYFUNCTION("""COMPUTED_VALUE"""),37764.645833333336)</f>
        <v>37764.64583</v>
      </c>
      <c r="C21" s="2">
        <f>IFERROR(__xludf.DUMMYFUNCTION("""COMPUTED_VALUE"""),56.0)</f>
        <v>56</v>
      </c>
    </row>
    <row r="22" ht="15.75" customHeight="1">
      <c r="B22" s="3">
        <f>IFERROR(__xludf.DUMMYFUNCTION("""COMPUTED_VALUE"""),37771.645833333336)</f>
        <v>37771.64583</v>
      </c>
      <c r="C22" s="2">
        <f>IFERROR(__xludf.DUMMYFUNCTION("""COMPUTED_VALUE"""),56.59)</f>
        <v>56.59</v>
      </c>
    </row>
    <row r="23" ht="15.75" customHeight="1">
      <c r="B23" s="3">
        <f>IFERROR(__xludf.DUMMYFUNCTION("""COMPUTED_VALUE"""),37778.645833333336)</f>
        <v>37778.64583</v>
      </c>
      <c r="C23" s="2">
        <f>IFERROR(__xludf.DUMMYFUNCTION("""COMPUTED_VALUE"""),58.3)</f>
        <v>58.3</v>
      </c>
    </row>
    <row r="24" ht="15.75" customHeight="1">
      <c r="B24" s="3">
        <f>IFERROR(__xludf.DUMMYFUNCTION("""COMPUTED_VALUE"""),37785.645833333336)</f>
        <v>37785.64583</v>
      </c>
      <c r="C24" s="2">
        <f>IFERROR(__xludf.DUMMYFUNCTION("""COMPUTED_VALUE"""),56.85)</f>
        <v>56.85</v>
      </c>
    </row>
    <row r="25" ht="15.75" customHeight="1">
      <c r="B25" s="3">
        <f>IFERROR(__xludf.DUMMYFUNCTION("""COMPUTED_VALUE"""),37792.645833333336)</f>
        <v>37792.64583</v>
      </c>
      <c r="C25" s="2">
        <f>IFERROR(__xludf.DUMMYFUNCTION("""COMPUTED_VALUE"""),68.83)</f>
        <v>68.83</v>
      </c>
    </row>
    <row r="26" ht="15.75" customHeight="1">
      <c r="B26" s="3">
        <f>IFERROR(__xludf.DUMMYFUNCTION("""COMPUTED_VALUE"""),37799.645833333336)</f>
        <v>37799.64583</v>
      </c>
      <c r="C26" s="2">
        <f>IFERROR(__xludf.DUMMYFUNCTION("""COMPUTED_VALUE"""),75.58)</f>
        <v>75.58</v>
      </c>
    </row>
    <row r="27" ht="15.75" customHeight="1">
      <c r="B27" s="3">
        <f>IFERROR(__xludf.DUMMYFUNCTION("""COMPUTED_VALUE"""),37806.645833333336)</f>
        <v>37806.64583</v>
      </c>
      <c r="C27" s="2">
        <f>IFERROR(__xludf.DUMMYFUNCTION("""COMPUTED_VALUE"""),74.16)</f>
        <v>74.16</v>
      </c>
    </row>
    <row r="28" ht="15.75" customHeight="1">
      <c r="B28" s="3">
        <f>IFERROR(__xludf.DUMMYFUNCTION("""COMPUTED_VALUE"""),37813.645833333336)</f>
        <v>37813.64583</v>
      </c>
      <c r="C28" s="2">
        <f>IFERROR(__xludf.DUMMYFUNCTION("""COMPUTED_VALUE"""),74.42)</f>
        <v>74.42</v>
      </c>
    </row>
    <row r="29" ht="15.75" customHeight="1">
      <c r="B29" s="3">
        <f>IFERROR(__xludf.DUMMYFUNCTION("""COMPUTED_VALUE"""),37820.645833333336)</f>
        <v>37820.64583</v>
      </c>
      <c r="C29" s="2">
        <f>IFERROR(__xludf.DUMMYFUNCTION("""COMPUTED_VALUE"""),76.46)</f>
        <v>76.46</v>
      </c>
    </row>
    <row r="30" ht="15.75" customHeight="1">
      <c r="B30" s="3">
        <f>IFERROR(__xludf.DUMMYFUNCTION("""COMPUTED_VALUE"""),37827.645833333336)</f>
        <v>37827.64583</v>
      </c>
      <c r="C30" s="2">
        <f>IFERROR(__xludf.DUMMYFUNCTION("""COMPUTED_VALUE"""),74.16)</f>
        <v>74.16</v>
      </c>
    </row>
    <row r="31" ht="15.75" customHeight="1">
      <c r="B31" s="3">
        <f>IFERROR(__xludf.DUMMYFUNCTION("""COMPUTED_VALUE"""),37834.645833333336)</f>
        <v>37834.64583</v>
      </c>
      <c r="C31" s="2">
        <f>IFERROR(__xludf.DUMMYFUNCTION("""COMPUTED_VALUE"""),82.21)</f>
        <v>82.21</v>
      </c>
    </row>
    <row r="32" ht="15.75" customHeight="1">
      <c r="B32" s="3">
        <f>IFERROR(__xludf.DUMMYFUNCTION("""COMPUTED_VALUE"""),37841.645833333336)</f>
        <v>37841.64583</v>
      </c>
      <c r="C32" s="2">
        <f>IFERROR(__xludf.DUMMYFUNCTION("""COMPUTED_VALUE"""),93.6)</f>
        <v>93.6</v>
      </c>
    </row>
    <row r="33" ht="15.75" customHeight="1">
      <c r="B33" s="3">
        <f>IFERROR(__xludf.DUMMYFUNCTION("""COMPUTED_VALUE"""),37847.645833333336)</f>
        <v>37847.64583</v>
      </c>
      <c r="C33" s="2">
        <f>IFERROR(__xludf.DUMMYFUNCTION("""COMPUTED_VALUE"""),89.62)</f>
        <v>89.62</v>
      </c>
    </row>
    <row r="34" ht="15.75" customHeight="1">
      <c r="B34" s="3">
        <f>IFERROR(__xludf.DUMMYFUNCTION("""COMPUTED_VALUE"""),37855.645833333336)</f>
        <v>37855.64583</v>
      </c>
      <c r="C34" s="2">
        <f>IFERROR(__xludf.DUMMYFUNCTION("""COMPUTED_VALUE"""),91.58)</f>
        <v>91.58</v>
      </c>
    </row>
    <row r="35" ht="15.75" customHeight="1">
      <c r="B35" s="3">
        <f>IFERROR(__xludf.DUMMYFUNCTION("""COMPUTED_VALUE"""),37862.645833333336)</f>
        <v>37862.64583</v>
      </c>
      <c r="C35" s="2">
        <f>IFERROR(__xludf.DUMMYFUNCTION("""COMPUTED_VALUE"""),91.08)</f>
        <v>91.08</v>
      </c>
    </row>
    <row r="36" ht="15.75" customHeight="1">
      <c r="B36" s="3">
        <f>IFERROR(__xludf.DUMMYFUNCTION("""COMPUTED_VALUE"""),37869.645833333336)</f>
        <v>37869.64583</v>
      </c>
      <c r="C36" s="2">
        <f>IFERROR(__xludf.DUMMYFUNCTION("""COMPUTED_VALUE"""),93.29)</f>
        <v>93.29</v>
      </c>
    </row>
    <row r="37" ht="15.75" customHeight="1">
      <c r="B37" s="3">
        <f>IFERROR(__xludf.DUMMYFUNCTION("""COMPUTED_VALUE"""),37876.645833333336)</f>
        <v>37876.64583</v>
      </c>
      <c r="C37" s="2">
        <f>IFERROR(__xludf.DUMMYFUNCTION("""COMPUTED_VALUE"""),93.08)</f>
        <v>93.08</v>
      </c>
    </row>
    <row r="38" ht="15.75" customHeight="1">
      <c r="B38" s="3">
        <f>IFERROR(__xludf.DUMMYFUNCTION("""COMPUTED_VALUE"""),37883.645833333336)</f>
        <v>37883.64583</v>
      </c>
      <c r="C38" s="2">
        <f>IFERROR(__xludf.DUMMYFUNCTION("""COMPUTED_VALUE"""),90.0)</f>
        <v>90</v>
      </c>
    </row>
    <row r="39" ht="15.75" customHeight="1">
      <c r="B39" s="3">
        <f>IFERROR(__xludf.DUMMYFUNCTION("""COMPUTED_VALUE"""),37890.645833333336)</f>
        <v>37890.64583</v>
      </c>
      <c r="C39" s="2">
        <f>IFERROR(__xludf.DUMMYFUNCTION("""COMPUTED_VALUE"""),92.52)</f>
        <v>92.52</v>
      </c>
    </row>
    <row r="40" ht="15.75" customHeight="1">
      <c r="B40" s="3">
        <f>IFERROR(__xludf.DUMMYFUNCTION("""COMPUTED_VALUE"""),37897.645833333336)</f>
        <v>37897.64583</v>
      </c>
      <c r="C40" s="2">
        <f>IFERROR(__xludf.DUMMYFUNCTION("""COMPUTED_VALUE"""),96.87)</f>
        <v>96.87</v>
      </c>
    </row>
    <row r="41" ht="15.75" customHeight="1">
      <c r="B41" s="3">
        <f>IFERROR(__xludf.DUMMYFUNCTION("""COMPUTED_VALUE"""),37904.645833333336)</f>
        <v>37904.64583</v>
      </c>
      <c r="C41" s="2">
        <f>IFERROR(__xludf.DUMMYFUNCTION("""COMPUTED_VALUE"""),106.12)</f>
        <v>106.12</v>
      </c>
    </row>
    <row r="42" ht="15.75" customHeight="1">
      <c r="B42" s="3">
        <f>IFERROR(__xludf.DUMMYFUNCTION("""COMPUTED_VALUE"""),37911.645833333336)</f>
        <v>37911.64583</v>
      </c>
      <c r="C42" s="2">
        <f>IFERROR(__xludf.DUMMYFUNCTION("""COMPUTED_VALUE"""),119.51)</f>
        <v>119.51</v>
      </c>
    </row>
    <row r="43" ht="15.75" customHeight="1">
      <c r="B43" s="3">
        <f>IFERROR(__xludf.DUMMYFUNCTION("""COMPUTED_VALUE"""),37925.645833333336)</f>
        <v>37925.64583</v>
      </c>
      <c r="C43" s="2">
        <f>IFERROR(__xludf.DUMMYFUNCTION("""COMPUTED_VALUE"""),124.99)</f>
        <v>124.99</v>
      </c>
    </row>
    <row r="44" ht="15.75" customHeight="1">
      <c r="B44" s="3">
        <f>IFERROR(__xludf.DUMMYFUNCTION("""COMPUTED_VALUE"""),37932.645833333336)</f>
        <v>37932.64583</v>
      </c>
      <c r="C44" s="2">
        <f>IFERROR(__xludf.DUMMYFUNCTION("""COMPUTED_VALUE"""),135.21)</f>
        <v>135.21</v>
      </c>
    </row>
    <row r="45" ht="15.75" customHeight="1">
      <c r="B45" s="3">
        <f>IFERROR(__xludf.DUMMYFUNCTION("""COMPUTED_VALUE"""),37946.645833333336)</f>
        <v>37946.64583</v>
      </c>
      <c r="C45" s="2">
        <f>IFERROR(__xludf.DUMMYFUNCTION("""COMPUTED_VALUE"""),132.29)</f>
        <v>132.29</v>
      </c>
    </row>
    <row r="46" ht="15.75" customHeight="1">
      <c r="B46" s="3">
        <f>IFERROR(__xludf.DUMMYFUNCTION("""COMPUTED_VALUE"""),37953.645833333336)</f>
        <v>37953.64583</v>
      </c>
      <c r="C46" s="2">
        <f>IFERROR(__xludf.DUMMYFUNCTION("""COMPUTED_VALUE"""),130.31)</f>
        <v>130.31</v>
      </c>
    </row>
    <row r="47" ht="15.75" customHeight="1">
      <c r="B47" s="3">
        <f>IFERROR(__xludf.DUMMYFUNCTION("""COMPUTED_VALUE"""),37960.645833333336)</f>
        <v>37960.64583</v>
      </c>
      <c r="C47" s="2">
        <f>IFERROR(__xludf.DUMMYFUNCTION("""COMPUTED_VALUE"""),133.9)</f>
        <v>133.9</v>
      </c>
    </row>
    <row r="48" ht="15.75" customHeight="1">
      <c r="B48" s="3">
        <f>IFERROR(__xludf.DUMMYFUNCTION("""COMPUTED_VALUE"""),37967.645833333336)</f>
        <v>37967.64583</v>
      </c>
      <c r="C48" s="2">
        <f>IFERROR(__xludf.DUMMYFUNCTION("""COMPUTED_VALUE"""),133.19)</f>
        <v>133.19</v>
      </c>
    </row>
    <row r="49" ht="15.75" customHeight="1">
      <c r="B49" s="3">
        <f>IFERROR(__xludf.DUMMYFUNCTION("""COMPUTED_VALUE"""),37974.645833333336)</f>
        <v>37974.64583</v>
      </c>
      <c r="C49" s="2">
        <f>IFERROR(__xludf.DUMMYFUNCTION("""COMPUTED_VALUE"""),141.83)</f>
        <v>141.83</v>
      </c>
    </row>
    <row r="50" ht="15.75" customHeight="1">
      <c r="B50" s="3">
        <f>IFERROR(__xludf.DUMMYFUNCTION("""COMPUTED_VALUE"""),37981.645833333336)</f>
        <v>37981.64583</v>
      </c>
      <c r="C50" s="2">
        <f>IFERROR(__xludf.DUMMYFUNCTION("""COMPUTED_VALUE"""),147.45)</f>
        <v>147.45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2" t="str">
        <f>IFERROR(__xludf.DUMMYFUNCTION("GOOGLEFINANCE(""NSE:GRASIM"", ""high"",DATE(2004,1,1),DATE(2005,1,1),""weekly"")"),"Date")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IFERROR(__xludf.DUMMYFUNCTION("""COMPUTED_VALUE"""),37988.645833333336)</f>
        <v>37988.64583</v>
      </c>
      <c r="C57" s="2">
        <f>IFERROR(__xludf.DUMMYFUNCTION("""COMPUTED_VALUE"""),153.21)</f>
        <v>153.21</v>
      </c>
    </row>
    <row r="58" ht="15.75" customHeight="1">
      <c r="B58" s="3">
        <f>IFERROR(__xludf.DUMMYFUNCTION("""COMPUTED_VALUE"""),37995.645833333336)</f>
        <v>37995.64583</v>
      </c>
      <c r="C58" s="2">
        <f>IFERROR(__xludf.DUMMYFUNCTION("""COMPUTED_VALUE"""),169.48)</f>
        <v>169.48</v>
      </c>
    </row>
    <row r="59" ht="15.75" customHeight="1">
      <c r="B59" s="3">
        <f>IFERROR(__xludf.DUMMYFUNCTION("""COMPUTED_VALUE"""),38002.645833333336)</f>
        <v>38002.64583</v>
      </c>
      <c r="C59" s="2">
        <f>IFERROR(__xludf.DUMMYFUNCTION("""COMPUTED_VALUE"""),173.22)</f>
        <v>173.22</v>
      </c>
    </row>
    <row r="60" ht="15.75" customHeight="1">
      <c r="B60" s="3">
        <f>IFERROR(__xludf.DUMMYFUNCTION("""COMPUTED_VALUE"""),38009.645833333336)</f>
        <v>38009.64583</v>
      </c>
      <c r="C60" s="2">
        <f>IFERROR(__xludf.DUMMYFUNCTION("""COMPUTED_VALUE"""),170.33)</f>
        <v>170.33</v>
      </c>
    </row>
    <row r="61" ht="15.75" customHeight="1">
      <c r="B61" s="3">
        <f>IFERROR(__xludf.DUMMYFUNCTION("""COMPUTED_VALUE"""),38016.645833333336)</f>
        <v>38016.64583</v>
      </c>
      <c r="C61" s="2">
        <f>IFERROR(__xludf.DUMMYFUNCTION("""COMPUTED_VALUE"""),169.05)</f>
        <v>169.05</v>
      </c>
    </row>
    <row r="62" ht="15.75" customHeight="1">
      <c r="B62" s="3">
        <f>IFERROR(__xludf.DUMMYFUNCTION("""COMPUTED_VALUE"""),38023.645833333336)</f>
        <v>38023.64583</v>
      </c>
      <c r="C62" s="2">
        <f>IFERROR(__xludf.DUMMYFUNCTION("""COMPUTED_VALUE"""),163.14)</f>
        <v>163.14</v>
      </c>
    </row>
    <row r="63" ht="15.75" customHeight="1">
      <c r="B63" s="3">
        <f>IFERROR(__xludf.DUMMYFUNCTION("""COMPUTED_VALUE"""),38030.645833333336)</f>
        <v>38030.64583</v>
      </c>
      <c r="C63" s="2">
        <f>IFERROR(__xludf.DUMMYFUNCTION("""COMPUTED_VALUE"""),167.46)</f>
        <v>167.46</v>
      </c>
    </row>
    <row r="64" ht="15.75" customHeight="1">
      <c r="B64" s="3">
        <f>IFERROR(__xludf.DUMMYFUNCTION("""COMPUTED_VALUE"""),38037.645833333336)</f>
        <v>38037.64583</v>
      </c>
      <c r="C64" s="2">
        <f>IFERROR(__xludf.DUMMYFUNCTION("""COMPUTED_VALUE"""),174.81)</f>
        <v>174.81</v>
      </c>
    </row>
    <row r="65" ht="15.75" customHeight="1">
      <c r="B65" s="3">
        <f>IFERROR(__xludf.DUMMYFUNCTION("""COMPUTED_VALUE"""),38044.645833333336)</f>
        <v>38044.64583</v>
      </c>
      <c r="C65" s="2">
        <f>IFERROR(__xludf.DUMMYFUNCTION("""COMPUTED_VALUE"""),166.13)</f>
        <v>166.13</v>
      </c>
    </row>
    <row r="66" ht="15.75" customHeight="1">
      <c r="B66" s="3">
        <f>IFERROR(__xludf.DUMMYFUNCTION("""COMPUTED_VALUE"""),38051.645833333336)</f>
        <v>38051.64583</v>
      </c>
      <c r="C66" s="2">
        <f>IFERROR(__xludf.DUMMYFUNCTION("""COMPUTED_VALUE"""),171.25)</f>
        <v>171.25</v>
      </c>
    </row>
    <row r="67" ht="15.75" customHeight="1">
      <c r="B67" s="3">
        <f>IFERROR(__xludf.DUMMYFUNCTION("""COMPUTED_VALUE"""),38058.645833333336)</f>
        <v>38058.64583</v>
      </c>
      <c r="C67" s="2">
        <f>IFERROR(__xludf.DUMMYFUNCTION("""COMPUTED_VALUE"""),177.82)</f>
        <v>177.82</v>
      </c>
    </row>
    <row r="68" ht="15.75" customHeight="1">
      <c r="B68" s="3">
        <f>IFERROR(__xludf.DUMMYFUNCTION("""COMPUTED_VALUE"""),38065.645833333336)</f>
        <v>38065.64583</v>
      </c>
      <c r="C68" s="2">
        <f>IFERROR(__xludf.DUMMYFUNCTION("""COMPUTED_VALUE"""),161.12)</f>
        <v>161.12</v>
      </c>
    </row>
    <row r="69" ht="15.75" customHeight="1">
      <c r="B69" s="3">
        <f>IFERROR(__xludf.DUMMYFUNCTION("""COMPUTED_VALUE"""),38072.645833333336)</f>
        <v>38072.64583</v>
      </c>
      <c r="C69" s="2">
        <f>IFERROR(__xludf.DUMMYFUNCTION("""COMPUTED_VALUE"""),151.48)</f>
        <v>151.48</v>
      </c>
    </row>
    <row r="70" ht="15.75" customHeight="1">
      <c r="B70" s="3">
        <f>IFERROR(__xludf.DUMMYFUNCTION("""COMPUTED_VALUE"""),38079.645833333336)</f>
        <v>38079.64583</v>
      </c>
      <c r="C70" s="2">
        <f>IFERROR(__xludf.DUMMYFUNCTION("""COMPUTED_VALUE"""),167.03)</f>
        <v>167.03</v>
      </c>
    </row>
    <row r="71" ht="15.75" customHeight="1">
      <c r="B71" s="3">
        <f>IFERROR(__xludf.DUMMYFUNCTION("""COMPUTED_VALUE"""),38085.645833333336)</f>
        <v>38085.64583</v>
      </c>
      <c r="C71" s="2">
        <f>IFERROR(__xludf.DUMMYFUNCTION("""COMPUTED_VALUE"""),168.75)</f>
        <v>168.75</v>
      </c>
    </row>
    <row r="72" ht="15.75" customHeight="1">
      <c r="B72" s="3">
        <f>IFERROR(__xludf.DUMMYFUNCTION("""COMPUTED_VALUE"""),38100.645833333336)</f>
        <v>38100.64583</v>
      </c>
      <c r="C72" s="2">
        <f>IFERROR(__xludf.DUMMYFUNCTION("""COMPUTED_VALUE"""),178.32)</f>
        <v>178.32</v>
      </c>
    </row>
    <row r="73" ht="15.75" customHeight="1">
      <c r="B73" s="3">
        <f>IFERROR(__xludf.DUMMYFUNCTION("""COMPUTED_VALUE"""),38107.645833333336)</f>
        <v>38107.64583</v>
      </c>
      <c r="C73" s="2">
        <f>IFERROR(__xludf.DUMMYFUNCTION("""COMPUTED_VALUE"""),181.14)</f>
        <v>181.14</v>
      </c>
    </row>
    <row r="74" ht="15.75" customHeight="1">
      <c r="B74" s="3">
        <f>IFERROR(__xludf.DUMMYFUNCTION("""COMPUTED_VALUE"""),38114.645833333336)</f>
        <v>38114.64583</v>
      </c>
      <c r="C74" s="2">
        <f>IFERROR(__xludf.DUMMYFUNCTION("""COMPUTED_VALUE"""),178.55)</f>
        <v>178.55</v>
      </c>
    </row>
    <row r="75" ht="15.75" customHeight="1">
      <c r="B75" s="3">
        <f>IFERROR(__xludf.DUMMYFUNCTION("""COMPUTED_VALUE"""),38121.645833333336)</f>
        <v>38121.64583</v>
      </c>
      <c r="C75" s="2">
        <f>IFERROR(__xludf.DUMMYFUNCTION("""COMPUTED_VALUE"""),189.68)</f>
        <v>189.68</v>
      </c>
    </row>
    <row r="76" ht="15.75" customHeight="1">
      <c r="B76" s="3">
        <f>IFERROR(__xludf.DUMMYFUNCTION("""COMPUTED_VALUE"""),38128.645833333336)</f>
        <v>38128.64583</v>
      </c>
      <c r="C76" s="2">
        <f>IFERROR(__xludf.DUMMYFUNCTION("""COMPUTED_VALUE"""),159.11)</f>
        <v>159.11</v>
      </c>
    </row>
    <row r="77" ht="15.75" customHeight="1">
      <c r="B77" s="3">
        <f>IFERROR(__xludf.DUMMYFUNCTION("""COMPUTED_VALUE"""),38135.645833333336)</f>
        <v>38135.64583</v>
      </c>
      <c r="C77" s="2">
        <f>IFERROR(__xludf.DUMMYFUNCTION("""COMPUTED_VALUE"""),162.06)</f>
        <v>162.06</v>
      </c>
    </row>
    <row r="78" ht="15.75" customHeight="1">
      <c r="B78" s="3">
        <f>IFERROR(__xludf.DUMMYFUNCTION("""COMPUTED_VALUE"""),38142.645833333336)</f>
        <v>38142.64583</v>
      </c>
      <c r="C78" s="2">
        <f>IFERROR(__xludf.DUMMYFUNCTION("""COMPUTED_VALUE"""),159.54)</f>
        <v>159.54</v>
      </c>
    </row>
    <row r="79" ht="15.75" customHeight="1">
      <c r="B79" s="3">
        <f>IFERROR(__xludf.DUMMYFUNCTION("""COMPUTED_VALUE"""),38149.645833333336)</f>
        <v>38149.64583</v>
      </c>
      <c r="C79" s="2">
        <f>IFERROR(__xludf.DUMMYFUNCTION("""COMPUTED_VALUE"""),156.94)</f>
        <v>156.94</v>
      </c>
    </row>
    <row r="80" ht="15.75" customHeight="1">
      <c r="B80" s="3">
        <f>IFERROR(__xludf.DUMMYFUNCTION("""COMPUTED_VALUE"""),38156.645833333336)</f>
        <v>38156.64583</v>
      </c>
      <c r="C80" s="2">
        <f>IFERROR(__xludf.DUMMYFUNCTION("""COMPUTED_VALUE"""),143.99)</f>
        <v>143.99</v>
      </c>
    </row>
    <row r="81" ht="15.75" customHeight="1">
      <c r="B81" s="3">
        <f>IFERROR(__xludf.DUMMYFUNCTION("""COMPUTED_VALUE"""),38163.645833333336)</f>
        <v>38163.64583</v>
      </c>
      <c r="C81" s="2">
        <f>IFERROR(__xludf.DUMMYFUNCTION("""COMPUTED_VALUE"""),137.08)</f>
        <v>137.08</v>
      </c>
    </row>
    <row r="82" ht="15.75" customHeight="1">
      <c r="B82" s="3">
        <f>IFERROR(__xludf.DUMMYFUNCTION("""COMPUTED_VALUE"""),38170.645833333336)</f>
        <v>38170.64583</v>
      </c>
      <c r="C82" s="2">
        <f>IFERROR(__xludf.DUMMYFUNCTION("""COMPUTED_VALUE"""),151.15)</f>
        <v>151.15</v>
      </c>
    </row>
    <row r="83" ht="15.75" customHeight="1">
      <c r="B83" s="3">
        <f>IFERROR(__xludf.DUMMYFUNCTION("""COMPUTED_VALUE"""),38177.645833333336)</f>
        <v>38177.64583</v>
      </c>
      <c r="C83" s="2">
        <f>IFERROR(__xludf.DUMMYFUNCTION("""COMPUTED_VALUE"""),153.07)</f>
        <v>153.07</v>
      </c>
    </row>
    <row r="84" ht="15.75" customHeight="1">
      <c r="B84" s="3">
        <f>IFERROR(__xludf.DUMMYFUNCTION("""COMPUTED_VALUE"""),38184.645833333336)</f>
        <v>38184.64583</v>
      </c>
      <c r="C84" s="2">
        <f>IFERROR(__xludf.DUMMYFUNCTION("""COMPUTED_VALUE"""),148.6)</f>
        <v>148.6</v>
      </c>
    </row>
    <row r="85" ht="15.75" customHeight="1">
      <c r="B85" s="3">
        <f>IFERROR(__xludf.DUMMYFUNCTION("""COMPUTED_VALUE"""),38191.645833333336)</f>
        <v>38191.64583</v>
      </c>
      <c r="C85" s="2">
        <f>IFERROR(__xludf.DUMMYFUNCTION("""COMPUTED_VALUE"""),142.12)</f>
        <v>142.12</v>
      </c>
    </row>
    <row r="86" ht="15.75" customHeight="1">
      <c r="B86" s="3">
        <f>IFERROR(__xludf.DUMMYFUNCTION("""COMPUTED_VALUE"""),38198.645833333336)</f>
        <v>38198.64583</v>
      </c>
      <c r="C86" s="2">
        <f>IFERROR(__xludf.DUMMYFUNCTION("""COMPUTED_VALUE"""),144.15)</f>
        <v>144.15</v>
      </c>
    </row>
    <row r="87" ht="15.75" customHeight="1">
      <c r="B87" s="3">
        <f>IFERROR(__xludf.DUMMYFUNCTION("""COMPUTED_VALUE"""),38205.645833333336)</f>
        <v>38205.64583</v>
      </c>
      <c r="C87" s="2">
        <f>IFERROR(__xludf.DUMMYFUNCTION("""COMPUTED_VALUE"""),151.19)</f>
        <v>151.19</v>
      </c>
    </row>
    <row r="88" ht="15.75" customHeight="1">
      <c r="B88" s="3">
        <f>IFERROR(__xludf.DUMMYFUNCTION("""COMPUTED_VALUE"""),38212.645833333336)</f>
        <v>38212.64583</v>
      </c>
      <c r="C88" s="2">
        <f>IFERROR(__xludf.DUMMYFUNCTION("""COMPUTED_VALUE"""),151.89)</f>
        <v>151.89</v>
      </c>
    </row>
    <row r="89" ht="15.75" customHeight="1">
      <c r="B89" s="3">
        <f>IFERROR(__xludf.DUMMYFUNCTION("""COMPUTED_VALUE"""),38219.645833333336)</f>
        <v>38219.64583</v>
      </c>
      <c r="C89" s="2">
        <f>IFERROR(__xludf.DUMMYFUNCTION("""COMPUTED_VALUE"""),155.8)</f>
        <v>155.8</v>
      </c>
    </row>
    <row r="90" ht="15.75" customHeight="1">
      <c r="B90" s="3">
        <f>IFERROR(__xludf.DUMMYFUNCTION("""COMPUTED_VALUE"""),38226.645833333336)</f>
        <v>38226.64583</v>
      </c>
      <c r="C90" s="2">
        <f>IFERROR(__xludf.DUMMYFUNCTION("""COMPUTED_VALUE"""),160.26)</f>
        <v>160.26</v>
      </c>
    </row>
    <row r="91" ht="15.75" customHeight="1">
      <c r="B91" s="3">
        <f>IFERROR(__xludf.DUMMYFUNCTION("""COMPUTED_VALUE"""),38233.645833333336)</f>
        <v>38233.64583</v>
      </c>
      <c r="C91" s="2">
        <f>IFERROR(__xludf.DUMMYFUNCTION("""COMPUTED_VALUE"""),166.6)</f>
        <v>166.6</v>
      </c>
    </row>
    <row r="92" ht="15.75" customHeight="1">
      <c r="B92" s="3">
        <f>IFERROR(__xludf.DUMMYFUNCTION("""COMPUTED_VALUE"""),38240.645833333336)</f>
        <v>38240.64583</v>
      </c>
      <c r="C92" s="2">
        <f>IFERROR(__xludf.DUMMYFUNCTION("""COMPUTED_VALUE"""),172.65)</f>
        <v>172.65</v>
      </c>
    </row>
    <row r="93" ht="15.75" customHeight="1">
      <c r="B93" s="3">
        <f>IFERROR(__xludf.DUMMYFUNCTION("""COMPUTED_VALUE"""),38247.645833333336)</f>
        <v>38247.64583</v>
      </c>
      <c r="C93" s="2">
        <f>IFERROR(__xludf.DUMMYFUNCTION("""COMPUTED_VALUE"""),174.24)</f>
        <v>174.24</v>
      </c>
    </row>
    <row r="94" ht="15.75" customHeight="1">
      <c r="B94" s="3">
        <f>IFERROR(__xludf.DUMMYFUNCTION("""COMPUTED_VALUE"""),38254.645833333336)</f>
        <v>38254.64583</v>
      </c>
      <c r="C94" s="2">
        <f>IFERROR(__xludf.DUMMYFUNCTION("""COMPUTED_VALUE"""),173.8)</f>
        <v>173.8</v>
      </c>
    </row>
    <row r="95" ht="15.75" customHeight="1">
      <c r="B95" s="3">
        <f>IFERROR(__xludf.DUMMYFUNCTION("""COMPUTED_VALUE"""),38261.645833333336)</f>
        <v>38261.64583</v>
      </c>
      <c r="C95" s="2">
        <f>IFERROR(__xludf.DUMMYFUNCTION("""COMPUTED_VALUE"""),167.72)</f>
        <v>167.72</v>
      </c>
    </row>
    <row r="96" ht="15.75" customHeight="1">
      <c r="B96" s="3">
        <f>IFERROR(__xludf.DUMMYFUNCTION("""COMPUTED_VALUE"""),38275.645833333336)</f>
        <v>38275.64583</v>
      </c>
      <c r="C96" s="2">
        <f>IFERROR(__xludf.DUMMYFUNCTION("""COMPUTED_VALUE"""),171.93)</f>
        <v>171.93</v>
      </c>
    </row>
    <row r="97" ht="15.75" customHeight="1">
      <c r="B97" s="3">
        <f>IFERROR(__xludf.DUMMYFUNCTION("""COMPUTED_VALUE"""),38281.645833333336)</f>
        <v>38281.64583</v>
      </c>
      <c r="C97" s="2">
        <f>IFERROR(__xludf.DUMMYFUNCTION("""COMPUTED_VALUE"""),165.74)</f>
        <v>165.74</v>
      </c>
    </row>
    <row r="98" ht="15.75" customHeight="1">
      <c r="B98" s="3">
        <f>IFERROR(__xludf.DUMMYFUNCTION("""COMPUTED_VALUE"""),38289.645833333336)</f>
        <v>38289.64583</v>
      </c>
      <c r="C98" s="2">
        <f>IFERROR(__xludf.DUMMYFUNCTION("""COMPUTED_VALUE"""),163.86)</f>
        <v>163.86</v>
      </c>
    </row>
    <row r="99" ht="15.75" customHeight="1">
      <c r="B99" s="3">
        <f>IFERROR(__xludf.DUMMYFUNCTION("""COMPUTED_VALUE"""),38296.645833333336)</f>
        <v>38296.64583</v>
      </c>
      <c r="C99" s="2">
        <f>IFERROR(__xludf.DUMMYFUNCTION("""COMPUTED_VALUE"""),167.74)</f>
        <v>167.74</v>
      </c>
    </row>
    <row r="100" ht="15.75" customHeight="1">
      <c r="B100" s="3">
        <f>IFERROR(__xludf.DUMMYFUNCTION("""COMPUTED_VALUE"""),38303.645833333336)</f>
        <v>38303.64583</v>
      </c>
      <c r="C100" s="2">
        <f>IFERROR(__xludf.DUMMYFUNCTION("""COMPUTED_VALUE"""),167.61)</f>
        <v>167.61</v>
      </c>
    </row>
    <row r="101" ht="15.75" customHeight="1">
      <c r="B101" s="3">
        <f>IFERROR(__xludf.DUMMYFUNCTION("""COMPUTED_VALUE"""),38310.645833333336)</f>
        <v>38310.64583</v>
      </c>
      <c r="C101" s="2">
        <f>IFERROR(__xludf.DUMMYFUNCTION("""COMPUTED_VALUE"""),165.45)</f>
        <v>165.45</v>
      </c>
    </row>
    <row r="102" ht="15.75" customHeight="1">
      <c r="B102" s="3">
        <f>IFERROR(__xludf.DUMMYFUNCTION("""COMPUTED_VALUE"""),38316.645833333336)</f>
        <v>38316.64583</v>
      </c>
      <c r="C102" s="2">
        <f>IFERROR(__xludf.DUMMYFUNCTION("""COMPUTED_VALUE"""),164.43)</f>
        <v>164.43</v>
      </c>
    </row>
    <row r="103" ht="15.75" customHeight="1">
      <c r="B103" s="3">
        <f>IFERROR(__xludf.DUMMYFUNCTION("""COMPUTED_VALUE"""),38324.645833333336)</f>
        <v>38324.64583</v>
      </c>
      <c r="C103" s="2">
        <f>IFERROR(__xludf.DUMMYFUNCTION("""COMPUTED_VALUE"""),171.64)</f>
        <v>171.64</v>
      </c>
    </row>
    <row r="104" ht="15.75" customHeight="1">
      <c r="B104" s="3">
        <f>IFERROR(__xludf.DUMMYFUNCTION("""COMPUTED_VALUE"""),38331.645833333336)</f>
        <v>38331.64583</v>
      </c>
      <c r="C104" s="2">
        <f>IFERROR(__xludf.DUMMYFUNCTION("""COMPUTED_VALUE"""),176.36)</f>
        <v>176.36</v>
      </c>
    </row>
    <row r="105" ht="15.75" customHeight="1">
      <c r="B105" s="3">
        <f>IFERROR(__xludf.DUMMYFUNCTION("""COMPUTED_VALUE"""),38338.645833333336)</f>
        <v>38338.64583</v>
      </c>
      <c r="C105" s="2">
        <f>IFERROR(__xludf.DUMMYFUNCTION("""COMPUTED_VALUE"""),184.02)</f>
        <v>184.02</v>
      </c>
    </row>
    <row r="106" ht="15.75" customHeight="1">
      <c r="B106" s="3">
        <f>IFERROR(__xludf.DUMMYFUNCTION("""COMPUTED_VALUE"""),38345.645833333336)</f>
        <v>38345.64583</v>
      </c>
      <c r="C106" s="2">
        <f>IFERROR(__xludf.DUMMYFUNCTION("""COMPUTED_VALUE"""),190.06)</f>
        <v>190.06</v>
      </c>
    </row>
    <row r="107" ht="15.75" customHeight="1">
      <c r="B107" s="3">
        <f>IFERROR(__xludf.DUMMYFUNCTION("""COMPUTED_VALUE"""),38352.645833333336)</f>
        <v>38352.64583</v>
      </c>
      <c r="C107" s="2">
        <f>IFERROR(__xludf.DUMMYFUNCTION("""COMPUTED_VALUE"""),191.08)</f>
        <v>191.08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IFERROR(__xludf.DUMMYFUNCTION("GOOGLEFINANCE(""NSE:GRASIM"", ""high"",DATE(2005,1,1),DATE(2006,1,1),""weekly"")"),"Date")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IFERROR(__xludf.DUMMYFUNCTION("""COMPUTED_VALUE"""),38359.645833333336)</f>
        <v>38359.64583</v>
      </c>
      <c r="C112" s="2">
        <f>IFERROR(__xludf.DUMMYFUNCTION("""COMPUTED_VALUE"""),195.25)</f>
        <v>195.25</v>
      </c>
    </row>
    <row r="113" ht="15.75" customHeight="1">
      <c r="B113" s="3">
        <f>IFERROR(__xludf.DUMMYFUNCTION("""COMPUTED_VALUE"""),38366.645833333336)</f>
        <v>38366.64583</v>
      </c>
      <c r="C113" s="2">
        <f>IFERROR(__xludf.DUMMYFUNCTION("""COMPUTED_VALUE"""),188.63)</f>
        <v>188.63</v>
      </c>
    </row>
    <row r="114" ht="15.75" customHeight="1">
      <c r="B114" s="3">
        <f>IFERROR(__xludf.DUMMYFUNCTION("""COMPUTED_VALUE"""),38372.645833333336)</f>
        <v>38372.64583</v>
      </c>
      <c r="C114" s="2">
        <f>IFERROR(__xludf.DUMMYFUNCTION("""COMPUTED_VALUE"""),187.08)</f>
        <v>187.08</v>
      </c>
    </row>
    <row r="115" ht="15.75" customHeight="1">
      <c r="B115" s="3">
        <f>IFERROR(__xludf.DUMMYFUNCTION("""COMPUTED_VALUE"""),38380.645833333336)</f>
        <v>38380.64583</v>
      </c>
      <c r="C115" s="2">
        <f>IFERROR(__xludf.DUMMYFUNCTION("""COMPUTED_VALUE"""),191.14)</f>
        <v>191.14</v>
      </c>
    </row>
    <row r="116" ht="15.75" customHeight="1">
      <c r="B116" s="3">
        <f>IFERROR(__xludf.DUMMYFUNCTION("""COMPUTED_VALUE"""),38387.645833333336)</f>
        <v>38387.64583</v>
      </c>
      <c r="C116" s="2">
        <f>IFERROR(__xludf.DUMMYFUNCTION("""COMPUTED_VALUE"""),196.98)</f>
        <v>196.98</v>
      </c>
    </row>
    <row r="117" ht="15.75" customHeight="1">
      <c r="B117" s="3">
        <f>IFERROR(__xludf.DUMMYFUNCTION("""COMPUTED_VALUE"""),38394.645833333336)</f>
        <v>38394.64583</v>
      </c>
      <c r="C117" s="2">
        <f>IFERROR(__xludf.DUMMYFUNCTION("""COMPUTED_VALUE"""),196.25)</f>
        <v>196.25</v>
      </c>
    </row>
    <row r="118" ht="15.75" customHeight="1">
      <c r="B118" s="3">
        <f>IFERROR(__xludf.DUMMYFUNCTION("""COMPUTED_VALUE"""),38401.645833333336)</f>
        <v>38401.64583</v>
      </c>
      <c r="C118" s="2">
        <f>IFERROR(__xludf.DUMMYFUNCTION("""COMPUTED_VALUE"""),199.86)</f>
        <v>199.86</v>
      </c>
    </row>
    <row r="119" ht="15.75" customHeight="1">
      <c r="B119" s="3">
        <f>IFERROR(__xludf.DUMMYFUNCTION("""COMPUTED_VALUE"""),38408.645833333336)</f>
        <v>38408.64583</v>
      </c>
      <c r="C119" s="2">
        <f>IFERROR(__xludf.DUMMYFUNCTION("""COMPUTED_VALUE"""),196.33)</f>
        <v>196.33</v>
      </c>
    </row>
    <row r="120" ht="15.75" customHeight="1">
      <c r="B120" s="3">
        <f>IFERROR(__xludf.DUMMYFUNCTION("""COMPUTED_VALUE"""),38415.645833333336)</f>
        <v>38415.64583</v>
      </c>
      <c r="C120" s="2">
        <f>IFERROR(__xludf.DUMMYFUNCTION("""COMPUTED_VALUE"""),197.99)</f>
        <v>197.99</v>
      </c>
    </row>
    <row r="121" ht="15.75" customHeight="1">
      <c r="B121" s="3">
        <f>IFERROR(__xludf.DUMMYFUNCTION("""COMPUTED_VALUE"""),38422.645833333336)</f>
        <v>38422.64583</v>
      </c>
      <c r="C121" s="2">
        <f>IFERROR(__xludf.DUMMYFUNCTION("""COMPUTED_VALUE"""),202.17)</f>
        <v>202.17</v>
      </c>
    </row>
    <row r="122" ht="15.75" customHeight="1">
      <c r="B122" s="3">
        <f>IFERROR(__xludf.DUMMYFUNCTION("""COMPUTED_VALUE"""),38429.645833333336)</f>
        <v>38429.64583</v>
      </c>
      <c r="C122" s="2">
        <f>IFERROR(__xludf.DUMMYFUNCTION("""COMPUTED_VALUE"""),198.42)</f>
        <v>198.42</v>
      </c>
    </row>
    <row r="123" ht="15.75" customHeight="1">
      <c r="B123" s="3">
        <f>IFERROR(__xludf.DUMMYFUNCTION("""COMPUTED_VALUE"""),38435.645833333336)</f>
        <v>38435.64583</v>
      </c>
      <c r="C123" s="2">
        <f>IFERROR(__xludf.DUMMYFUNCTION("""COMPUTED_VALUE"""),187.77)</f>
        <v>187.77</v>
      </c>
    </row>
    <row r="124" ht="15.75" customHeight="1">
      <c r="B124" s="3">
        <f>IFERROR(__xludf.DUMMYFUNCTION("""COMPUTED_VALUE"""),38443.645833333336)</f>
        <v>38443.64583</v>
      </c>
      <c r="C124" s="2">
        <f>IFERROR(__xludf.DUMMYFUNCTION("""COMPUTED_VALUE"""),179.91)</f>
        <v>179.91</v>
      </c>
    </row>
    <row r="125" ht="15.75" customHeight="1">
      <c r="B125" s="3">
        <f>IFERROR(__xludf.DUMMYFUNCTION("""COMPUTED_VALUE"""),38450.645833333336)</f>
        <v>38450.64583</v>
      </c>
      <c r="C125" s="2">
        <f>IFERROR(__xludf.DUMMYFUNCTION("""COMPUTED_VALUE"""),179.26)</f>
        <v>179.26</v>
      </c>
    </row>
    <row r="126" ht="15.75" customHeight="1">
      <c r="B126" s="3">
        <f>IFERROR(__xludf.DUMMYFUNCTION("""COMPUTED_VALUE"""),38457.645833333336)</f>
        <v>38457.64583</v>
      </c>
      <c r="C126" s="2">
        <f>IFERROR(__xludf.DUMMYFUNCTION("""COMPUTED_VALUE"""),179.99)</f>
        <v>179.99</v>
      </c>
    </row>
    <row r="127" ht="15.75" customHeight="1">
      <c r="B127" s="3">
        <f>IFERROR(__xludf.DUMMYFUNCTION("""COMPUTED_VALUE"""),38464.645833333336)</f>
        <v>38464.64583</v>
      </c>
      <c r="C127" s="2">
        <f>IFERROR(__xludf.DUMMYFUNCTION("""COMPUTED_VALUE"""),188.85)</f>
        <v>188.85</v>
      </c>
    </row>
    <row r="128" ht="15.75" customHeight="1">
      <c r="B128" s="3">
        <f>IFERROR(__xludf.DUMMYFUNCTION("""COMPUTED_VALUE"""),38471.645833333336)</f>
        <v>38471.64583</v>
      </c>
      <c r="C128" s="2">
        <f>IFERROR(__xludf.DUMMYFUNCTION("""COMPUTED_VALUE"""),176.67)</f>
        <v>176.67</v>
      </c>
    </row>
    <row r="129" ht="15.75" customHeight="1">
      <c r="B129" s="3">
        <f>IFERROR(__xludf.DUMMYFUNCTION("""COMPUTED_VALUE"""),38478.645833333336)</f>
        <v>38478.64583</v>
      </c>
      <c r="C129" s="2">
        <f>IFERROR(__xludf.DUMMYFUNCTION("""COMPUTED_VALUE"""),168.33)</f>
        <v>168.33</v>
      </c>
    </row>
    <row r="130" ht="15.75" customHeight="1">
      <c r="B130" s="3">
        <f>IFERROR(__xludf.DUMMYFUNCTION("""COMPUTED_VALUE"""),38485.645833333336)</f>
        <v>38485.64583</v>
      </c>
      <c r="C130" s="2">
        <f>IFERROR(__xludf.DUMMYFUNCTION("""COMPUTED_VALUE"""),167.61)</f>
        <v>167.61</v>
      </c>
    </row>
    <row r="131" ht="15.75" customHeight="1">
      <c r="B131" s="3">
        <f>IFERROR(__xludf.DUMMYFUNCTION("""COMPUTED_VALUE"""),38492.645833333336)</f>
        <v>38492.64583</v>
      </c>
      <c r="C131" s="2">
        <f>IFERROR(__xludf.DUMMYFUNCTION("""COMPUTED_VALUE"""),165.58)</f>
        <v>165.58</v>
      </c>
    </row>
    <row r="132" ht="15.75" customHeight="1">
      <c r="B132" s="3">
        <f>IFERROR(__xludf.DUMMYFUNCTION("""COMPUTED_VALUE"""),38499.645833333336)</f>
        <v>38499.64583</v>
      </c>
      <c r="C132" s="2">
        <f>IFERROR(__xludf.DUMMYFUNCTION("""COMPUTED_VALUE"""),165.29)</f>
        <v>165.29</v>
      </c>
    </row>
    <row r="133" ht="15.75" customHeight="1">
      <c r="B133" s="3">
        <f>IFERROR(__xludf.DUMMYFUNCTION("""COMPUTED_VALUE"""),38513.645833333336)</f>
        <v>38513.64583</v>
      </c>
      <c r="C133" s="2">
        <f>IFERROR(__xludf.DUMMYFUNCTION("""COMPUTED_VALUE"""),161.56)</f>
        <v>161.56</v>
      </c>
    </row>
    <row r="134" ht="15.75" customHeight="1">
      <c r="B134" s="3">
        <f>IFERROR(__xludf.DUMMYFUNCTION("""COMPUTED_VALUE"""),38520.645833333336)</f>
        <v>38520.64583</v>
      </c>
      <c r="C134" s="2">
        <f>IFERROR(__xludf.DUMMYFUNCTION("""COMPUTED_VALUE"""),163.86)</f>
        <v>163.86</v>
      </c>
    </row>
    <row r="135" ht="15.75" customHeight="1">
      <c r="B135" s="3">
        <f>IFERROR(__xludf.DUMMYFUNCTION("""COMPUTED_VALUE"""),38527.645833333336)</f>
        <v>38527.64583</v>
      </c>
      <c r="C135" s="2">
        <f>IFERROR(__xludf.DUMMYFUNCTION("""COMPUTED_VALUE"""),159.83)</f>
        <v>159.83</v>
      </c>
    </row>
    <row r="136" ht="15.75" customHeight="1">
      <c r="B136" s="3">
        <f>IFERROR(__xludf.DUMMYFUNCTION("""COMPUTED_VALUE"""),38534.645833333336)</f>
        <v>38534.64583</v>
      </c>
      <c r="C136" s="2">
        <f>IFERROR(__xludf.DUMMYFUNCTION("""COMPUTED_VALUE"""),160.55)</f>
        <v>160.55</v>
      </c>
    </row>
    <row r="137" ht="15.75" customHeight="1">
      <c r="B137" s="3">
        <f>IFERROR(__xludf.DUMMYFUNCTION("""COMPUTED_VALUE"""),38541.645833333336)</f>
        <v>38541.64583</v>
      </c>
      <c r="C137" s="2">
        <f>IFERROR(__xludf.DUMMYFUNCTION("""COMPUTED_VALUE"""),156.69)</f>
        <v>156.69</v>
      </c>
    </row>
    <row r="138" ht="15.75" customHeight="1">
      <c r="B138" s="3">
        <f>IFERROR(__xludf.DUMMYFUNCTION("""COMPUTED_VALUE"""),38548.645833333336)</f>
        <v>38548.64583</v>
      </c>
      <c r="C138" s="2">
        <f>IFERROR(__xludf.DUMMYFUNCTION("""COMPUTED_VALUE"""),159.4)</f>
        <v>159.4</v>
      </c>
    </row>
    <row r="139" ht="15.75" customHeight="1">
      <c r="B139" s="3">
        <f>IFERROR(__xludf.DUMMYFUNCTION("""COMPUTED_VALUE"""),38555.645833333336)</f>
        <v>38555.64583</v>
      </c>
      <c r="C139" s="2">
        <f>IFERROR(__xludf.DUMMYFUNCTION("""COMPUTED_VALUE"""),171.35)</f>
        <v>171.35</v>
      </c>
    </row>
    <row r="140" ht="15.75" customHeight="1">
      <c r="B140" s="3">
        <f>IFERROR(__xludf.DUMMYFUNCTION("""COMPUTED_VALUE"""),38562.645833333336)</f>
        <v>38562.64583</v>
      </c>
      <c r="C140" s="2">
        <f>IFERROR(__xludf.DUMMYFUNCTION("""COMPUTED_VALUE"""),179.27)</f>
        <v>179.27</v>
      </c>
    </row>
    <row r="141" ht="15.75" customHeight="1">
      <c r="B141" s="3">
        <f>IFERROR(__xludf.DUMMYFUNCTION("""COMPUTED_VALUE"""),38569.645833333336)</f>
        <v>38569.64583</v>
      </c>
      <c r="C141" s="2">
        <f>IFERROR(__xludf.DUMMYFUNCTION("""COMPUTED_VALUE"""),179.69)</f>
        <v>179.69</v>
      </c>
    </row>
    <row r="142" ht="15.75" customHeight="1">
      <c r="B142" s="3">
        <f>IFERROR(__xludf.DUMMYFUNCTION("""COMPUTED_VALUE"""),38576.645833333336)</f>
        <v>38576.64583</v>
      </c>
      <c r="C142" s="2">
        <f>IFERROR(__xludf.DUMMYFUNCTION("""COMPUTED_VALUE"""),195.65)</f>
        <v>195.65</v>
      </c>
    </row>
    <row r="143" ht="15.75" customHeight="1">
      <c r="B143" s="3">
        <f>IFERROR(__xludf.DUMMYFUNCTION("""COMPUTED_VALUE"""),38583.645833333336)</f>
        <v>38583.64583</v>
      </c>
      <c r="C143" s="2">
        <f>IFERROR(__xludf.DUMMYFUNCTION("""COMPUTED_VALUE"""),190.63)</f>
        <v>190.63</v>
      </c>
    </row>
    <row r="144" ht="15.75" customHeight="1">
      <c r="B144" s="3">
        <f>IFERROR(__xludf.DUMMYFUNCTION("""COMPUTED_VALUE"""),38590.645833333336)</f>
        <v>38590.64583</v>
      </c>
      <c r="C144" s="2">
        <f>IFERROR(__xludf.DUMMYFUNCTION("""COMPUTED_VALUE"""),191.29)</f>
        <v>191.29</v>
      </c>
    </row>
    <row r="145" ht="15.75" customHeight="1">
      <c r="B145" s="3">
        <f>IFERROR(__xludf.DUMMYFUNCTION("""COMPUTED_VALUE"""),38597.645833333336)</f>
        <v>38597.64583</v>
      </c>
      <c r="C145" s="2">
        <f>IFERROR(__xludf.DUMMYFUNCTION("""COMPUTED_VALUE"""),190.36)</f>
        <v>190.36</v>
      </c>
    </row>
    <row r="146" ht="15.75" customHeight="1">
      <c r="B146" s="3">
        <f>IFERROR(__xludf.DUMMYFUNCTION("""COMPUTED_VALUE"""),38604.645833333336)</f>
        <v>38604.64583</v>
      </c>
      <c r="C146" s="2">
        <f>IFERROR(__xludf.DUMMYFUNCTION("""COMPUTED_VALUE"""),189.64)</f>
        <v>189.64</v>
      </c>
    </row>
    <row r="147" ht="15.75" customHeight="1">
      <c r="B147" s="3">
        <f>IFERROR(__xludf.DUMMYFUNCTION("""COMPUTED_VALUE"""),38611.645833333336)</f>
        <v>38611.64583</v>
      </c>
      <c r="C147" s="2">
        <f>IFERROR(__xludf.DUMMYFUNCTION("""COMPUTED_VALUE"""),203.75)</f>
        <v>203.75</v>
      </c>
    </row>
    <row r="148" ht="15.75" customHeight="1">
      <c r="B148" s="3">
        <f>IFERROR(__xludf.DUMMYFUNCTION("""COMPUTED_VALUE"""),38618.645833333336)</f>
        <v>38618.64583</v>
      </c>
      <c r="C148" s="2">
        <f>IFERROR(__xludf.DUMMYFUNCTION("""COMPUTED_VALUE"""),201.3)</f>
        <v>201.3</v>
      </c>
    </row>
    <row r="149" ht="15.75" customHeight="1">
      <c r="B149" s="3">
        <f>IFERROR(__xludf.DUMMYFUNCTION("""COMPUTED_VALUE"""),38625.645833333336)</f>
        <v>38625.64583</v>
      </c>
      <c r="C149" s="2">
        <f>IFERROR(__xludf.DUMMYFUNCTION("""COMPUTED_VALUE"""),198.57)</f>
        <v>198.57</v>
      </c>
    </row>
    <row r="150" ht="15.75" customHeight="1">
      <c r="B150" s="3">
        <f>IFERROR(__xludf.DUMMYFUNCTION("""COMPUTED_VALUE"""),38632.645833333336)</f>
        <v>38632.64583</v>
      </c>
      <c r="C150" s="2">
        <f>IFERROR(__xludf.DUMMYFUNCTION("""COMPUTED_VALUE"""),197.27)</f>
        <v>197.27</v>
      </c>
    </row>
    <row r="151" ht="15.75" customHeight="1">
      <c r="B151" s="3">
        <f>IFERROR(__xludf.DUMMYFUNCTION("""COMPUTED_VALUE"""),38639.645833333336)</f>
        <v>38639.64583</v>
      </c>
      <c r="C151" s="2">
        <f>IFERROR(__xludf.DUMMYFUNCTION("""COMPUTED_VALUE"""),190.65)</f>
        <v>190.65</v>
      </c>
    </row>
    <row r="152" ht="15.75" customHeight="1">
      <c r="B152" s="3">
        <f>IFERROR(__xludf.DUMMYFUNCTION("""COMPUTED_VALUE"""),38646.645833333336)</f>
        <v>38646.64583</v>
      </c>
      <c r="C152" s="2">
        <f>IFERROR(__xludf.DUMMYFUNCTION("""COMPUTED_VALUE"""),177.11)</f>
        <v>177.11</v>
      </c>
    </row>
    <row r="153" ht="15.75" customHeight="1">
      <c r="B153" s="3">
        <f>IFERROR(__xludf.DUMMYFUNCTION("""COMPUTED_VALUE"""),38653.645833333336)</f>
        <v>38653.64583</v>
      </c>
      <c r="C153" s="2">
        <f>IFERROR(__xludf.DUMMYFUNCTION("""COMPUTED_VALUE"""),167.75)</f>
        <v>167.75</v>
      </c>
    </row>
    <row r="154" ht="15.75" customHeight="1">
      <c r="B154" s="3">
        <f>IFERROR(__xludf.DUMMYFUNCTION("""COMPUTED_VALUE"""),38658.645833333336)</f>
        <v>38658.64583</v>
      </c>
      <c r="C154" s="2">
        <f>IFERROR(__xludf.DUMMYFUNCTION("""COMPUTED_VALUE"""),170.63)</f>
        <v>170.63</v>
      </c>
    </row>
    <row r="155" ht="15.75" customHeight="1">
      <c r="B155" s="3">
        <f>IFERROR(__xludf.DUMMYFUNCTION("""COMPUTED_VALUE"""),38667.645833333336)</f>
        <v>38667.64583</v>
      </c>
      <c r="C155" s="2">
        <f>IFERROR(__xludf.DUMMYFUNCTION("""COMPUTED_VALUE"""),182.84)</f>
        <v>182.84</v>
      </c>
    </row>
    <row r="156" ht="15.75" customHeight="1">
      <c r="B156" s="3">
        <f>IFERROR(__xludf.DUMMYFUNCTION("""COMPUTED_VALUE"""),38674.645833333336)</f>
        <v>38674.64583</v>
      </c>
      <c r="C156" s="2">
        <f>IFERROR(__xludf.DUMMYFUNCTION("""COMPUTED_VALUE"""),186.38)</f>
        <v>186.38</v>
      </c>
    </row>
    <row r="157" ht="15.75" customHeight="1">
      <c r="B157" s="3">
        <f>IFERROR(__xludf.DUMMYFUNCTION("""COMPUTED_VALUE"""),38688.645833333336)</f>
        <v>38688.64583</v>
      </c>
      <c r="C157" s="2">
        <f>IFERROR(__xludf.DUMMYFUNCTION("""COMPUTED_VALUE"""),208.07)</f>
        <v>208.07</v>
      </c>
    </row>
    <row r="158" ht="15.75" customHeight="1">
      <c r="B158" s="3">
        <f>IFERROR(__xludf.DUMMYFUNCTION("""COMPUTED_VALUE"""),38695.645833333336)</f>
        <v>38695.64583</v>
      </c>
      <c r="C158" s="2">
        <f>IFERROR(__xludf.DUMMYFUNCTION("""COMPUTED_VALUE"""),206.65)</f>
        <v>206.65</v>
      </c>
    </row>
    <row r="159" ht="15.75" customHeight="1">
      <c r="B159" s="3">
        <f>IFERROR(__xludf.DUMMYFUNCTION("""COMPUTED_VALUE"""),38702.645833333336)</f>
        <v>38702.64583</v>
      </c>
      <c r="C159" s="2">
        <f>IFERROR(__xludf.DUMMYFUNCTION("""COMPUTED_VALUE"""),205.05)</f>
        <v>205.05</v>
      </c>
    </row>
    <row r="160" ht="15.75" customHeight="1">
      <c r="B160" s="3">
        <f>IFERROR(__xludf.DUMMYFUNCTION("""COMPUTED_VALUE"""),38709.645833333336)</f>
        <v>38709.64583</v>
      </c>
      <c r="C160" s="2">
        <f>IFERROR(__xludf.DUMMYFUNCTION("""COMPUTED_VALUE"""),201.41)</f>
        <v>201.41</v>
      </c>
    </row>
    <row r="161" ht="15.75" customHeight="1">
      <c r="B161" s="3">
        <f>IFERROR(__xludf.DUMMYFUNCTION("""COMPUTED_VALUE"""),38716.645833333336)</f>
        <v>38716.64583</v>
      </c>
      <c r="C161" s="2">
        <f>IFERROR(__xludf.DUMMYFUNCTION("""COMPUTED_VALUE"""),201.73)</f>
        <v>201.73</v>
      </c>
    </row>
    <row r="162" ht="15.75" customHeight="1"/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IFERROR(__xludf.DUMMYFUNCTION("GOOGLEFINANCE(""NSE:GRASIM"", ""high"",DATE(2006,1,1),DATE(2007,1,1),""weekly"")"),"Date")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IFERROR(__xludf.DUMMYFUNCTION("""COMPUTED_VALUE"""),38723.645833333336)</f>
        <v>38723.64583</v>
      </c>
      <c r="C167" s="2">
        <f>IFERROR(__xludf.DUMMYFUNCTION("""COMPUTED_VALUE"""),213.83)</f>
        <v>213.83</v>
      </c>
    </row>
    <row r="168" ht="15.75" customHeight="1">
      <c r="B168" s="3">
        <f>IFERROR(__xludf.DUMMYFUNCTION("""COMPUTED_VALUE"""),38730.645833333336)</f>
        <v>38730.64583</v>
      </c>
      <c r="C168" s="2">
        <f>IFERROR(__xludf.DUMMYFUNCTION("""COMPUTED_VALUE"""),213.11)</f>
        <v>213.11</v>
      </c>
    </row>
    <row r="169" ht="15.75" customHeight="1">
      <c r="B169" s="3">
        <f>IFERROR(__xludf.DUMMYFUNCTION("""COMPUTED_VALUE"""),38737.645833333336)</f>
        <v>38737.64583</v>
      </c>
      <c r="C169" s="2">
        <f>IFERROR(__xludf.DUMMYFUNCTION("""COMPUTED_VALUE"""),212.39)</f>
        <v>212.39</v>
      </c>
    </row>
    <row r="170" ht="15.75" customHeight="1">
      <c r="B170" s="3">
        <f>IFERROR(__xludf.DUMMYFUNCTION("""COMPUTED_VALUE"""),38744.645833333336)</f>
        <v>38744.64583</v>
      </c>
      <c r="C170" s="2">
        <f>IFERROR(__xludf.DUMMYFUNCTION("""COMPUTED_VALUE"""),210.23)</f>
        <v>210.23</v>
      </c>
    </row>
    <row r="171" ht="15.75" customHeight="1">
      <c r="B171" s="3">
        <f>IFERROR(__xludf.DUMMYFUNCTION("""COMPUTED_VALUE"""),38751.645833333336)</f>
        <v>38751.64583</v>
      </c>
      <c r="C171" s="2">
        <f>IFERROR(__xludf.DUMMYFUNCTION("""COMPUTED_VALUE"""),222.61)</f>
        <v>222.61</v>
      </c>
    </row>
    <row r="172" ht="15.75" customHeight="1">
      <c r="B172" s="3">
        <f>IFERROR(__xludf.DUMMYFUNCTION("""COMPUTED_VALUE"""),38758.645833333336)</f>
        <v>38758.64583</v>
      </c>
      <c r="C172" s="2">
        <f>IFERROR(__xludf.DUMMYFUNCTION("""COMPUTED_VALUE"""),228.19)</f>
        <v>228.19</v>
      </c>
    </row>
    <row r="173" ht="15.75" customHeight="1">
      <c r="B173" s="3">
        <f>IFERROR(__xludf.DUMMYFUNCTION("""COMPUTED_VALUE"""),38765.645833333336)</f>
        <v>38765.64583</v>
      </c>
      <c r="C173" s="2">
        <f>IFERROR(__xludf.DUMMYFUNCTION("""COMPUTED_VALUE"""),248.24)</f>
        <v>248.24</v>
      </c>
    </row>
    <row r="174" ht="15.75" customHeight="1">
      <c r="B174" s="3">
        <f>IFERROR(__xludf.DUMMYFUNCTION("""COMPUTED_VALUE"""),38772.645833333336)</f>
        <v>38772.64583</v>
      </c>
      <c r="C174" s="2">
        <f>IFERROR(__xludf.DUMMYFUNCTION("""COMPUTED_VALUE"""),243.28)</f>
        <v>243.28</v>
      </c>
    </row>
    <row r="175" ht="15.75" customHeight="1">
      <c r="B175" s="3">
        <f>IFERROR(__xludf.DUMMYFUNCTION("""COMPUTED_VALUE"""),38779.645833333336)</f>
        <v>38779.64583</v>
      </c>
      <c r="C175" s="2">
        <f>IFERROR(__xludf.DUMMYFUNCTION("""COMPUTED_VALUE"""),266.75)</f>
        <v>266.75</v>
      </c>
    </row>
    <row r="176" ht="15.75" customHeight="1">
      <c r="B176" s="3">
        <f>IFERROR(__xludf.DUMMYFUNCTION("""COMPUTED_VALUE"""),38786.645833333336)</f>
        <v>38786.64583</v>
      </c>
      <c r="C176" s="2">
        <f>IFERROR(__xludf.DUMMYFUNCTION("""COMPUTED_VALUE"""),278.61)</f>
        <v>278.61</v>
      </c>
    </row>
    <row r="177" ht="15.75" customHeight="1">
      <c r="B177" s="3">
        <f>IFERROR(__xludf.DUMMYFUNCTION("""COMPUTED_VALUE"""),38793.645833333336)</f>
        <v>38793.64583</v>
      </c>
      <c r="C177" s="2">
        <f>IFERROR(__xludf.DUMMYFUNCTION("""COMPUTED_VALUE"""),281.08)</f>
        <v>281.08</v>
      </c>
    </row>
    <row r="178" ht="15.75" customHeight="1">
      <c r="B178" s="3">
        <f>IFERROR(__xludf.DUMMYFUNCTION("""COMPUTED_VALUE"""),38800.645833333336)</f>
        <v>38800.64583</v>
      </c>
      <c r="C178" s="2">
        <f>IFERROR(__xludf.DUMMYFUNCTION("""COMPUTED_VALUE"""),290.72)</f>
        <v>290.72</v>
      </c>
    </row>
    <row r="179" ht="15.75" customHeight="1">
      <c r="B179" s="3">
        <f>IFERROR(__xludf.DUMMYFUNCTION("""COMPUTED_VALUE"""),38807.645833333336)</f>
        <v>38807.64583</v>
      </c>
      <c r="C179" s="2">
        <f>IFERROR(__xludf.DUMMYFUNCTION("""COMPUTED_VALUE"""),299.36)</f>
        <v>299.36</v>
      </c>
    </row>
    <row r="180" ht="15.75" customHeight="1">
      <c r="B180" s="3">
        <f>IFERROR(__xludf.DUMMYFUNCTION("""COMPUTED_VALUE"""),38814.645833333336)</f>
        <v>38814.64583</v>
      </c>
      <c r="C180" s="2">
        <f>IFERROR(__xludf.DUMMYFUNCTION("""COMPUTED_VALUE"""),327.56)</f>
        <v>327.56</v>
      </c>
    </row>
    <row r="181" ht="15.75" customHeight="1">
      <c r="B181" s="3">
        <f>IFERROR(__xludf.DUMMYFUNCTION("""COMPUTED_VALUE"""),38820.645833333336)</f>
        <v>38820.64583</v>
      </c>
      <c r="C181" s="2">
        <f>IFERROR(__xludf.DUMMYFUNCTION("""COMPUTED_VALUE"""),335.79)</f>
        <v>335.79</v>
      </c>
    </row>
    <row r="182" ht="15.75" customHeight="1">
      <c r="B182" s="3">
        <f>IFERROR(__xludf.DUMMYFUNCTION("""COMPUTED_VALUE"""),38828.645833333336)</f>
        <v>38828.64583</v>
      </c>
      <c r="C182" s="2">
        <f>IFERROR(__xludf.DUMMYFUNCTION("""COMPUTED_VALUE"""),349.9)</f>
        <v>349.9</v>
      </c>
    </row>
    <row r="183" ht="15.75" customHeight="1">
      <c r="B183" s="3">
        <f>IFERROR(__xludf.DUMMYFUNCTION("""COMPUTED_VALUE"""),38842.645833333336)</f>
        <v>38842.64583</v>
      </c>
      <c r="C183" s="2">
        <f>IFERROR(__xludf.DUMMYFUNCTION("""COMPUTED_VALUE"""),375.68)</f>
        <v>375.68</v>
      </c>
    </row>
    <row r="184" ht="15.75" customHeight="1">
      <c r="B184" s="3">
        <f>IFERROR(__xludf.DUMMYFUNCTION("""COMPUTED_VALUE"""),38849.645833333336)</f>
        <v>38849.64583</v>
      </c>
      <c r="C184" s="2">
        <f>IFERROR(__xludf.DUMMYFUNCTION("""COMPUTED_VALUE"""),356.24)</f>
        <v>356.24</v>
      </c>
    </row>
    <row r="185" ht="15.75" customHeight="1">
      <c r="B185" s="3">
        <f>IFERROR(__xludf.DUMMYFUNCTION("""COMPUTED_VALUE"""),38856.645833333336)</f>
        <v>38856.64583</v>
      </c>
      <c r="C185" s="2">
        <f>IFERROR(__xludf.DUMMYFUNCTION("""COMPUTED_VALUE"""),324.69)</f>
        <v>324.69</v>
      </c>
    </row>
    <row r="186" ht="15.75" customHeight="1">
      <c r="B186" s="3">
        <f>IFERROR(__xludf.DUMMYFUNCTION("""COMPUTED_VALUE"""),38863.645833333336)</f>
        <v>38863.64583</v>
      </c>
      <c r="C186" s="2">
        <f>IFERROR(__xludf.DUMMYFUNCTION("""COMPUTED_VALUE"""),289.43)</f>
        <v>289.43</v>
      </c>
    </row>
    <row r="187" ht="15.75" customHeight="1">
      <c r="B187" s="3">
        <f>IFERROR(__xludf.DUMMYFUNCTION("""COMPUTED_VALUE"""),38870.645833333336)</f>
        <v>38870.64583</v>
      </c>
      <c r="C187" s="2">
        <f>IFERROR(__xludf.DUMMYFUNCTION("""COMPUTED_VALUE"""),286.55)</f>
        <v>286.55</v>
      </c>
    </row>
    <row r="188" ht="15.75" customHeight="1">
      <c r="B188" s="3">
        <f>IFERROR(__xludf.DUMMYFUNCTION("""COMPUTED_VALUE"""),38877.645833333336)</f>
        <v>38877.64583</v>
      </c>
      <c r="C188" s="2">
        <f>IFERROR(__xludf.DUMMYFUNCTION("""COMPUTED_VALUE"""),263.51)</f>
        <v>263.51</v>
      </c>
    </row>
    <row r="189" ht="15.75" customHeight="1">
      <c r="B189" s="3">
        <f>IFERROR(__xludf.DUMMYFUNCTION("""COMPUTED_VALUE"""),38884.645833333336)</f>
        <v>38884.64583</v>
      </c>
      <c r="C189" s="2">
        <f>IFERROR(__xludf.DUMMYFUNCTION("""COMPUTED_VALUE"""),274.45)</f>
        <v>274.45</v>
      </c>
    </row>
    <row r="190" ht="15.75" customHeight="1">
      <c r="B190" s="3">
        <f>IFERROR(__xludf.DUMMYFUNCTION("""COMPUTED_VALUE"""),38891.645833333336)</f>
        <v>38891.64583</v>
      </c>
      <c r="C190" s="2">
        <f>IFERROR(__xludf.DUMMYFUNCTION("""COMPUTED_VALUE"""),271.99)</f>
        <v>271.99</v>
      </c>
    </row>
    <row r="191" ht="15.75" customHeight="1">
      <c r="B191" s="3">
        <f>IFERROR(__xludf.DUMMYFUNCTION("""COMPUTED_VALUE"""),38898.645833333336)</f>
        <v>38898.64583</v>
      </c>
      <c r="C191" s="2">
        <f>IFERROR(__xludf.DUMMYFUNCTION("""COMPUTED_VALUE"""),280.93)</f>
        <v>280.93</v>
      </c>
    </row>
    <row r="192" ht="15.75" customHeight="1">
      <c r="B192" s="3">
        <f>IFERROR(__xludf.DUMMYFUNCTION("""COMPUTED_VALUE"""),38905.645833333336)</f>
        <v>38905.64583</v>
      </c>
      <c r="C192" s="2">
        <f>IFERROR(__xludf.DUMMYFUNCTION("""COMPUTED_VALUE"""),287.69)</f>
        <v>287.69</v>
      </c>
    </row>
    <row r="193" ht="15.75" customHeight="1">
      <c r="B193" s="3">
        <f>IFERROR(__xludf.DUMMYFUNCTION("""COMPUTED_VALUE"""),38912.645833333336)</f>
        <v>38912.64583</v>
      </c>
      <c r="C193" s="2">
        <f>IFERROR(__xludf.DUMMYFUNCTION("""COMPUTED_VALUE"""),296.19)</f>
        <v>296.19</v>
      </c>
    </row>
    <row r="194" ht="15.75" customHeight="1">
      <c r="B194" s="3">
        <f>IFERROR(__xludf.DUMMYFUNCTION("""COMPUTED_VALUE"""),38919.645833333336)</f>
        <v>38919.64583</v>
      </c>
      <c r="C194" s="2">
        <f>IFERROR(__xludf.DUMMYFUNCTION("""COMPUTED_VALUE"""),287.81)</f>
        <v>287.81</v>
      </c>
    </row>
    <row r="195" ht="15.75" customHeight="1">
      <c r="B195" s="3">
        <f>IFERROR(__xludf.DUMMYFUNCTION("""COMPUTED_VALUE"""),38926.645833333336)</f>
        <v>38926.64583</v>
      </c>
      <c r="C195" s="2">
        <f>IFERROR(__xludf.DUMMYFUNCTION("""COMPUTED_VALUE"""),308.87)</f>
        <v>308.87</v>
      </c>
    </row>
    <row r="196" ht="15.75" customHeight="1">
      <c r="B196" s="3">
        <f>IFERROR(__xludf.DUMMYFUNCTION("""COMPUTED_VALUE"""),38933.645833333336)</f>
        <v>38933.64583</v>
      </c>
      <c r="C196" s="2">
        <f>IFERROR(__xludf.DUMMYFUNCTION("""COMPUTED_VALUE"""),311.46)</f>
        <v>311.46</v>
      </c>
    </row>
    <row r="197" ht="15.75" customHeight="1">
      <c r="B197" s="3">
        <f>IFERROR(__xludf.DUMMYFUNCTION("""COMPUTED_VALUE"""),38940.645833333336)</f>
        <v>38940.64583</v>
      </c>
      <c r="C197" s="2">
        <f>IFERROR(__xludf.DUMMYFUNCTION("""COMPUTED_VALUE"""),318.23)</f>
        <v>318.23</v>
      </c>
    </row>
    <row r="198" ht="15.75" customHeight="1">
      <c r="B198" s="3">
        <f>IFERROR(__xludf.DUMMYFUNCTION("""COMPUTED_VALUE"""),38947.645833333336)</f>
        <v>38947.64583</v>
      </c>
      <c r="C198" s="2">
        <f>IFERROR(__xludf.DUMMYFUNCTION("""COMPUTED_VALUE"""),322.11)</f>
        <v>322.11</v>
      </c>
    </row>
    <row r="199" ht="15.75" customHeight="1">
      <c r="B199" s="3">
        <f>IFERROR(__xludf.DUMMYFUNCTION("""COMPUTED_VALUE"""),38954.645833333336)</f>
        <v>38954.64583</v>
      </c>
      <c r="C199" s="2">
        <f>IFERROR(__xludf.DUMMYFUNCTION("""COMPUTED_VALUE"""),325.28)</f>
        <v>325.28</v>
      </c>
    </row>
    <row r="200" ht="15.75" customHeight="1">
      <c r="B200" s="3">
        <f>IFERROR(__xludf.DUMMYFUNCTION("""COMPUTED_VALUE"""),38961.645833333336)</f>
        <v>38961.64583</v>
      </c>
      <c r="C200" s="2">
        <f>IFERROR(__xludf.DUMMYFUNCTION("""COMPUTED_VALUE"""),331.04)</f>
        <v>331.04</v>
      </c>
    </row>
    <row r="201" ht="15.75" customHeight="1">
      <c r="B201" s="3">
        <f>IFERROR(__xludf.DUMMYFUNCTION("""COMPUTED_VALUE"""),38968.645833333336)</f>
        <v>38968.64583</v>
      </c>
      <c r="C201" s="2">
        <f>IFERROR(__xludf.DUMMYFUNCTION("""COMPUTED_VALUE"""),338.24)</f>
        <v>338.24</v>
      </c>
    </row>
    <row r="202" ht="15.75" customHeight="1">
      <c r="B202" s="3">
        <f>IFERROR(__xludf.DUMMYFUNCTION("""COMPUTED_VALUE"""),38975.645833333336)</f>
        <v>38975.64583</v>
      </c>
      <c r="C202" s="2">
        <f>IFERROR(__xludf.DUMMYFUNCTION("""COMPUTED_VALUE"""),359.55)</f>
        <v>359.55</v>
      </c>
    </row>
    <row r="203" ht="15.75" customHeight="1">
      <c r="B203" s="3">
        <f>IFERROR(__xludf.DUMMYFUNCTION("""COMPUTED_VALUE"""),38982.645833333336)</f>
        <v>38982.64583</v>
      </c>
      <c r="C203" s="2">
        <f>IFERROR(__xludf.DUMMYFUNCTION("""COMPUTED_VALUE"""),365.46)</f>
        <v>365.46</v>
      </c>
    </row>
    <row r="204" ht="15.75" customHeight="1">
      <c r="B204" s="3">
        <f>IFERROR(__xludf.DUMMYFUNCTION("""COMPUTED_VALUE"""),38989.645833333336)</f>
        <v>38989.64583</v>
      </c>
      <c r="C204" s="2">
        <f>IFERROR(__xludf.DUMMYFUNCTION("""COMPUTED_VALUE"""),366.38)</f>
        <v>366.38</v>
      </c>
    </row>
    <row r="205" ht="15.75" customHeight="1">
      <c r="B205" s="3">
        <f>IFERROR(__xludf.DUMMYFUNCTION("""COMPUTED_VALUE"""),38996.645833333336)</f>
        <v>38996.64583</v>
      </c>
      <c r="C205" s="2">
        <f>IFERROR(__xludf.DUMMYFUNCTION("""COMPUTED_VALUE"""),372.22)</f>
        <v>372.22</v>
      </c>
    </row>
    <row r="206" ht="15.75" customHeight="1">
      <c r="B206" s="3">
        <f>IFERROR(__xludf.DUMMYFUNCTION("""COMPUTED_VALUE"""),39003.645833333336)</f>
        <v>39003.64583</v>
      </c>
      <c r="C206" s="2">
        <f>IFERROR(__xludf.DUMMYFUNCTION("""COMPUTED_VALUE"""),388.06)</f>
        <v>388.06</v>
      </c>
    </row>
    <row r="207" ht="15.75" customHeight="1">
      <c r="B207" s="3">
        <f>IFERROR(__xludf.DUMMYFUNCTION("""COMPUTED_VALUE"""),39017.645833333336)</f>
        <v>39017.64583</v>
      </c>
      <c r="C207" s="2">
        <f>IFERROR(__xludf.DUMMYFUNCTION("""COMPUTED_VALUE"""),394.83)</f>
        <v>394.83</v>
      </c>
    </row>
    <row r="208" ht="15.75" customHeight="1">
      <c r="B208" s="3">
        <f>IFERROR(__xludf.DUMMYFUNCTION("""COMPUTED_VALUE"""),39024.645833333336)</f>
        <v>39024.64583</v>
      </c>
      <c r="C208" s="2">
        <f>IFERROR(__xludf.DUMMYFUNCTION("""COMPUTED_VALUE"""),404.91)</f>
        <v>404.91</v>
      </c>
    </row>
    <row r="209" ht="15.75" customHeight="1">
      <c r="B209" s="3">
        <f>IFERROR(__xludf.DUMMYFUNCTION("""COMPUTED_VALUE"""),39031.645833333336)</f>
        <v>39031.64583</v>
      </c>
      <c r="C209" s="2">
        <f>IFERROR(__xludf.DUMMYFUNCTION("""COMPUTED_VALUE"""),406.05)</f>
        <v>406.05</v>
      </c>
    </row>
    <row r="210" ht="15.75" customHeight="1">
      <c r="B210" s="3">
        <f>IFERROR(__xludf.DUMMYFUNCTION("""COMPUTED_VALUE"""),39038.645833333336)</f>
        <v>39038.64583</v>
      </c>
      <c r="C210" s="2">
        <f>IFERROR(__xludf.DUMMYFUNCTION("""COMPUTED_VALUE"""),398.83)</f>
        <v>398.83</v>
      </c>
    </row>
    <row r="211" ht="15.75" customHeight="1">
      <c r="B211" s="3">
        <f>IFERROR(__xludf.DUMMYFUNCTION("""COMPUTED_VALUE"""),39045.645833333336)</f>
        <v>39045.64583</v>
      </c>
      <c r="C211" s="2">
        <f>IFERROR(__xludf.DUMMYFUNCTION("""COMPUTED_VALUE"""),391.37)</f>
        <v>391.37</v>
      </c>
    </row>
    <row r="212" ht="15.75" customHeight="1">
      <c r="B212" s="3">
        <f>IFERROR(__xludf.DUMMYFUNCTION("""COMPUTED_VALUE"""),39052.645833333336)</f>
        <v>39052.64583</v>
      </c>
      <c r="C212" s="2">
        <f>IFERROR(__xludf.DUMMYFUNCTION("""COMPUTED_VALUE"""),405.9)</f>
        <v>405.9</v>
      </c>
    </row>
    <row r="213" ht="15.75" customHeight="1">
      <c r="B213" s="3">
        <f>IFERROR(__xludf.DUMMYFUNCTION("""COMPUTED_VALUE"""),39059.645833333336)</f>
        <v>39059.64583</v>
      </c>
      <c r="C213" s="2">
        <f>IFERROR(__xludf.DUMMYFUNCTION("""COMPUTED_VALUE"""),404.62)</f>
        <v>404.62</v>
      </c>
    </row>
    <row r="214" ht="15.75" customHeight="1">
      <c r="B214" s="3">
        <f>IFERROR(__xludf.DUMMYFUNCTION("""COMPUTED_VALUE"""),39066.645833333336)</f>
        <v>39066.64583</v>
      </c>
      <c r="C214" s="2">
        <f>IFERROR(__xludf.DUMMYFUNCTION("""COMPUTED_VALUE"""),399.58)</f>
        <v>399.58</v>
      </c>
    </row>
    <row r="215" ht="15.75" customHeight="1">
      <c r="B215" s="3">
        <f>IFERROR(__xludf.DUMMYFUNCTION("""COMPUTED_VALUE"""),39073.645833333336)</f>
        <v>39073.64583</v>
      </c>
      <c r="C215" s="2">
        <f>IFERROR(__xludf.DUMMYFUNCTION("""COMPUTED_VALUE"""),399.58)</f>
        <v>399.58</v>
      </c>
    </row>
    <row r="216" ht="15.75" customHeight="1">
      <c r="B216" s="3">
        <f>IFERROR(__xludf.DUMMYFUNCTION("""COMPUTED_VALUE"""),39080.645833333336)</f>
        <v>39080.64583</v>
      </c>
      <c r="C216" s="2">
        <f>IFERROR(__xludf.DUMMYFUNCTION("""COMPUTED_VALUE"""),408.22)</f>
        <v>408.22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IFERROR(__xludf.DUMMYFUNCTION("GOOGLEFINANCE(""NSE:GRASIM"", ""high"",DATE(2007,1,1),DATE(2008,1,1),""weekly"")"),"Date")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IFERROR(__xludf.DUMMYFUNCTION("""COMPUTED_VALUE"""),39087.645833333336)</f>
        <v>39087.64583</v>
      </c>
      <c r="C222" s="2">
        <f>IFERROR(__xludf.DUMMYFUNCTION("""COMPUTED_VALUE"""),411.1)</f>
        <v>411.1</v>
      </c>
    </row>
    <row r="223" ht="15.75" customHeight="1">
      <c r="B223" s="3">
        <f>IFERROR(__xludf.DUMMYFUNCTION("""COMPUTED_VALUE"""),39094.645833333336)</f>
        <v>39094.64583</v>
      </c>
      <c r="C223" s="2">
        <f>IFERROR(__xludf.DUMMYFUNCTION("""COMPUTED_VALUE"""),411.53)</f>
        <v>411.53</v>
      </c>
    </row>
    <row r="224" ht="15.75" customHeight="1">
      <c r="B224" s="3">
        <f>IFERROR(__xludf.DUMMYFUNCTION("""COMPUTED_VALUE"""),39101.645833333336)</f>
        <v>39101.64583</v>
      </c>
      <c r="C224" s="2">
        <f>IFERROR(__xludf.DUMMYFUNCTION("""COMPUTED_VALUE"""),418.45)</f>
        <v>418.45</v>
      </c>
    </row>
    <row r="225" ht="15.75" customHeight="1">
      <c r="B225" s="3">
        <f>IFERROR(__xludf.DUMMYFUNCTION("""COMPUTED_VALUE"""),39107.645833333336)</f>
        <v>39107.64583</v>
      </c>
      <c r="C225" s="2">
        <f>IFERROR(__xludf.DUMMYFUNCTION("""COMPUTED_VALUE"""),423.34)</f>
        <v>423.34</v>
      </c>
    </row>
    <row r="226" ht="15.75" customHeight="1">
      <c r="B226" s="3">
        <f>IFERROR(__xludf.DUMMYFUNCTION("""COMPUTED_VALUE"""),39115.645833333336)</f>
        <v>39115.64583</v>
      </c>
      <c r="C226" s="2">
        <f>IFERROR(__xludf.DUMMYFUNCTION("""COMPUTED_VALUE"""),411.1)</f>
        <v>411.1</v>
      </c>
    </row>
    <row r="227" ht="15.75" customHeight="1">
      <c r="B227" s="3">
        <f>IFERROR(__xludf.DUMMYFUNCTION("""COMPUTED_VALUE"""),39122.645833333336)</f>
        <v>39122.64583</v>
      </c>
      <c r="C227" s="2">
        <f>IFERROR(__xludf.DUMMYFUNCTION("""COMPUTED_VALUE"""),416.85)</f>
        <v>416.85</v>
      </c>
    </row>
    <row r="228" ht="15.75" customHeight="1">
      <c r="B228" s="3">
        <f>IFERROR(__xludf.DUMMYFUNCTION("""COMPUTED_VALUE"""),39128.645833333336)</f>
        <v>39128.64583</v>
      </c>
      <c r="C228" s="2">
        <f>IFERROR(__xludf.DUMMYFUNCTION("""COMPUTED_VALUE"""),411.79)</f>
        <v>411.79</v>
      </c>
    </row>
    <row r="229" ht="15.75" customHeight="1">
      <c r="B229" s="3">
        <f>IFERROR(__xludf.DUMMYFUNCTION("""COMPUTED_VALUE"""),39136.645833333336)</f>
        <v>39136.64583</v>
      </c>
      <c r="C229" s="2">
        <f>IFERROR(__xludf.DUMMYFUNCTION("""COMPUTED_VALUE"""),388.06)</f>
        <v>388.06</v>
      </c>
    </row>
    <row r="230" ht="15.75" customHeight="1">
      <c r="B230" s="3">
        <f>IFERROR(__xludf.DUMMYFUNCTION("""COMPUTED_VALUE"""),39143.645833333336)</f>
        <v>39143.64583</v>
      </c>
      <c r="C230" s="2">
        <f>IFERROR(__xludf.DUMMYFUNCTION("""COMPUTED_VALUE"""),345.37)</f>
        <v>345.37</v>
      </c>
    </row>
    <row r="231" ht="15.75" customHeight="1">
      <c r="B231" s="3">
        <f>IFERROR(__xludf.DUMMYFUNCTION("""COMPUTED_VALUE"""),39150.645833333336)</f>
        <v>39150.64583</v>
      </c>
      <c r="C231" s="2">
        <f>IFERROR(__xludf.DUMMYFUNCTION("""COMPUTED_VALUE"""),334.07)</f>
        <v>334.07</v>
      </c>
    </row>
    <row r="232" ht="15.75" customHeight="1">
      <c r="B232" s="3">
        <f>IFERROR(__xludf.DUMMYFUNCTION("""COMPUTED_VALUE"""),39157.645833333336)</f>
        <v>39157.64583</v>
      </c>
      <c r="C232" s="2">
        <f>IFERROR(__xludf.DUMMYFUNCTION("""COMPUTED_VALUE"""),306.99)</f>
        <v>306.99</v>
      </c>
    </row>
    <row r="233" ht="15.75" customHeight="1">
      <c r="B233" s="3">
        <f>IFERROR(__xludf.DUMMYFUNCTION("""COMPUTED_VALUE"""),39164.645833333336)</f>
        <v>39164.64583</v>
      </c>
      <c r="C233" s="2">
        <f>IFERROR(__xludf.DUMMYFUNCTION("""COMPUTED_VALUE"""),308.72)</f>
        <v>308.72</v>
      </c>
    </row>
    <row r="234" ht="15.75" customHeight="1">
      <c r="B234" s="3">
        <f>IFERROR(__xludf.DUMMYFUNCTION("""COMPUTED_VALUE"""),39171.645833333336)</f>
        <v>39171.64583</v>
      </c>
      <c r="C234" s="2">
        <f>IFERROR(__xludf.DUMMYFUNCTION("""COMPUTED_VALUE"""),303.68)</f>
        <v>303.68</v>
      </c>
    </row>
    <row r="235" ht="15.75" customHeight="1">
      <c r="B235" s="3">
        <f>IFERROR(__xludf.DUMMYFUNCTION("""COMPUTED_VALUE"""),39177.645833333336)</f>
        <v>39177.64583</v>
      </c>
      <c r="C235" s="2">
        <f>IFERROR(__xludf.DUMMYFUNCTION("""COMPUTED_VALUE"""),305.84)</f>
        <v>305.84</v>
      </c>
    </row>
    <row r="236" ht="15.75" customHeight="1">
      <c r="B236" s="3">
        <f>IFERROR(__xludf.DUMMYFUNCTION("""COMPUTED_VALUE"""),39185.645833333336)</f>
        <v>39185.64583</v>
      </c>
      <c r="C236" s="2">
        <f>IFERROR(__xludf.DUMMYFUNCTION("""COMPUTED_VALUE"""),330.9)</f>
        <v>330.9</v>
      </c>
    </row>
    <row r="237" ht="15.75" customHeight="1">
      <c r="B237" s="3">
        <f>IFERROR(__xludf.DUMMYFUNCTION("""COMPUTED_VALUE"""),39192.645833333336)</f>
        <v>39192.64583</v>
      </c>
      <c r="C237" s="2">
        <f>IFERROR(__xludf.DUMMYFUNCTION("""COMPUTED_VALUE"""),348.75)</f>
        <v>348.75</v>
      </c>
    </row>
    <row r="238" ht="15.75" customHeight="1">
      <c r="B238" s="3">
        <f>IFERROR(__xludf.DUMMYFUNCTION("""COMPUTED_VALUE"""),39199.645833333336)</f>
        <v>39199.64583</v>
      </c>
      <c r="C238" s="2">
        <f>IFERROR(__xludf.DUMMYFUNCTION("""COMPUTED_VALUE"""),367.18)</f>
        <v>367.18</v>
      </c>
    </row>
    <row r="239" ht="15.75" customHeight="1">
      <c r="B239" s="3">
        <f>IFERROR(__xludf.DUMMYFUNCTION("""COMPUTED_VALUE"""),39206.645833333336)</f>
        <v>39206.64583</v>
      </c>
      <c r="C239" s="2">
        <f>IFERROR(__xludf.DUMMYFUNCTION("""COMPUTED_VALUE"""),371.5)</f>
        <v>371.5</v>
      </c>
    </row>
    <row r="240" ht="15.75" customHeight="1">
      <c r="B240" s="3">
        <f>IFERROR(__xludf.DUMMYFUNCTION("""COMPUTED_VALUE"""),39213.645833333336)</f>
        <v>39213.64583</v>
      </c>
      <c r="C240" s="2">
        <f>IFERROR(__xludf.DUMMYFUNCTION("""COMPUTED_VALUE"""),363.44)</f>
        <v>363.44</v>
      </c>
    </row>
    <row r="241" ht="15.75" customHeight="1">
      <c r="B241" s="3">
        <f>IFERROR(__xludf.DUMMYFUNCTION("""COMPUTED_VALUE"""),39220.645833333336)</f>
        <v>39220.64583</v>
      </c>
      <c r="C241" s="2">
        <f>IFERROR(__xludf.DUMMYFUNCTION("""COMPUTED_VALUE"""),368.91)</f>
        <v>368.91</v>
      </c>
    </row>
    <row r="242" ht="15.75" customHeight="1">
      <c r="B242" s="3">
        <f>IFERROR(__xludf.DUMMYFUNCTION("""COMPUTED_VALUE"""),39227.645833333336)</f>
        <v>39227.64583</v>
      </c>
      <c r="C242" s="2">
        <f>IFERROR(__xludf.DUMMYFUNCTION("""COMPUTED_VALUE"""),367.18)</f>
        <v>367.18</v>
      </c>
    </row>
    <row r="243" ht="15.75" customHeight="1">
      <c r="B243" s="3">
        <f>IFERROR(__xludf.DUMMYFUNCTION("""COMPUTED_VALUE"""),39234.645833333336)</f>
        <v>39234.64583</v>
      </c>
      <c r="C243" s="2">
        <f>IFERROR(__xludf.DUMMYFUNCTION("""COMPUTED_VALUE"""),365.72)</f>
        <v>365.72</v>
      </c>
    </row>
    <row r="244" ht="15.75" customHeight="1">
      <c r="B244" s="3">
        <f>IFERROR(__xludf.DUMMYFUNCTION("""COMPUTED_VALUE"""),39241.645833333336)</f>
        <v>39241.64583</v>
      </c>
      <c r="C244" s="2">
        <f>IFERROR(__xludf.DUMMYFUNCTION("""COMPUTED_VALUE"""),366.39)</f>
        <v>366.39</v>
      </c>
    </row>
    <row r="245" ht="15.75" customHeight="1">
      <c r="B245" s="3">
        <f>IFERROR(__xludf.DUMMYFUNCTION("""COMPUTED_VALUE"""),39248.645833333336)</f>
        <v>39248.64583</v>
      </c>
      <c r="C245" s="2">
        <f>IFERROR(__xludf.DUMMYFUNCTION("""COMPUTED_VALUE"""),352.78)</f>
        <v>352.78</v>
      </c>
    </row>
    <row r="246" ht="15.75" customHeight="1">
      <c r="B246" s="3">
        <f>IFERROR(__xludf.DUMMYFUNCTION("""COMPUTED_VALUE"""),39255.645833333336)</f>
        <v>39255.64583</v>
      </c>
      <c r="C246" s="2">
        <f>IFERROR(__xludf.DUMMYFUNCTION("""COMPUTED_VALUE"""),367.04)</f>
        <v>367.04</v>
      </c>
    </row>
    <row r="247" ht="15.75" customHeight="1">
      <c r="B247" s="3">
        <f>IFERROR(__xludf.DUMMYFUNCTION("""COMPUTED_VALUE"""),39262.645833333336)</f>
        <v>39262.64583</v>
      </c>
      <c r="C247" s="2">
        <f>IFERROR(__xludf.DUMMYFUNCTION("""COMPUTED_VALUE"""),385.18)</f>
        <v>385.18</v>
      </c>
    </row>
    <row r="248" ht="15.75" customHeight="1">
      <c r="B248" s="3">
        <f>IFERROR(__xludf.DUMMYFUNCTION("""COMPUTED_VALUE"""),39269.645833333336)</f>
        <v>39269.64583</v>
      </c>
      <c r="C248" s="2">
        <f>IFERROR(__xludf.DUMMYFUNCTION("""COMPUTED_VALUE"""),401.17)</f>
        <v>401.17</v>
      </c>
    </row>
    <row r="249" ht="15.75" customHeight="1">
      <c r="B249" s="3">
        <f>IFERROR(__xludf.DUMMYFUNCTION("""COMPUTED_VALUE"""),39276.645833333336)</f>
        <v>39276.64583</v>
      </c>
      <c r="C249" s="2">
        <f>IFERROR(__xludf.DUMMYFUNCTION("""COMPUTED_VALUE"""),420.46)</f>
        <v>420.46</v>
      </c>
    </row>
    <row r="250" ht="15.75" customHeight="1">
      <c r="B250" s="3">
        <f>IFERROR(__xludf.DUMMYFUNCTION("""COMPUTED_VALUE"""),39283.645833333336)</f>
        <v>39283.64583</v>
      </c>
      <c r="C250" s="2">
        <f>IFERROR(__xludf.DUMMYFUNCTION("""COMPUTED_VALUE"""),437.74)</f>
        <v>437.74</v>
      </c>
    </row>
    <row r="251" ht="15.75" customHeight="1">
      <c r="B251" s="3">
        <f>IFERROR(__xludf.DUMMYFUNCTION("""COMPUTED_VALUE"""),39290.645833333336)</f>
        <v>39290.64583</v>
      </c>
      <c r="C251" s="2">
        <f>IFERROR(__xludf.DUMMYFUNCTION("""COMPUTED_VALUE"""),440.62)</f>
        <v>440.62</v>
      </c>
    </row>
    <row r="252" ht="15.75" customHeight="1">
      <c r="B252" s="3">
        <f>IFERROR(__xludf.DUMMYFUNCTION("""COMPUTED_VALUE"""),39297.645833333336)</f>
        <v>39297.64583</v>
      </c>
      <c r="C252" s="2">
        <f>IFERROR(__xludf.DUMMYFUNCTION("""COMPUTED_VALUE"""),431.12)</f>
        <v>431.12</v>
      </c>
    </row>
    <row r="253" ht="15.75" customHeight="1">
      <c r="B253" s="3">
        <f>IFERROR(__xludf.DUMMYFUNCTION("""COMPUTED_VALUE"""),39304.645833333336)</f>
        <v>39304.64583</v>
      </c>
      <c r="C253" s="2">
        <f>IFERROR(__xludf.DUMMYFUNCTION("""COMPUTED_VALUE"""),437.31)</f>
        <v>437.31</v>
      </c>
    </row>
    <row r="254" ht="15.75" customHeight="1">
      <c r="B254" s="3">
        <f>IFERROR(__xludf.DUMMYFUNCTION("""COMPUTED_VALUE"""),39311.645833333336)</f>
        <v>39311.64583</v>
      </c>
      <c r="C254" s="2">
        <f>IFERROR(__xludf.DUMMYFUNCTION("""COMPUTED_VALUE"""),425.93)</f>
        <v>425.93</v>
      </c>
    </row>
    <row r="255" ht="15.75" customHeight="1">
      <c r="B255" s="3">
        <f>IFERROR(__xludf.DUMMYFUNCTION("""COMPUTED_VALUE"""),39318.645833333336)</f>
        <v>39318.64583</v>
      </c>
      <c r="C255" s="2">
        <f>IFERROR(__xludf.DUMMYFUNCTION("""COMPUTED_VALUE"""),408.77)</f>
        <v>408.77</v>
      </c>
    </row>
    <row r="256" ht="15.75" customHeight="1">
      <c r="B256" s="3">
        <f>IFERROR(__xludf.DUMMYFUNCTION("""COMPUTED_VALUE"""),39325.645833333336)</f>
        <v>39325.64583</v>
      </c>
      <c r="C256" s="2">
        <f>IFERROR(__xludf.DUMMYFUNCTION("""COMPUTED_VALUE"""),431.26)</f>
        <v>431.26</v>
      </c>
    </row>
    <row r="257" ht="15.75" customHeight="1">
      <c r="B257" s="3">
        <f>IFERROR(__xludf.DUMMYFUNCTION("""COMPUTED_VALUE"""),39332.645833333336)</f>
        <v>39332.64583</v>
      </c>
      <c r="C257" s="2">
        <f>IFERROR(__xludf.DUMMYFUNCTION("""COMPUTED_VALUE"""),463.66)</f>
        <v>463.66</v>
      </c>
    </row>
    <row r="258" ht="15.75" customHeight="1">
      <c r="B258" s="3">
        <f>IFERROR(__xludf.DUMMYFUNCTION("""COMPUTED_VALUE"""),39339.645833333336)</f>
        <v>39339.64583</v>
      </c>
      <c r="C258" s="2">
        <f>IFERROR(__xludf.DUMMYFUNCTION("""COMPUTED_VALUE"""),480.22)</f>
        <v>480.22</v>
      </c>
    </row>
    <row r="259" ht="15.75" customHeight="1">
      <c r="B259" s="3">
        <f>IFERROR(__xludf.DUMMYFUNCTION("""COMPUTED_VALUE"""),39346.645833333336)</f>
        <v>39346.64583</v>
      </c>
      <c r="C259" s="2">
        <f>IFERROR(__xludf.DUMMYFUNCTION("""COMPUTED_VALUE"""),500.38)</f>
        <v>500.38</v>
      </c>
    </row>
    <row r="260" ht="15.75" customHeight="1">
      <c r="B260" s="3">
        <f>IFERROR(__xludf.DUMMYFUNCTION("""COMPUTED_VALUE"""),39353.645833333336)</f>
        <v>39353.64583</v>
      </c>
      <c r="C260" s="2">
        <f>IFERROR(__xludf.DUMMYFUNCTION("""COMPUTED_VALUE"""),512.62)</f>
        <v>512.62</v>
      </c>
    </row>
    <row r="261" ht="15.75" customHeight="1">
      <c r="B261" s="3">
        <f>IFERROR(__xludf.DUMMYFUNCTION("""COMPUTED_VALUE"""),39360.645833333336)</f>
        <v>39360.64583</v>
      </c>
      <c r="C261" s="2">
        <f>IFERROR(__xludf.DUMMYFUNCTION("""COMPUTED_VALUE"""),539.26)</f>
        <v>539.26</v>
      </c>
    </row>
    <row r="262" ht="15.75" customHeight="1">
      <c r="B262" s="3">
        <f>IFERROR(__xludf.DUMMYFUNCTION("""COMPUTED_VALUE"""),39367.645833333336)</f>
        <v>39367.64583</v>
      </c>
      <c r="C262" s="2">
        <f>IFERROR(__xludf.DUMMYFUNCTION("""COMPUTED_VALUE"""),558.55)</f>
        <v>558.55</v>
      </c>
    </row>
    <row r="263" ht="15.75" customHeight="1">
      <c r="B263" s="3">
        <f>IFERROR(__xludf.DUMMYFUNCTION("""COMPUTED_VALUE"""),39374.645833333336)</f>
        <v>39374.64583</v>
      </c>
      <c r="C263" s="2">
        <f>IFERROR(__xludf.DUMMYFUNCTION("""COMPUTED_VALUE"""),556.39)</f>
        <v>556.39</v>
      </c>
    </row>
    <row r="264" ht="15.75" customHeight="1">
      <c r="B264" s="3">
        <f>IFERROR(__xludf.DUMMYFUNCTION("""COMPUTED_VALUE"""),39381.645833333336)</f>
        <v>39381.64583</v>
      </c>
      <c r="C264" s="2">
        <f>IFERROR(__xludf.DUMMYFUNCTION("""COMPUTED_VALUE"""),547.18)</f>
        <v>547.18</v>
      </c>
    </row>
    <row r="265" ht="15.75" customHeight="1">
      <c r="B265" s="3">
        <f>IFERROR(__xludf.DUMMYFUNCTION("""COMPUTED_VALUE"""),39388.645833333336)</f>
        <v>39388.64583</v>
      </c>
      <c r="C265" s="2">
        <f>IFERROR(__xludf.DUMMYFUNCTION("""COMPUTED_VALUE"""),583.32)</f>
        <v>583.32</v>
      </c>
    </row>
    <row r="266" ht="15.75" customHeight="1">
      <c r="B266" s="3">
        <f>IFERROR(__xludf.DUMMYFUNCTION("""COMPUTED_VALUE"""),39402.645833333336)</f>
        <v>39402.64583</v>
      </c>
      <c r="C266" s="2">
        <f>IFERROR(__xludf.DUMMYFUNCTION("""COMPUTED_VALUE"""),559.9)</f>
        <v>559.9</v>
      </c>
    </row>
    <row r="267" ht="15.75" customHeight="1">
      <c r="B267" s="3">
        <f>IFERROR(__xludf.DUMMYFUNCTION("""COMPUTED_VALUE"""),39409.645833333336)</f>
        <v>39409.64583</v>
      </c>
      <c r="C267" s="2">
        <f>IFERROR(__xludf.DUMMYFUNCTION("""COMPUTED_VALUE"""),567.39)</f>
        <v>567.39</v>
      </c>
    </row>
    <row r="268" ht="15.75" customHeight="1">
      <c r="B268" s="3">
        <f>IFERROR(__xludf.DUMMYFUNCTION("""COMPUTED_VALUE"""),39416.645833333336)</f>
        <v>39416.64583</v>
      </c>
      <c r="C268" s="2">
        <f>IFERROR(__xludf.DUMMYFUNCTION("""COMPUTED_VALUE"""),549.35)</f>
        <v>549.35</v>
      </c>
    </row>
    <row r="269" ht="15.75" customHeight="1">
      <c r="B269" s="3">
        <f>IFERROR(__xludf.DUMMYFUNCTION("""COMPUTED_VALUE"""),39423.645833333336)</f>
        <v>39423.64583</v>
      </c>
      <c r="C269" s="2">
        <f>IFERROR(__xludf.DUMMYFUNCTION("""COMPUTED_VALUE"""),560.13)</f>
        <v>560.13</v>
      </c>
    </row>
    <row r="270" ht="15.75" customHeight="1">
      <c r="B270" s="3">
        <f>IFERROR(__xludf.DUMMYFUNCTION("""COMPUTED_VALUE"""),39430.645833333336)</f>
        <v>39430.64583</v>
      </c>
      <c r="C270" s="2">
        <f>IFERROR(__xludf.DUMMYFUNCTION("""COMPUTED_VALUE"""),553.51)</f>
        <v>553.51</v>
      </c>
    </row>
    <row r="271" ht="15.75" customHeight="1">
      <c r="B271" s="3">
        <f>IFERROR(__xludf.DUMMYFUNCTION("""COMPUTED_VALUE"""),39436.645833333336)</f>
        <v>39436.64583</v>
      </c>
      <c r="C271" s="2">
        <f>IFERROR(__xludf.DUMMYFUNCTION("""COMPUTED_VALUE"""),541.37)</f>
        <v>541.37</v>
      </c>
    </row>
    <row r="272" ht="15.75" customHeight="1">
      <c r="B272" s="3">
        <f>IFERROR(__xludf.DUMMYFUNCTION("""COMPUTED_VALUE"""),39444.645833333336)</f>
        <v>39444.64583</v>
      </c>
      <c r="C272" s="2">
        <f>IFERROR(__xludf.DUMMYFUNCTION("""COMPUTED_VALUE"""),530.62)</f>
        <v>530.62</v>
      </c>
    </row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IFERROR(__xludf.DUMMYFUNCTION("GOOGLEFINANCE(""NSE:GRASIM"", ""high"",DATE(2008,1,1),DATE(2009,1,1),""weekly"")"),"Date")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IFERROR(__xludf.DUMMYFUNCTION("""COMPUTED_VALUE"""),39451.645833333336)</f>
        <v>39451.64583</v>
      </c>
      <c r="C277" s="2">
        <f>IFERROR(__xludf.DUMMYFUNCTION("""COMPUTED_VALUE"""),550.78)</f>
        <v>550.78</v>
      </c>
    </row>
    <row r="278" ht="15.75" customHeight="1">
      <c r="B278" s="3">
        <f>IFERROR(__xludf.DUMMYFUNCTION("""COMPUTED_VALUE"""),39458.645833333336)</f>
        <v>39458.64583</v>
      </c>
      <c r="C278" s="2">
        <f>IFERROR(__xludf.DUMMYFUNCTION("""COMPUTED_VALUE"""),521.83)</f>
        <v>521.83</v>
      </c>
    </row>
    <row r="279" ht="15.75" customHeight="1">
      <c r="B279" s="3">
        <f>IFERROR(__xludf.DUMMYFUNCTION("""COMPUTED_VALUE"""),39464.645833333336)</f>
        <v>39464.64583</v>
      </c>
      <c r="C279" s="2">
        <f>IFERROR(__xludf.DUMMYFUNCTION("""COMPUTED_VALUE"""),489.58)</f>
        <v>489.58</v>
      </c>
    </row>
    <row r="280" ht="15.75" customHeight="1">
      <c r="B280" s="3">
        <f>IFERROR(__xludf.DUMMYFUNCTION("""COMPUTED_VALUE"""),39472.645833333336)</f>
        <v>39472.64583</v>
      </c>
      <c r="C280" s="2">
        <f>IFERROR(__xludf.DUMMYFUNCTION("""COMPUTED_VALUE"""),480.94)</f>
        <v>480.94</v>
      </c>
    </row>
    <row r="281" ht="15.75" customHeight="1">
      <c r="B281" s="3">
        <f>IFERROR(__xludf.DUMMYFUNCTION("""COMPUTED_VALUE"""),39479.645833333336)</f>
        <v>39479.64583</v>
      </c>
      <c r="C281" s="2">
        <f>IFERROR(__xludf.DUMMYFUNCTION("""COMPUTED_VALUE"""),444.65)</f>
        <v>444.65</v>
      </c>
    </row>
    <row r="282" ht="15.75" customHeight="1">
      <c r="B282" s="3">
        <f>IFERROR(__xludf.DUMMYFUNCTION("""COMPUTED_VALUE"""),39486.645833333336)</f>
        <v>39486.64583</v>
      </c>
      <c r="C282" s="2">
        <f>IFERROR(__xludf.DUMMYFUNCTION("""COMPUTED_VALUE"""),454.3)</f>
        <v>454.3</v>
      </c>
    </row>
    <row r="283" ht="15.75" customHeight="1">
      <c r="B283" s="3">
        <f>IFERROR(__xludf.DUMMYFUNCTION("""COMPUTED_VALUE"""),39493.645833333336)</f>
        <v>39493.64583</v>
      </c>
      <c r="C283" s="2">
        <f>IFERROR(__xludf.DUMMYFUNCTION("""COMPUTED_VALUE"""),413.98)</f>
        <v>413.98</v>
      </c>
    </row>
    <row r="284" ht="15.75" customHeight="1">
      <c r="B284" s="3">
        <f>IFERROR(__xludf.DUMMYFUNCTION("""COMPUTED_VALUE"""),39500.645833333336)</f>
        <v>39500.64583</v>
      </c>
      <c r="C284" s="2">
        <f>IFERROR(__xludf.DUMMYFUNCTION("""COMPUTED_VALUE"""),419.17)</f>
        <v>419.17</v>
      </c>
    </row>
    <row r="285" ht="15.75" customHeight="1">
      <c r="B285" s="3">
        <f>IFERROR(__xludf.DUMMYFUNCTION("""COMPUTED_VALUE"""),39507.645833333336)</f>
        <v>39507.64583</v>
      </c>
      <c r="C285" s="2">
        <f>IFERROR(__xludf.DUMMYFUNCTION("""COMPUTED_VALUE"""),446.24)</f>
        <v>446.24</v>
      </c>
    </row>
    <row r="286" ht="15.75" customHeight="1">
      <c r="B286" s="3">
        <f>IFERROR(__xludf.DUMMYFUNCTION("""COMPUTED_VALUE"""),39514.645833333336)</f>
        <v>39514.64583</v>
      </c>
      <c r="C286" s="2">
        <f>IFERROR(__xludf.DUMMYFUNCTION("""COMPUTED_VALUE"""),417.58)</f>
        <v>417.58</v>
      </c>
    </row>
    <row r="287" ht="15.75" customHeight="1">
      <c r="B287" s="3">
        <f>IFERROR(__xludf.DUMMYFUNCTION("""COMPUTED_VALUE"""),39521.645833333336)</f>
        <v>39521.64583</v>
      </c>
      <c r="C287" s="2">
        <f>IFERROR(__xludf.DUMMYFUNCTION("""COMPUTED_VALUE"""),416.14)</f>
        <v>416.14</v>
      </c>
    </row>
    <row r="288" ht="15.75" customHeight="1">
      <c r="B288" s="3">
        <f>IFERROR(__xludf.DUMMYFUNCTION("""COMPUTED_VALUE"""),39526.645833333336)</f>
        <v>39526.64583</v>
      </c>
      <c r="C288" s="2">
        <f>IFERROR(__xludf.DUMMYFUNCTION("""COMPUTED_VALUE"""),408.94)</f>
        <v>408.94</v>
      </c>
    </row>
    <row r="289" ht="15.75" customHeight="1">
      <c r="B289" s="3">
        <f>IFERROR(__xludf.DUMMYFUNCTION("""COMPUTED_VALUE"""),39535.645833333336)</f>
        <v>39535.64583</v>
      </c>
      <c r="C289" s="2">
        <f>IFERROR(__xludf.DUMMYFUNCTION("""COMPUTED_VALUE"""),395.98)</f>
        <v>395.98</v>
      </c>
    </row>
    <row r="290" ht="15.75" customHeight="1">
      <c r="B290" s="3">
        <f>IFERROR(__xludf.DUMMYFUNCTION("""COMPUTED_VALUE"""),39542.645833333336)</f>
        <v>39542.64583</v>
      </c>
      <c r="C290" s="2">
        <f>IFERROR(__xludf.DUMMYFUNCTION("""COMPUTED_VALUE"""),390.22)</f>
        <v>390.22</v>
      </c>
    </row>
    <row r="291" ht="15.75" customHeight="1">
      <c r="B291" s="3">
        <f>IFERROR(__xludf.DUMMYFUNCTION("""COMPUTED_VALUE"""),39549.645833333336)</f>
        <v>39549.64583</v>
      </c>
      <c r="C291" s="2">
        <f>IFERROR(__xludf.DUMMYFUNCTION("""COMPUTED_VALUE"""),383.02)</f>
        <v>383.02</v>
      </c>
    </row>
    <row r="292" ht="15.75" customHeight="1">
      <c r="B292" s="3">
        <f>IFERROR(__xludf.DUMMYFUNCTION("""COMPUTED_VALUE"""),39555.645833333336)</f>
        <v>39555.64583</v>
      </c>
      <c r="C292" s="2">
        <f>IFERROR(__xludf.DUMMYFUNCTION("""COMPUTED_VALUE"""),377.26)</f>
        <v>377.26</v>
      </c>
    </row>
    <row r="293" ht="15.75" customHeight="1">
      <c r="B293" s="3">
        <f>IFERROR(__xludf.DUMMYFUNCTION("""COMPUTED_VALUE"""),39563.645833333336)</f>
        <v>39563.64583</v>
      </c>
      <c r="C293" s="2">
        <f>IFERROR(__xludf.DUMMYFUNCTION("""COMPUTED_VALUE"""),388.42)</f>
        <v>388.42</v>
      </c>
    </row>
    <row r="294" ht="15.75" customHeight="1">
      <c r="B294" s="3">
        <f>IFERROR(__xludf.DUMMYFUNCTION("""COMPUTED_VALUE"""),39570.645833333336)</f>
        <v>39570.64583</v>
      </c>
      <c r="C294" s="2">
        <f>IFERROR(__xludf.DUMMYFUNCTION("""COMPUTED_VALUE"""),392.4)</f>
        <v>392.4</v>
      </c>
    </row>
    <row r="295" ht="15.75" customHeight="1">
      <c r="B295" s="3">
        <f>IFERROR(__xludf.DUMMYFUNCTION("""COMPUTED_VALUE"""),39577.645833333336)</f>
        <v>39577.64583</v>
      </c>
      <c r="C295" s="2">
        <f>IFERROR(__xludf.DUMMYFUNCTION("""COMPUTED_VALUE"""),347.02)</f>
        <v>347.02</v>
      </c>
    </row>
    <row r="296" ht="15.75" customHeight="1">
      <c r="B296" s="3">
        <f>IFERROR(__xludf.DUMMYFUNCTION("""COMPUTED_VALUE"""),39584.645833333336)</f>
        <v>39584.64583</v>
      </c>
      <c r="C296" s="2">
        <f>IFERROR(__xludf.DUMMYFUNCTION("""COMPUTED_VALUE"""),348.61)</f>
        <v>348.61</v>
      </c>
    </row>
    <row r="297" ht="15.75" customHeight="1">
      <c r="B297" s="3">
        <f>IFERROR(__xludf.DUMMYFUNCTION("""COMPUTED_VALUE"""),39591.645833333336)</f>
        <v>39591.64583</v>
      </c>
      <c r="C297" s="2">
        <f>IFERROR(__xludf.DUMMYFUNCTION("""COMPUTED_VALUE"""),337.52)</f>
        <v>337.52</v>
      </c>
    </row>
    <row r="298" ht="15.75" customHeight="1">
      <c r="B298" s="3">
        <f>IFERROR(__xludf.DUMMYFUNCTION("""COMPUTED_VALUE"""),39598.645833333336)</f>
        <v>39598.64583</v>
      </c>
      <c r="C298" s="2">
        <f>IFERROR(__xludf.DUMMYFUNCTION("""COMPUTED_VALUE"""),330.54)</f>
        <v>330.54</v>
      </c>
    </row>
    <row r="299" ht="15.75" customHeight="1">
      <c r="B299" s="3">
        <f>IFERROR(__xludf.DUMMYFUNCTION("""COMPUTED_VALUE"""),39605.645833333336)</f>
        <v>39605.64583</v>
      </c>
      <c r="C299" s="2">
        <f>IFERROR(__xludf.DUMMYFUNCTION("""COMPUTED_VALUE"""),326.72)</f>
        <v>326.72</v>
      </c>
    </row>
    <row r="300" ht="15.75" customHeight="1">
      <c r="B300" s="3">
        <f>IFERROR(__xludf.DUMMYFUNCTION("""COMPUTED_VALUE"""),39612.645833333336)</f>
        <v>39612.64583</v>
      </c>
      <c r="C300" s="2">
        <f>IFERROR(__xludf.DUMMYFUNCTION("""COMPUTED_VALUE"""),325.5)</f>
        <v>325.5</v>
      </c>
    </row>
    <row r="301" ht="15.75" customHeight="1">
      <c r="B301" s="3">
        <f>IFERROR(__xludf.DUMMYFUNCTION("""COMPUTED_VALUE"""),39619.645833333336)</f>
        <v>39619.64583</v>
      </c>
      <c r="C301" s="2">
        <f>IFERROR(__xludf.DUMMYFUNCTION("""COMPUTED_VALUE"""),328.31)</f>
        <v>328.31</v>
      </c>
    </row>
    <row r="302" ht="15.75" customHeight="1">
      <c r="B302" s="3">
        <f>IFERROR(__xludf.DUMMYFUNCTION("""COMPUTED_VALUE"""),39626.645833333336)</f>
        <v>39626.64583</v>
      </c>
      <c r="C302" s="2">
        <f>IFERROR(__xludf.DUMMYFUNCTION("""COMPUTED_VALUE"""),316.79)</f>
        <v>316.79</v>
      </c>
    </row>
    <row r="303" ht="15.75" customHeight="1">
      <c r="B303" s="3">
        <f>IFERROR(__xludf.DUMMYFUNCTION("""COMPUTED_VALUE"""),39633.645833333336)</f>
        <v>39633.64583</v>
      </c>
      <c r="C303" s="2">
        <f>IFERROR(__xludf.DUMMYFUNCTION("""COMPUTED_VALUE"""),278.92)</f>
        <v>278.92</v>
      </c>
    </row>
    <row r="304" ht="15.75" customHeight="1">
      <c r="B304" s="3">
        <f>IFERROR(__xludf.DUMMYFUNCTION("""COMPUTED_VALUE"""),39640.645833333336)</f>
        <v>39640.64583</v>
      </c>
      <c r="C304" s="2">
        <f>IFERROR(__xludf.DUMMYFUNCTION("""COMPUTED_VALUE"""),260.48)</f>
        <v>260.48</v>
      </c>
    </row>
    <row r="305" ht="15.75" customHeight="1">
      <c r="B305" s="3">
        <f>IFERROR(__xludf.DUMMYFUNCTION("""COMPUTED_VALUE"""),39647.645833333336)</f>
        <v>39647.64583</v>
      </c>
      <c r="C305" s="2">
        <f>IFERROR(__xludf.DUMMYFUNCTION("""COMPUTED_VALUE"""),251.99)</f>
        <v>251.99</v>
      </c>
    </row>
    <row r="306" ht="15.75" customHeight="1">
      <c r="B306" s="3">
        <f>IFERROR(__xludf.DUMMYFUNCTION("""COMPUTED_VALUE"""),39654.645833333336)</f>
        <v>39654.64583</v>
      </c>
      <c r="C306" s="2">
        <f>IFERROR(__xludf.DUMMYFUNCTION("""COMPUTED_VALUE"""),285.11)</f>
        <v>285.11</v>
      </c>
    </row>
    <row r="307" ht="15.75" customHeight="1">
      <c r="B307" s="3">
        <f>IFERROR(__xludf.DUMMYFUNCTION("""COMPUTED_VALUE"""),39661.645833333336)</f>
        <v>39661.64583</v>
      </c>
      <c r="C307" s="2">
        <f>IFERROR(__xludf.DUMMYFUNCTION("""COMPUTED_VALUE"""),273.56)</f>
        <v>273.56</v>
      </c>
    </row>
    <row r="308" ht="15.75" customHeight="1">
      <c r="B308" s="3">
        <f>IFERROR(__xludf.DUMMYFUNCTION("""COMPUTED_VALUE"""),39668.645833333336)</f>
        <v>39668.64583</v>
      </c>
      <c r="C308" s="2">
        <f>IFERROR(__xludf.DUMMYFUNCTION("""COMPUTED_VALUE"""),306.56)</f>
        <v>306.56</v>
      </c>
    </row>
    <row r="309" ht="15.75" customHeight="1">
      <c r="B309" s="3">
        <f>IFERROR(__xludf.DUMMYFUNCTION("""COMPUTED_VALUE"""),39674.645833333336)</f>
        <v>39674.64583</v>
      </c>
      <c r="C309" s="2">
        <f>IFERROR(__xludf.DUMMYFUNCTION("""COMPUTED_VALUE"""),302.67)</f>
        <v>302.67</v>
      </c>
    </row>
    <row r="310" ht="15.75" customHeight="1">
      <c r="B310" s="3">
        <f>IFERROR(__xludf.DUMMYFUNCTION("""COMPUTED_VALUE"""),39682.645833333336)</f>
        <v>39682.64583</v>
      </c>
      <c r="C310" s="2">
        <f>IFERROR(__xludf.DUMMYFUNCTION("""COMPUTED_VALUE"""),295.19)</f>
        <v>295.19</v>
      </c>
    </row>
    <row r="311" ht="15.75" customHeight="1">
      <c r="B311" s="3">
        <f>IFERROR(__xludf.DUMMYFUNCTION("""COMPUTED_VALUE"""),39689.645833333336)</f>
        <v>39689.64583</v>
      </c>
      <c r="C311" s="2">
        <f>IFERROR(__xludf.DUMMYFUNCTION("""COMPUTED_VALUE"""),285.67)</f>
        <v>285.67</v>
      </c>
    </row>
    <row r="312" ht="15.75" customHeight="1">
      <c r="B312" s="3">
        <f>IFERROR(__xludf.DUMMYFUNCTION("""COMPUTED_VALUE"""),39696.645833333336)</f>
        <v>39696.64583</v>
      </c>
      <c r="C312" s="2">
        <f>IFERROR(__xludf.DUMMYFUNCTION("""COMPUTED_VALUE"""),295.19)</f>
        <v>295.19</v>
      </c>
    </row>
    <row r="313" ht="15.75" customHeight="1">
      <c r="B313" s="3">
        <f>IFERROR(__xludf.DUMMYFUNCTION("""COMPUTED_VALUE"""),39703.645833333336)</f>
        <v>39703.64583</v>
      </c>
      <c r="C313" s="2">
        <f>IFERROR(__xludf.DUMMYFUNCTION("""COMPUTED_VALUE"""),298.64)</f>
        <v>298.64</v>
      </c>
    </row>
    <row r="314" ht="15.75" customHeight="1">
      <c r="B314" s="3">
        <f>IFERROR(__xludf.DUMMYFUNCTION("""COMPUTED_VALUE"""),39710.645833333336)</f>
        <v>39710.64583</v>
      </c>
      <c r="C314" s="2">
        <f>IFERROR(__xludf.DUMMYFUNCTION("""COMPUTED_VALUE"""),285.11)</f>
        <v>285.11</v>
      </c>
    </row>
    <row r="315" ht="15.75" customHeight="1">
      <c r="B315" s="3">
        <f>IFERROR(__xludf.DUMMYFUNCTION("""COMPUTED_VALUE"""),39717.645833333336)</f>
        <v>39717.64583</v>
      </c>
      <c r="C315" s="2">
        <f>IFERROR(__xludf.DUMMYFUNCTION("""COMPUTED_VALUE"""),282.21)</f>
        <v>282.21</v>
      </c>
    </row>
    <row r="316" ht="15.75" customHeight="1">
      <c r="B316" s="3">
        <f>IFERROR(__xludf.DUMMYFUNCTION("""COMPUTED_VALUE"""),39724.645833333336)</f>
        <v>39724.64583</v>
      </c>
      <c r="C316" s="2">
        <f>IFERROR(__xludf.DUMMYFUNCTION("""COMPUTED_VALUE"""),258.9)</f>
        <v>258.9</v>
      </c>
    </row>
    <row r="317" ht="15.75" customHeight="1">
      <c r="B317" s="3">
        <f>IFERROR(__xludf.DUMMYFUNCTION("""COMPUTED_VALUE"""),39731.645833333336)</f>
        <v>39731.64583</v>
      </c>
      <c r="C317" s="2">
        <f>IFERROR(__xludf.DUMMYFUNCTION("""COMPUTED_VALUE"""),249.51)</f>
        <v>249.51</v>
      </c>
    </row>
    <row r="318" ht="15.75" customHeight="1">
      <c r="B318" s="3">
        <f>IFERROR(__xludf.DUMMYFUNCTION("""COMPUTED_VALUE"""),39738.645833333336)</f>
        <v>39738.64583</v>
      </c>
      <c r="C318" s="2">
        <f>IFERROR(__xludf.DUMMYFUNCTION("""COMPUTED_VALUE"""),224.63)</f>
        <v>224.63</v>
      </c>
    </row>
    <row r="319" ht="15.75" customHeight="1">
      <c r="B319" s="3">
        <f>IFERROR(__xludf.DUMMYFUNCTION("""COMPUTED_VALUE"""),39745.645833333336)</f>
        <v>39745.64583</v>
      </c>
      <c r="C319" s="2">
        <f>IFERROR(__xludf.DUMMYFUNCTION("""COMPUTED_VALUE"""),186.47)</f>
        <v>186.47</v>
      </c>
    </row>
    <row r="320" ht="15.75" customHeight="1">
      <c r="B320" s="3">
        <f>IFERROR(__xludf.DUMMYFUNCTION("""COMPUTED_VALUE"""),39752.645833333336)</f>
        <v>39752.64583</v>
      </c>
      <c r="C320" s="2">
        <f>IFERROR(__xludf.DUMMYFUNCTION("""COMPUTED_VALUE"""),156.77)</f>
        <v>156.77</v>
      </c>
    </row>
    <row r="321" ht="15.75" customHeight="1">
      <c r="B321" s="3">
        <f>IFERROR(__xludf.DUMMYFUNCTION("""COMPUTED_VALUE"""),39759.645833333336)</f>
        <v>39759.64583</v>
      </c>
      <c r="C321" s="2">
        <f>IFERROR(__xludf.DUMMYFUNCTION("""COMPUTED_VALUE"""),169.19)</f>
        <v>169.19</v>
      </c>
    </row>
    <row r="322" ht="15.75" customHeight="1">
      <c r="B322" s="3">
        <f>IFERROR(__xludf.DUMMYFUNCTION("""COMPUTED_VALUE"""),39766.645833333336)</f>
        <v>39766.64583</v>
      </c>
      <c r="C322" s="2">
        <f>IFERROR(__xludf.DUMMYFUNCTION("""COMPUTED_VALUE"""),161.26)</f>
        <v>161.26</v>
      </c>
    </row>
    <row r="323" ht="15.75" customHeight="1">
      <c r="B323" s="3">
        <f>IFERROR(__xludf.DUMMYFUNCTION("""COMPUTED_VALUE"""),39773.645833333336)</f>
        <v>39773.64583</v>
      </c>
      <c r="C323" s="2">
        <f>IFERROR(__xludf.DUMMYFUNCTION("""COMPUTED_VALUE"""),151.19)</f>
        <v>151.19</v>
      </c>
    </row>
    <row r="324" ht="15.75" customHeight="1">
      <c r="B324" s="3">
        <f>IFERROR(__xludf.DUMMYFUNCTION("""COMPUTED_VALUE"""),39780.645833333336)</f>
        <v>39780.64583</v>
      </c>
      <c r="C324" s="2">
        <f>IFERROR(__xludf.DUMMYFUNCTION("""COMPUTED_VALUE"""),138.23)</f>
        <v>138.23</v>
      </c>
    </row>
    <row r="325" ht="15.75" customHeight="1">
      <c r="B325" s="3">
        <f>IFERROR(__xludf.DUMMYFUNCTION("""COMPUTED_VALUE"""),39787.645833333336)</f>
        <v>39787.64583</v>
      </c>
      <c r="C325" s="2">
        <f>IFERROR(__xludf.DUMMYFUNCTION("""COMPUTED_VALUE"""),139.66)</f>
        <v>139.66</v>
      </c>
    </row>
    <row r="326" ht="15.75" customHeight="1">
      <c r="B326" s="3">
        <f>IFERROR(__xludf.DUMMYFUNCTION("""COMPUTED_VALUE"""),39794.645833333336)</f>
        <v>39794.64583</v>
      </c>
      <c r="C326" s="2">
        <f>IFERROR(__xludf.DUMMYFUNCTION("""COMPUTED_VALUE"""),164.83)</f>
        <v>164.83</v>
      </c>
    </row>
    <row r="327" ht="15.75" customHeight="1">
      <c r="B327" s="3">
        <f>IFERROR(__xludf.DUMMYFUNCTION("""COMPUTED_VALUE"""),39801.645833333336)</f>
        <v>39801.64583</v>
      </c>
      <c r="C327" s="2">
        <f>IFERROR(__xludf.DUMMYFUNCTION("""COMPUTED_VALUE"""),185.15)</f>
        <v>185.15</v>
      </c>
    </row>
    <row r="328" ht="15.75" customHeight="1">
      <c r="B328" s="3">
        <f>IFERROR(__xludf.DUMMYFUNCTION("""COMPUTED_VALUE"""),39808.645833333336)</f>
        <v>39808.64583</v>
      </c>
      <c r="C328" s="2">
        <f>IFERROR(__xludf.DUMMYFUNCTION("""COMPUTED_VALUE"""),181.43)</f>
        <v>181.43</v>
      </c>
    </row>
    <row r="329" ht="15.75" customHeight="1"/>
    <row r="330" ht="15.75" customHeight="1"/>
    <row r="331" ht="15.75" customHeight="1">
      <c r="B331" s="2" t="str">
        <f>IFERROR(__xludf.DUMMYFUNCTION("GOOGLEFINANCE(""NSE:GRASIM"", ""high"",DATE(2009,1,1),DATE(2010,1,1),""weekly"")"),"Date")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IFERROR(__xludf.DUMMYFUNCTION("""COMPUTED_VALUE"""),39815.645833333336)</f>
        <v>39815.64583</v>
      </c>
      <c r="C332" s="2">
        <f>IFERROR(__xludf.DUMMYFUNCTION("""COMPUTED_VALUE"""),182.73)</f>
        <v>182.73</v>
      </c>
    </row>
    <row r="333" ht="15.75" customHeight="1">
      <c r="B333" s="3">
        <f>IFERROR(__xludf.DUMMYFUNCTION("""COMPUTED_VALUE"""),39822.645833333336)</f>
        <v>39822.64583</v>
      </c>
      <c r="C333" s="2">
        <f>IFERROR(__xludf.DUMMYFUNCTION("""COMPUTED_VALUE"""),200.07)</f>
        <v>200.07</v>
      </c>
    </row>
    <row r="334" ht="15.75" customHeight="1">
      <c r="B334" s="3">
        <f>IFERROR(__xludf.DUMMYFUNCTION("""COMPUTED_VALUE"""),39829.645833333336)</f>
        <v>39829.64583</v>
      </c>
      <c r="C334" s="2">
        <f>IFERROR(__xludf.DUMMYFUNCTION("""COMPUTED_VALUE"""),197.99)</f>
        <v>197.99</v>
      </c>
    </row>
    <row r="335" ht="15.75" customHeight="1">
      <c r="B335" s="3">
        <f>IFERROR(__xludf.DUMMYFUNCTION("""COMPUTED_VALUE"""),39836.645833333336)</f>
        <v>39836.64583</v>
      </c>
      <c r="C335" s="2">
        <f>IFERROR(__xludf.DUMMYFUNCTION("""COMPUTED_VALUE"""),187.16)</f>
        <v>187.16</v>
      </c>
    </row>
    <row r="336" ht="15.75" customHeight="1">
      <c r="B336" s="3">
        <f>IFERROR(__xludf.DUMMYFUNCTION("""COMPUTED_VALUE"""),39843.645833333336)</f>
        <v>39843.64583</v>
      </c>
      <c r="C336" s="2">
        <f>IFERROR(__xludf.DUMMYFUNCTION("""COMPUTED_VALUE"""),177.82)</f>
        <v>177.82</v>
      </c>
    </row>
    <row r="337" ht="15.75" customHeight="1">
      <c r="B337" s="3">
        <f>IFERROR(__xludf.DUMMYFUNCTION("""COMPUTED_VALUE"""),39850.645833333336)</f>
        <v>39850.64583</v>
      </c>
      <c r="C337" s="2">
        <f>IFERROR(__xludf.DUMMYFUNCTION("""COMPUTED_VALUE"""),207.98)</f>
        <v>207.98</v>
      </c>
    </row>
    <row r="338" ht="15.75" customHeight="1">
      <c r="B338" s="3">
        <f>IFERROR(__xludf.DUMMYFUNCTION("""COMPUTED_VALUE"""),39857.645833333336)</f>
        <v>39857.64583</v>
      </c>
      <c r="C338" s="2">
        <f>IFERROR(__xludf.DUMMYFUNCTION("""COMPUTED_VALUE"""),208.6)</f>
        <v>208.6</v>
      </c>
    </row>
    <row r="339" ht="15.75" customHeight="1">
      <c r="B339" s="3">
        <f>IFERROR(__xludf.DUMMYFUNCTION("""COMPUTED_VALUE"""),39864.645833333336)</f>
        <v>39864.64583</v>
      </c>
      <c r="C339" s="2">
        <f>IFERROR(__xludf.DUMMYFUNCTION("""COMPUTED_VALUE"""),200.87)</f>
        <v>200.87</v>
      </c>
    </row>
    <row r="340" ht="15.75" customHeight="1">
      <c r="B340" s="3">
        <f>IFERROR(__xludf.DUMMYFUNCTION("""COMPUTED_VALUE"""),39871.645833333336)</f>
        <v>39871.64583</v>
      </c>
      <c r="C340" s="2">
        <f>IFERROR(__xludf.DUMMYFUNCTION("""COMPUTED_VALUE"""),215.23)</f>
        <v>215.23</v>
      </c>
    </row>
    <row r="341" ht="15.75" customHeight="1">
      <c r="B341" s="3">
        <f>IFERROR(__xludf.DUMMYFUNCTION("""COMPUTED_VALUE"""),39878.645833333336)</f>
        <v>39878.64583</v>
      </c>
      <c r="C341" s="2">
        <f>IFERROR(__xludf.DUMMYFUNCTION("""COMPUTED_VALUE"""),207.35)</f>
        <v>207.35</v>
      </c>
    </row>
    <row r="342" ht="15.75" customHeight="1">
      <c r="B342" s="3">
        <f>IFERROR(__xludf.DUMMYFUNCTION("""COMPUTED_VALUE"""),39885.645833333336)</f>
        <v>39885.64583</v>
      </c>
      <c r="C342" s="2">
        <f>IFERROR(__xludf.DUMMYFUNCTION("""COMPUTED_VALUE"""),217.29)</f>
        <v>217.29</v>
      </c>
    </row>
    <row r="343" ht="15.75" customHeight="1">
      <c r="B343" s="3">
        <f>IFERROR(__xludf.DUMMYFUNCTION("""COMPUTED_VALUE"""),39892.645833333336)</f>
        <v>39892.64583</v>
      </c>
      <c r="C343" s="2">
        <f>IFERROR(__xludf.DUMMYFUNCTION("""COMPUTED_VALUE"""),215.99)</f>
        <v>215.99</v>
      </c>
    </row>
    <row r="344" ht="15.75" customHeight="1">
      <c r="B344" s="3">
        <f>IFERROR(__xludf.DUMMYFUNCTION("""COMPUTED_VALUE"""),39899.645833333336)</f>
        <v>39899.64583</v>
      </c>
      <c r="C344" s="2">
        <f>IFERROR(__xludf.DUMMYFUNCTION("""COMPUTED_VALUE"""),235.83)</f>
        <v>235.83</v>
      </c>
    </row>
    <row r="345" ht="15.75" customHeight="1">
      <c r="B345" s="3">
        <f>IFERROR(__xludf.DUMMYFUNCTION("""COMPUTED_VALUE"""),39905.645833333336)</f>
        <v>39905.64583</v>
      </c>
      <c r="C345" s="2">
        <f>IFERROR(__xludf.DUMMYFUNCTION("""COMPUTED_VALUE"""),232.62)</f>
        <v>232.62</v>
      </c>
    </row>
    <row r="346" ht="15.75" customHeight="1">
      <c r="B346" s="3">
        <f>IFERROR(__xludf.DUMMYFUNCTION("""COMPUTED_VALUE"""),39912.645833333336)</f>
        <v>39912.64583</v>
      </c>
      <c r="C346" s="2">
        <f>IFERROR(__xludf.DUMMYFUNCTION("""COMPUTED_VALUE"""),237.57)</f>
        <v>237.57</v>
      </c>
    </row>
    <row r="347" ht="15.75" customHeight="1">
      <c r="B347" s="3">
        <f>IFERROR(__xludf.DUMMYFUNCTION("""COMPUTED_VALUE"""),39920.645833333336)</f>
        <v>39920.64583</v>
      </c>
      <c r="C347" s="2">
        <f>IFERROR(__xludf.DUMMYFUNCTION("""COMPUTED_VALUE"""),241.08)</f>
        <v>241.08</v>
      </c>
    </row>
    <row r="348" ht="15.75" customHeight="1">
      <c r="B348" s="3">
        <f>IFERROR(__xludf.DUMMYFUNCTION("""COMPUTED_VALUE"""),39927.645833333336)</f>
        <v>39927.64583</v>
      </c>
      <c r="C348" s="2">
        <f>IFERROR(__xludf.DUMMYFUNCTION("""COMPUTED_VALUE"""),263.8)</f>
        <v>263.8</v>
      </c>
    </row>
    <row r="349" ht="15.75" customHeight="1">
      <c r="B349" s="3">
        <f>IFERROR(__xludf.DUMMYFUNCTION("""COMPUTED_VALUE"""),39932.645833333336)</f>
        <v>39932.64583</v>
      </c>
      <c r="C349" s="2">
        <f>IFERROR(__xludf.DUMMYFUNCTION("""COMPUTED_VALUE"""),267.11)</f>
        <v>267.11</v>
      </c>
    </row>
    <row r="350" ht="15.75" customHeight="1">
      <c r="B350" s="3">
        <f>IFERROR(__xludf.DUMMYFUNCTION("""COMPUTED_VALUE"""),39941.645833333336)</f>
        <v>39941.64583</v>
      </c>
      <c r="C350" s="2">
        <f>IFERROR(__xludf.DUMMYFUNCTION("""COMPUTED_VALUE"""),273.3)</f>
        <v>273.3</v>
      </c>
    </row>
    <row r="351" ht="15.75" customHeight="1">
      <c r="B351" s="3">
        <f>IFERROR(__xludf.DUMMYFUNCTION("""COMPUTED_VALUE"""),39948.645833333336)</f>
        <v>39948.64583</v>
      </c>
      <c r="C351" s="2">
        <f>IFERROR(__xludf.DUMMYFUNCTION("""COMPUTED_VALUE"""),274.16)</f>
        <v>274.16</v>
      </c>
    </row>
    <row r="352" ht="15.75" customHeight="1">
      <c r="B352" s="3">
        <f>IFERROR(__xludf.DUMMYFUNCTION("""COMPUTED_VALUE"""),39955.645833333336)</f>
        <v>39955.64583</v>
      </c>
      <c r="C352" s="2">
        <f>IFERROR(__xludf.DUMMYFUNCTION("""COMPUTED_VALUE"""),338.38)</f>
        <v>338.38</v>
      </c>
    </row>
    <row r="353" ht="15.75" customHeight="1">
      <c r="B353" s="3">
        <f>IFERROR(__xludf.DUMMYFUNCTION("""COMPUTED_VALUE"""),39962.645833333336)</f>
        <v>39962.64583</v>
      </c>
      <c r="C353" s="2">
        <f>IFERROR(__xludf.DUMMYFUNCTION("""COMPUTED_VALUE"""),329.6)</f>
        <v>329.6</v>
      </c>
    </row>
    <row r="354" ht="15.75" customHeight="1">
      <c r="B354" s="3">
        <f>IFERROR(__xludf.DUMMYFUNCTION("""COMPUTED_VALUE"""),39969.645833333336)</f>
        <v>39969.64583</v>
      </c>
      <c r="C354" s="2">
        <f>IFERROR(__xludf.DUMMYFUNCTION("""COMPUTED_VALUE"""),388.54)</f>
        <v>388.54</v>
      </c>
    </row>
    <row r="355" ht="15.75" customHeight="1">
      <c r="B355" s="3">
        <f>IFERROR(__xludf.DUMMYFUNCTION("""COMPUTED_VALUE"""),39976.645833333336)</f>
        <v>39976.64583</v>
      </c>
      <c r="C355" s="2">
        <f>IFERROR(__xludf.DUMMYFUNCTION("""COMPUTED_VALUE"""),375.82)</f>
        <v>375.82</v>
      </c>
    </row>
    <row r="356" ht="15.75" customHeight="1">
      <c r="B356" s="3">
        <f>IFERROR(__xludf.DUMMYFUNCTION("""COMPUTED_VALUE"""),39983.645833333336)</f>
        <v>39983.64583</v>
      </c>
      <c r="C356" s="2">
        <f>IFERROR(__xludf.DUMMYFUNCTION("""COMPUTED_VALUE"""),349.04)</f>
        <v>349.04</v>
      </c>
    </row>
    <row r="357" ht="15.75" customHeight="1">
      <c r="B357" s="3">
        <f>IFERROR(__xludf.DUMMYFUNCTION("""COMPUTED_VALUE"""),39990.645833333336)</f>
        <v>39990.64583</v>
      </c>
      <c r="C357" s="2">
        <f>IFERROR(__xludf.DUMMYFUNCTION("""COMPUTED_VALUE"""),348.18)</f>
        <v>348.18</v>
      </c>
    </row>
    <row r="358" ht="15.75" customHeight="1">
      <c r="B358" s="3">
        <f>IFERROR(__xludf.DUMMYFUNCTION("""COMPUTED_VALUE"""),39997.645833333336)</f>
        <v>39997.64583</v>
      </c>
      <c r="C358" s="2">
        <f>IFERROR(__xludf.DUMMYFUNCTION("""COMPUTED_VALUE"""),349.18)</f>
        <v>349.18</v>
      </c>
    </row>
    <row r="359" ht="15.75" customHeight="1">
      <c r="B359" s="3">
        <f>IFERROR(__xludf.DUMMYFUNCTION("""COMPUTED_VALUE"""),40004.645833333336)</f>
        <v>40004.64583</v>
      </c>
      <c r="C359" s="2">
        <f>IFERROR(__xludf.DUMMYFUNCTION("""COMPUTED_VALUE"""),358.23)</f>
        <v>358.23</v>
      </c>
    </row>
    <row r="360" ht="15.75" customHeight="1">
      <c r="B360" s="3">
        <f>IFERROR(__xludf.DUMMYFUNCTION("""COMPUTED_VALUE"""),40011.645833333336)</f>
        <v>40011.64583</v>
      </c>
      <c r="C360" s="2">
        <f>IFERROR(__xludf.DUMMYFUNCTION("""COMPUTED_VALUE"""),395.84)</f>
        <v>395.84</v>
      </c>
    </row>
    <row r="361" ht="15.75" customHeight="1">
      <c r="B361" s="3">
        <f>IFERROR(__xludf.DUMMYFUNCTION("""COMPUTED_VALUE"""),40018.645833333336)</f>
        <v>40018.64583</v>
      </c>
      <c r="C361" s="2">
        <f>IFERROR(__xludf.DUMMYFUNCTION("""COMPUTED_VALUE"""),410.38)</f>
        <v>410.38</v>
      </c>
    </row>
    <row r="362" ht="15.75" customHeight="1">
      <c r="B362" s="3">
        <f>IFERROR(__xludf.DUMMYFUNCTION("""COMPUTED_VALUE"""),40025.645833333336)</f>
        <v>40025.64583</v>
      </c>
      <c r="C362" s="2">
        <f>IFERROR(__xludf.DUMMYFUNCTION("""COMPUTED_VALUE"""),423.34)</f>
        <v>423.34</v>
      </c>
    </row>
    <row r="363" ht="15.75" customHeight="1">
      <c r="B363" s="3">
        <f>IFERROR(__xludf.DUMMYFUNCTION("""COMPUTED_VALUE"""),40032.645833333336)</f>
        <v>40032.64583</v>
      </c>
      <c r="C363" s="2">
        <f>IFERROR(__xludf.DUMMYFUNCTION("""COMPUTED_VALUE"""),412.11)</f>
        <v>412.11</v>
      </c>
    </row>
    <row r="364" ht="15.75" customHeight="1">
      <c r="B364" s="3">
        <f>IFERROR(__xludf.DUMMYFUNCTION("""COMPUTED_VALUE"""),40039.645833333336)</f>
        <v>40039.64583</v>
      </c>
      <c r="C364" s="2">
        <f>IFERROR(__xludf.DUMMYFUNCTION("""COMPUTED_VALUE"""),401.03)</f>
        <v>401.03</v>
      </c>
    </row>
    <row r="365" ht="15.75" customHeight="1">
      <c r="B365" s="3">
        <f>IFERROR(__xludf.DUMMYFUNCTION("""COMPUTED_VALUE"""),40046.645833333336)</f>
        <v>40046.64583</v>
      </c>
      <c r="C365" s="2">
        <f>IFERROR(__xludf.DUMMYFUNCTION("""COMPUTED_VALUE"""),380.15)</f>
        <v>380.15</v>
      </c>
    </row>
    <row r="366" ht="15.75" customHeight="1">
      <c r="B366" s="3">
        <f>IFERROR(__xludf.DUMMYFUNCTION("""COMPUTED_VALUE"""),40053.645833333336)</f>
        <v>40053.64583</v>
      </c>
      <c r="C366" s="2">
        <f>IFERROR(__xludf.DUMMYFUNCTION("""COMPUTED_VALUE"""),389.93)</f>
        <v>389.93</v>
      </c>
    </row>
    <row r="367" ht="15.75" customHeight="1">
      <c r="B367" s="3">
        <f>IFERROR(__xludf.DUMMYFUNCTION("""COMPUTED_VALUE"""),40060.645833333336)</f>
        <v>40060.64583</v>
      </c>
      <c r="C367" s="2">
        <f>IFERROR(__xludf.DUMMYFUNCTION("""COMPUTED_VALUE"""),390.08)</f>
        <v>390.08</v>
      </c>
    </row>
    <row r="368" ht="15.75" customHeight="1">
      <c r="B368" s="3">
        <f>IFERROR(__xludf.DUMMYFUNCTION("""COMPUTED_VALUE"""),40067.645833333336)</f>
        <v>40067.64583</v>
      </c>
      <c r="C368" s="2">
        <f>IFERROR(__xludf.DUMMYFUNCTION("""COMPUTED_VALUE"""),397.25)</f>
        <v>397.25</v>
      </c>
    </row>
    <row r="369" ht="15.75" customHeight="1">
      <c r="B369" s="3">
        <f>IFERROR(__xludf.DUMMYFUNCTION("""COMPUTED_VALUE"""),40074.645833333336)</f>
        <v>40074.64583</v>
      </c>
      <c r="C369" s="2">
        <f>IFERROR(__xludf.DUMMYFUNCTION("""COMPUTED_VALUE"""),410.38)</f>
        <v>410.38</v>
      </c>
    </row>
    <row r="370" ht="15.75" customHeight="1">
      <c r="B370" s="3">
        <f>IFERROR(__xludf.DUMMYFUNCTION("""COMPUTED_VALUE"""),40081.645833333336)</f>
        <v>40081.64583</v>
      </c>
      <c r="C370" s="2">
        <f>IFERROR(__xludf.DUMMYFUNCTION("""COMPUTED_VALUE"""),412.4)</f>
        <v>412.4</v>
      </c>
    </row>
    <row r="371" ht="15.75" customHeight="1">
      <c r="B371" s="3">
        <f>IFERROR(__xludf.DUMMYFUNCTION("""COMPUTED_VALUE"""),40087.645833333336)</f>
        <v>40087.64583</v>
      </c>
      <c r="C371" s="2">
        <f>IFERROR(__xludf.DUMMYFUNCTION("""COMPUTED_VALUE"""),410.06)</f>
        <v>410.06</v>
      </c>
    </row>
    <row r="372" ht="15.75" customHeight="1">
      <c r="B372" s="3">
        <f>IFERROR(__xludf.DUMMYFUNCTION("""COMPUTED_VALUE"""),40095.645833333336)</f>
        <v>40095.64583</v>
      </c>
      <c r="C372" s="2">
        <f>IFERROR(__xludf.DUMMYFUNCTION("""COMPUTED_VALUE"""),381.99)</f>
        <v>381.99</v>
      </c>
    </row>
    <row r="373" ht="15.75" customHeight="1">
      <c r="B373" s="3">
        <f>IFERROR(__xludf.DUMMYFUNCTION("""COMPUTED_VALUE"""),40109.645833333336)</f>
        <v>40109.64583</v>
      </c>
      <c r="C373" s="2">
        <f>IFERROR(__xludf.DUMMYFUNCTION("""COMPUTED_VALUE"""),345.58)</f>
        <v>345.58</v>
      </c>
    </row>
    <row r="374" ht="15.75" customHeight="1">
      <c r="B374" s="3">
        <f>IFERROR(__xludf.DUMMYFUNCTION("""COMPUTED_VALUE"""),40116.645833333336)</f>
        <v>40116.64583</v>
      </c>
      <c r="C374" s="2">
        <f>IFERROR(__xludf.DUMMYFUNCTION("""COMPUTED_VALUE"""),324.53)</f>
        <v>324.53</v>
      </c>
    </row>
    <row r="375" ht="15.75" customHeight="1">
      <c r="B375" s="3">
        <f>IFERROR(__xludf.DUMMYFUNCTION("""COMPUTED_VALUE"""),40123.645833333336)</f>
        <v>40123.64583</v>
      </c>
      <c r="C375" s="2">
        <f>IFERROR(__xludf.DUMMYFUNCTION("""COMPUTED_VALUE"""),322.4)</f>
        <v>322.4</v>
      </c>
    </row>
    <row r="376" ht="15.75" customHeight="1">
      <c r="B376" s="3">
        <f>IFERROR(__xludf.DUMMYFUNCTION("""COMPUTED_VALUE"""),40130.645833333336)</f>
        <v>40130.64583</v>
      </c>
      <c r="C376" s="2">
        <f>IFERROR(__xludf.DUMMYFUNCTION("""COMPUTED_VALUE"""),332.91)</f>
        <v>332.91</v>
      </c>
    </row>
    <row r="377" ht="15.75" customHeight="1">
      <c r="B377" s="3">
        <f>IFERROR(__xludf.DUMMYFUNCTION("""COMPUTED_VALUE"""),40137.645833333336)</f>
        <v>40137.64583</v>
      </c>
      <c r="C377" s="2">
        <f>IFERROR(__xludf.DUMMYFUNCTION("""COMPUTED_VALUE"""),341.55)</f>
        <v>341.55</v>
      </c>
    </row>
    <row r="378" ht="15.75" customHeight="1">
      <c r="B378" s="3">
        <f>IFERROR(__xludf.DUMMYFUNCTION("""COMPUTED_VALUE"""),40144.645833333336)</f>
        <v>40144.64583</v>
      </c>
      <c r="C378" s="2">
        <f>IFERROR(__xludf.DUMMYFUNCTION("""COMPUTED_VALUE"""),348.32)</f>
        <v>348.32</v>
      </c>
    </row>
    <row r="379" ht="15.75" customHeight="1">
      <c r="B379" s="3">
        <f>IFERROR(__xludf.DUMMYFUNCTION("""COMPUTED_VALUE"""),40151.645833333336)</f>
        <v>40151.64583</v>
      </c>
      <c r="C379" s="2">
        <f>IFERROR(__xludf.DUMMYFUNCTION("""COMPUTED_VALUE"""),355.52)</f>
        <v>355.52</v>
      </c>
    </row>
    <row r="380" ht="15.75" customHeight="1">
      <c r="B380" s="3">
        <f>IFERROR(__xludf.DUMMYFUNCTION("""COMPUTED_VALUE"""),40158.645833333336)</f>
        <v>40158.64583</v>
      </c>
      <c r="C380" s="2">
        <f>IFERROR(__xludf.DUMMYFUNCTION("""COMPUTED_VALUE"""),352.05)</f>
        <v>352.05</v>
      </c>
    </row>
    <row r="381" ht="15.75" customHeight="1">
      <c r="B381" s="3">
        <f>IFERROR(__xludf.DUMMYFUNCTION("""COMPUTED_VALUE"""),40165.645833333336)</f>
        <v>40165.64583</v>
      </c>
      <c r="C381" s="2">
        <f>IFERROR(__xludf.DUMMYFUNCTION("""COMPUTED_VALUE"""),359.98)</f>
        <v>359.98</v>
      </c>
    </row>
    <row r="382" ht="15.75" customHeight="1">
      <c r="B382" s="3">
        <f>IFERROR(__xludf.DUMMYFUNCTION("""COMPUTED_VALUE"""),40171.645833333336)</f>
        <v>40171.64583</v>
      </c>
      <c r="C382" s="2">
        <f>IFERROR(__xludf.DUMMYFUNCTION("""COMPUTED_VALUE"""),351.2)</f>
        <v>351.2</v>
      </c>
    </row>
    <row r="383" ht="15.75" customHeight="1">
      <c r="B383" s="3">
        <f>IFERROR(__xludf.DUMMYFUNCTION("""COMPUTED_VALUE"""),40178.645833333336)</f>
        <v>40178.64583</v>
      </c>
      <c r="C383" s="2">
        <f>IFERROR(__xludf.DUMMYFUNCTION("""COMPUTED_VALUE"""),359.09)</f>
        <v>359.09</v>
      </c>
    </row>
    <row r="384" ht="15.75" customHeight="1"/>
    <row r="385" ht="15.75" customHeight="1"/>
    <row r="386" ht="15.75" customHeight="1">
      <c r="B386" s="2" t="str">
        <f>IFERROR(__xludf.DUMMYFUNCTION("GOOGLEFINANCE(""NSE:GRASIM"", ""high"",DATE(2011,1,1),DATE(2012,1,1),""weekly"")"),"Date")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IFERROR(__xludf.DUMMYFUNCTION("""COMPUTED_VALUE"""),40550.645833333336)</f>
        <v>40550.64583</v>
      </c>
      <c r="C387" s="2">
        <f>IFERROR(__xludf.DUMMYFUNCTION("""COMPUTED_VALUE"""),352.78)</f>
        <v>352.78</v>
      </c>
    </row>
    <row r="388" ht="15.75" customHeight="1">
      <c r="B388" s="3">
        <f>IFERROR(__xludf.DUMMYFUNCTION("""COMPUTED_VALUE"""),40557.645833333336)</f>
        <v>40557.64583</v>
      </c>
      <c r="C388" s="2">
        <f>IFERROR(__xludf.DUMMYFUNCTION("""COMPUTED_VALUE"""),361.42)</f>
        <v>361.42</v>
      </c>
    </row>
    <row r="389" ht="15.75" customHeight="1">
      <c r="B389" s="3">
        <f>IFERROR(__xludf.DUMMYFUNCTION("""COMPUTED_VALUE"""),40564.645833333336)</f>
        <v>40564.64583</v>
      </c>
      <c r="C389" s="2">
        <f>IFERROR(__xludf.DUMMYFUNCTION("""COMPUTED_VALUE"""),355.66)</f>
        <v>355.66</v>
      </c>
    </row>
    <row r="390" ht="15.75" customHeight="1">
      <c r="B390" s="3">
        <f>IFERROR(__xludf.DUMMYFUNCTION("""COMPUTED_VALUE"""),40571.645833333336)</f>
        <v>40571.64583</v>
      </c>
      <c r="C390" s="2">
        <f>IFERROR(__xludf.DUMMYFUNCTION("""COMPUTED_VALUE"""),351.06)</f>
        <v>351.06</v>
      </c>
    </row>
    <row r="391" ht="15.75" customHeight="1">
      <c r="B391" s="3">
        <f>IFERROR(__xludf.DUMMYFUNCTION("""COMPUTED_VALUE"""),40578.645833333336)</f>
        <v>40578.64583</v>
      </c>
      <c r="C391" s="2">
        <f>IFERROR(__xludf.DUMMYFUNCTION("""COMPUTED_VALUE"""),335.43)</f>
        <v>335.43</v>
      </c>
    </row>
    <row r="392" ht="15.75" customHeight="1">
      <c r="B392" s="3">
        <f>IFERROR(__xludf.DUMMYFUNCTION("""COMPUTED_VALUE"""),40585.645833333336)</f>
        <v>40585.64583</v>
      </c>
      <c r="C392" s="2">
        <f>IFERROR(__xludf.DUMMYFUNCTION("""COMPUTED_VALUE"""),340.1)</f>
        <v>340.1</v>
      </c>
    </row>
    <row r="393" ht="15.75" customHeight="1">
      <c r="B393" s="3">
        <f>IFERROR(__xludf.DUMMYFUNCTION("""COMPUTED_VALUE"""),40592.645833333336)</f>
        <v>40592.64583</v>
      </c>
      <c r="C393" s="2">
        <f>IFERROR(__xludf.DUMMYFUNCTION("""COMPUTED_VALUE"""),344.86)</f>
        <v>344.86</v>
      </c>
    </row>
    <row r="394" ht="15.75" customHeight="1">
      <c r="B394" s="3">
        <f>IFERROR(__xludf.DUMMYFUNCTION("""COMPUTED_VALUE"""),40599.645833333336)</f>
        <v>40599.64583</v>
      </c>
      <c r="C394" s="2">
        <f>IFERROR(__xludf.DUMMYFUNCTION("""COMPUTED_VALUE"""),337.66)</f>
        <v>337.66</v>
      </c>
    </row>
    <row r="395" ht="15.75" customHeight="1">
      <c r="B395" s="3">
        <f>IFERROR(__xludf.DUMMYFUNCTION("""COMPUTED_VALUE"""),40606.645833333336)</f>
        <v>40606.64583</v>
      </c>
      <c r="C395" s="2">
        <f>IFERROR(__xludf.DUMMYFUNCTION("""COMPUTED_VALUE"""),333.13)</f>
        <v>333.13</v>
      </c>
    </row>
    <row r="396" ht="15.75" customHeight="1">
      <c r="B396" s="3">
        <f>IFERROR(__xludf.DUMMYFUNCTION("""COMPUTED_VALUE"""),40613.645833333336)</f>
        <v>40613.64583</v>
      </c>
      <c r="C396" s="2">
        <f>IFERROR(__xludf.DUMMYFUNCTION("""COMPUTED_VALUE"""),344.68)</f>
        <v>344.68</v>
      </c>
    </row>
    <row r="397" ht="15.75" customHeight="1">
      <c r="B397" s="3">
        <f>IFERROR(__xludf.DUMMYFUNCTION("""COMPUTED_VALUE"""),40620.645833333336)</f>
        <v>40620.64583</v>
      </c>
      <c r="C397" s="2">
        <f>IFERROR(__xludf.DUMMYFUNCTION("""COMPUTED_VALUE"""),355.66)</f>
        <v>355.66</v>
      </c>
    </row>
    <row r="398" ht="15.75" customHeight="1">
      <c r="B398" s="3">
        <f>IFERROR(__xludf.DUMMYFUNCTION("""COMPUTED_VALUE"""),40627.645833333336)</f>
        <v>40627.64583</v>
      </c>
      <c r="C398" s="2">
        <f>IFERROR(__xludf.DUMMYFUNCTION("""COMPUTED_VALUE"""),360.92)</f>
        <v>360.92</v>
      </c>
    </row>
    <row r="399" ht="15.75" customHeight="1">
      <c r="B399" s="3">
        <f>IFERROR(__xludf.DUMMYFUNCTION("""COMPUTED_VALUE"""),40634.645833333336)</f>
        <v>40634.64583</v>
      </c>
      <c r="C399" s="2">
        <f>IFERROR(__xludf.DUMMYFUNCTION("""COMPUTED_VALUE"""),367.14)</f>
        <v>367.14</v>
      </c>
    </row>
    <row r="400" ht="15.75" customHeight="1">
      <c r="B400" s="3">
        <f>IFERROR(__xludf.DUMMYFUNCTION("""COMPUTED_VALUE"""),40641.645833333336)</f>
        <v>40641.64583</v>
      </c>
      <c r="C400" s="2">
        <f>IFERROR(__xludf.DUMMYFUNCTION("""COMPUTED_VALUE"""),378.18)</f>
        <v>378.18</v>
      </c>
    </row>
    <row r="401" ht="15.75" customHeight="1">
      <c r="B401" s="3">
        <f>IFERROR(__xludf.DUMMYFUNCTION("""COMPUTED_VALUE"""),40648.645833333336)</f>
        <v>40648.64583</v>
      </c>
      <c r="C401" s="2">
        <f>IFERROR(__xludf.DUMMYFUNCTION("""COMPUTED_VALUE"""),370.03)</f>
        <v>370.03</v>
      </c>
    </row>
    <row r="402" ht="15.75" customHeight="1">
      <c r="B402" s="3">
        <f>IFERROR(__xludf.DUMMYFUNCTION("""COMPUTED_VALUE"""),40654.645833333336)</f>
        <v>40654.64583</v>
      </c>
      <c r="C402" s="2">
        <f>IFERROR(__xludf.DUMMYFUNCTION("""COMPUTED_VALUE"""),370.78)</f>
        <v>370.78</v>
      </c>
    </row>
    <row r="403" ht="15.75" customHeight="1">
      <c r="B403" s="3">
        <f>IFERROR(__xludf.DUMMYFUNCTION("""COMPUTED_VALUE"""),40662.645833333336)</f>
        <v>40662.64583</v>
      </c>
      <c r="C403" s="2">
        <f>IFERROR(__xludf.DUMMYFUNCTION("""COMPUTED_VALUE"""),364.27)</f>
        <v>364.27</v>
      </c>
    </row>
    <row r="404" ht="15.75" customHeight="1">
      <c r="B404" s="3">
        <f>IFERROR(__xludf.DUMMYFUNCTION("""COMPUTED_VALUE"""),40669.645833333336)</f>
        <v>40669.64583</v>
      </c>
      <c r="C404" s="2">
        <f>IFERROR(__xludf.DUMMYFUNCTION("""COMPUTED_VALUE"""),358.4)</f>
        <v>358.4</v>
      </c>
    </row>
    <row r="405" ht="15.75" customHeight="1">
      <c r="B405" s="3">
        <f>IFERROR(__xludf.DUMMYFUNCTION("""COMPUTED_VALUE"""),40676.645833333336)</f>
        <v>40676.64583</v>
      </c>
      <c r="C405" s="2">
        <f>IFERROR(__xludf.DUMMYFUNCTION("""COMPUTED_VALUE"""),348.32)</f>
        <v>348.32</v>
      </c>
    </row>
    <row r="406" ht="15.75" customHeight="1">
      <c r="B406" s="3">
        <f>IFERROR(__xludf.DUMMYFUNCTION("""COMPUTED_VALUE"""),40683.645833333336)</f>
        <v>40683.64583</v>
      </c>
      <c r="C406" s="2">
        <f>IFERROR(__xludf.DUMMYFUNCTION("""COMPUTED_VALUE"""),341.26)</f>
        <v>341.26</v>
      </c>
    </row>
    <row r="407" ht="15.75" customHeight="1">
      <c r="B407" s="3">
        <f>IFERROR(__xludf.DUMMYFUNCTION("""COMPUTED_VALUE"""),40690.645833333336)</f>
        <v>40690.64583</v>
      </c>
      <c r="C407" s="2">
        <f>IFERROR(__xludf.DUMMYFUNCTION("""COMPUTED_VALUE"""),329.6)</f>
        <v>329.6</v>
      </c>
    </row>
    <row r="408" ht="15.75" customHeight="1">
      <c r="B408" s="3">
        <f>IFERROR(__xludf.DUMMYFUNCTION("""COMPUTED_VALUE"""),40697.645833333336)</f>
        <v>40697.64583</v>
      </c>
      <c r="C408" s="2">
        <f>IFERROR(__xludf.DUMMYFUNCTION("""COMPUTED_VALUE"""),336.56)</f>
        <v>336.56</v>
      </c>
    </row>
    <row r="409" ht="15.75" customHeight="1">
      <c r="B409" s="3">
        <f>IFERROR(__xludf.DUMMYFUNCTION("""COMPUTED_VALUE"""),40704.645833333336)</f>
        <v>40704.64583</v>
      </c>
      <c r="C409" s="2">
        <f>IFERROR(__xludf.DUMMYFUNCTION("""COMPUTED_VALUE"""),332.63)</f>
        <v>332.63</v>
      </c>
    </row>
    <row r="410" ht="15.75" customHeight="1">
      <c r="B410" s="3">
        <f>IFERROR(__xludf.DUMMYFUNCTION("""COMPUTED_VALUE"""),40711.645833333336)</f>
        <v>40711.64583</v>
      </c>
      <c r="C410" s="2">
        <f>IFERROR(__xludf.DUMMYFUNCTION("""COMPUTED_VALUE"""),324.27)</f>
        <v>324.27</v>
      </c>
    </row>
    <row r="411" ht="15.75" customHeight="1">
      <c r="B411" s="3">
        <f>IFERROR(__xludf.DUMMYFUNCTION("""COMPUTED_VALUE"""),40718.645833333336)</f>
        <v>40718.64583</v>
      </c>
      <c r="C411" s="2">
        <f>IFERROR(__xludf.DUMMYFUNCTION("""COMPUTED_VALUE"""),307.43)</f>
        <v>307.43</v>
      </c>
    </row>
    <row r="412" ht="15.75" customHeight="1">
      <c r="B412" s="3">
        <f>IFERROR(__xludf.DUMMYFUNCTION("""COMPUTED_VALUE"""),40725.645833333336)</f>
        <v>40725.64583</v>
      </c>
      <c r="C412" s="2">
        <f>IFERROR(__xludf.DUMMYFUNCTION("""COMPUTED_VALUE"""),307.43)</f>
        <v>307.43</v>
      </c>
    </row>
    <row r="413" ht="15.75" customHeight="1">
      <c r="B413" s="3">
        <f>IFERROR(__xludf.DUMMYFUNCTION("""COMPUTED_VALUE"""),40732.645833333336)</f>
        <v>40732.64583</v>
      </c>
      <c r="C413" s="2">
        <f>IFERROR(__xludf.DUMMYFUNCTION("""COMPUTED_VALUE"""),325.4)</f>
        <v>325.4</v>
      </c>
    </row>
    <row r="414" ht="15.75" customHeight="1">
      <c r="B414" s="3">
        <f>IFERROR(__xludf.DUMMYFUNCTION("""COMPUTED_VALUE"""),40739.645833333336)</f>
        <v>40739.64583</v>
      </c>
      <c r="C414" s="2">
        <f>IFERROR(__xludf.DUMMYFUNCTION("""COMPUTED_VALUE"""),318.66)</f>
        <v>318.66</v>
      </c>
    </row>
    <row r="415" ht="15.75" customHeight="1">
      <c r="B415" s="3">
        <f>IFERROR(__xludf.DUMMYFUNCTION("""COMPUTED_VALUE"""),40746.645833333336)</f>
        <v>40746.64583</v>
      </c>
      <c r="C415" s="2">
        <f>IFERROR(__xludf.DUMMYFUNCTION("""COMPUTED_VALUE"""),320.39)</f>
        <v>320.39</v>
      </c>
    </row>
    <row r="416" ht="15.75" customHeight="1">
      <c r="B416" s="3">
        <f>IFERROR(__xludf.DUMMYFUNCTION("""COMPUTED_VALUE"""),40753.645833333336)</f>
        <v>40753.64583</v>
      </c>
      <c r="C416" s="2">
        <f>IFERROR(__xludf.DUMMYFUNCTION("""COMPUTED_VALUE"""),322.36)</f>
        <v>322.36</v>
      </c>
    </row>
    <row r="417" ht="15.75" customHeight="1">
      <c r="B417" s="3">
        <f>IFERROR(__xludf.DUMMYFUNCTION("""COMPUTED_VALUE"""),40760.645833333336)</f>
        <v>40760.64583</v>
      </c>
      <c r="C417" s="2">
        <f>IFERROR(__xludf.DUMMYFUNCTION("""COMPUTED_VALUE"""),321.83)</f>
        <v>321.83</v>
      </c>
    </row>
    <row r="418" ht="15.75" customHeight="1">
      <c r="B418" s="3">
        <f>IFERROR(__xludf.DUMMYFUNCTION("""COMPUTED_VALUE"""),40767.645833333336)</f>
        <v>40767.64583</v>
      </c>
      <c r="C418" s="2">
        <f>IFERROR(__xludf.DUMMYFUNCTION("""COMPUTED_VALUE"""),315.3)</f>
        <v>315.3</v>
      </c>
    </row>
    <row r="419" ht="15.75" customHeight="1">
      <c r="B419" s="3">
        <f>IFERROR(__xludf.DUMMYFUNCTION("""COMPUTED_VALUE"""),40774.645833333336)</f>
        <v>40774.64583</v>
      </c>
      <c r="C419" s="2">
        <f>IFERROR(__xludf.DUMMYFUNCTION("""COMPUTED_VALUE"""),309.3)</f>
        <v>309.3</v>
      </c>
    </row>
    <row r="420" ht="15.75" customHeight="1">
      <c r="B420" s="3">
        <f>IFERROR(__xludf.DUMMYFUNCTION("""COMPUTED_VALUE"""),40781.645833333336)</f>
        <v>40781.64583</v>
      </c>
      <c r="C420" s="2">
        <f>IFERROR(__xludf.DUMMYFUNCTION("""COMPUTED_VALUE"""),314.63)</f>
        <v>314.63</v>
      </c>
    </row>
    <row r="421" ht="15.75" customHeight="1">
      <c r="B421" s="3">
        <f>IFERROR(__xludf.DUMMYFUNCTION("""COMPUTED_VALUE"""),40788.645833333336)</f>
        <v>40788.64583</v>
      </c>
      <c r="C421" s="2">
        <f>IFERROR(__xludf.DUMMYFUNCTION("""COMPUTED_VALUE"""),316.07)</f>
        <v>316.07</v>
      </c>
    </row>
    <row r="422" ht="15.75" customHeight="1">
      <c r="B422" s="3">
        <f>IFERROR(__xludf.DUMMYFUNCTION("""COMPUTED_VALUE"""),40795.645833333336)</f>
        <v>40795.64583</v>
      </c>
      <c r="C422" s="2">
        <f>IFERROR(__xludf.DUMMYFUNCTION("""COMPUTED_VALUE"""),328.31)</f>
        <v>328.31</v>
      </c>
    </row>
    <row r="423" ht="15.75" customHeight="1">
      <c r="B423" s="3">
        <f>IFERROR(__xludf.DUMMYFUNCTION("""COMPUTED_VALUE"""),40802.645833333336)</f>
        <v>40802.64583</v>
      </c>
      <c r="C423" s="2">
        <f>IFERROR(__xludf.DUMMYFUNCTION("""COMPUTED_VALUE"""),335.22)</f>
        <v>335.22</v>
      </c>
    </row>
    <row r="424" ht="15.75" customHeight="1">
      <c r="B424" s="3">
        <f>IFERROR(__xludf.DUMMYFUNCTION("""COMPUTED_VALUE"""),40809.645833333336)</f>
        <v>40809.64583</v>
      </c>
      <c r="C424" s="2">
        <f>IFERROR(__xludf.DUMMYFUNCTION("""COMPUTED_VALUE"""),346.41)</f>
        <v>346.41</v>
      </c>
    </row>
    <row r="425" ht="15.75" customHeight="1">
      <c r="B425" s="3">
        <f>IFERROR(__xludf.DUMMYFUNCTION("""COMPUTED_VALUE"""),40816.645833333336)</f>
        <v>40816.64583</v>
      </c>
      <c r="C425" s="2">
        <f>IFERROR(__xludf.DUMMYFUNCTION("""COMPUTED_VALUE"""),342.51)</f>
        <v>342.51</v>
      </c>
    </row>
    <row r="426" ht="15.75" customHeight="1">
      <c r="B426" s="3">
        <f>IFERROR(__xludf.DUMMYFUNCTION("""COMPUTED_VALUE"""),40823.645833333336)</f>
        <v>40823.64583</v>
      </c>
      <c r="C426" s="2">
        <f>IFERROR(__xludf.DUMMYFUNCTION("""COMPUTED_VALUE"""),344.86)</f>
        <v>344.86</v>
      </c>
    </row>
    <row r="427" ht="15.75" customHeight="1">
      <c r="B427" s="3">
        <f>IFERROR(__xludf.DUMMYFUNCTION("""COMPUTED_VALUE"""),40830.645833333336)</f>
        <v>40830.64583</v>
      </c>
      <c r="C427" s="2">
        <f>IFERROR(__xludf.DUMMYFUNCTION("""COMPUTED_VALUE"""),347.69)</f>
        <v>347.69</v>
      </c>
    </row>
    <row r="428" ht="15.75" customHeight="1">
      <c r="B428" s="3">
        <f>IFERROR(__xludf.DUMMYFUNCTION("""COMPUTED_VALUE"""),40837.645833333336)</f>
        <v>40837.64583</v>
      </c>
      <c r="C428" s="2">
        <f>IFERROR(__xludf.DUMMYFUNCTION("""COMPUTED_VALUE"""),344.0)</f>
        <v>344</v>
      </c>
    </row>
    <row r="429" ht="15.75" customHeight="1">
      <c r="B429" s="3">
        <f>IFERROR(__xludf.DUMMYFUNCTION("""COMPUTED_VALUE"""),40844.645833333336)</f>
        <v>40844.64583</v>
      </c>
      <c r="C429" s="2">
        <f>IFERROR(__xludf.DUMMYFUNCTION("""COMPUTED_VALUE"""),376.13)</f>
        <v>376.13</v>
      </c>
    </row>
    <row r="430" ht="15.75" customHeight="1">
      <c r="B430" s="3">
        <f>IFERROR(__xludf.DUMMYFUNCTION("""COMPUTED_VALUE"""),40851.645833333336)</f>
        <v>40851.64583</v>
      </c>
      <c r="C430" s="2">
        <f>IFERROR(__xludf.DUMMYFUNCTION("""COMPUTED_VALUE"""),367.18)</f>
        <v>367.18</v>
      </c>
    </row>
    <row r="431" ht="15.75" customHeight="1">
      <c r="B431" s="3">
        <f>IFERROR(__xludf.DUMMYFUNCTION("""COMPUTED_VALUE"""),40858.645833333336)</f>
        <v>40858.64583</v>
      </c>
      <c r="C431" s="2">
        <f>IFERROR(__xludf.DUMMYFUNCTION("""COMPUTED_VALUE"""),367.18)</f>
        <v>367.18</v>
      </c>
    </row>
    <row r="432" ht="15.75" customHeight="1">
      <c r="B432" s="3">
        <f>IFERROR(__xludf.DUMMYFUNCTION("""COMPUTED_VALUE"""),40865.645833333336)</f>
        <v>40865.64583</v>
      </c>
      <c r="C432" s="2">
        <f>IFERROR(__xludf.DUMMYFUNCTION("""COMPUTED_VALUE"""),359.7)</f>
        <v>359.7</v>
      </c>
    </row>
    <row r="433" ht="15.75" customHeight="1">
      <c r="B433" s="3">
        <f>IFERROR(__xludf.DUMMYFUNCTION("""COMPUTED_VALUE"""),40872.645833333336)</f>
        <v>40872.64583</v>
      </c>
      <c r="C433" s="2">
        <f>IFERROR(__xludf.DUMMYFUNCTION("""COMPUTED_VALUE"""),336.8)</f>
        <v>336.8</v>
      </c>
    </row>
    <row r="434" ht="15.75" customHeight="1">
      <c r="B434" s="3">
        <f>IFERROR(__xludf.DUMMYFUNCTION("""COMPUTED_VALUE"""),40879.645833333336)</f>
        <v>40879.64583</v>
      </c>
      <c r="C434" s="2">
        <f>IFERROR(__xludf.DUMMYFUNCTION("""COMPUTED_VALUE"""),358.61)</f>
        <v>358.61</v>
      </c>
    </row>
    <row r="435" ht="15.75" customHeight="1">
      <c r="B435" s="3">
        <f>IFERROR(__xludf.DUMMYFUNCTION("""COMPUTED_VALUE"""),40886.645833333336)</f>
        <v>40886.64583</v>
      </c>
      <c r="C435" s="2">
        <f>IFERROR(__xludf.DUMMYFUNCTION("""COMPUTED_VALUE"""),358.21)</f>
        <v>358.21</v>
      </c>
    </row>
    <row r="436" ht="15.75" customHeight="1">
      <c r="B436" s="3">
        <f>IFERROR(__xludf.DUMMYFUNCTION("""COMPUTED_VALUE"""),40893.645833333336)</f>
        <v>40893.64583</v>
      </c>
      <c r="C436" s="2">
        <f>IFERROR(__xludf.DUMMYFUNCTION("""COMPUTED_VALUE"""),351.34)</f>
        <v>351.34</v>
      </c>
    </row>
    <row r="437" ht="15.75" customHeight="1">
      <c r="B437" s="3">
        <f>IFERROR(__xludf.DUMMYFUNCTION("""COMPUTED_VALUE"""),40900.645833333336)</f>
        <v>40900.64583</v>
      </c>
      <c r="C437" s="2">
        <f>IFERROR(__xludf.DUMMYFUNCTION("""COMPUTED_VALUE"""),356.24)</f>
        <v>356.24</v>
      </c>
    </row>
    <row r="438" ht="15.75" customHeight="1">
      <c r="B438" s="3">
        <f>IFERROR(__xludf.DUMMYFUNCTION("""COMPUTED_VALUE"""),40907.645833333336)</f>
        <v>40907.64583</v>
      </c>
      <c r="C438" s="2">
        <f>IFERROR(__xludf.DUMMYFUNCTION("""COMPUTED_VALUE"""),366.9)</f>
        <v>366.9</v>
      </c>
    </row>
    <row r="439" ht="15.75" customHeight="1"/>
    <row r="440" ht="15.75" customHeight="1"/>
    <row r="441" ht="15.75" customHeight="1">
      <c r="B441" s="2" t="str">
        <f>IFERROR(__xludf.DUMMYFUNCTION("GOOGLEFINANCE(""NSE:GRASIM"", ""high"",DATE(2012,1,1),DATE(2013,1,1),""weekly"")"),"Date")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IFERROR(__xludf.DUMMYFUNCTION("""COMPUTED_VALUE"""),40921.645833333336)</f>
        <v>40921.64583</v>
      </c>
      <c r="C442" s="2">
        <f>IFERROR(__xludf.DUMMYFUNCTION("""COMPUTED_VALUE"""),361.7)</f>
        <v>361.7</v>
      </c>
    </row>
    <row r="443" ht="15.75" customHeight="1">
      <c r="B443" s="3">
        <f>IFERROR(__xludf.DUMMYFUNCTION("""COMPUTED_VALUE"""),40928.645833333336)</f>
        <v>40928.64583</v>
      </c>
      <c r="C443" s="2">
        <f>IFERROR(__xludf.DUMMYFUNCTION("""COMPUTED_VALUE"""),368.62)</f>
        <v>368.62</v>
      </c>
    </row>
    <row r="444" ht="15.75" customHeight="1">
      <c r="B444" s="3">
        <f>IFERROR(__xludf.DUMMYFUNCTION("""COMPUTED_VALUE"""),40935.645833333336)</f>
        <v>40935.64583</v>
      </c>
      <c r="C444" s="2">
        <f>IFERROR(__xludf.DUMMYFUNCTION("""COMPUTED_VALUE"""),374.37)</f>
        <v>374.37</v>
      </c>
    </row>
    <row r="445" ht="15.75" customHeight="1">
      <c r="B445" s="3">
        <f>IFERROR(__xludf.DUMMYFUNCTION("""COMPUTED_VALUE"""),40942.645833333336)</f>
        <v>40942.64583</v>
      </c>
      <c r="C445" s="2">
        <f>IFERROR(__xludf.DUMMYFUNCTION("""COMPUTED_VALUE"""),397.28)</f>
        <v>397.28</v>
      </c>
    </row>
    <row r="446" ht="15.75" customHeight="1">
      <c r="B446" s="3">
        <f>IFERROR(__xludf.DUMMYFUNCTION("""COMPUTED_VALUE"""),40949.645833333336)</f>
        <v>40949.64583</v>
      </c>
      <c r="C446" s="2">
        <f>IFERROR(__xludf.DUMMYFUNCTION("""COMPUTED_VALUE"""),416.13)</f>
        <v>416.13</v>
      </c>
    </row>
    <row r="447" ht="15.75" customHeight="1">
      <c r="B447" s="3">
        <f>IFERROR(__xludf.DUMMYFUNCTION("""COMPUTED_VALUE"""),40956.645833333336)</f>
        <v>40956.64583</v>
      </c>
      <c r="C447" s="2">
        <f>IFERROR(__xludf.DUMMYFUNCTION("""COMPUTED_VALUE"""),416.82)</f>
        <v>416.82</v>
      </c>
    </row>
    <row r="448" ht="15.75" customHeight="1">
      <c r="B448" s="3">
        <f>IFERROR(__xludf.DUMMYFUNCTION("""COMPUTED_VALUE"""),40963.645833333336)</f>
        <v>40963.64583</v>
      </c>
      <c r="C448" s="2">
        <f>IFERROR(__xludf.DUMMYFUNCTION("""COMPUTED_VALUE"""),421.61)</f>
        <v>421.61</v>
      </c>
    </row>
    <row r="449" ht="15.75" customHeight="1">
      <c r="B449" s="3">
        <f>IFERROR(__xludf.DUMMYFUNCTION("""COMPUTED_VALUE"""),40977.645833333336)</f>
        <v>40977.64583</v>
      </c>
      <c r="C449" s="2">
        <f>IFERROR(__xludf.DUMMYFUNCTION("""COMPUTED_VALUE"""),394.25)</f>
        <v>394.25</v>
      </c>
    </row>
    <row r="450" ht="15.75" customHeight="1">
      <c r="B450" s="3">
        <f>IFERROR(__xludf.DUMMYFUNCTION("""COMPUTED_VALUE"""),40984.645833333336)</f>
        <v>40984.64583</v>
      </c>
      <c r="C450" s="2">
        <f>IFERROR(__xludf.DUMMYFUNCTION("""COMPUTED_VALUE"""),410.37)</f>
        <v>410.37</v>
      </c>
    </row>
    <row r="451" ht="15.75" customHeight="1">
      <c r="B451" s="3">
        <f>IFERROR(__xludf.DUMMYFUNCTION("""COMPUTED_VALUE"""),40991.645833333336)</f>
        <v>40991.64583</v>
      </c>
      <c r="C451" s="2">
        <f>IFERROR(__xludf.DUMMYFUNCTION("""COMPUTED_VALUE"""),400.05)</f>
        <v>400.05</v>
      </c>
    </row>
    <row r="452" ht="15.75" customHeight="1">
      <c r="B452" s="3">
        <f>IFERROR(__xludf.DUMMYFUNCTION("""COMPUTED_VALUE"""),40998.645833333336)</f>
        <v>40998.64583</v>
      </c>
      <c r="C452" s="2">
        <f>IFERROR(__xludf.DUMMYFUNCTION("""COMPUTED_VALUE"""),387.34)</f>
        <v>387.34</v>
      </c>
    </row>
    <row r="453" ht="15.75" customHeight="1">
      <c r="B453" s="3">
        <f>IFERROR(__xludf.DUMMYFUNCTION("""COMPUTED_VALUE"""),41003.645833333336)</f>
        <v>41003.64583</v>
      </c>
      <c r="C453" s="2">
        <f>IFERROR(__xludf.DUMMYFUNCTION("""COMPUTED_VALUE"""),383.02)</f>
        <v>383.02</v>
      </c>
    </row>
    <row r="454" ht="15.75" customHeight="1">
      <c r="B454" s="3">
        <f>IFERROR(__xludf.DUMMYFUNCTION("""COMPUTED_VALUE"""),41012.645833333336)</f>
        <v>41012.64583</v>
      </c>
      <c r="C454" s="2">
        <f>IFERROR(__xludf.DUMMYFUNCTION("""COMPUTED_VALUE"""),384.17)</f>
        <v>384.17</v>
      </c>
    </row>
    <row r="455" ht="15.75" customHeight="1">
      <c r="B455" s="3">
        <f>IFERROR(__xludf.DUMMYFUNCTION("""COMPUTED_VALUE"""),41019.645833333336)</f>
        <v>41019.64583</v>
      </c>
      <c r="C455" s="2">
        <f>IFERROR(__xludf.DUMMYFUNCTION("""COMPUTED_VALUE"""),387.05)</f>
        <v>387.05</v>
      </c>
    </row>
    <row r="456" ht="15.75" customHeight="1">
      <c r="B456" s="3">
        <f>IFERROR(__xludf.DUMMYFUNCTION("""COMPUTED_VALUE"""),41033.645833333336)</f>
        <v>41033.64583</v>
      </c>
      <c r="C456" s="2">
        <f>IFERROR(__xludf.DUMMYFUNCTION("""COMPUTED_VALUE"""),373.95)</f>
        <v>373.95</v>
      </c>
    </row>
    <row r="457" ht="15.75" customHeight="1">
      <c r="B457" s="3">
        <f>IFERROR(__xludf.DUMMYFUNCTION("""COMPUTED_VALUE"""),41040.645833333336)</f>
        <v>41040.64583</v>
      </c>
      <c r="C457" s="2">
        <f>IFERROR(__xludf.DUMMYFUNCTION("""COMPUTED_VALUE"""),363.99)</f>
        <v>363.99</v>
      </c>
    </row>
    <row r="458" ht="15.75" customHeight="1">
      <c r="B458" s="3">
        <f>IFERROR(__xludf.DUMMYFUNCTION("""COMPUTED_VALUE"""),41047.645833333336)</f>
        <v>41047.64583</v>
      </c>
      <c r="C458" s="2">
        <f>IFERROR(__xludf.DUMMYFUNCTION("""COMPUTED_VALUE"""),344.58)</f>
        <v>344.58</v>
      </c>
    </row>
    <row r="459" ht="15.75" customHeight="1">
      <c r="B459" s="3">
        <f>IFERROR(__xludf.DUMMYFUNCTION("""COMPUTED_VALUE"""),41054.645833333336)</f>
        <v>41054.64583</v>
      </c>
      <c r="C459" s="2">
        <f>IFERROR(__xludf.DUMMYFUNCTION("""COMPUTED_VALUE"""),352.41)</f>
        <v>352.41</v>
      </c>
    </row>
    <row r="460" ht="15.75" customHeight="1">
      <c r="B460" s="3">
        <f>IFERROR(__xludf.DUMMYFUNCTION("""COMPUTED_VALUE"""),41061.645833333336)</f>
        <v>41061.64583</v>
      </c>
      <c r="C460" s="2">
        <f>IFERROR(__xludf.DUMMYFUNCTION("""COMPUTED_VALUE"""),350.34)</f>
        <v>350.34</v>
      </c>
    </row>
    <row r="461" ht="15.75" customHeight="1">
      <c r="B461" s="3">
        <f>IFERROR(__xludf.DUMMYFUNCTION("""COMPUTED_VALUE"""),41068.645833333336)</f>
        <v>41068.64583</v>
      </c>
      <c r="C461" s="2">
        <f>IFERROR(__xludf.DUMMYFUNCTION("""COMPUTED_VALUE"""),338.67)</f>
        <v>338.67</v>
      </c>
    </row>
    <row r="462" ht="15.75" customHeight="1">
      <c r="B462" s="3">
        <f>IFERROR(__xludf.DUMMYFUNCTION("""COMPUTED_VALUE"""),41075.645833333336)</f>
        <v>41075.64583</v>
      </c>
      <c r="C462" s="2">
        <f>IFERROR(__xludf.DUMMYFUNCTION("""COMPUTED_VALUE"""),360.99)</f>
        <v>360.99</v>
      </c>
    </row>
    <row r="463" ht="15.75" customHeight="1">
      <c r="B463" s="3">
        <f>IFERROR(__xludf.DUMMYFUNCTION("""COMPUTED_VALUE"""),41082.645833333336)</f>
        <v>41082.64583</v>
      </c>
      <c r="C463" s="2">
        <f>IFERROR(__xludf.DUMMYFUNCTION("""COMPUTED_VALUE"""),364.88)</f>
        <v>364.88</v>
      </c>
    </row>
    <row r="464" ht="15.75" customHeight="1">
      <c r="B464" s="3">
        <f>IFERROR(__xludf.DUMMYFUNCTION("""COMPUTED_VALUE"""),41089.645833333336)</f>
        <v>41089.64583</v>
      </c>
      <c r="C464" s="2">
        <f>IFERROR(__xludf.DUMMYFUNCTION("""COMPUTED_VALUE"""),387.05)</f>
        <v>387.05</v>
      </c>
    </row>
    <row r="465" ht="15.75" customHeight="1">
      <c r="B465" s="3">
        <f>IFERROR(__xludf.DUMMYFUNCTION("""COMPUTED_VALUE"""),41096.645833333336)</f>
        <v>41096.64583</v>
      </c>
      <c r="C465" s="2">
        <f>IFERROR(__xludf.DUMMYFUNCTION("""COMPUTED_VALUE"""),396.7)</f>
        <v>396.7</v>
      </c>
    </row>
    <row r="466" ht="15.75" customHeight="1">
      <c r="B466" s="3">
        <f>IFERROR(__xludf.DUMMYFUNCTION("""COMPUTED_VALUE"""),41103.645833333336)</f>
        <v>41103.64583</v>
      </c>
      <c r="C466" s="2">
        <f>IFERROR(__xludf.DUMMYFUNCTION("""COMPUTED_VALUE"""),384.75)</f>
        <v>384.75</v>
      </c>
    </row>
    <row r="467" ht="15.75" customHeight="1">
      <c r="B467" s="3">
        <f>IFERROR(__xludf.DUMMYFUNCTION("""COMPUTED_VALUE"""),41110.645833333336)</f>
        <v>41110.64583</v>
      </c>
      <c r="C467" s="2">
        <f>IFERROR(__xludf.DUMMYFUNCTION("""COMPUTED_VALUE"""),384.22)</f>
        <v>384.22</v>
      </c>
    </row>
    <row r="468" ht="15.75" customHeight="1">
      <c r="B468" s="3">
        <f>IFERROR(__xludf.DUMMYFUNCTION("""COMPUTED_VALUE"""),41117.645833333336)</f>
        <v>41117.64583</v>
      </c>
      <c r="C468" s="2">
        <f>IFERROR(__xludf.DUMMYFUNCTION("""COMPUTED_VALUE"""),391.67)</f>
        <v>391.67</v>
      </c>
    </row>
    <row r="469" ht="15.75" customHeight="1">
      <c r="B469" s="3">
        <f>IFERROR(__xludf.DUMMYFUNCTION("""COMPUTED_VALUE"""),41124.645833333336)</f>
        <v>41124.64583</v>
      </c>
      <c r="C469" s="2">
        <f>IFERROR(__xludf.DUMMYFUNCTION("""COMPUTED_VALUE"""),421.18)</f>
        <v>421.18</v>
      </c>
    </row>
    <row r="470" ht="15.75" customHeight="1">
      <c r="B470" s="3">
        <f>IFERROR(__xludf.DUMMYFUNCTION("""COMPUTED_VALUE"""),41131.645833333336)</f>
        <v>41131.64583</v>
      </c>
      <c r="C470" s="2">
        <f>IFERROR(__xludf.DUMMYFUNCTION("""COMPUTED_VALUE"""),438.83)</f>
        <v>438.83</v>
      </c>
    </row>
    <row r="471" ht="15.75" customHeight="1">
      <c r="B471" s="3">
        <f>IFERROR(__xludf.DUMMYFUNCTION("""COMPUTED_VALUE"""),41138.645833333336)</f>
        <v>41138.64583</v>
      </c>
      <c r="C471" s="2">
        <f>IFERROR(__xludf.DUMMYFUNCTION("""COMPUTED_VALUE"""),439.02)</f>
        <v>439.02</v>
      </c>
    </row>
    <row r="472" ht="15.75" customHeight="1">
      <c r="B472" s="3">
        <f>IFERROR(__xludf.DUMMYFUNCTION("""COMPUTED_VALUE"""),41145.645833333336)</f>
        <v>41145.64583</v>
      </c>
      <c r="C472" s="2">
        <f>IFERROR(__xludf.DUMMYFUNCTION("""COMPUTED_VALUE"""),441.99)</f>
        <v>441.99</v>
      </c>
    </row>
    <row r="473" ht="15.75" customHeight="1">
      <c r="B473" s="3">
        <f>IFERROR(__xludf.DUMMYFUNCTION("""COMPUTED_VALUE"""),41152.645833333336)</f>
        <v>41152.64583</v>
      </c>
      <c r="C473" s="2">
        <f>IFERROR(__xludf.DUMMYFUNCTION("""COMPUTED_VALUE"""),437.74)</f>
        <v>437.74</v>
      </c>
    </row>
    <row r="474" ht="15.75" customHeight="1">
      <c r="B474" s="3">
        <f>IFERROR(__xludf.DUMMYFUNCTION("""COMPUTED_VALUE"""),41166.645833333336)</f>
        <v>41166.64583</v>
      </c>
      <c r="C474" s="2">
        <f>IFERROR(__xludf.DUMMYFUNCTION("""COMPUTED_VALUE"""),449.4)</f>
        <v>449.4</v>
      </c>
    </row>
    <row r="475" ht="15.75" customHeight="1">
      <c r="B475" s="3">
        <f>IFERROR(__xludf.DUMMYFUNCTION("""COMPUTED_VALUE"""),41173.645833333336)</f>
        <v>41173.64583</v>
      </c>
      <c r="C475" s="2">
        <f>IFERROR(__xludf.DUMMYFUNCTION("""COMPUTED_VALUE"""),470.02)</f>
        <v>470.02</v>
      </c>
    </row>
    <row r="476" ht="15.75" customHeight="1">
      <c r="B476" s="3">
        <f>IFERROR(__xludf.DUMMYFUNCTION("""COMPUTED_VALUE"""),41180.645833333336)</f>
        <v>41180.64583</v>
      </c>
      <c r="C476" s="2">
        <f>IFERROR(__xludf.DUMMYFUNCTION("""COMPUTED_VALUE"""),482.16)</f>
        <v>482.16</v>
      </c>
    </row>
    <row r="477" ht="15.75" customHeight="1">
      <c r="B477" s="3">
        <f>IFERROR(__xludf.DUMMYFUNCTION("""COMPUTED_VALUE"""),41187.645833333336)</f>
        <v>41187.64583</v>
      </c>
      <c r="C477" s="2">
        <f>IFERROR(__xludf.DUMMYFUNCTION("""COMPUTED_VALUE"""),495.08)</f>
        <v>495.08</v>
      </c>
    </row>
    <row r="478" ht="15.75" customHeight="1">
      <c r="B478" s="3">
        <f>IFERROR(__xludf.DUMMYFUNCTION("""COMPUTED_VALUE"""),41194.645833333336)</f>
        <v>41194.64583</v>
      </c>
      <c r="C478" s="2">
        <f>IFERROR(__xludf.DUMMYFUNCTION("""COMPUTED_VALUE"""),492.46)</f>
        <v>492.46</v>
      </c>
    </row>
    <row r="479" ht="15.75" customHeight="1">
      <c r="B479" s="3">
        <f>IFERROR(__xludf.DUMMYFUNCTION("""COMPUTED_VALUE"""),41201.645833333336)</f>
        <v>41201.64583</v>
      </c>
      <c r="C479" s="2">
        <f>IFERROR(__xludf.DUMMYFUNCTION("""COMPUTED_VALUE"""),505.42)</f>
        <v>505.42</v>
      </c>
    </row>
    <row r="480" ht="15.75" customHeight="1">
      <c r="B480" s="3">
        <f>IFERROR(__xludf.DUMMYFUNCTION("""COMPUTED_VALUE"""),41208.645833333336)</f>
        <v>41208.64583</v>
      </c>
      <c r="C480" s="2">
        <f>IFERROR(__xludf.DUMMYFUNCTION("""COMPUTED_VALUE"""),497.07)</f>
        <v>497.07</v>
      </c>
    </row>
    <row r="481" ht="15.75" customHeight="1">
      <c r="B481" s="3">
        <f>IFERROR(__xludf.DUMMYFUNCTION("""COMPUTED_VALUE"""),41215.645833333336)</f>
        <v>41215.64583</v>
      </c>
      <c r="C481" s="2">
        <f>IFERROR(__xludf.DUMMYFUNCTION("""COMPUTED_VALUE"""),496.14)</f>
        <v>496.14</v>
      </c>
    </row>
    <row r="482" ht="15.75" customHeight="1">
      <c r="B482" s="3">
        <f>IFERROR(__xludf.DUMMYFUNCTION("""COMPUTED_VALUE"""),41222.645833333336)</f>
        <v>41222.64583</v>
      </c>
      <c r="C482" s="2">
        <f>IFERROR(__xludf.DUMMYFUNCTION("""COMPUTED_VALUE"""),491.77)</f>
        <v>491.77</v>
      </c>
    </row>
    <row r="483" ht="15.75" customHeight="1">
      <c r="B483" s="3">
        <f>IFERROR(__xludf.DUMMYFUNCTION("""COMPUTED_VALUE"""),41229.645833333336)</f>
        <v>41229.64583</v>
      </c>
      <c r="C483" s="2">
        <f>IFERROR(__xludf.DUMMYFUNCTION("""COMPUTED_VALUE"""),486.51)</f>
        <v>486.51</v>
      </c>
    </row>
    <row r="484" ht="15.75" customHeight="1">
      <c r="B484" s="3">
        <f>IFERROR(__xludf.DUMMYFUNCTION("""COMPUTED_VALUE"""),41236.645833333336)</f>
        <v>41236.64583</v>
      </c>
      <c r="C484" s="2">
        <f>IFERROR(__xludf.DUMMYFUNCTION("""COMPUTED_VALUE"""),468.53)</f>
        <v>468.53</v>
      </c>
    </row>
    <row r="485" ht="15.75" customHeight="1">
      <c r="B485" s="3">
        <f>IFERROR(__xludf.DUMMYFUNCTION("""COMPUTED_VALUE"""),41243.645833333336)</f>
        <v>41243.64583</v>
      </c>
      <c r="C485" s="2">
        <f>IFERROR(__xludf.DUMMYFUNCTION("""COMPUTED_VALUE"""),487.99)</f>
        <v>487.99</v>
      </c>
    </row>
    <row r="486" ht="15.75" customHeight="1">
      <c r="B486" s="3">
        <f>IFERROR(__xludf.DUMMYFUNCTION("""COMPUTED_VALUE"""),41250.645833333336)</f>
        <v>41250.64583</v>
      </c>
      <c r="C486" s="2">
        <f>IFERROR(__xludf.DUMMYFUNCTION("""COMPUTED_VALUE"""),490.3)</f>
        <v>490.3</v>
      </c>
    </row>
    <row r="487" ht="15.75" customHeight="1">
      <c r="B487" s="3">
        <f>IFERROR(__xludf.DUMMYFUNCTION("""COMPUTED_VALUE"""),41257.645833333336)</f>
        <v>41257.64583</v>
      </c>
      <c r="C487" s="2">
        <f>IFERROR(__xludf.DUMMYFUNCTION("""COMPUTED_VALUE"""),469.48)</f>
        <v>469.48</v>
      </c>
    </row>
    <row r="488" ht="15.75" customHeight="1">
      <c r="B488" s="3">
        <f>IFERROR(__xludf.DUMMYFUNCTION("""COMPUTED_VALUE"""),41264.645833333336)</f>
        <v>41264.64583</v>
      </c>
      <c r="C488" s="2">
        <f>IFERROR(__xludf.DUMMYFUNCTION("""COMPUTED_VALUE"""),467.71)</f>
        <v>467.71</v>
      </c>
    </row>
    <row r="489" ht="15.75" customHeight="1">
      <c r="B489" s="3">
        <f>IFERROR(__xludf.DUMMYFUNCTION("""COMPUTED_VALUE"""),41271.645833333336)</f>
        <v>41271.64583</v>
      </c>
      <c r="C489" s="2">
        <f>IFERROR(__xludf.DUMMYFUNCTION("""COMPUTED_VALUE"""),465.66)</f>
        <v>465.66</v>
      </c>
    </row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IFERROR(__xludf.DUMMYFUNCTION("GOOGLEFINANCE(""NSE:GRASIM"", ""high"",DATE(2013,1,1),DATE(2014,1,1),""weekly"")"),"Date")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IFERROR(__xludf.DUMMYFUNCTION("""COMPUTED_VALUE"""),41278.645833333336)</f>
        <v>41278.64583</v>
      </c>
      <c r="C497" s="2">
        <f>IFERROR(__xludf.DUMMYFUNCTION("""COMPUTED_VALUE"""),464.96)</f>
        <v>464.96</v>
      </c>
    </row>
    <row r="498" ht="15.75" customHeight="1">
      <c r="B498" s="3">
        <f>IFERROR(__xludf.DUMMYFUNCTION("""COMPUTED_VALUE"""),41285.645833333336)</f>
        <v>41285.64583</v>
      </c>
      <c r="C498" s="2">
        <f>IFERROR(__xludf.DUMMYFUNCTION("""COMPUTED_VALUE"""),461.76)</f>
        <v>461.76</v>
      </c>
    </row>
    <row r="499" ht="15.75" customHeight="1">
      <c r="B499" s="3">
        <f>IFERROR(__xludf.DUMMYFUNCTION("""COMPUTED_VALUE"""),41292.645833333336)</f>
        <v>41292.64583</v>
      </c>
      <c r="C499" s="2">
        <f>IFERROR(__xludf.DUMMYFUNCTION("""COMPUTED_VALUE"""),448.54)</f>
        <v>448.54</v>
      </c>
    </row>
    <row r="500" ht="15.75" customHeight="1">
      <c r="B500" s="3">
        <f>IFERROR(__xludf.DUMMYFUNCTION("""COMPUTED_VALUE"""),41299.645833333336)</f>
        <v>41299.64583</v>
      </c>
      <c r="C500" s="2">
        <f>IFERROR(__xludf.DUMMYFUNCTION("""COMPUTED_VALUE"""),441.92)</f>
        <v>441.92</v>
      </c>
    </row>
    <row r="501" ht="15.75" customHeight="1">
      <c r="B501" s="3">
        <f>IFERROR(__xludf.DUMMYFUNCTION("""COMPUTED_VALUE"""),41306.645833333336)</f>
        <v>41306.64583</v>
      </c>
      <c r="C501" s="2">
        <f>IFERROR(__xludf.DUMMYFUNCTION("""COMPUTED_VALUE"""),445.58)</f>
        <v>445.58</v>
      </c>
    </row>
    <row r="502" ht="15.75" customHeight="1">
      <c r="B502" s="3">
        <f>IFERROR(__xludf.DUMMYFUNCTION("""COMPUTED_VALUE"""),41313.645833333336)</f>
        <v>41313.64583</v>
      </c>
      <c r="C502" s="2">
        <f>IFERROR(__xludf.DUMMYFUNCTION("""COMPUTED_VALUE"""),441.83)</f>
        <v>441.83</v>
      </c>
    </row>
    <row r="503" ht="15.75" customHeight="1">
      <c r="B503" s="3">
        <f>IFERROR(__xludf.DUMMYFUNCTION("""COMPUTED_VALUE"""),41320.645833333336)</f>
        <v>41320.64583</v>
      </c>
      <c r="C503" s="2">
        <f>IFERROR(__xludf.DUMMYFUNCTION("""COMPUTED_VALUE"""),444.94)</f>
        <v>444.94</v>
      </c>
    </row>
    <row r="504" ht="15.75" customHeight="1">
      <c r="B504" s="3">
        <f>IFERROR(__xludf.DUMMYFUNCTION("""COMPUTED_VALUE"""),41327.645833333336)</f>
        <v>41327.64583</v>
      </c>
      <c r="C504" s="2">
        <f>IFERROR(__xludf.DUMMYFUNCTION("""COMPUTED_VALUE"""),444.49)</f>
        <v>444.49</v>
      </c>
    </row>
    <row r="505" ht="15.75" customHeight="1">
      <c r="B505" s="3">
        <f>IFERROR(__xludf.DUMMYFUNCTION("""COMPUTED_VALUE"""),41334.645833333336)</f>
        <v>41334.64583</v>
      </c>
      <c r="C505" s="2">
        <f>IFERROR(__xludf.DUMMYFUNCTION("""COMPUTED_VALUE"""),440.62)</f>
        <v>440.62</v>
      </c>
    </row>
    <row r="506" ht="15.75" customHeight="1">
      <c r="B506" s="3">
        <f>IFERROR(__xludf.DUMMYFUNCTION("""COMPUTED_VALUE"""),41341.645833333336)</f>
        <v>41341.64583</v>
      </c>
      <c r="C506" s="2">
        <f>IFERROR(__xludf.DUMMYFUNCTION("""COMPUTED_VALUE"""),439.32)</f>
        <v>439.32</v>
      </c>
    </row>
    <row r="507" ht="15.75" customHeight="1">
      <c r="B507" s="3">
        <f>IFERROR(__xludf.DUMMYFUNCTION("""COMPUTED_VALUE"""),41348.645833333336)</f>
        <v>41348.64583</v>
      </c>
      <c r="C507" s="2">
        <f>IFERROR(__xludf.DUMMYFUNCTION("""COMPUTED_VALUE"""),440.48)</f>
        <v>440.48</v>
      </c>
    </row>
    <row r="508" ht="15.75" customHeight="1">
      <c r="B508" s="3">
        <f>IFERROR(__xludf.DUMMYFUNCTION("""COMPUTED_VALUE"""),41355.645833333336)</f>
        <v>41355.64583</v>
      </c>
      <c r="C508" s="2">
        <f>IFERROR(__xludf.DUMMYFUNCTION("""COMPUTED_VALUE"""),430.38)</f>
        <v>430.38</v>
      </c>
    </row>
    <row r="509" ht="15.75" customHeight="1">
      <c r="B509" s="3">
        <f>IFERROR(__xludf.DUMMYFUNCTION("""COMPUTED_VALUE"""),41361.645833333336)</f>
        <v>41361.64583</v>
      </c>
      <c r="C509" s="2">
        <f>IFERROR(__xludf.DUMMYFUNCTION("""COMPUTED_VALUE"""),420.75)</f>
        <v>420.75</v>
      </c>
    </row>
    <row r="510" ht="15.75" customHeight="1">
      <c r="B510" s="3">
        <f>IFERROR(__xludf.DUMMYFUNCTION("""COMPUTED_VALUE"""),41369.645833333336)</f>
        <v>41369.64583</v>
      </c>
      <c r="C510" s="2">
        <f>IFERROR(__xludf.DUMMYFUNCTION("""COMPUTED_VALUE"""),406.92)</f>
        <v>406.92</v>
      </c>
    </row>
    <row r="511" ht="15.75" customHeight="1">
      <c r="B511" s="3">
        <f>IFERROR(__xludf.DUMMYFUNCTION("""COMPUTED_VALUE"""),41376.645833333336)</f>
        <v>41376.64583</v>
      </c>
      <c r="C511" s="2">
        <f>IFERROR(__xludf.DUMMYFUNCTION("""COMPUTED_VALUE"""),399.5)</f>
        <v>399.5</v>
      </c>
    </row>
    <row r="512" ht="15.75" customHeight="1">
      <c r="B512" s="3">
        <f>IFERROR(__xludf.DUMMYFUNCTION("""COMPUTED_VALUE"""),41382.645833333336)</f>
        <v>41382.64583</v>
      </c>
      <c r="C512" s="2">
        <f>IFERROR(__xludf.DUMMYFUNCTION("""COMPUTED_VALUE"""),411.34)</f>
        <v>411.34</v>
      </c>
    </row>
    <row r="513" ht="15.75" customHeight="1">
      <c r="B513" s="3">
        <f>IFERROR(__xludf.DUMMYFUNCTION("""COMPUTED_VALUE"""),41390.645833333336)</f>
        <v>41390.64583</v>
      </c>
      <c r="C513" s="2">
        <f>IFERROR(__xludf.DUMMYFUNCTION("""COMPUTED_VALUE"""),431.98)</f>
        <v>431.98</v>
      </c>
    </row>
    <row r="514" ht="15.75" customHeight="1">
      <c r="B514" s="3">
        <f>IFERROR(__xludf.DUMMYFUNCTION("""COMPUTED_VALUE"""),41397.645833333336)</f>
        <v>41397.64583</v>
      </c>
      <c r="C514" s="2">
        <f>IFERROR(__xludf.DUMMYFUNCTION("""COMPUTED_VALUE"""),430.29)</f>
        <v>430.29</v>
      </c>
    </row>
    <row r="515" ht="15.75" customHeight="1">
      <c r="B515" s="3">
        <f>IFERROR(__xludf.DUMMYFUNCTION("""COMPUTED_VALUE"""),41411.645833333336)</f>
        <v>41411.64583</v>
      </c>
      <c r="C515" s="2">
        <f>IFERROR(__xludf.DUMMYFUNCTION("""COMPUTED_VALUE"""),453.87)</f>
        <v>453.87</v>
      </c>
    </row>
    <row r="516" ht="15.75" customHeight="1">
      <c r="B516" s="3">
        <f>IFERROR(__xludf.DUMMYFUNCTION("""COMPUTED_VALUE"""),41418.645833333336)</f>
        <v>41418.64583</v>
      </c>
      <c r="C516" s="2">
        <f>IFERROR(__xludf.DUMMYFUNCTION("""COMPUTED_VALUE"""),455.02)</f>
        <v>455.02</v>
      </c>
    </row>
    <row r="517" ht="15.75" customHeight="1">
      <c r="B517" s="3">
        <f>IFERROR(__xludf.DUMMYFUNCTION("""COMPUTED_VALUE"""),41425.645833333336)</f>
        <v>41425.64583</v>
      </c>
      <c r="C517" s="2">
        <f>IFERROR(__xludf.DUMMYFUNCTION("""COMPUTED_VALUE"""),431.69)</f>
        <v>431.69</v>
      </c>
    </row>
    <row r="518" ht="15.75" customHeight="1">
      <c r="B518" s="3">
        <f>IFERROR(__xludf.DUMMYFUNCTION("""COMPUTED_VALUE"""),41432.645833333336)</f>
        <v>41432.64583</v>
      </c>
      <c r="C518" s="2">
        <f>IFERROR(__xludf.DUMMYFUNCTION("""COMPUTED_VALUE"""),413.79)</f>
        <v>413.79</v>
      </c>
    </row>
    <row r="519" ht="15.75" customHeight="1">
      <c r="B519" s="3">
        <f>IFERROR(__xludf.DUMMYFUNCTION("""COMPUTED_VALUE"""),41439.645833333336)</f>
        <v>41439.64583</v>
      </c>
      <c r="C519" s="2">
        <f>IFERROR(__xludf.DUMMYFUNCTION("""COMPUTED_VALUE"""),405.49)</f>
        <v>405.49</v>
      </c>
    </row>
    <row r="520" ht="15.75" customHeight="1">
      <c r="B520" s="3">
        <f>IFERROR(__xludf.DUMMYFUNCTION("""COMPUTED_VALUE"""),41446.645833333336)</f>
        <v>41446.64583</v>
      </c>
      <c r="C520" s="2">
        <f>IFERROR(__xludf.DUMMYFUNCTION("""COMPUTED_VALUE"""),407.21)</f>
        <v>407.21</v>
      </c>
    </row>
    <row r="521" ht="15.75" customHeight="1">
      <c r="B521" s="3">
        <f>IFERROR(__xludf.DUMMYFUNCTION("""COMPUTED_VALUE"""),41453.645833333336)</f>
        <v>41453.64583</v>
      </c>
      <c r="C521" s="2">
        <f>IFERROR(__xludf.DUMMYFUNCTION("""COMPUTED_VALUE"""),406.06)</f>
        <v>406.06</v>
      </c>
    </row>
    <row r="522" ht="15.75" customHeight="1">
      <c r="B522" s="3">
        <f>IFERROR(__xludf.DUMMYFUNCTION("""COMPUTED_VALUE"""),41460.645833333336)</f>
        <v>41460.64583</v>
      </c>
      <c r="C522" s="2">
        <f>IFERROR(__xludf.DUMMYFUNCTION("""COMPUTED_VALUE"""),408.25)</f>
        <v>408.25</v>
      </c>
    </row>
    <row r="523" ht="15.75" customHeight="1">
      <c r="B523" s="3">
        <f>IFERROR(__xludf.DUMMYFUNCTION("""COMPUTED_VALUE"""),41467.645833333336)</f>
        <v>41467.64583</v>
      </c>
      <c r="C523" s="2">
        <f>IFERROR(__xludf.DUMMYFUNCTION("""COMPUTED_VALUE"""),408.93)</f>
        <v>408.93</v>
      </c>
    </row>
    <row r="524" ht="15.75" customHeight="1">
      <c r="B524" s="3">
        <f>IFERROR(__xludf.DUMMYFUNCTION("""COMPUTED_VALUE"""),41474.645833333336)</f>
        <v>41474.64583</v>
      </c>
      <c r="C524" s="2">
        <f>IFERROR(__xludf.DUMMYFUNCTION("""COMPUTED_VALUE"""),406.78)</f>
        <v>406.78</v>
      </c>
    </row>
    <row r="525" ht="15.75" customHeight="1">
      <c r="B525" s="3">
        <f>IFERROR(__xludf.DUMMYFUNCTION("""COMPUTED_VALUE"""),41481.645833333336)</f>
        <v>41481.64583</v>
      </c>
      <c r="C525" s="2">
        <f>IFERROR(__xludf.DUMMYFUNCTION("""COMPUTED_VALUE"""),407.49)</f>
        <v>407.49</v>
      </c>
    </row>
    <row r="526" ht="15.75" customHeight="1">
      <c r="B526" s="3">
        <f>IFERROR(__xludf.DUMMYFUNCTION("""COMPUTED_VALUE"""),41488.645833333336)</f>
        <v>41488.64583</v>
      </c>
      <c r="C526" s="2">
        <f>IFERROR(__xludf.DUMMYFUNCTION("""COMPUTED_VALUE"""),395.26)</f>
        <v>395.26</v>
      </c>
    </row>
    <row r="527" ht="15.75" customHeight="1">
      <c r="B527" s="3">
        <f>IFERROR(__xludf.DUMMYFUNCTION("""COMPUTED_VALUE"""),41494.645833333336)</f>
        <v>41494.64583</v>
      </c>
      <c r="C527" s="2">
        <f>IFERROR(__xludf.DUMMYFUNCTION("""COMPUTED_VALUE"""),368.77)</f>
        <v>368.77</v>
      </c>
    </row>
    <row r="528" ht="15.75" customHeight="1">
      <c r="B528" s="3">
        <f>IFERROR(__xludf.DUMMYFUNCTION("""COMPUTED_VALUE"""),41502.645833333336)</f>
        <v>41502.64583</v>
      </c>
      <c r="C528" s="2">
        <f>IFERROR(__xludf.DUMMYFUNCTION("""COMPUTED_VALUE"""),354.22)</f>
        <v>354.22</v>
      </c>
    </row>
    <row r="529" ht="15.75" customHeight="1">
      <c r="B529" s="3">
        <f>IFERROR(__xludf.DUMMYFUNCTION("""COMPUTED_VALUE"""),41509.645833333336)</f>
        <v>41509.64583</v>
      </c>
      <c r="C529" s="2">
        <f>IFERROR(__xludf.DUMMYFUNCTION("""COMPUTED_VALUE"""),338.18)</f>
        <v>338.18</v>
      </c>
    </row>
    <row r="530" ht="15.75" customHeight="1">
      <c r="B530" s="3">
        <f>IFERROR(__xludf.DUMMYFUNCTION("""COMPUTED_VALUE"""),41516.645833333336)</f>
        <v>41516.64583</v>
      </c>
      <c r="C530" s="2">
        <f>IFERROR(__xludf.DUMMYFUNCTION("""COMPUTED_VALUE"""),345.54)</f>
        <v>345.54</v>
      </c>
    </row>
    <row r="531" ht="15.75" customHeight="1">
      <c r="B531" s="3">
        <f>IFERROR(__xludf.DUMMYFUNCTION("""COMPUTED_VALUE"""),41523.645833333336)</f>
        <v>41523.64583</v>
      </c>
      <c r="C531" s="2">
        <f>IFERROR(__xludf.DUMMYFUNCTION("""COMPUTED_VALUE"""),359.55)</f>
        <v>359.55</v>
      </c>
    </row>
    <row r="532" ht="15.75" customHeight="1">
      <c r="B532" s="3">
        <f>IFERROR(__xludf.DUMMYFUNCTION("""COMPUTED_VALUE"""),41530.645833333336)</f>
        <v>41530.64583</v>
      </c>
      <c r="C532" s="2">
        <f>IFERROR(__xludf.DUMMYFUNCTION("""COMPUTED_VALUE"""),370.99)</f>
        <v>370.99</v>
      </c>
    </row>
    <row r="533" ht="15.75" customHeight="1">
      <c r="B533" s="3">
        <f>IFERROR(__xludf.DUMMYFUNCTION("""COMPUTED_VALUE"""),41537.645833333336)</f>
        <v>41537.64583</v>
      </c>
      <c r="C533" s="2">
        <f>IFERROR(__xludf.DUMMYFUNCTION("""COMPUTED_VALUE"""),409.62)</f>
        <v>409.62</v>
      </c>
    </row>
    <row r="534" ht="15.75" customHeight="1">
      <c r="B534" s="3">
        <f>IFERROR(__xludf.DUMMYFUNCTION("""COMPUTED_VALUE"""),41544.645833333336)</f>
        <v>41544.64583</v>
      </c>
      <c r="C534" s="2">
        <f>IFERROR(__xludf.DUMMYFUNCTION("""COMPUTED_VALUE"""),411.68)</f>
        <v>411.68</v>
      </c>
    </row>
    <row r="535" ht="15.75" customHeight="1">
      <c r="B535" s="3">
        <f>IFERROR(__xludf.DUMMYFUNCTION("""COMPUTED_VALUE"""),41551.645833333336)</f>
        <v>41551.64583</v>
      </c>
      <c r="C535" s="2">
        <f>IFERROR(__xludf.DUMMYFUNCTION("""COMPUTED_VALUE"""),398.84)</f>
        <v>398.84</v>
      </c>
    </row>
    <row r="536" ht="15.75" customHeight="1">
      <c r="B536" s="3">
        <f>IFERROR(__xludf.DUMMYFUNCTION("""COMPUTED_VALUE"""),41558.645833333336)</f>
        <v>41558.64583</v>
      </c>
      <c r="C536" s="2">
        <f>IFERROR(__xludf.DUMMYFUNCTION("""COMPUTED_VALUE"""),400.3)</f>
        <v>400.3</v>
      </c>
    </row>
    <row r="537" ht="15.75" customHeight="1">
      <c r="B537" s="3">
        <f>IFERROR(__xludf.DUMMYFUNCTION("""COMPUTED_VALUE"""),41565.645833333336)</f>
        <v>41565.64583</v>
      </c>
      <c r="C537" s="2">
        <f>IFERROR(__xludf.DUMMYFUNCTION("""COMPUTED_VALUE"""),398.73)</f>
        <v>398.73</v>
      </c>
    </row>
    <row r="538" ht="15.75" customHeight="1">
      <c r="B538" s="3">
        <f>IFERROR(__xludf.DUMMYFUNCTION("""COMPUTED_VALUE"""),41572.645833333336)</f>
        <v>41572.64583</v>
      </c>
      <c r="C538" s="2">
        <f>IFERROR(__xludf.DUMMYFUNCTION("""COMPUTED_VALUE"""),398.11)</f>
        <v>398.11</v>
      </c>
    </row>
    <row r="539" ht="15.75" customHeight="1">
      <c r="B539" s="3">
        <f>IFERROR(__xludf.DUMMYFUNCTION("""COMPUTED_VALUE"""),41579.645833333336)</f>
        <v>41579.64583</v>
      </c>
      <c r="C539" s="2">
        <f>IFERROR(__xludf.DUMMYFUNCTION("""COMPUTED_VALUE"""),410.37)</f>
        <v>410.37</v>
      </c>
    </row>
    <row r="540" ht="15.75" customHeight="1">
      <c r="B540" s="3">
        <f>IFERROR(__xludf.DUMMYFUNCTION("""COMPUTED_VALUE"""),41586.645833333336)</f>
        <v>41586.64583</v>
      </c>
      <c r="C540" s="2">
        <f>IFERROR(__xludf.DUMMYFUNCTION("""COMPUTED_VALUE"""),408.94)</f>
        <v>408.94</v>
      </c>
    </row>
    <row r="541" ht="15.75" customHeight="1">
      <c r="B541" s="3">
        <f>IFERROR(__xludf.DUMMYFUNCTION("""COMPUTED_VALUE"""),41592.645833333336)</f>
        <v>41592.64583</v>
      </c>
      <c r="C541" s="2">
        <f>IFERROR(__xludf.DUMMYFUNCTION("""COMPUTED_VALUE"""),390.94)</f>
        <v>390.94</v>
      </c>
    </row>
    <row r="542" ht="15.75" customHeight="1">
      <c r="B542" s="3">
        <f>IFERROR(__xludf.DUMMYFUNCTION("""COMPUTED_VALUE"""),41600.645833333336)</f>
        <v>41600.64583</v>
      </c>
      <c r="C542" s="2">
        <f>IFERROR(__xludf.DUMMYFUNCTION("""COMPUTED_VALUE"""),386.54)</f>
        <v>386.54</v>
      </c>
    </row>
    <row r="543" ht="15.75" customHeight="1">
      <c r="B543" s="3">
        <f>IFERROR(__xludf.DUMMYFUNCTION("""COMPUTED_VALUE"""),41607.645833333336)</f>
        <v>41607.64583</v>
      </c>
      <c r="C543" s="2">
        <f>IFERROR(__xludf.DUMMYFUNCTION("""COMPUTED_VALUE"""),385.18)</f>
        <v>385.18</v>
      </c>
    </row>
    <row r="544" ht="15.75" customHeight="1">
      <c r="B544" s="3">
        <f>IFERROR(__xludf.DUMMYFUNCTION("""COMPUTED_VALUE"""),41614.645833333336)</f>
        <v>41614.64583</v>
      </c>
      <c r="C544" s="2">
        <f>IFERROR(__xludf.DUMMYFUNCTION("""COMPUTED_VALUE"""),394.83)</f>
        <v>394.83</v>
      </c>
    </row>
    <row r="545" ht="15.75" customHeight="1">
      <c r="B545" s="3">
        <f>IFERROR(__xludf.DUMMYFUNCTION("""COMPUTED_VALUE"""),41621.645833333336)</f>
        <v>41621.64583</v>
      </c>
      <c r="C545" s="2">
        <f>IFERROR(__xludf.DUMMYFUNCTION("""COMPUTED_VALUE"""),407.07)</f>
        <v>407.07</v>
      </c>
    </row>
    <row r="546" ht="15.75" customHeight="1">
      <c r="B546" s="3">
        <f>IFERROR(__xludf.DUMMYFUNCTION("""COMPUTED_VALUE"""),41628.645833333336)</f>
        <v>41628.64583</v>
      </c>
      <c r="C546" s="2">
        <f>IFERROR(__xludf.DUMMYFUNCTION("""COMPUTED_VALUE"""),396.63)</f>
        <v>396.63</v>
      </c>
    </row>
    <row r="547" ht="15.75" customHeight="1">
      <c r="B547" s="3">
        <f>IFERROR(__xludf.DUMMYFUNCTION("""COMPUTED_VALUE"""),41635.645833333336)</f>
        <v>41635.64583</v>
      </c>
      <c r="C547" s="2">
        <f>IFERROR(__xludf.DUMMYFUNCTION("""COMPUTED_VALUE"""),395.82)</f>
        <v>395.82</v>
      </c>
    </row>
    <row r="548" ht="15.75" customHeight="1"/>
    <row r="549" ht="15.75" customHeight="1"/>
    <row r="550" ht="15.75" customHeight="1"/>
    <row r="551" ht="15.75" customHeight="1">
      <c r="B551" s="2" t="str">
        <f>IFERROR(__xludf.DUMMYFUNCTION("GOOGLEFINANCE(""NSE:GRASIM"", ""high"",DATE(2014,1,1),DATE(2015,1,1),""weekly"")"),"Date")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IFERROR(__xludf.DUMMYFUNCTION("""COMPUTED_VALUE"""),41642.645833333336)</f>
        <v>41642.64583</v>
      </c>
      <c r="C552" s="2">
        <f>IFERROR(__xludf.DUMMYFUNCTION("""COMPUTED_VALUE"""),395.63)</f>
        <v>395.63</v>
      </c>
    </row>
    <row r="553" ht="15.75" customHeight="1">
      <c r="B553" s="3">
        <f>IFERROR(__xludf.DUMMYFUNCTION("""COMPUTED_VALUE"""),41649.645833333336)</f>
        <v>41649.64583</v>
      </c>
      <c r="C553" s="2">
        <f>IFERROR(__xludf.DUMMYFUNCTION("""COMPUTED_VALUE"""),381.83)</f>
        <v>381.83</v>
      </c>
    </row>
    <row r="554" ht="15.75" customHeight="1">
      <c r="B554" s="3">
        <f>IFERROR(__xludf.DUMMYFUNCTION("""COMPUTED_VALUE"""),41656.645833333336)</f>
        <v>41656.64583</v>
      </c>
      <c r="C554" s="2">
        <f>IFERROR(__xludf.DUMMYFUNCTION("""COMPUTED_VALUE"""),378.7)</f>
        <v>378.7</v>
      </c>
    </row>
    <row r="555" ht="15.75" customHeight="1">
      <c r="B555" s="3">
        <f>IFERROR(__xludf.DUMMYFUNCTION("""COMPUTED_VALUE"""),41663.645833333336)</f>
        <v>41663.64583</v>
      </c>
      <c r="C555" s="2">
        <f>IFERROR(__xludf.DUMMYFUNCTION("""COMPUTED_VALUE"""),377.98)</f>
        <v>377.98</v>
      </c>
    </row>
    <row r="556" ht="15.75" customHeight="1">
      <c r="B556" s="3">
        <f>IFERROR(__xludf.DUMMYFUNCTION("""COMPUTED_VALUE"""),41670.645833333336)</f>
        <v>41670.64583</v>
      </c>
      <c r="C556" s="2">
        <f>IFERROR(__xludf.DUMMYFUNCTION("""COMPUTED_VALUE"""),377.98)</f>
        <v>377.98</v>
      </c>
    </row>
    <row r="557" ht="15.75" customHeight="1">
      <c r="B557" s="3">
        <f>IFERROR(__xludf.DUMMYFUNCTION("""COMPUTED_VALUE"""),41677.645833333336)</f>
        <v>41677.64583</v>
      </c>
      <c r="C557" s="2">
        <f>IFERROR(__xludf.DUMMYFUNCTION("""COMPUTED_VALUE"""),369.19)</f>
        <v>369.19</v>
      </c>
    </row>
    <row r="558" ht="15.75" customHeight="1">
      <c r="B558" s="3">
        <f>IFERROR(__xludf.DUMMYFUNCTION("""COMPUTED_VALUE"""),41684.645833333336)</f>
        <v>41684.64583</v>
      </c>
      <c r="C558" s="2">
        <f>IFERROR(__xludf.DUMMYFUNCTION("""COMPUTED_VALUE"""),373.84)</f>
        <v>373.84</v>
      </c>
    </row>
    <row r="559" ht="15.75" customHeight="1">
      <c r="B559" s="3">
        <f>IFERROR(__xludf.DUMMYFUNCTION("""COMPUTED_VALUE"""),41691.645833333336)</f>
        <v>41691.64583</v>
      </c>
      <c r="C559" s="2">
        <f>IFERROR(__xludf.DUMMYFUNCTION("""COMPUTED_VALUE"""),361.57)</f>
        <v>361.57</v>
      </c>
    </row>
    <row r="560" ht="15.75" customHeight="1">
      <c r="B560" s="3">
        <f>IFERROR(__xludf.DUMMYFUNCTION("""COMPUTED_VALUE"""),41698.645833333336)</f>
        <v>41698.64583</v>
      </c>
      <c r="C560" s="2">
        <f>IFERROR(__xludf.DUMMYFUNCTION("""COMPUTED_VALUE"""),374.24)</f>
        <v>374.24</v>
      </c>
    </row>
    <row r="561" ht="15.75" customHeight="1">
      <c r="B561" s="3">
        <f>IFERROR(__xludf.DUMMYFUNCTION("""COMPUTED_VALUE"""),41705.645833333336)</f>
        <v>41705.64583</v>
      </c>
      <c r="C561" s="2">
        <f>IFERROR(__xludf.DUMMYFUNCTION("""COMPUTED_VALUE"""),400.88)</f>
        <v>400.88</v>
      </c>
    </row>
    <row r="562" ht="15.75" customHeight="1">
      <c r="B562" s="3">
        <f>IFERROR(__xludf.DUMMYFUNCTION("""COMPUTED_VALUE"""),41712.645833333336)</f>
        <v>41712.64583</v>
      </c>
      <c r="C562" s="2">
        <f>IFERROR(__xludf.DUMMYFUNCTION("""COMPUTED_VALUE"""),408.78)</f>
        <v>408.78</v>
      </c>
    </row>
    <row r="563" ht="15.75" customHeight="1">
      <c r="B563" s="3">
        <f>IFERROR(__xludf.DUMMYFUNCTION("""COMPUTED_VALUE"""),41726.645833333336)</f>
        <v>41726.64583</v>
      </c>
      <c r="C563" s="2">
        <f>IFERROR(__xludf.DUMMYFUNCTION("""COMPUTED_VALUE"""),417.58)</f>
        <v>417.58</v>
      </c>
    </row>
    <row r="564" ht="15.75" customHeight="1">
      <c r="B564" s="3">
        <f>IFERROR(__xludf.DUMMYFUNCTION("""COMPUTED_VALUE"""),41733.645833333336)</f>
        <v>41733.64583</v>
      </c>
      <c r="C564" s="2">
        <f>IFERROR(__xludf.DUMMYFUNCTION("""COMPUTED_VALUE"""),420.75)</f>
        <v>420.75</v>
      </c>
    </row>
    <row r="565" ht="15.75" customHeight="1">
      <c r="B565" s="3">
        <f>IFERROR(__xludf.DUMMYFUNCTION("""COMPUTED_VALUE"""),41740.645833333336)</f>
        <v>41740.64583</v>
      </c>
      <c r="C565" s="2">
        <f>IFERROR(__xludf.DUMMYFUNCTION("""COMPUTED_VALUE"""),416.83)</f>
        <v>416.83</v>
      </c>
    </row>
    <row r="566" ht="15.75" customHeight="1">
      <c r="B566" s="3">
        <f>IFERROR(__xludf.DUMMYFUNCTION("""COMPUTED_VALUE"""),41746.645833333336)</f>
        <v>41746.64583</v>
      </c>
      <c r="C566" s="2">
        <f>IFERROR(__xludf.DUMMYFUNCTION("""COMPUTED_VALUE"""),405.93)</f>
        <v>405.93</v>
      </c>
    </row>
    <row r="567" ht="15.75" customHeight="1">
      <c r="B567" s="3">
        <f>IFERROR(__xludf.DUMMYFUNCTION("""COMPUTED_VALUE"""),41754.645833333336)</f>
        <v>41754.64583</v>
      </c>
      <c r="C567" s="2">
        <f>IFERROR(__xludf.DUMMYFUNCTION("""COMPUTED_VALUE"""),405.64)</f>
        <v>405.64</v>
      </c>
    </row>
    <row r="568" ht="15.75" customHeight="1">
      <c r="B568" s="3">
        <f>IFERROR(__xludf.DUMMYFUNCTION("""COMPUTED_VALUE"""),41761.645833333336)</f>
        <v>41761.64583</v>
      </c>
      <c r="C568" s="2">
        <f>IFERROR(__xludf.DUMMYFUNCTION("""COMPUTED_VALUE"""),391.79)</f>
        <v>391.79</v>
      </c>
    </row>
    <row r="569" ht="15.75" customHeight="1">
      <c r="B569" s="3">
        <f>IFERROR(__xludf.DUMMYFUNCTION("""COMPUTED_VALUE"""),41768.645833333336)</f>
        <v>41768.64583</v>
      </c>
      <c r="C569" s="2">
        <f>IFERROR(__xludf.DUMMYFUNCTION("""COMPUTED_VALUE"""),395.12)</f>
        <v>395.12</v>
      </c>
    </row>
    <row r="570" ht="15.75" customHeight="1">
      <c r="B570" s="3">
        <f>IFERROR(__xludf.DUMMYFUNCTION("""COMPUTED_VALUE"""),41775.645833333336)</f>
        <v>41775.64583</v>
      </c>
      <c r="C570" s="2">
        <f>IFERROR(__xludf.DUMMYFUNCTION("""COMPUTED_VALUE"""),471.54)</f>
        <v>471.54</v>
      </c>
    </row>
    <row r="571" ht="15.75" customHeight="1">
      <c r="B571" s="3">
        <f>IFERROR(__xludf.DUMMYFUNCTION("""COMPUTED_VALUE"""),41782.645833333336)</f>
        <v>41782.64583</v>
      </c>
      <c r="C571" s="2">
        <f>IFERROR(__xludf.DUMMYFUNCTION("""COMPUTED_VALUE"""),449.18)</f>
        <v>449.18</v>
      </c>
    </row>
    <row r="572" ht="15.75" customHeight="1">
      <c r="B572" s="3">
        <f>IFERROR(__xludf.DUMMYFUNCTION("""COMPUTED_VALUE"""),41789.645833333336)</f>
        <v>41789.64583</v>
      </c>
      <c r="C572" s="2">
        <f>IFERROR(__xludf.DUMMYFUNCTION("""COMPUTED_VALUE"""),468.51)</f>
        <v>468.51</v>
      </c>
    </row>
    <row r="573" ht="15.75" customHeight="1">
      <c r="B573" s="3">
        <f>IFERROR(__xludf.DUMMYFUNCTION("""COMPUTED_VALUE"""),41796.645833333336)</f>
        <v>41796.64583</v>
      </c>
      <c r="C573" s="2">
        <f>IFERROR(__xludf.DUMMYFUNCTION("""COMPUTED_VALUE"""),490.45)</f>
        <v>490.45</v>
      </c>
    </row>
    <row r="574" ht="15.75" customHeight="1">
      <c r="B574" s="3">
        <f>IFERROR(__xludf.DUMMYFUNCTION("""COMPUTED_VALUE"""),41803.645833333336)</f>
        <v>41803.64583</v>
      </c>
      <c r="C574" s="2">
        <f>IFERROR(__xludf.DUMMYFUNCTION("""COMPUTED_VALUE"""),545.59)</f>
        <v>545.59</v>
      </c>
    </row>
    <row r="575" ht="15.75" customHeight="1">
      <c r="B575" s="3">
        <f>IFERROR(__xludf.DUMMYFUNCTION("""COMPUTED_VALUE"""),41810.645833333336)</f>
        <v>41810.64583</v>
      </c>
      <c r="C575" s="2">
        <f>IFERROR(__xludf.DUMMYFUNCTION("""COMPUTED_VALUE"""),520.54)</f>
        <v>520.54</v>
      </c>
    </row>
    <row r="576" ht="15.75" customHeight="1">
      <c r="B576" s="3">
        <f>IFERROR(__xludf.DUMMYFUNCTION("""COMPUTED_VALUE"""),41817.645833333336)</f>
        <v>41817.64583</v>
      </c>
      <c r="C576" s="2">
        <f>IFERROR(__xludf.DUMMYFUNCTION("""COMPUTED_VALUE"""),510.68)</f>
        <v>510.68</v>
      </c>
    </row>
    <row r="577" ht="15.75" customHeight="1">
      <c r="B577" s="3">
        <f>IFERROR(__xludf.DUMMYFUNCTION("""COMPUTED_VALUE"""),41824.645833333336)</f>
        <v>41824.64583</v>
      </c>
      <c r="C577" s="2">
        <f>IFERROR(__xludf.DUMMYFUNCTION("""COMPUTED_VALUE"""),500.29)</f>
        <v>500.29</v>
      </c>
    </row>
    <row r="578" ht="15.75" customHeight="1">
      <c r="B578" s="3">
        <f>IFERROR(__xludf.DUMMYFUNCTION("""COMPUTED_VALUE"""),41831.645833333336)</f>
        <v>41831.64583</v>
      </c>
      <c r="C578" s="2">
        <f>IFERROR(__xludf.DUMMYFUNCTION("""COMPUTED_VALUE"""),491.45)</f>
        <v>491.45</v>
      </c>
    </row>
    <row r="579" ht="15.75" customHeight="1">
      <c r="B579" s="3">
        <f>IFERROR(__xludf.DUMMYFUNCTION("""COMPUTED_VALUE"""),41838.645833333336)</f>
        <v>41838.64583</v>
      </c>
      <c r="C579" s="2">
        <f>IFERROR(__xludf.DUMMYFUNCTION("""COMPUTED_VALUE"""),488.36)</f>
        <v>488.36</v>
      </c>
    </row>
    <row r="580" ht="15.75" customHeight="1">
      <c r="B580" s="3">
        <f>IFERROR(__xludf.DUMMYFUNCTION("""COMPUTED_VALUE"""),41845.645833333336)</f>
        <v>41845.64583</v>
      </c>
      <c r="C580" s="2">
        <f>IFERROR(__xludf.DUMMYFUNCTION("""COMPUTED_VALUE"""),493.48)</f>
        <v>493.48</v>
      </c>
    </row>
    <row r="581" ht="15.75" customHeight="1">
      <c r="B581" s="3">
        <f>IFERROR(__xludf.DUMMYFUNCTION("""COMPUTED_VALUE"""),41852.645833333336)</f>
        <v>41852.64583</v>
      </c>
      <c r="C581" s="2">
        <f>IFERROR(__xludf.DUMMYFUNCTION("""COMPUTED_VALUE"""),477.48)</f>
        <v>477.48</v>
      </c>
    </row>
    <row r="582" ht="15.75" customHeight="1">
      <c r="B582" s="3">
        <f>IFERROR(__xludf.DUMMYFUNCTION("""COMPUTED_VALUE"""),41859.645833333336)</f>
        <v>41859.64583</v>
      </c>
      <c r="C582" s="2">
        <f>IFERROR(__xludf.DUMMYFUNCTION("""COMPUTED_VALUE"""),482.23)</f>
        <v>482.23</v>
      </c>
    </row>
    <row r="583" ht="15.75" customHeight="1">
      <c r="B583" s="3">
        <f>IFERROR(__xludf.DUMMYFUNCTION("""COMPUTED_VALUE"""),41865.645833333336)</f>
        <v>41865.64583</v>
      </c>
      <c r="C583" s="2">
        <f>IFERROR(__xludf.DUMMYFUNCTION("""COMPUTED_VALUE"""),483.1)</f>
        <v>483.1</v>
      </c>
    </row>
    <row r="584" ht="15.75" customHeight="1">
      <c r="B584" s="3">
        <f>IFERROR(__xludf.DUMMYFUNCTION("""COMPUTED_VALUE"""),41873.645833333336)</f>
        <v>41873.64583</v>
      </c>
      <c r="C584" s="2">
        <f>IFERROR(__xludf.DUMMYFUNCTION("""COMPUTED_VALUE"""),498.82)</f>
        <v>498.82</v>
      </c>
    </row>
    <row r="585" ht="15.75" customHeight="1">
      <c r="B585" s="3">
        <f>IFERROR(__xludf.DUMMYFUNCTION("""COMPUTED_VALUE"""),41879.645833333336)</f>
        <v>41879.64583</v>
      </c>
      <c r="C585" s="2">
        <f>IFERROR(__xludf.DUMMYFUNCTION("""COMPUTED_VALUE"""),500.38)</f>
        <v>500.38</v>
      </c>
    </row>
    <row r="586" ht="15.75" customHeight="1">
      <c r="B586" s="3">
        <f>IFERROR(__xludf.DUMMYFUNCTION("""COMPUTED_VALUE"""),41887.645833333336)</f>
        <v>41887.64583</v>
      </c>
      <c r="C586" s="2">
        <f>IFERROR(__xludf.DUMMYFUNCTION("""COMPUTED_VALUE"""),526.14)</f>
        <v>526.14</v>
      </c>
    </row>
    <row r="587" ht="15.75" customHeight="1">
      <c r="B587" s="3">
        <f>IFERROR(__xludf.DUMMYFUNCTION("""COMPUTED_VALUE"""),41894.645833333336)</f>
        <v>41894.64583</v>
      </c>
      <c r="C587" s="2">
        <f>IFERROR(__xludf.DUMMYFUNCTION("""COMPUTED_VALUE"""),530.42)</f>
        <v>530.42</v>
      </c>
    </row>
    <row r="588" ht="15.75" customHeight="1">
      <c r="B588" s="3">
        <f>IFERROR(__xludf.DUMMYFUNCTION("""COMPUTED_VALUE"""),41901.645833333336)</f>
        <v>41901.64583</v>
      </c>
      <c r="C588" s="2">
        <f>IFERROR(__xludf.DUMMYFUNCTION("""COMPUTED_VALUE"""),532.63)</f>
        <v>532.63</v>
      </c>
    </row>
    <row r="589" ht="15.75" customHeight="1">
      <c r="B589" s="3">
        <f>IFERROR(__xludf.DUMMYFUNCTION("""COMPUTED_VALUE"""),41908.645833333336)</f>
        <v>41908.64583</v>
      </c>
      <c r="C589" s="2">
        <f>IFERROR(__xludf.DUMMYFUNCTION("""COMPUTED_VALUE"""),541.13)</f>
        <v>541.13</v>
      </c>
    </row>
    <row r="590" ht="15.75" customHeight="1">
      <c r="B590" s="3">
        <f>IFERROR(__xludf.DUMMYFUNCTION("""COMPUTED_VALUE"""),41913.645833333336)</f>
        <v>41913.64583</v>
      </c>
      <c r="C590" s="2">
        <f>IFERROR(__xludf.DUMMYFUNCTION("""COMPUTED_VALUE"""),522.24)</f>
        <v>522.24</v>
      </c>
    </row>
    <row r="591" ht="15.75" customHeight="1">
      <c r="B591" s="3">
        <f>IFERROR(__xludf.DUMMYFUNCTION("""COMPUTED_VALUE"""),41922.645833333336)</f>
        <v>41922.64583</v>
      </c>
      <c r="C591" s="2">
        <f>IFERROR(__xludf.DUMMYFUNCTION("""COMPUTED_VALUE"""),506.83)</f>
        <v>506.83</v>
      </c>
    </row>
    <row r="592" ht="15.75" customHeight="1">
      <c r="B592" s="3">
        <f>IFERROR(__xludf.DUMMYFUNCTION("""COMPUTED_VALUE"""),41929.645833333336)</f>
        <v>41929.64583</v>
      </c>
      <c r="C592" s="2">
        <f>IFERROR(__xludf.DUMMYFUNCTION("""COMPUTED_VALUE"""),496.49)</f>
        <v>496.49</v>
      </c>
    </row>
    <row r="593" ht="15.75" customHeight="1">
      <c r="B593" s="3">
        <f>IFERROR(__xludf.DUMMYFUNCTION("""COMPUTED_VALUE"""),41935.645833333336)</f>
        <v>41935.64583</v>
      </c>
      <c r="C593" s="2">
        <f>IFERROR(__xludf.DUMMYFUNCTION("""COMPUTED_VALUE"""),494.96)</f>
        <v>494.96</v>
      </c>
    </row>
    <row r="594" ht="15.75" customHeight="1">
      <c r="B594" s="3">
        <f>IFERROR(__xludf.DUMMYFUNCTION("""COMPUTED_VALUE"""),41943.645833333336)</f>
        <v>41943.64583</v>
      </c>
      <c r="C594" s="2">
        <f>IFERROR(__xludf.DUMMYFUNCTION("""COMPUTED_VALUE"""),507.65)</f>
        <v>507.65</v>
      </c>
    </row>
    <row r="595" ht="15.75" customHeight="1">
      <c r="B595" s="3">
        <f>IFERROR(__xludf.DUMMYFUNCTION("""COMPUTED_VALUE"""),41950.645833333336)</f>
        <v>41950.64583</v>
      </c>
      <c r="C595" s="2">
        <f>IFERROR(__xludf.DUMMYFUNCTION("""COMPUTED_VALUE"""),517.94)</f>
        <v>517.94</v>
      </c>
    </row>
    <row r="596" ht="15.75" customHeight="1">
      <c r="B596" s="3">
        <f>IFERROR(__xludf.DUMMYFUNCTION("""COMPUTED_VALUE"""),41957.64583333333)</f>
        <v>41957.64583</v>
      </c>
      <c r="C596" s="2">
        <f>IFERROR(__xludf.DUMMYFUNCTION("""COMPUTED_VALUE"""),527.02)</f>
        <v>527.02</v>
      </c>
    </row>
    <row r="597" ht="15.75" customHeight="1">
      <c r="B597" s="3">
        <f>IFERROR(__xludf.DUMMYFUNCTION("""COMPUTED_VALUE"""),41964.64583333333)</f>
        <v>41964.64583</v>
      </c>
      <c r="C597" s="2">
        <f>IFERROR(__xludf.DUMMYFUNCTION("""COMPUTED_VALUE"""),523.7)</f>
        <v>523.7</v>
      </c>
    </row>
    <row r="598" ht="15.75" customHeight="1">
      <c r="B598" s="3">
        <f>IFERROR(__xludf.DUMMYFUNCTION("""COMPUTED_VALUE"""),41971.64583333333)</f>
        <v>41971.64583</v>
      </c>
      <c r="C598" s="2">
        <f>IFERROR(__xludf.DUMMYFUNCTION("""COMPUTED_VALUE"""),517.66)</f>
        <v>517.66</v>
      </c>
    </row>
    <row r="599" ht="15.75" customHeight="1">
      <c r="B599" s="3">
        <f>IFERROR(__xludf.DUMMYFUNCTION("""COMPUTED_VALUE"""),41978.64583333333)</f>
        <v>41978.64583</v>
      </c>
      <c r="C599" s="2">
        <f>IFERROR(__xludf.DUMMYFUNCTION("""COMPUTED_VALUE"""),516.6)</f>
        <v>516.6</v>
      </c>
    </row>
    <row r="600" ht="15.75" customHeight="1">
      <c r="B600" s="3">
        <f>IFERROR(__xludf.DUMMYFUNCTION("""COMPUTED_VALUE"""),41985.64583333333)</f>
        <v>41985.64583</v>
      </c>
      <c r="C600" s="2">
        <f>IFERROR(__xludf.DUMMYFUNCTION("""COMPUTED_VALUE"""),505.84)</f>
        <v>505.84</v>
      </c>
    </row>
    <row r="601" ht="15.75" customHeight="1">
      <c r="B601" s="3">
        <f>IFERROR(__xludf.DUMMYFUNCTION("""COMPUTED_VALUE"""),41992.64583333333)</f>
        <v>41992.64583</v>
      </c>
      <c r="C601" s="2">
        <f>IFERROR(__xludf.DUMMYFUNCTION("""COMPUTED_VALUE"""),494.49)</f>
        <v>494.49</v>
      </c>
    </row>
    <row r="602" ht="15.75" customHeight="1">
      <c r="B602" s="3">
        <f>IFERROR(__xludf.DUMMYFUNCTION("""COMPUTED_VALUE"""),41999.64583333333)</f>
        <v>41999.64583</v>
      </c>
      <c r="C602" s="2">
        <f>IFERROR(__xludf.DUMMYFUNCTION("""COMPUTED_VALUE"""),506.12)</f>
        <v>506.12</v>
      </c>
    </row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IFERROR(__xludf.DUMMYFUNCTION("GOOGLEFINANCE(""NSE:GRASIM"", ""high"",DATE(2015,1,1),DATE(2016,1,1),""weekly"")"),"Date")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IFERROR(__xludf.DUMMYFUNCTION("""COMPUTED_VALUE"""),42006.64583333333)</f>
        <v>42006.64583</v>
      </c>
      <c r="C607" s="2">
        <f>IFERROR(__xludf.DUMMYFUNCTION("""COMPUTED_VALUE"""),504.84)</f>
        <v>504.84</v>
      </c>
    </row>
    <row r="608" ht="15.75" customHeight="1">
      <c r="B608" s="3">
        <f>IFERROR(__xludf.DUMMYFUNCTION("""COMPUTED_VALUE"""),42013.64583333333)</f>
        <v>42013.64583</v>
      </c>
      <c r="C608" s="2">
        <f>IFERROR(__xludf.DUMMYFUNCTION("""COMPUTED_VALUE"""),510.83)</f>
        <v>510.83</v>
      </c>
    </row>
    <row r="609" ht="15.75" customHeight="1">
      <c r="B609" s="3">
        <f>IFERROR(__xludf.DUMMYFUNCTION("""COMPUTED_VALUE"""),42020.64583333333)</f>
        <v>42020.64583</v>
      </c>
      <c r="C609" s="2">
        <f>IFERROR(__xludf.DUMMYFUNCTION("""COMPUTED_VALUE"""),532.4)</f>
        <v>532.4</v>
      </c>
    </row>
    <row r="610" ht="15.75" customHeight="1">
      <c r="B610" s="3">
        <f>IFERROR(__xludf.DUMMYFUNCTION("""COMPUTED_VALUE"""),42027.64583333333)</f>
        <v>42027.64583</v>
      </c>
      <c r="C610" s="2">
        <f>IFERROR(__xludf.DUMMYFUNCTION("""COMPUTED_VALUE"""),553.17)</f>
        <v>553.17</v>
      </c>
    </row>
    <row r="611" ht="15.75" customHeight="1">
      <c r="B611" s="3">
        <f>IFERROR(__xludf.DUMMYFUNCTION("""COMPUTED_VALUE"""),42034.64583333333)</f>
        <v>42034.64583</v>
      </c>
      <c r="C611" s="2">
        <f>IFERROR(__xludf.DUMMYFUNCTION("""COMPUTED_VALUE"""),572.37)</f>
        <v>572.37</v>
      </c>
    </row>
    <row r="612" ht="15.75" customHeight="1">
      <c r="B612" s="3">
        <f>IFERROR(__xludf.DUMMYFUNCTION("""COMPUTED_VALUE"""),42041.64583333333)</f>
        <v>42041.64583</v>
      </c>
      <c r="C612" s="2">
        <f>IFERROR(__xludf.DUMMYFUNCTION("""COMPUTED_VALUE"""),566.96)</f>
        <v>566.96</v>
      </c>
    </row>
    <row r="613" ht="15.75" customHeight="1">
      <c r="B613" s="3">
        <f>IFERROR(__xludf.DUMMYFUNCTION("""COMPUTED_VALUE"""),42048.64583333333)</f>
        <v>42048.64583</v>
      </c>
      <c r="C613" s="2">
        <f>IFERROR(__xludf.DUMMYFUNCTION("""COMPUTED_VALUE"""),566.11)</f>
        <v>566.11</v>
      </c>
    </row>
    <row r="614" ht="15.75" customHeight="1">
      <c r="B614" s="3">
        <f>IFERROR(__xludf.DUMMYFUNCTION("""COMPUTED_VALUE"""),42055.64583333333)</f>
        <v>42055.64583</v>
      </c>
      <c r="C614" s="2">
        <f>IFERROR(__xludf.DUMMYFUNCTION("""COMPUTED_VALUE"""),561.57)</f>
        <v>561.57</v>
      </c>
    </row>
    <row r="615" ht="15.75" customHeight="1">
      <c r="B615" s="3">
        <f>IFERROR(__xludf.DUMMYFUNCTION("""COMPUTED_VALUE"""),42068.64583333333)</f>
        <v>42068.64583</v>
      </c>
      <c r="C615" s="2">
        <f>IFERROR(__xludf.DUMMYFUNCTION("""COMPUTED_VALUE"""),579.55)</f>
        <v>579.55</v>
      </c>
    </row>
    <row r="616" ht="15.75" customHeight="1">
      <c r="B616" s="3">
        <f>IFERROR(__xludf.DUMMYFUNCTION("""COMPUTED_VALUE"""),42076.64583333333)</f>
        <v>42076.64583</v>
      </c>
      <c r="C616" s="2">
        <f>IFERROR(__xludf.DUMMYFUNCTION("""COMPUTED_VALUE"""),548.33)</f>
        <v>548.33</v>
      </c>
    </row>
    <row r="617" ht="15.75" customHeight="1">
      <c r="B617" s="3">
        <f>IFERROR(__xludf.DUMMYFUNCTION("""COMPUTED_VALUE"""),42083.64583333333)</f>
        <v>42083.64583</v>
      </c>
      <c r="C617" s="2">
        <f>IFERROR(__xludf.DUMMYFUNCTION("""COMPUTED_VALUE"""),536.92)</f>
        <v>536.92</v>
      </c>
    </row>
    <row r="618" ht="15.75" customHeight="1">
      <c r="B618" s="3">
        <f>IFERROR(__xludf.DUMMYFUNCTION("""COMPUTED_VALUE"""),42090.64583333333)</f>
        <v>42090.64583</v>
      </c>
      <c r="C618" s="2">
        <f>IFERROR(__xludf.DUMMYFUNCTION("""COMPUTED_VALUE"""),530.62)</f>
        <v>530.62</v>
      </c>
    </row>
    <row r="619" ht="15.75" customHeight="1">
      <c r="B619" s="3">
        <f>IFERROR(__xludf.DUMMYFUNCTION("""COMPUTED_VALUE"""),42095.64583333333)</f>
        <v>42095.64583</v>
      </c>
      <c r="C619" s="2">
        <f>IFERROR(__xludf.DUMMYFUNCTION("""COMPUTED_VALUE"""),536.48)</f>
        <v>536.48</v>
      </c>
    </row>
    <row r="620" ht="15.75" customHeight="1">
      <c r="B620" s="3">
        <f>IFERROR(__xludf.DUMMYFUNCTION("""COMPUTED_VALUE"""),42104.64583333333)</f>
        <v>42104.64583</v>
      </c>
      <c r="C620" s="2">
        <f>IFERROR(__xludf.DUMMYFUNCTION("""COMPUTED_VALUE"""),550.53)</f>
        <v>550.53</v>
      </c>
    </row>
    <row r="621" ht="15.75" customHeight="1">
      <c r="B621" s="3">
        <f>IFERROR(__xludf.DUMMYFUNCTION("""COMPUTED_VALUE"""),42111.64583333333)</f>
        <v>42111.64583</v>
      </c>
      <c r="C621" s="2">
        <f>IFERROR(__xludf.DUMMYFUNCTION("""COMPUTED_VALUE"""),551.05)</f>
        <v>551.05</v>
      </c>
    </row>
    <row r="622" ht="15.75" customHeight="1">
      <c r="B622" s="3">
        <f>IFERROR(__xludf.DUMMYFUNCTION("""COMPUTED_VALUE"""),42118.64583333333)</f>
        <v>42118.64583</v>
      </c>
      <c r="C622" s="2">
        <f>IFERROR(__xludf.DUMMYFUNCTION("""COMPUTED_VALUE"""),534.22)</f>
        <v>534.22</v>
      </c>
    </row>
    <row r="623" ht="15.75" customHeight="1">
      <c r="B623" s="3">
        <f>IFERROR(__xludf.DUMMYFUNCTION("""COMPUTED_VALUE"""),42124.64583333333)</f>
        <v>42124.64583</v>
      </c>
      <c r="C623" s="2">
        <f>IFERROR(__xludf.DUMMYFUNCTION("""COMPUTED_VALUE"""),531.34)</f>
        <v>531.34</v>
      </c>
    </row>
    <row r="624" ht="15.75" customHeight="1">
      <c r="B624" s="3">
        <f>IFERROR(__xludf.DUMMYFUNCTION("""COMPUTED_VALUE"""),42132.64583333333)</f>
        <v>42132.64583</v>
      </c>
      <c r="C624" s="2">
        <f>IFERROR(__xludf.DUMMYFUNCTION("""COMPUTED_VALUE"""),525.43)</f>
        <v>525.43</v>
      </c>
    </row>
    <row r="625" ht="15.75" customHeight="1">
      <c r="B625" s="3">
        <f>IFERROR(__xludf.DUMMYFUNCTION("""COMPUTED_VALUE"""),42139.64583333333)</f>
        <v>42139.64583</v>
      </c>
      <c r="C625" s="2">
        <f>IFERROR(__xludf.DUMMYFUNCTION("""COMPUTED_VALUE"""),515.6)</f>
        <v>515.6</v>
      </c>
    </row>
    <row r="626" ht="15.75" customHeight="1">
      <c r="B626" s="3">
        <f>IFERROR(__xludf.DUMMYFUNCTION("""COMPUTED_VALUE"""),42146.64583333333)</f>
        <v>42146.64583</v>
      </c>
      <c r="C626" s="2">
        <f>IFERROR(__xludf.DUMMYFUNCTION("""COMPUTED_VALUE"""),532.49)</f>
        <v>532.49</v>
      </c>
    </row>
    <row r="627" ht="15.75" customHeight="1">
      <c r="B627" s="3">
        <f>IFERROR(__xludf.DUMMYFUNCTION("""COMPUTED_VALUE"""),42153.64583333333)</f>
        <v>42153.64583</v>
      </c>
      <c r="C627" s="2">
        <f>IFERROR(__xludf.DUMMYFUNCTION("""COMPUTED_VALUE"""),528.74)</f>
        <v>528.74</v>
      </c>
    </row>
    <row r="628" ht="15.75" customHeight="1">
      <c r="B628" s="3">
        <f>IFERROR(__xludf.DUMMYFUNCTION("""COMPUTED_VALUE"""),42160.64583333333)</f>
        <v>42160.64583</v>
      </c>
      <c r="C628" s="2">
        <f>IFERROR(__xludf.DUMMYFUNCTION("""COMPUTED_VALUE"""),529.9)</f>
        <v>529.9</v>
      </c>
    </row>
    <row r="629" ht="15.75" customHeight="1">
      <c r="B629" s="3">
        <f>IFERROR(__xludf.DUMMYFUNCTION("""COMPUTED_VALUE"""),42167.64583333333)</f>
        <v>42167.64583</v>
      </c>
      <c r="C629" s="2">
        <f>IFERROR(__xludf.DUMMYFUNCTION("""COMPUTED_VALUE"""),500.09)</f>
        <v>500.09</v>
      </c>
    </row>
    <row r="630" ht="15.75" customHeight="1">
      <c r="B630" s="3">
        <f>IFERROR(__xludf.DUMMYFUNCTION("""COMPUTED_VALUE"""),42174.64583333333)</f>
        <v>42174.64583</v>
      </c>
      <c r="C630" s="2">
        <f>IFERROR(__xludf.DUMMYFUNCTION("""COMPUTED_VALUE"""),491.02)</f>
        <v>491.02</v>
      </c>
    </row>
    <row r="631" ht="15.75" customHeight="1">
      <c r="B631" s="3">
        <f>IFERROR(__xludf.DUMMYFUNCTION("""COMPUTED_VALUE"""),42181.64583333333)</f>
        <v>42181.64583</v>
      </c>
      <c r="C631" s="2">
        <f>IFERROR(__xludf.DUMMYFUNCTION("""COMPUTED_VALUE"""),501.1)</f>
        <v>501.1</v>
      </c>
    </row>
    <row r="632" ht="15.75" customHeight="1">
      <c r="B632" s="3">
        <f>IFERROR(__xludf.DUMMYFUNCTION("""COMPUTED_VALUE"""),42188.64583333333)</f>
        <v>42188.64583</v>
      </c>
      <c r="C632" s="2">
        <f>IFERROR(__xludf.DUMMYFUNCTION("""COMPUTED_VALUE"""),511.02)</f>
        <v>511.02</v>
      </c>
    </row>
    <row r="633" ht="15.75" customHeight="1">
      <c r="B633" s="3">
        <f>IFERROR(__xludf.DUMMYFUNCTION("""COMPUTED_VALUE"""),42195.64583333333)</f>
        <v>42195.64583</v>
      </c>
      <c r="C633" s="2">
        <f>IFERROR(__xludf.DUMMYFUNCTION("""COMPUTED_VALUE"""),519.47)</f>
        <v>519.47</v>
      </c>
    </row>
    <row r="634" ht="15.75" customHeight="1">
      <c r="B634" s="3">
        <f>IFERROR(__xludf.DUMMYFUNCTION("""COMPUTED_VALUE"""),42202.64583333333)</f>
        <v>42202.64583</v>
      </c>
      <c r="C634" s="2">
        <f>IFERROR(__xludf.DUMMYFUNCTION("""COMPUTED_VALUE"""),536.23)</f>
        <v>536.23</v>
      </c>
    </row>
    <row r="635" ht="15.75" customHeight="1">
      <c r="B635" s="3">
        <f>IFERROR(__xludf.DUMMYFUNCTION("""COMPUTED_VALUE"""),42209.64583333333)</f>
        <v>42209.64583</v>
      </c>
      <c r="C635" s="2">
        <f>IFERROR(__xludf.DUMMYFUNCTION("""COMPUTED_VALUE"""),544.73)</f>
        <v>544.73</v>
      </c>
    </row>
    <row r="636" ht="15.75" customHeight="1">
      <c r="B636" s="3">
        <f>IFERROR(__xludf.DUMMYFUNCTION("""COMPUTED_VALUE"""),42216.64583333333)</f>
        <v>42216.64583</v>
      </c>
      <c r="C636" s="2">
        <f>IFERROR(__xludf.DUMMYFUNCTION("""COMPUTED_VALUE"""),541.42)</f>
        <v>541.42</v>
      </c>
    </row>
    <row r="637" ht="15.75" customHeight="1">
      <c r="B637" s="3">
        <f>IFERROR(__xludf.DUMMYFUNCTION("""COMPUTED_VALUE"""),42223.64583333333)</f>
        <v>42223.64583</v>
      </c>
      <c r="C637" s="2">
        <f>IFERROR(__xludf.DUMMYFUNCTION("""COMPUTED_VALUE"""),553.35)</f>
        <v>553.35</v>
      </c>
    </row>
    <row r="638" ht="15.75" customHeight="1">
      <c r="B638" s="3">
        <f>IFERROR(__xludf.DUMMYFUNCTION("""COMPUTED_VALUE"""),42230.64583333333)</f>
        <v>42230.64583</v>
      </c>
      <c r="C638" s="2">
        <f>IFERROR(__xludf.DUMMYFUNCTION("""COMPUTED_VALUE"""),552.4)</f>
        <v>552.4</v>
      </c>
    </row>
    <row r="639" ht="15.75" customHeight="1">
      <c r="B639" s="3">
        <f>IFERROR(__xludf.DUMMYFUNCTION("""COMPUTED_VALUE"""),42237.64583333333)</f>
        <v>42237.64583</v>
      </c>
      <c r="C639" s="2">
        <f>IFERROR(__xludf.DUMMYFUNCTION("""COMPUTED_VALUE"""),541.42)</f>
        <v>541.42</v>
      </c>
    </row>
    <row r="640" ht="15.75" customHeight="1">
      <c r="B640" s="3">
        <f>IFERROR(__xludf.DUMMYFUNCTION("""COMPUTED_VALUE"""),42244.64583333333)</f>
        <v>42244.64583</v>
      </c>
      <c r="C640" s="2">
        <f>IFERROR(__xludf.DUMMYFUNCTION("""COMPUTED_VALUE"""),515.27)</f>
        <v>515.27</v>
      </c>
    </row>
    <row r="641" ht="15.75" customHeight="1">
      <c r="B641" s="3">
        <f>IFERROR(__xludf.DUMMYFUNCTION("""COMPUTED_VALUE"""),42251.64583333333)</f>
        <v>42251.64583</v>
      </c>
      <c r="C641" s="2">
        <f>IFERROR(__xludf.DUMMYFUNCTION("""COMPUTED_VALUE"""),503.05)</f>
        <v>503.05</v>
      </c>
    </row>
    <row r="642" ht="15.75" customHeight="1">
      <c r="B642" s="3">
        <f>IFERROR(__xludf.DUMMYFUNCTION("""COMPUTED_VALUE"""),42258.64583333333)</f>
        <v>42258.64583</v>
      </c>
      <c r="C642" s="2">
        <f>IFERROR(__xludf.DUMMYFUNCTION("""COMPUTED_VALUE"""),506.14)</f>
        <v>506.14</v>
      </c>
    </row>
    <row r="643" ht="15.75" customHeight="1">
      <c r="B643" s="3">
        <f>IFERROR(__xludf.DUMMYFUNCTION("""COMPUTED_VALUE"""),42265.64583333333)</f>
        <v>42265.64583</v>
      </c>
      <c r="C643" s="2">
        <f>IFERROR(__xludf.DUMMYFUNCTION("""COMPUTED_VALUE"""),511.03)</f>
        <v>511.03</v>
      </c>
    </row>
    <row r="644" ht="15.75" customHeight="1">
      <c r="B644" s="3">
        <f>IFERROR(__xludf.DUMMYFUNCTION("""COMPUTED_VALUE"""),42271.64583333333)</f>
        <v>42271.64583</v>
      </c>
      <c r="C644" s="2">
        <f>IFERROR(__xludf.DUMMYFUNCTION("""COMPUTED_VALUE"""),501.67)</f>
        <v>501.67</v>
      </c>
    </row>
    <row r="645" ht="15.75" customHeight="1">
      <c r="B645" s="3">
        <f>IFERROR(__xludf.DUMMYFUNCTION("""COMPUTED_VALUE"""),42278.64583333333)</f>
        <v>42278.64583</v>
      </c>
      <c r="C645" s="2">
        <f>IFERROR(__xludf.DUMMYFUNCTION("""COMPUTED_VALUE"""),514.06)</f>
        <v>514.06</v>
      </c>
    </row>
    <row r="646" ht="15.75" customHeight="1">
      <c r="B646" s="3">
        <f>IFERROR(__xludf.DUMMYFUNCTION("""COMPUTED_VALUE"""),42286.64583333333)</f>
        <v>42286.64583</v>
      </c>
      <c r="C646" s="2">
        <f>IFERROR(__xludf.DUMMYFUNCTION("""COMPUTED_VALUE"""),531.16)</f>
        <v>531.16</v>
      </c>
    </row>
    <row r="647" ht="15.75" customHeight="1">
      <c r="B647" s="3">
        <f>IFERROR(__xludf.DUMMYFUNCTION("""COMPUTED_VALUE"""),42300.64583333333)</f>
        <v>42300.64583</v>
      </c>
      <c r="C647" s="2">
        <f>IFERROR(__xludf.DUMMYFUNCTION("""COMPUTED_VALUE"""),531.72)</f>
        <v>531.72</v>
      </c>
    </row>
    <row r="648" ht="15.75" customHeight="1">
      <c r="B648" s="3">
        <f>IFERROR(__xludf.DUMMYFUNCTION("""COMPUTED_VALUE"""),42307.64583333333)</f>
        <v>42307.64583</v>
      </c>
      <c r="C648" s="2">
        <f>IFERROR(__xludf.DUMMYFUNCTION("""COMPUTED_VALUE"""),541.27)</f>
        <v>541.27</v>
      </c>
    </row>
    <row r="649" ht="15.75" customHeight="1">
      <c r="B649" s="3">
        <f>IFERROR(__xludf.DUMMYFUNCTION("""COMPUTED_VALUE"""),42314.64583333333)</f>
        <v>42314.64583</v>
      </c>
      <c r="C649" s="2">
        <f>IFERROR(__xludf.DUMMYFUNCTION("""COMPUTED_VALUE"""),538.08)</f>
        <v>538.08</v>
      </c>
    </row>
    <row r="650" ht="15.75" customHeight="1">
      <c r="B650" s="3">
        <f>IFERROR(__xludf.DUMMYFUNCTION("""COMPUTED_VALUE"""),42321.64583333333)</f>
        <v>42321.64583</v>
      </c>
      <c r="C650" s="2">
        <f>IFERROR(__xludf.DUMMYFUNCTION("""COMPUTED_VALUE"""),527.3)</f>
        <v>527.3</v>
      </c>
    </row>
    <row r="651" ht="15.75" customHeight="1">
      <c r="B651" s="3">
        <f>IFERROR(__xludf.DUMMYFUNCTION("""COMPUTED_VALUE"""),42328.64583333333)</f>
        <v>42328.64583</v>
      </c>
      <c r="C651" s="2">
        <f>IFERROR(__xludf.DUMMYFUNCTION("""COMPUTED_VALUE"""),532.49)</f>
        <v>532.49</v>
      </c>
    </row>
    <row r="652" ht="15.75" customHeight="1">
      <c r="B652" s="3">
        <f>IFERROR(__xludf.DUMMYFUNCTION("""COMPUTED_VALUE"""),42335.64583333333)</f>
        <v>42335.64583</v>
      </c>
      <c r="C652" s="2">
        <f>IFERROR(__xludf.DUMMYFUNCTION("""COMPUTED_VALUE"""),539.98)</f>
        <v>539.98</v>
      </c>
    </row>
    <row r="653" ht="15.75" customHeight="1">
      <c r="B653" s="3">
        <f>IFERROR(__xludf.DUMMYFUNCTION("""COMPUTED_VALUE"""),42342.64583333333)</f>
        <v>42342.64583</v>
      </c>
      <c r="C653" s="2">
        <f>IFERROR(__xludf.DUMMYFUNCTION("""COMPUTED_VALUE"""),545.02)</f>
        <v>545.02</v>
      </c>
    </row>
    <row r="654" ht="15.75" customHeight="1">
      <c r="B654" s="3">
        <f>IFERROR(__xludf.DUMMYFUNCTION("""COMPUTED_VALUE"""),42349.64583333333)</f>
        <v>42349.64583</v>
      </c>
      <c r="C654" s="2">
        <f>IFERROR(__xludf.DUMMYFUNCTION("""COMPUTED_VALUE"""),545.74)</f>
        <v>545.74</v>
      </c>
    </row>
    <row r="655" ht="15.75" customHeight="1">
      <c r="B655" s="3">
        <f>IFERROR(__xludf.DUMMYFUNCTION("""COMPUTED_VALUE"""),42356.64583333333)</f>
        <v>42356.64583</v>
      </c>
      <c r="C655" s="2">
        <f>IFERROR(__xludf.DUMMYFUNCTION("""COMPUTED_VALUE"""),542.12)</f>
        <v>542.12</v>
      </c>
    </row>
    <row r="656" ht="15.75" customHeight="1">
      <c r="B656" s="3">
        <f>IFERROR(__xludf.DUMMYFUNCTION("""COMPUTED_VALUE"""),42362.64583333333)</f>
        <v>42362.64583</v>
      </c>
      <c r="C656" s="2">
        <f>IFERROR(__xludf.DUMMYFUNCTION("""COMPUTED_VALUE"""),540.19)</f>
        <v>540.19</v>
      </c>
    </row>
    <row r="657" ht="15.75" customHeight="1">
      <c r="B657" s="3">
        <f>IFERROR(__xludf.DUMMYFUNCTION("""COMPUTED_VALUE"""),42370.64583333333)</f>
        <v>42370.64583</v>
      </c>
      <c r="C657" s="2">
        <f>IFERROR(__xludf.DUMMYFUNCTION("""COMPUTED_VALUE"""),545.75)</f>
        <v>545.75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IFERROR(__xludf.DUMMYFUNCTION("GOOGLEFINANCE(""NSE:GRASIM"", ""high"",DATE(2016,1,1),DATE(2017,1,1),""weekly"")"),"Date")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IFERROR(__xludf.DUMMYFUNCTION("""COMPUTED_VALUE"""),42377.64583333333)</f>
        <v>42377.64583</v>
      </c>
      <c r="C662" s="2">
        <f>IFERROR(__xludf.DUMMYFUNCTION("""COMPUTED_VALUE"""),544.73)</f>
        <v>544.73</v>
      </c>
    </row>
    <row r="663" ht="15.75" customHeight="1">
      <c r="B663" s="3">
        <f>IFERROR(__xludf.DUMMYFUNCTION("""COMPUTED_VALUE"""),42384.64583333333)</f>
        <v>42384.64583</v>
      </c>
      <c r="C663" s="2">
        <f>IFERROR(__xludf.DUMMYFUNCTION("""COMPUTED_VALUE"""),525.68)</f>
        <v>525.68</v>
      </c>
    </row>
    <row r="664" ht="15.75" customHeight="1">
      <c r="B664" s="3">
        <f>IFERROR(__xludf.DUMMYFUNCTION("""COMPUTED_VALUE"""),42391.64583333333)</f>
        <v>42391.64583</v>
      </c>
      <c r="C664" s="2">
        <f>IFERROR(__xludf.DUMMYFUNCTION("""COMPUTED_VALUE"""),513.99)</f>
        <v>513.99</v>
      </c>
    </row>
    <row r="665" ht="15.75" customHeight="1">
      <c r="B665" s="3">
        <f>IFERROR(__xludf.DUMMYFUNCTION("""COMPUTED_VALUE"""),42398.64583333333)</f>
        <v>42398.64583</v>
      </c>
      <c r="C665" s="2">
        <f>IFERROR(__xludf.DUMMYFUNCTION("""COMPUTED_VALUE"""),501.8)</f>
        <v>501.8</v>
      </c>
    </row>
    <row r="666" ht="15.75" customHeight="1">
      <c r="B666" s="3">
        <f>IFERROR(__xludf.DUMMYFUNCTION("""COMPUTED_VALUE"""),42405.64583333333)</f>
        <v>42405.64583</v>
      </c>
      <c r="C666" s="2">
        <f>IFERROR(__xludf.DUMMYFUNCTION("""COMPUTED_VALUE"""),514.05)</f>
        <v>514.05</v>
      </c>
    </row>
    <row r="667" ht="15.75" customHeight="1">
      <c r="B667" s="3">
        <f>IFERROR(__xludf.DUMMYFUNCTION("""COMPUTED_VALUE"""),42419.64583333333)</f>
        <v>42419.64583</v>
      </c>
      <c r="C667" s="2">
        <f>IFERROR(__xludf.DUMMYFUNCTION("""COMPUTED_VALUE"""),505.41)</f>
        <v>505.41</v>
      </c>
    </row>
    <row r="668" ht="15.75" customHeight="1">
      <c r="B668" s="3">
        <f>IFERROR(__xludf.DUMMYFUNCTION("""COMPUTED_VALUE"""),42426.64583333333)</f>
        <v>42426.64583</v>
      </c>
      <c r="C668" s="2">
        <f>IFERROR(__xludf.DUMMYFUNCTION("""COMPUTED_VALUE"""),503.26)</f>
        <v>503.26</v>
      </c>
    </row>
    <row r="669" ht="15.75" customHeight="1">
      <c r="B669" s="3">
        <f>IFERROR(__xludf.DUMMYFUNCTION("""COMPUTED_VALUE"""),42433.64583333333)</f>
        <v>42433.64583</v>
      </c>
      <c r="C669" s="2">
        <f>IFERROR(__xludf.DUMMYFUNCTION("""COMPUTED_VALUE"""),508.43)</f>
        <v>508.43</v>
      </c>
    </row>
    <row r="670" ht="15.75" customHeight="1">
      <c r="B670" s="3">
        <f>IFERROR(__xludf.DUMMYFUNCTION("""COMPUTED_VALUE"""),42440.64583333333)</f>
        <v>42440.64583</v>
      </c>
      <c r="C670" s="2">
        <f>IFERROR(__xludf.DUMMYFUNCTION("""COMPUTED_VALUE"""),527.71)</f>
        <v>527.71</v>
      </c>
    </row>
    <row r="671" ht="15.75" customHeight="1">
      <c r="B671" s="3">
        <f>IFERROR(__xludf.DUMMYFUNCTION("""COMPUTED_VALUE"""),42447.64583333333)</f>
        <v>42447.64583</v>
      </c>
      <c r="C671" s="2">
        <f>IFERROR(__xludf.DUMMYFUNCTION("""COMPUTED_VALUE"""),533.5)</f>
        <v>533.5</v>
      </c>
    </row>
    <row r="672" ht="15.75" customHeight="1">
      <c r="B672" s="3">
        <f>IFERROR(__xludf.DUMMYFUNCTION("""COMPUTED_VALUE"""),42452.64583333333)</f>
        <v>42452.64583</v>
      </c>
      <c r="C672" s="2">
        <f>IFERROR(__xludf.DUMMYFUNCTION("""COMPUTED_VALUE"""),551.06)</f>
        <v>551.06</v>
      </c>
    </row>
    <row r="673" ht="15.75" customHeight="1">
      <c r="B673" s="3">
        <f>IFERROR(__xludf.DUMMYFUNCTION("""COMPUTED_VALUE"""),42461.64583333333)</f>
        <v>42461.64583</v>
      </c>
      <c r="C673" s="2">
        <f>IFERROR(__xludf.DUMMYFUNCTION("""COMPUTED_VALUE"""),559.7)</f>
        <v>559.7</v>
      </c>
    </row>
    <row r="674" ht="15.75" customHeight="1">
      <c r="B674" s="3">
        <f>IFERROR(__xludf.DUMMYFUNCTION("""COMPUTED_VALUE"""),42468.64583333333)</f>
        <v>42468.64583</v>
      </c>
      <c r="C674" s="2">
        <f>IFERROR(__xludf.DUMMYFUNCTION("""COMPUTED_VALUE"""),574.82)</f>
        <v>574.82</v>
      </c>
    </row>
    <row r="675" ht="15.75" customHeight="1">
      <c r="B675" s="3">
        <f>IFERROR(__xludf.DUMMYFUNCTION("""COMPUTED_VALUE"""),42473.64583333333)</f>
        <v>42473.64583</v>
      </c>
      <c r="C675" s="2">
        <f>IFERROR(__xludf.DUMMYFUNCTION("""COMPUTED_VALUE"""),593.14)</f>
        <v>593.14</v>
      </c>
    </row>
    <row r="676" ht="15.75" customHeight="1">
      <c r="B676" s="3">
        <f>IFERROR(__xludf.DUMMYFUNCTION("""COMPUTED_VALUE"""),42482.64583333333)</f>
        <v>42482.64583</v>
      </c>
      <c r="C676" s="2">
        <f>IFERROR(__xludf.DUMMYFUNCTION("""COMPUTED_VALUE"""),595.99)</f>
        <v>595.99</v>
      </c>
    </row>
    <row r="677" ht="15.75" customHeight="1">
      <c r="B677" s="3">
        <f>IFERROR(__xludf.DUMMYFUNCTION("""COMPUTED_VALUE"""),42489.64583333333)</f>
        <v>42489.64583</v>
      </c>
      <c r="C677" s="2">
        <f>IFERROR(__xludf.DUMMYFUNCTION("""COMPUTED_VALUE"""),597.14)</f>
        <v>597.14</v>
      </c>
    </row>
    <row r="678" ht="15.75" customHeight="1">
      <c r="B678" s="3">
        <f>IFERROR(__xludf.DUMMYFUNCTION("""COMPUTED_VALUE"""),42496.64583333333)</f>
        <v>42496.64583</v>
      </c>
      <c r="C678" s="2">
        <f>IFERROR(__xludf.DUMMYFUNCTION("""COMPUTED_VALUE"""),601.73)</f>
        <v>601.73</v>
      </c>
    </row>
    <row r="679" ht="15.75" customHeight="1">
      <c r="B679" s="3">
        <f>IFERROR(__xludf.DUMMYFUNCTION("""COMPUTED_VALUE"""),42503.64583333333)</f>
        <v>42503.64583</v>
      </c>
      <c r="C679" s="2">
        <f>IFERROR(__xludf.DUMMYFUNCTION("""COMPUTED_VALUE"""),619.17)</f>
        <v>619.17</v>
      </c>
    </row>
    <row r="680" ht="15.75" customHeight="1">
      <c r="B680" s="3">
        <f>IFERROR(__xludf.DUMMYFUNCTION("""COMPUTED_VALUE"""),42510.64583333333)</f>
        <v>42510.64583</v>
      </c>
      <c r="C680" s="2">
        <f>IFERROR(__xludf.DUMMYFUNCTION("""COMPUTED_VALUE"""),620.61)</f>
        <v>620.61</v>
      </c>
    </row>
    <row r="681" ht="15.75" customHeight="1">
      <c r="B681" s="3">
        <f>IFERROR(__xludf.DUMMYFUNCTION("""COMPUTED_VALUE"""),42517.64583333333)</f>
        <v>42517.64583</v>
      </c>
      <c r="C681" s="2">
        <f>IFERROR(__xludf.DUMMYFUNCTION("""COMPUTED_VALUE"""),631.41)</f>
        <v>631.41</v>
      </c>
    </row>
    <row r="682" ht="15.75" customHeight="1">
      <c r="B682" s="3">
        <f>IFERROR(__xludf.DUMMYFUNCTION("""COMPUTED_VALUE"""),42524.64583333333)</f>
        <v>42524.64583</v>
      </c>
      <c r="C682" s="2">
        <f>IFERROR(__xludf.DUMMYFUNCTION("""COMPUTED_VALUE"""),634.2)</f>
        <v>634.2</v>
      </c>
    </row>
    <row r="683" ht="15.75" customHeight="1">
      <c r="B683" s="3">
        <f>IFERROR(__xludf.DUMMYFUNCTION("""COMPUTED_VALUE"""),42531.64583333333)</f>
        <v>42531.64583</v>
      </c>
      <c r="C683" s="2">
        <f>IFERROR(__xludf.DUMMYFUNCTION("""COMPUTED_VALUE"""),631.02)</f>
        <v>631.02</v>
      </c>
    </row>
    <row r="684" ht="15.75" customHeight="1">
      <c r="B684" s="3">
        <f>IFERROR(__xludf.DUMMYFUNCTION("""COMPUTED_VALUE"""),42538.64583333333)</f>
        <v>42538.64583</v>
      </c>
      <c r="C684" s="2">
        <f>IFERROR(__xludf.DUMMYFUNCTION("""COMPUTED_VALUE"""),626.37)</f>
        <v>626.37</v>
      </c>
    </row>
    <row r="685" ht="15.75" customHeight="1">
      <c r="B685" s="3">
        <f>IFERROR(__xludf.DUMMYFUNCTION("""COMPUTED_VALUE"""),42545.64583333333)</f>
        <v>42545.64583</v>
      </c>
      <c r="C685" s="2">
        <f>IFERROR(__xludf.DUMMYFUNCTION("""COMPUTED_VALUE"""),624.93)</f>
        <v>624.93</v>
      </c>
    </row>
    <row r="686" ht="15.75" customHeight="1">
      <c r="B686" s="3">
        <f>IFERROR(__xludf.DUMMYFUNCTION("""COMPUTED_VALUE"""),42552.64583333333)</f>
        <v>42552.64583</v>
      </c>
      <c r="C686" s="2">
        <f>IFERROR(__xludf.DUMMYFUNCTION("""COMPUTED_VALUE"""),676.45)</f>
        <v>676.45</v>
      </c>
    </row>
    <row r="687" ht="15.75" customHeight="1">
      <c r="B687" s="3">
        <f>IFERROR(__xludf.DUMMYFUNCTION("""COMPUTED_VALUE"""),42559.64583333333)</f>
        <v>42559.64583</v>
      </c>
      <c r="C687" s="2">
        <f>IFERROR(__xludf.DUMMYFUNCTION("""COMPUTED_VALUE"""),672.45)</f>
        <v>672.45</v>
      </c>
    </row>
    <row r="688" ht="15.75" customHeight="1">
      <c r="B688" s="3">
        <f>IFERROR(__xludf.DUMMYFUNCTION("""COMPUTED_VALUE"""),42566.64583333333)</f>
        <v>42566.64583</v>
      </c>
      <c r="C688" s="2">
        <f>IFERROR(__xludf.DUMMYFUNCTION("""COMPUTED_VALUE"""),697.73)</f>
        <v>697.73</v>
      </c>
    </row>
    <row r="689" ht="15.75" customHeight="1">
      <c r="B689" s="3">
        <f>IFERROR(__xludf.DUMMYFUNCTION("""COMPUTED_VALUE"""),42573.64583333333)</f>
        <v>42573.64583</v>
      </c>
      <c r="C689" s="2">
        <f>IFERROR(__xludf.DUMMYFUNCTION("""COMPUTED_VALUE"""),712.75)</f>
        <v>712.75</v>
      </c>
    </row>
    <row r="690" ht="15.75" customHeight="1">
      <c r="B690" s="3">
        <f>IFERROR(__xludf.DUMMYFUNCTION("""COMPUTED_VALUE"""),42580.64583333333)</f>
        <v>42580.64583</v>
      </c>
      <c r="C690" s="2">
        <f>IFERROR(__xludf.DUMMYFUNCTION("""COMPUTED_VALUE"""),708.3)</f>
        <v>708.3</v>
      </c>
    </row>
    <row r="691" ht="15.75" customHeight="1">
      <c r="B691" s="3">
        <f>IFERROR(__xludf.DUMMYFUNCTION("""COMPUTED_VALUE"""),42587.64583333333)</f>
        <v>42587.64583</v>
      </c>
      <c r="C691" s="2">
        <f>IFERROR(__xludf.DUMMYFUNCTION("""COMPUTED_VALUE"""),771.96)</f>
        <v>771.96</v>
      </c>
    </row>
    <row r="692" ht="15.75" customHeight="1">
      <c r="B692" s="3">
        <f>IFERROR(__xludf.DUMMYFUNCTION("""COMPUTED_VALUE"""),42594.64583333333)</f>
        <v>42594.64583</v>
      </c>
      <c r="C692" s="2">
        <f>IFERROR(__xludf.DUMMYFUNCTION("""COMPUTED_VALUE"""),769.5)</f>
        <v>769.5</v>
      </c>
    </row>
    <row r="693" ht="15.75" customHeight="1">
      <c r="B693" s="3">
        <f>IFERROR(__xludf.DUMMYFUNCTION("""COMPUTED_VALUE"""),42601.64583333333)</f>
        <v>42601.64583</v>
      </c>
      <c r="C693" s="2">
        <f>IFERROR(__xludf.DUMMYFUNCTION("""COMPUTED_VALUE"""),676.05)</f>
        <v>676.05</v>
      </c>
    </row>
    <row r="694" ht="15.75" customHeight="1">
      <c r="B694" s="3">
        <f>IFERROR(__xludf.DUMMYFUNCTION("""COMPUTED_VALUE"""),42608.64583333333)</f>
        <v>42608.64583</v>
      </c>
      <c r="C694" s="2">
        <f>IFERROR(__xludf.DUMMYFUNCTION("""COMPUTED_VALUE"""),669.57)</f>
        <v>669.57</v>
      </c>
    </row>
    <row r="695" ht="15.75" customHeight="1">
      <c r="B695" s="3">
        <f>IFERROR(__xludf.DUMMYFUNCTION("""COMPUTED_VALUE"""),42615.64583333333)</f>
        <v>42615.64583</v>
      </c>
      <c r="C695" s="2">
        <f>IFERROR(__xludf.DUMMYFUNCTION("""COMPUTED_VALUE"""),684.6)</f>
        <v>684.6</v>
      </c>
    </row>
    <row r="696" ht="15.75" customHeight="1">
      <c r="B696" s="3">
        <f>IFERROR(__xludf.DUMMYFUNCTION("""COMPUTED_VALUE"""),42622.64583333333)</f>
        <v>42622.64583</v>
      </c>
      <c r="C696" s="2">
        <f>IFERROR(__xludf.DUMMYFUNCTION("""COMPUTED_VALUE"""),694.03)</f>
        <v>694.03</v>
      </c>
    </row>
    <row r="697" ht="15.75" customHeight="1">
      <c r="B697" s="3">
        <f>IFERROR(__xludf.DUMMYFUNCTION("""COMPUTED_VALUE"""),42629.64583333333)</f>
        <v>42629.64583</v>
      </c>
      <c r="C697" s="2">
        <f>IFERROR(__xludf.DUMMYFUNCTION("""COMPUTED_VALUE"""),701.75)</f>
        <v>701.75</v>
      </c>
    </row>
    <row r="698" ht="15.75" customHeight="1">
      <c r="B698" s="3">
        <f>IFERROR(__xludf.DUMMYFUNCTION("""COMPUTED_VALUE"""),42636.64583333333)</f>
        <v>42636.64583</v>
      </c>
      <c r="C698" s="2">
        <f>IFERROR(__xludf.DUMMYFUNCTION("""COMPUTED_VALUE"""),716.51)</f>
        <v>716.51</v>
      </c>
    </row>
    <row r="699" ht="15.75" customHeight="1">
      <c r="B699" s="3">
        <f>IFERROR(__xludf.DUMMYFUNCTION("""COMPUTED_VALUE"""),42643.64583333333)</f>
        <v>42643.64583</v>
      </c>
      <c r="C699" s="2">
        <f>IFERROR(__xludf.DUMMYFUNCTION("""COMPUTED_VALUE"""),711.11)</f>
        <v>711.11</v>
      </c>
    </row>
    <row r="700" ht="15.75" customHeight="1">
      <c r="B700" s="3">
        <f>IFERROR(__xludf.DUMMYFUNCTION("""COMPUTED_VALUE"""),42650.64583333333)</f>
        <v>42650.64583</v>
      </c>
      <c r="C700" s="2">
        <f>IFERROR(__xludf.DUMMYFUNCTION("""COMPUTED_VALUE"""),744.01)</f>
        <v>744.01</v>
      </c>
    </row>
    <row r="701" ht="15.75" customHeight="1">
      <c r="B701" s="3">
        <f>IFERROR(__xludf.DUMMYFUNCTION("""COMPUTED_VALUE"""),42657.64583333333)</f>
        <v>42657.64583</v>
      </c>
      <c r="C701" s="2">
        <f>IFERROR(__xludf.DUMMYFUNCTION("""COMPUTED_VALUE"""),746.39)</f>
        <v>746.39</v>
      </c>
    </row>
    <row r="702" ht="15.75" customHeight="1">
      <c r="B702" s="3">
        <f>IFERROR(__xludf.DUMMYFUNCTION("""COMPUTED_VALUE"""),42664.64583333333)</f>
        <v>42664.64583</v>
      </c>
      <c r="C702" s="2">
        <f>IFERROR(__xludf.DUMMYFUNCTION("""COMPUTED_VALUE"""),719.75)</f>
        <v>719.75</v>
      </c>
    </row>
    <row r="703" ht="15.75" customHeight="1">
      <c r="B703" s="3">
        <f>IFERROR(__xludf.DUMMYFUNCTION("""COMPUTED_VALUE"""),42671.64583333333)</f>
        <v>42671.64583</v>
      </c>
      <c r="C703" s="2">
        <f>IFERROR(__xludf.DUMMYFUNCTION("""COMPUTED_VALUE"""),710.61)</f>
        <v>710.61</v>
      </c>
    </row>
    <row r="704" ht="15.75" customHeight="1">
      <c r="B704" s="3">
        <f>IFERROR(__xludf.DUMMYFUNCTION("""COMPUTED_VALUE"""),42678.64583333333)</f>
        <v>42678.64583</v>
      </c>
      <c r="C704" s="2">
        <f>IFERROR(__xludf.DUMMYFUNCTION("""COMPUTED_VALUE"""),705.42)</f>
        <v>705.42</v>
      </c>
    </row>
    <row r="705" ht="15.75" customHeight="1">
      <c r="B705" s="3">
        <f>IFERROR(__xludf.DUMMYFUNCTION("""COMPUTED_VALUE"""),42685.64583333333)</f>
        <v>42685.64583</v>
      </c>
      <c r="C705" s="2">
        <f>IFERROR(__xludf.DUMMYFUNCTION("""COMPUTED_VALUE"""),668.85)</f>
        <v>668.85</v>
      </c>
    </row>
    <row r="706" ht="15.75" customHeight="1">
      <c r="B706" s="3">
        <f>IFERROR(__xludf.DUMMYFUNCTION("""COMPUTED_VALUE"""),42692.64583333333)</f>
        <v>42692.64583</v>
      </c>
      <c r="C706" s="2">
        <f>IFERROR(__xludf.DUMMYFUNCTION("""COMPUTED_VALUE"""),648.01)</f>
        <v>648.01</v>
      </c>
    </row>
    <row r="707" ht="15.75" customHeight="1">
      <c r="B707" s="3">
        <f>IFERROR(__xludf.DUMMYFUNCTION("""COMPUTED_VALUE"""),42699.64583333333)</f>
        <v>42699.64583</v>
      </c>
      <c r="C707" s="2">
        <f>IFERROR(__xludf.DUMMYFUNCTION("""COMPUTED_VALUE"""),594.69)</f>
        <v>594.69</v>
      </c>
    </row>
    <row r="708" ht="15.75" customHeight="1">
      <c r="B708" s="3">
        <f>IFERROR(__xludf.DUMMYFUNCTION("""COMPUTED_VALUE"""),42706.64583333333)</f>
        <v>42706.64583</v>
      </c>
      <c r="C708" s="2">
        <f>IFERROR(__xludf.DUMMYFUNCTION("""COMPUTED_VALUE"""),635.7)</f>
        <v>635.7</v>
      </c>
    </row>
    <row r="709" ht="15.75" customHeight="1">
      <c r="B709" s="3">
        <f>IFERROR(__xludf.DUMMYFUNCTION("""COMPUTED_VALUE"""),42713.64583333333)</f>
        <v>42713.64583</v>
      </c>
      <c r="C709" s="2">
        <f>IFERROR(__xludf.DUMMYFUNCTION("""COMPUTED_VALUE"""),647.25)</f>
        <v>647.25</v>
      </c>
    </row>
    <row r="710" ht="15.75" customHeight="1">
      <c r="B710" s="3">
        <f>IFERROR(__xludf.DUMMYFUNCTION("""COMPUTED_VALUE"""),42720.64583333333)</f>
        <v>42720.64583</v>
      </c>
      <c r="C710" s="2">
        <f>IFERROR(__xludf.DUMMYFUNCTION("""COMPUTED_VALUE"""),634.18)</f>
        <v>634.18</v>
      </c>
    </row>
    <row r="711" ht="15.75" customHeight="1">
      <c r="B711" s="3">
        <f>IFERROR(__xludf.DUMMYFUNCTION("""COMPUTED_VALUE"""),42727.64583333333)</f>
        <v>42727.64583</v>
      </c>
      <c r="C711" s="2">
        <f>IFERROR(__xludf.DUMMYFUNCTION("""COMPUTED_VALUE"""),601.17)</f>
        <v>601.17</v>
      </c>
    </row>
    <row r="712" ht="15.75" customHeight="1">
      <c r="B712" s="3">
        <f>IFERROR(__xludf.DUMMYFUNCTION("""COMPUTED_VALUE"""),42734.64583333333)</f>
        <v>42734.64583</v>
      </c>
      <c r="C712" s="2">
        <f>IFERROR(__xludf.DUMMYFUNCTION("""COMPUTED_VALUE"""),625.65)</f>
        <v>625.65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IFERROR(__xludf.DUMMYFUNCTION("GOOGLEFINANCE(""NSE:GRASIM"", ""high"",DATE(2018,1,1),DATE(2019,1,1),""weekly"")"),"Date")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IFERROR(__xludf.DUMMYFUNCTION("""COMPUTED_VALUE"""),43105.64583333333)</f>
        <v>43105.64583</v>
      </c>
      <c r="C717" s="2">
        <f>IFERROR(__xludf.DUMMYFUNCTION("""COMPUTED_VALUE"""),1219.0)</f>
        <v>1219</v>
      </c>
    </row>
    <row r="718" ht="15.75" customHeight="1">
      <c r="B718" s="3">
        <f>IFERROR(__xludf.DUMMYFUNCTION("""COMPUTED_VALUE"""),43112.64583333333)</f>
        <v>43112.64583</v>
      </c>
      <c r="C718" s="2">
        <f>IFERROR(__xludf.DUMMYFUNCTION("""COMPUTED_VALUE"""),1255.7)</f>
        <v>1255.7</v>
      </c>
    </row>
    <row r="719" ht="15.75" customHeight="1">
      <c r="B719" s="3">
        <f>IFERROR(__xludf.DUMMYFUNCTION("""COMPUTED_VALUE"""),43119.64583333333)</f>
        <v>43119.64583</v>
      </c>
      <c r="C719" s="2">
        <f>IFERROR(__xludf.DUMMYFUNCTION("""COMPUTED_VALUE"""),1261.1)</f>
        <v>1261.1</v>
      </c>
    </row>
    <row r="720" ht="15.75" customHeight="1">
      <c r="B720" s="3">
        <f>IFERROR(__xludf.DUMMYFUNCTION("""COMPUTED_VALUE"""),43125.64583333333)</f>
        <v>43125.64583</v>
      </c>
      <c r="C720" s="2">
        <f>IFERROR(__xludf.DUMMYFUNCTION("""COMPUTED_VALUE"""),1247.55)</f>
        <v>1247.55</v>
      </c>
    </row>
    <row r="721" ht="15.75" customHeight="1">
      <c r="B721" s="3">
        <f>IFERROR(__xludf.DUMMYFUNCTION("""COMPUTED_VALUE"""),43133.64583333333)</f>
        <v>43133.64583</v>
      </c>
      <c r="C721" s="2">
        <f>IFERROR(__xludf.DUMMYFUNCTION("""COMPUTED_VALUE"""),1200.8)</f>
        <v>1200.8</v>
      </c>
    </row>
    <row r="722" ht="15.75" customHeight="1">
      <c r="B722" s="3">
        <f>IFERROR(__xludf.DUMMYFUNCTION("""COMPUTED_VALUE"""),43140.64583333333)</f>
        <v>43140.64583</v>
      </c>
      <c r="C722" s="2">
        <f>IFERROR(__xludf.DUMMYFUNCTION("""COMPUTED_VALUE"""),1124.3)</f>
        <v>1124.3</v>
      </c>
    </row>
    <row r="723" ht="15.75" customHeight="1">
      <c r="B723" s="3">
        <f>IFERROR(__xludf.DUMMYFUNCTION("""COMPUTED_VALUE"""),43147.64583333333)</f>
        <v>43147.64583</v>
      </c>
      <c r="C723" s="2">
        <f>IFERROR(__xludf.DUMMYFUNCTION("""COMPUTED_VALUE"""),1152.7)</f>
        <v>1152.7</v>
      </c>
    </row>
    <row r="724" ht="15.75" customHeight="1">
      <c r="B724" s="3">
        <f>IFERROR(__xludf.DUMMYFUNCTION("""COMPUTED_VALUE"""),43154.64583333333)</f>
        <v>43154.64583</v>
      </c>
      <c r="C724" s="2">
        <f>IFERROR(__xludf.DUMMYFUNCTION("""COMPUTED_VALUE"""),1141.9)</f>
        <v>1141.9</v>
      </c>
    </row>
    <row r="725" ht="15.75" customHeight="1">
      <c r="B725" s="3">
        <f>IFERROR(__xludf.DUMMYFUNCTION("""COMPUTED_VALUE"""),43160.64583333333)</f>
        <v>43160.64583</v>
      </c>
      <c r="C725" s="2">
        <f>IFERROR(__xludf.DUMMYFUNCTION("""COMPUTED_VALUE"""),1201.65)</f>
        <v>1201.65</v>
      </c>
    </row>
    <row r="726" ht="15.75" customHeight="1">
      <c r="B726" s="3">
        <f>IFERROR(__xludf.DUMMYFUNCTION("""COMPUTED_VALUE"""),43168.64583333333)</f>
        <v>43168.64583</v>
      </c>
      <c r="C726" s="2">
        <f>IFERROR(__xludf.DUMMYFUNCTION("""COMPUTED_VALUE"""),1165.3)</f>
        <v>1165.3</v>
      </c>
    </row>
    <row r="727" ht="15.75" customHeight="1">
      <c r="B727" s="3">
        <f>IFERROR(__xludf.DUMMYFUNCTION("""COMPUTED_VALUE"""),43175.64583333333)</f>
        <v>43175.64583</v>
      </c>
      <c r="C727" s="2">
        <f>IFERROR(__xludf.DUMMYFUNCTION("""COMPUTED_VALUE"""),1131.0)</f>
        <v>1131</v>
      </c>
    </row>
    <row r="728" ht="15.75" customHeight="1">
      <c r="B728" s="3">
        <f>IFERROR(__xludf.DUMMYFUNCTION("""COMPUTED_VALUE"""),43182.64583333333)</f>
        <v>43182.64583</v>
      </c>
      <c r="C728" s="2">
        <f>IFERROR(__xludf.DUMMYFUNCTION("""COMPUTED_VALUE"""),1104.7)</f>
        <v>1104.7</v>
      </c>
    </row>
    <row r="729" ht="15.75" customHeight="1">
      <c r="B729" s="3">
        <f>IFERROR(__xludf.DUMMYFUNCTION("""COMPUTED_VALUE"""),43187.64583333333)</f>
        <v>43187.64583</v>
      </c>
      <c r="C729" s="2">
        <f>IFERROR(__xludf.DUMMYFUNCTION("""COMPUTED_VALUE"""),1101.0)</f>
        <v>1101</v>
      </c>
    </row>
    <row r="730" ht="15.75" customHeight="1">
      <c r="B730" s="3">
        <f>IFERROR(__xludf.DUMMYFUNCTION("""COMPUTED_VALUE"""),43196.64583333333)</f>
        <v>43196.64583</v>
      </c>
      <c r="C730" s="2">
        <f>IFERROR(__xludf.DUMMYFUNCTION("""COMPUTED_VALUE"""),1102.5)</f>
        <v>1102.5</v>
      </c>
    </row>
    <row r="731" ht="15.75" customHeight="1">
      <c r="B731" s="3">
        <f>IFERROR(__xludf.DUMMYFUNCTION("""COMPUTED_VALUE"""),43203.64583333333)</f>
        <v>43203.64583</v>
      </c>
      <c r="C731" s="2">
        <f>IFERROR(__xludf.DUMMYFUNCTION("""COMPUTED_VALUE"""),1094.35)</f>
        <v>1094.35</v>
      </c>
    </row>
    <row r="732" ht="15.75" customHeight="1">
      <c r="B732" s="3">
        <f>IFERROR(__xludf.DUMMYFUNCTION("""COMPUTED_VALUE"""),43210.64583333333)</f>
        <v>43210.64583</v>
      </c>
      <c r="C732" s="2">
        <f>IFERROR(__xludf.DUMMYFUNCTION("""COMPUTED_VALUE"""),1115.0)</f>
        <v>1115</v>
      </c>
    </row>
    <row r="733" ht="15.75" customHeight="1">
      <c r="B733" s="3">
        <f>IFERROR(__xludf.DUMMYFUNCTION("""COMPUTED_VALUE"""),43217.64583333333)</f>
        <v>43217.64583</v>
      </c>
      <c r="C733" s="2">
        <f>IFERROR(__xludf.DUMMYFUNCTION("""COMPUTED_VALUE"""),1106.05)</f>
        <v>1106.05</v>
      </c>
    </row>
    <row r="734" ht="15.75" customHeight="1">
      <c r="B734" s="3">
        <f>IFERROR(__xludf.DUMMYFUNCTION("""COMPUTED_VALUE"""),43224.64583333333)</f>
        <v>43224.64583</v>
      </c>
      <c r="C734" s="2">
        <f>IFERROR(__xludf.DUMMYFUNCTION("""COMPUTED_VALUE"""),1114.9)</f>
        <v>1114.9</v>
      </c>
    </row>
    <row r="735" ht="15.75" customHeight="1">
      <c r="B735" s="3">
        <f>IFERROR(__xludf.DUMMYFUNCTION("""COMPUTED_VALUE"""),43231.64583333333)</f>
        <v>43231.64583</v>
      </c>
      <c r="C735" s="2">
        <f>IFERROR(__xludf.DUMMYFUNCTION("""COMPUTED_VALUE"""),1108.85)</f>
        <v>1108.85</v>
      </c>
    </row>
    <row r="736" ht="15.75" customHeight="1">
      <c r="B736" s="3">
        <f>IFERROR(__xludf.DUMMYFUNCTION("""COMPUTED_VALUE"""),43238.64583333333)</f>
        <v>43238.64583</v>
      </c>
      <c r="C736" s="2">
        <f>IFERROR(__xludf.DUMMYFUNCTION("""COMPUTED_VALUE"""),1106.9)</f>
        <v>1106.9</v>
      </c>
    </row>
    <row r="737" ht="15.75" customHeight="1">
      <c r="B737" s="3">
        <f>IFERROR(__xludf.DUMMYFUNCTION("""COMPUTED_VALUE"""),43245.64583333333)</f>
        <v>43245.64583</v>
      </c>
      <c r="C737" s="2">
        <f>IFERROR(__xludf.DUMMYFUNCTION("""COMPUTED_VALUE"""),1071.35)</f>
        <v>1071.35</v>
      </c>
    </row>
    <row r="738" ht="15.75" customHeight="1">
      <c r="B738" s="3">
        <f>IFERROR(__xludf.DUMMYFUNCTION("""COMPUTED_VALUE"""),43252.64583333333)</f>
        <v>43252.64583</v>
      </c>
      <c r="C738" s="2">
        <f>IFERROR(__xludf.DUMMYFUNCTION("""COMPUTED_VALUE"""),1093.6)</f>
        <v>1093.6</v>
      </c>
    </row>
    <row r="739" ht="15.75" customHeight="1">
      <c r="B739" s="3">
        <f>IFERROR(__xludf.DUMMYFUNCTION("""COMPUTED_VALUE"""),43259.64583333333)</f>
        <v>43259.64583</v>
      </c>
      <c r="C739" s="2">
        <f>IFERROR(__xludf.DUMMYFUNCTION("""COMPUTED_VALUE"""),1057.0)</f>
        <v>1057</v>
      </c>
    </row>
    <row r="740" ht="15.75" customHeight="1">
      <c r="B740" s="3">
        <f>IFERROR(__xludf.DUMMYFUNCTION("""COMPUTED_VALUE"""),43266.64583333333)</f>
        <v>43266.64583</v>
      </c>
      <c r="C740" s="2">
        <f>IFERROR(__xludf.DUMMYFUNCTION("""COMPUTED_VALUE"""),1060.0)</f>
        <v>1060</v>
      </c>
    </row>
    <row r="741" ht="15.75" customHeight="1">
      <c r="B741" s="3">
        <f>IFERROR(__xludf.DUMMYFUNCTION("""COMPUTED_VALUE"""),43273.64583333333)</f>
        <v>43273.64583</v>
      </c>
      <c r="C741" s="2">
        <f>IFERROR(__xludf.DUMMYFUNCTION("""COMPUTED_VALUE"""),1035.0)</f>
        <v>1035</v>
      </c>
    </row>
    <row r="742" ht="15.75" customHeight="1">
      <c r="B742" s="3">
        <f>IFERROR(__xludf.DUMMYFUNCTION("""COMPUTED_VALUE"""),43280.64583333333)</f>
        <v>43280.64583</v>
      </c>
      <c r="C742" s="2">
        <f>IFERROR(__xludf.DUMMYFUNCTION("""COMPUTED_VALUE"""),1039.9)</f>
        <v>1039.9</v>
      </c>
    </row>
    <row r="743" ht="15.75" customHeight="1">
      <c r="B743" s="3">
        <f>IFERROR(__xludf.DUMMYFUNCTION("""COMPUTED_VALUE"""),43287.64583333333)</f>
        <v>43287.64583</v>
      </c>
      <c r="C743" s="2">
        <f>IFERROR(__xludf.DUMMYFUNCTION("""COMPUTED_VALUE"""),1008.0)</f>
        <v>1008</v>
      </c>
    </row>
    <row r="744" ht="15.75" customHeight="1">
      <c r="B744" s="3">
        <f>IFERROR(__xludf.DUMMYFUNCTION("""COMPUTED_VALUE"""),43294.64583333333)</f>
        <v>43294.64583</v>
      </c>
      <c r="C744" s="2">
        <f>IFERROR(__xludf.DUMMYFUNCTION("""COMPUTED_VALUE"""),999.0)</f>
        <v>999</v>
      </c>
    </row>
    <row r="745" ht="15.75" customHeight="1">
      <c r="B745" s="3">
        <f>IFERROR(__xludf.DUMMYFUNCTION("""COMPUTED_VALUE"""),43301.64583333333)</f>
        <v>43301.64583</v>
      </c>
      <c r="C745" s="2">
        <f>IFERROR(__xludf.DUMMYFUNCTION("""COMPUTED_VALUE"""),953.0)</f>
        <v>953</v>
      </c>
    </row>
    <row r="746" ht="15.75" customHeight="1">
      <c r="B746" s="3">
        <f>IFERROR(__xludf.DUMMYFUNCTION("""COMPUTED_VALUE"""),43308.64583333333)</f>
        <v>43308.64583</v>
      </c>
      <c r="C746" s="2">
        <f>IFERROR(__xludf.DUMMYFUNCTION("""COMPUTED_VALUE"""),1030.0)</f>
        <v>1030</v>
      </c>
    </row>
    <row r="747" ht="15.75" customHeight="1">
      <c r="B747" s="3">
        <f>IFERROR(__xludf.DUMMYFUNCTION("""COMPUTED_VALUE"""),43315.64583333333)</f>
        <v>43315.64583</v>
      </c>
      <c r="C747" s="2">
        <f>IFERROR(__xludf.DUMMYFUNCTION("""COMPUTED_VALUE"""),1040.5)</f>
        <v>1040.5</v>
      </c>
    </row>
    <row r="748" ht="15.75" customHeight="1">
      <c r="B748" s="3">
        <f>IFERROR(__xludf.DUMMYFUNCTION("""COMPUTED_VALUE"""),43322.64583333333)</f>
        <v>43322.64583</v>
      </c>
      <c r="C748" s="2">
        <f>IFERROR(__xludf.DUMMYFUNCTION("""COMPUTED_VALUE"""),1035.0)</f>
        <v>1035</v>
      </c>
    </row>
    <row r="749" ht="15.75" customHeight="1">
      <c r="B749" s="3">
        <f>IFERROR(__xludf.DUMMYFUNCTION("""COMPUTED_VALUE"""),43329.64583333333)</f>
        <v>43329.64583</v>
      </c>
      <c r="C749" s="2">
        <f>IFERROR(__xludf.DUMMYFUNCTION("""COMPUTED_VALUE"""),1048.65)</f>
        <v>1048.65</v>
      </c>
    </row>
    <row r="750" ht="15.75" customHeight="1">
      <c r="B750" s="3">
        <f>IFERROR(__xludf.DUMMYFUNCTION("""COMPUTED_VALUE"""),43336.64583333333)</f>
        <v>43336.64583</v>
      </c>
      <c r="C750" s="2">
        <f>IFERROR(__xludf.DUMMYFUNCTION("""COMPUTED_VALUE"""),1070.0)</f>
        <v>1070</v>
      </c>
    </row>
    <row r="751" ht="15.75" customHeight="1">
      <c r="B751" s="3">
        <f>IFERROR(__xludf.DUMMYFUNCTION("""COMPUTED_VALUE"""),43343.64583333333)</f>
        <v>43343.64583</v>
      </c>
      <c r="C751" s="2">
        <f>IFERROR(__xludf.DUMMYFUNCTION("""COMPUTED_VALUE"""),1093.0)</f>
        <v>1093</v>
      </c>
    </row>
    <row r="752" ht="15.75" customHeight="1">
      <c r="B752" s="3">
        <f>IFERROR(__xludf.DUMMYFUNCTION("""COMPUTED_VALUE"""),43350.64583333333)</f>
        <v>43350.64583</v>
      </c>
      <c r="C752" s="2">
        <f>IFERROR(__xludf.DUMMYFUNCTION("""COMPUTED_VALUE"""),1078.0)</f>
        <v>1078</v>
      </c>
    </row>
    <row r="753" ht="15.75" customHeight="1">
      <c r="B753" s="3">
        <f>IFERROR(__xludf.DUMMYFUNCTION("""COMPUTED_VALUE"""),43357.64583333333)</f>
        <v>43357.64583</v>
      </c>
      <c r="C753" s="2">
        <f>IFERROR(__xludf.DUMMYFUNCTION("""COMPUTED_VALUE"""),1066.55)</f>
        <v>1066.55</v>
      </c>
    </row>
    <row r="754" ht="15.75" customHeight="1">
      <c r="B754" s="3">
        <f>IFERROR(__xludf.DUMMYFUNCTION("""COMPUTED_VALUE"""),43364.64583333333)</f>
        <v>43364.64583</v>
      </c>
      <c r="C754" s="2">
        <f>IFERROR(__xludf.DUMMYFUNCTION("""COMPUTED_VALUE"""),1082.0)</f>
        <v>1082</v>
      </c>
    </row>
    <row r="755" ht="15.75" customHeight="1">
      <c r="B755" s="3">
        <f>IFERROR(__xludf.DUMMYFUNCTION("""COMPUTED_VALUE"""),43371.64583333333)</f>
        <v>43371.64583</v>
      </c>
      <c r="C755" s="2">
        <f>IFERROR(__xludf.DUMMYFUNCTION("""COMPUTED_VALUE"""),1066.5)</f>
        <v>1066.5</v>
      </c>
    </row>
    <row r="756" ht="15.75" customHeight="1">
      <c r="B756" s="3">
        <f>IFERROR(__xludf.DUMMYFUNCTION("""COMPUTED_VALUE"""),43378.64583333333)</f>
        <v>43378.64583</v>
      </c>
      <c r="C756" s="2">
        <f>IFERROR(__xludf.DUMMYFUNCTION("""COMPUTED_VALUE"""),1023.0)</f>
        <v>1023</v>
      </c>
    </row>
    <row r="757" ht="15.75" customHeight="1">
      <c r="B757" s="3">
        <f>IFERROR(__xludf.DUMMYFUNCTION("""COMPUTED_VALUE"""),43385.64583333333)</f>
        <v>43385.64583</v>
      </c>
      <c r="C757" s="2">
        <f>IFERROR(__xludf.DUMMYFUNCTION("""COMPUTED_VALUE"""),933.9)</f>
        <v>933.9</v>
      </c>
    </row>
    <row r="758" ht="15.75" customHeight="1">
      <c r="B758" s="3">
        <f>IFERROR(__xludf.DUMMYFUNCTION("""COMPUTED_VALUE"""),43392.64583333333)</f>
        <v>43392.64583</v>
      </c>
      <c r="C758" s="2">
        <f>IFERROR(__xludf.DUMMYFUNCTION("""COMPUTED_VALUE"""),915.6)</f>
        <v>915.6</v>
      </c>
    </row>
    <row r="759" ht="15.75" customHeight="1">
      <c r="B759" s="3">
        <f>IFERROR(__xludf.DUMMYFUNCTION("""COMPUTED_VALUE"""),43399.64583333333)</f>
        <v>43399.64583</v>
      </c>
      <c r="C759" s="2">
        <f>IFERROR(__xludf.DUMMYFUNCTION("""COMPUTED_VALUE"""),885.3)</f>
        <v>885.3</v>
      </c>
    </row>
    <row r="760" ht="15.75" customHeight="1">
      <c r="B760" s="3">
        <f>IFERROR(__xludf.DUMMYFUNCTION("""COMPUTED_VALUE"""),43406.64583333333)</f>
        <v>43406.64583</v>
      </c>
      <c r="C760" s="2">
        <f>IFERROR(__xludf.DUMMYFUNCTION("""COMPUTED_VALUE"""),863.0)</f>
        <v>863</v>
      </c>
    </row>
    <row r="761" ht="15.75" customHeight="1">
      <c r="B761" s="3">
        <f>IFERROR(__xludf.DUMMYFUNCTION("""COMPUTED_VALUE"""),43413.64583333333)</f>
        <v>43413.64583</v>
      </c>
      <c r="C761" s="2">
        <f>IFERROR(__xludf.DUMMYFUNCTION("""COMPUTED_VALUE"""),870.0)</f>
        <v>870</v>
      </c>
    </row>
    <row r="762" ht="15.75" customHeight="1">
      <c r="B762" s="3">
        <f>IFERROR(__xludf.DUMMYFUNCTION("""COMPUTED_VALUE"""),43420.64583333333)</f>
        <v>43420.64583</v>
      </c>
      <c r="C762" s="2">
        <f>IFERROR(__xludf.DUMMYFUNCTION("""COMPUTED_VALUE"""),891.7)</f>
        <v>891.7</v>
      </c>
    </row>
    <row r="763" ht="15.75" customHeight="1">
      <c r="B763" s="3">
        <f>IFERROR(__xludf.DUMMYFUNCTION("""COMPUTED_VALUE"""),43426.64583333333)</f>
        <v>43426.64583</v>
      </c>
      <c r="C763" s="2">
        <f>IFERROR(__xludf.DUMMYFUNCTION("""COMPUTED_VALUE"""),868.25)</f>
        <v>868.25</v>
      </c>
    </row>
    <row r="764" ht="15.75" customHeight="1">
      <c r="B764" s="3">
        <f>IFERROR(__xludf.DUMMYFUNCTION("""COMPUTED_VALUE"""),43434.64583333333)</f>
        <v>43434.64583</v>
      </c>
      <c r="C764" s="2">
        <f>IFERROR(__xludf.DUMMYFUNCTION("""COMPUTED_VALUE"""),872.75)</f>
        <v>872.75</v>
      </c>
    </row>
    <row r="765" ht="15.75" customHeight="1">
      <c r="B765" s="3">
        <f>IFERROR(__xludf.DUMMYFUNCTION("""COMPUTED_VALUE"""),43441.64583333333)</f>
        <v>43441.64583</v>
      </c>
      <c r="C765" s="2">
        <f>IFERROR(__xludf.DUMMYFUNCTION("""COMPUTED_VALUE"""),883.0)</f>
        <v>883</v>
      </c>
    </row>
    <row r="766" ht="15.75" customHeight="1">
      <c r="B766" s="3">
        <f>IFERROR(__xludf.DUMMYFUNCTION("""COMPUTED_VALUE"""),43448.64583333333)</f>
        <v>43448.64583</v>
      </c>
      <c r="C766" s="2">
        <f>IFERROR(__xludf.DUMMYFUNCTION("""COMPUTED_VALUE"""),852.75)</f>
        <v>852.75</v>
      </c>
    </row>
    <row r="767" ht="15.75" customHeight="1">
      <c r="B767" s="3">
        <f>IFERROR(__xludf.DUMMYFUNCTION("""COMPUTED_VALUE"""),43455.64583333333)</f>
        <v>43455.64583</v>
      </c>
      <c r="C767" s="2">
        <f>IFERROR(__xludf.DUMMYFUNCTION("""COMPUTED_VALUE"""),876.0)</f>
        <v>876</v>
      </c>
    </row>
    <row r="768" ht="15.75" customHeight="1">
      <c r="B768" s="3">
        <f>IFERROR(__xludf.DUMMYFUNCTION("""COMPUTED_VALUE"""),43462.64583333333)</f>
        <v>43462.64583</v>
      </c>
      <c r="C768" s="2">
        <f>IFERROR(__xludf.DUMMYFUNCTION("""COMPUTED_VALUE"""),828.65)</f>
        <v>828.65</v>
      </c>
    </row>
    <row r="769" ht="15.75" customHeight="1"/>
    <row r="770" ht="15.75" customHeight="1"/>
    <row r="771" ht="15.75" customHeight="1">
      <c r="B771" s="2" t="str">
        <f>IFERROR(__xludf.DUMMYFUNCTION("GOOGLEFINANCE(""NSE:GRASIM"", ""high"",DATE(2019,1,1),DATE(2020,1,1),""weekly"")"),"Date")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IFERROR(__xludf.DUMMYFUNCTION("""COMPUTED_VALUE"""),43469.64583333333)</f>
        <v>43469.64583</v>
      </c>
      <c r="C772" s="2">
        <f>IFERROR(__xludf.DUMMYFUNCTION("""COMPUTED_VALUE"""),838.0)</f>
        <v>838</v>
      </c>
    </row>
    <row r="773" ht="15.75" customHeight="1">
      <c r="B773" s="3">
        <f>IFERROR(__xludf.DUMMYFUNCTION("""COMPUTED_VALUE"""),43476.64583333333)</f>
        <v>43476.64583</v>
      </c>
      <c r="C773" s="2">
        <f>IFERROR(__xludf.DUMMYFUNCTION("""COMPUTED_VALUE"""),844.3)</f>
        <v>844.3</v>
      </c>
    </row>
    <row r="774" ht="15.75" customHeight="1">
      <c r="B774" s="3">
        <f>IFERROR(__xludf.DUMMYFUNCTION("""COMPUTED_VALUE"""),43483.64583333333)</f>
        <v>43483.64583</v>
      </c>
      <c r="C774" s="2">
        <f>IFERROR(__xludf.DUMMYFUNCTION("""COMPUTED_VALUE"""),841.45)</f>
        <v>841.45</v>
      </c>
    </row>
    <row r="775" ht="15.75" customHeight="1">
      <c r="B775" s="3">
        <f>IFERROR(__xludf.DUMMYFUNCTION("""COMPUTED_VALUE"""),43490.64583333333)</f>
        <v>43490.64583</v>
      </c>
      <c r="C775" s="2">
        <f>IFERROR(__xludf.DUMMYFUNCTION("""COMPUTED_VALUE"""),828.0)</f>
        <v>828</v>
      </c>
    </row>
    <row r="776" ht="15.75" customHeight="1">
      <c r="B776" s="3">
        <f>IFERROR(__xludf.DUMMYFUNCTION("""COMPUTED_VALUE"""),43497.64583333333)</f>
        <v>43497.64583</v>
      </c>
      <c r="C776" s="2">
        <f>IFERROR(__xludf.DUMMYFUNCTION("""COMPUTED_VALUE"""),763.0)</f>
        <v>763</v>
      </c>
    </row>
    <row r="777" ht="15.75" customHeight="1">
      <c r="B777" s="3">
        <f>IFERROR(__xludf.DUMMYFUNCTION("""COMPUTED_VALUE"""),43504.64583333333)</f>
        <v>43504.64583</v>
      </c>
      <c r="C777" s="2">
        <f>IFERROR(__xludf.DUMMYFUNCTION("""COMPUTED_VALUE"""),764.05)</f>
        <v>764.05</v>
      </c>
    </row>
    <row r="778" ht="15.75" customHeight="1">
      <c r="B778" s="3">
        <f>IFERROR(__xludf.DUMMYFUNCTION("""COMPUTED_VALUE"""),43511.64583333333)</f>
        <v>43511.64583</v>
      </c>
      <c r="C778" s="2">
        <f>IFERROR(__xludf.DUMMYFUNCTION("""COMPUTED_VALUE"""),727.9)</f>
        <v>727.9</v>
      </c>
    </row>
    <row r="779" ht="15.75" customHeight="1">
      <c r="B779" s="3">
        <f>IFERROR(__xludf.DUMMYFUNCTION("""COMPUTED_VALUE"""),43518.64583333333)</f>
        <v>43518.64583</v>
      </c>
      <c r="C779" s="2">
        <f>IFERROR(__xludf.DUMMYFUNCTION("""COMPUTED_VALUE"""),762.0)</f>
        <v>762</v>
      </c>
    </row>
    <row r="780" ht="15.75" customHeight="1">
      <c r="B780" s="3">
        <f>IFERROR(__xludf.DUMMYFUNCTION("""COMPUTED_VALUE"""),43525.64583333333)</f>
        <v>43525.64583</v>
      </c>
      <c r="C780" s="2">
        <f>IFERROR(__xludf.DUMMYFUNCTION("""COMPUTED_VALUE"""),796.9)</f>
        <v>796.9</v>
      </c>
    </row>
    <row r="781" ht="15.75" customHeight="1">
      <c r="B781" s="3">
        <f>IFERROR(__xludf.DUMMYFUNCTION("""COMPUTED_VALUE"""),43532.64583333333)</f>
        <v>43532.64583</v>
      </c>
      <c r="C781" s="2">
        <f>IFERROR(__xludf.DUMMYFUNCTION("""COMPUTED_VALUE"""),824.35)</f>
        <v>824.35</v>
      </c>
    </row>
    <row r="782" ht="15.75" customHeight="1">
      <c r="B782" s="3">
        <f>IFERROR(__xludf.DUMMYFUNCTION("""COMPUTED_VALUE"""),43539.64583333333)</f>
        <v>43539.64583</v>
      </c>
      <c r="C782" s="2">
        <f>IFERROR(__xludf.DUMMYFUNCTION("""COMPUTED_VALUE"""),845.8)</f>
        <v>845.8</v>
      </c>
    </row>
    <row r="783" ht="15.75" customHeight="1">
      <c r="B783" s="3">
        <f>IFERROR(__xludf.DUMMYFUNCTION("""COMPUTED_VALUE"""),43546.64583333333)</f>
        <v>43546.64583</v>
      </c>
      <c r="C783" s="2">
        <f>IFERROR(__xludf.DUMMYFUNCTION("""COMPUTED_VALUE"""),832.8)</f>
        <v>832.8</v>
      </c>
    </row>
    <row r="784" ht="15.75" customHeight="1">
      <c r="B784" s="3">
        <f>IFERROR(__xludf.DUMMYFUNCTION("""COMPUTED_VALUE"""),43553.64583333333)</f>
        <v>43553.64583</v>
      </c>
      <c r="C784" s="2">
        <f>IFERROR(__xludf.DUMMYFUNCTION("""COMPUTED_VALUE"""),861.0)</f>
        <v>861</v>
      </c>
    </row>
    <row r="785" ht="15.75" customHeight="1">
      <c r="B785" s="3">
        <f>IFERROR(__xludf.DUMMYFUNCTION("""COMPUTED_VALUE"""),43560.64583333333)</f>
        <v>43560.64583</v>
      </c>
      <c r="C785" s="2">
        <f>IFERROR(__xludf.DUMMYFUNCTION("""COMPUTED_VALUE"""),871.0)</f>
        <v>871</v>
      </c>
    </row>
    <row r="786" ht="15.75" customHeight="1">
      <c r="B786" s="3">
        <f>IFERROR(__xludf.DUMMYFUNCTION("""COMPUTED_VALUE"""),43567.64583333333)</f>
        <v>43567.64583</v>
      </c>
      <c r="C786" s="2">
        <f>IFERROR(__xludf.DUMMYFUNCTION("""COMPUTED_VALUE"""),860.85)</f>
        <v>860.85</v>
      </c>
    </row>
    <row r="787" ht="15.75" customHeight="1">
      <c r="B787" s="3">
        <f>IFERROR(__xludf.DUMMYFUNCTION("""COMPUTED_VALUE"""),43573.64583333333)</f>
        <v>43573.64583</v>
      </c>
      <c r="C787" s="2">
        <f>IFERROR(__xludf.DUMMYFUNCTION("""COMPUTED_VALUE"""),887.9)</f>
        <v>887.9</v>
      </c>
    </row>
    <row r="788" ht="15.75" customHeight="1">
      <c r="B788" s="3">
        <f>IFERROR(__xludf.DUMMYFUNCTION("""COMPUTED_VALUE"""),43581.64583333333)</f>
        <v>43581.64583</v>
      </c>
      <c r="C788" s="2">
        <f>IFERROR(__xludf.DUMMYFUNCTION("""COMPUTED_VALUE"""),940.0)</f>
        <v>940</v>
      </c>
    </row>
    <row r="789" ht="15.75" customHeight="1">
      <c r="B789" s="3">
        <f>IFERROR(__xludf.DUMMYFUNCTION("""COMPUTED_VALUE"""),43588.64583333333)</f>
        <v>43588.64583</v>
      </c>
      <c r="C789" s="2">
        <f>IFERROR(__xludf.DUMMYFUNCTION("""COMPUTED_VALUE"""),923.8)</f>
        <v>923.8</v>
      </c>
    </row>
    <row r="790" ht="15.75" customHeight="1">
      <c r="B790" s="3">
        <f>IFERROR(__xludf.DUMMYFUNCTION("""COMPUTED_VALUE"""),43595.64583333333)</f>
        <v>43595.64583</v>
      </c>
      <c r="C790" s="2">
        <f>IFERROR(__xludf.DUMMYFUNCTION("""COMPUTED_VALUE"""),906.9)</f>
        <v>906.9</v>
      </c>
    </row>
    <row r="791" ht="15.75" customHeight="1">
      <c r="B791" s="3">
        <f>IFERROR(__xludf.DUMMYFUNCTION("""COMPUTED_VALUE"""),43602.64583333333)</f>
        <v>43602.64583</v>
      </c>
      <c r="C791" s="2">
        <f>IFERROR(__xludf.DUMMYFUNCTION("""COMPUTED_VALUE"""),854.4)</f>
        <v>854.4</v>
      </c>
    </row>
    <row r="792" ht="15.75" customHeight="1">
      <c r="B792" s="3">
        <f>IFERROR(__xludf.DUMMYFUNCTION("""COMPUTED_VALUE"""),43609.64583333333)</f>
        <v>43609.64583</v>
      </c>
      <c r="C792" s="2">
        <f>IFERROR(__xludf.DUMMYFUNCTION("""COMPUTED_VALUE"""),914.55)</f>
        <v>914.55</v>
      </c>
    </row>
    <row r="793" ht="15.75" customHeight="1">
      <c r="B793" s="3">
        <f>IFERROR(__xludf.DUMMYFUNCTION("""COMPUTED_VALUE"""),43616.64583333333)</f>
        <v>43616.64583</v>
      </c>
      <c r="C793" s="2">
        <f>IFERROR(__xludf.DUMMYFUNCTION("""COMPUTED_VALUE"""),959.8)</f>
        <v>959.8</v>
      </c>
    </row>
    <row r="794" ht="15.75" customHeight="1">
      <c r="B794" s="3">
        <f>IFERROR(__xludf.DUMMYFUNCTION("""COMPUTED_VALUE"""),43623.64583333333)</f>
        <v>43623.64583</v>
      </c>
      <c r="C794" s="2">
        <f>IFERROR(__xludf.DUMMYFUNCTION("""COMPUTED_VALUE"""),903.9)</f>
        <v>903.9</v>
      </c>
    </row>
    <row r="795" ht="15.75" customHeight="1">
      <c r="B795" s="3">
        <f>IFERROR(__xludf.DUMMYFUNCTION("""COMPUTED_VALUE"""),43630.64583333333)</f>
        <v>43630.64583</v>
      </c>
      <c r="C795" s="2">
        <f>IFERROR(__xludf.DUMMYFUNCTION("""COMPUTED_VALUE"""),907.5)</f>
        <v>907.5</v>
      </c>
    </row>
    <row r="796" ht="15.75" customHeight="1">
      <c r="B796" s="3">
        <f>IFERROR(__xludf.DUMMYFUNCTION("""COMPUTED_VALUE"""),43637.64583333333)</f>
        <v>43637.64583</v>
      </c>
      <c r="C796" s="2">
        <f>IFERROR(__xludf.DUMMYFUNCTION("""COMPUTED_VALUE"""),913.8)</f>
        <v>913.8</v>
      </c>
    </row>
    <row r="797" ht="15.75" customHeight="1">
      <c r="B797" s="3">
        <f>IFERROR(__xludf.DUMMYFUNCTION("""COMPUTED_VALUE"""),43644.64583333333)</f>
        <v>43644.64583</v>
      </c>
      <c r="C797" s="2">
        <f>IFERROR(__xludf.DUMMYFUNCTION("""COMPUTED_VALUE"""),937.8)</f>
        <v>937.8</v>
      </c>
    </row>
    <row r="798" ht="15.75" customHeight="1">
      <c r="B798" s="3">
        <f>IFERROR(__xludf.DUMMYFUNCTION("""COMPUTED_VALUE"""),43651.64583333333)</f>
        <v>43651.64583</v>
      </c>
      <c r="C798" s="2">
        <f>IFERROR(__xludf.DUMMYFUNCTION("""COMPUTED_VALUE"""),949.5)</f>
        <v>949.5</v>
      </c>
    </row>
    <row r="799" ht="15.75" customHeight="1">
      <c r="B799" s="3">
        <f>IFERROR(__xludf.DUMMYFUNCTION("""COMPUTED_VALUE"""),43658.64583333333)</f>
        <v>43658.64583</v>
      </c>
      <c r="C799" s="2">
        <f>IFERROR(__xludf.DUMMYFUNCTION("""COMPUTED_VALUE"""),927.85)</f>
        <v>927.85</v>
      </c>
    </row>
    <row r="800" ht="15.75" customHeight="1">
      <c r="B800" s="3">
        <f>IFERROR(__xludf.DUMMYFUNCTION("""COMPUTED_VALUE"""),43665.64583333333)</f>
        <v>43665.64583</v>
      </c>
      <c r="C800" s="2">
        <f>IFERROR(__xludf.DUMMYFUNCTION("""COMPUTED_VALUE"""),939.0)</f>
        <v>939</v>
      </c>
    </row>
    <row r="801" ht="15.75" customHeight="1">
      <c r="B801" s="3">
        <f>IFERROR(__xludf.DUMMYFUNCTION("""COMPUTED_VALUE"""),43672.64583333333)</f>
        <v>43672.64583</v>
      </c>
      <c r="C801" s="2">
        <f>IFERROR(__xludf.DUMMYFUNCTION("""COMPUTED_VALUE"""),898.45)</f>
        <v>898.45</v>
      </c>
    </row>
    <row r="802" ht="15.75" customHeight="1">
      <c r="B802" s="3">
        <f>IFERROR(__xludf.DUMMYFUNCTION("""COMPUTED_VALUE"""),43679.64583333333)</f>
        <v>43679.64583</v>
      </c>
      <c r="C802" s="2">
        <f>IFERROR(__xludf.DUMMYFUNCTION("""COMPUTED_VALUE"""),875.95)</f>
        <v>875.95</v>
      </c>
    </row>
    <row r="803" ht="15.75" customHeight="1">
      <c r="B803" s="3">
        <f>IFERROR(__xludf.DUMMYFUNCTION("""COMPUTED_VALUE"""),43686.64583333333)</f>
        <v>43686.64583</v>
      </c>
      <c r="C803" s="2">
        <f>IFERROR(__xludf.DUMMYFUNCTION("""COMPUTED_VALUE"""),772.9)</f>
        <v>772.9</v>
      </c>
    </row>
    <row r="804" ht="15.75" customHeight="1">
      <c r="B804" s="3">
        <f>IFERROR(__xludf.DUMMYFUNCTION("""COMPUTED_VALUE"""),43693.64583333333)</f>
        <v>43693.64583</v>
      </c>
      <c r="C804" s="2">
        <f>IFERROR(__xludf.DUMMYFUNCTION("""COMPUTED_VALUE"""),757.35)</f>
        <v>757.35</v>
      </c>
    </row>
    <row r="805" ht="15.75" customHeight="1">
      <c r="B805" s="3">
        <f>IFERROR(__xludf.DUMMYFUNCTION("""COMPUTED_VALUE"""),43700.64583333333)</f>
        <v>43700.64583</v>
      </c>
      <c r="C805" s="2">
        <f>IFERROR(__xludf.DUMMYFUNCTION("""COMPUTED_VALUE"""),759.8)</f>
        <v>759.8</v>
      </c>
    </row>
    <row r="806" ht="15.75" customHeight="1">
      <c r="B806" s="3">
        <f>IFERROR(__xludf.DUMMYFUNCTION("""COMPUTED_VALUE"""),43707.64583333333)</f>
        <v>43707.64583</v>
      </c>
      <c r="C806" s="2">
        <f>IFERROR(__xludf.DUMMYFUNCTION("""COMPUTED_VALUE"""),749.75)</f>
        <v>749.75</v>
      </c>
    </row>
    <row r="807" ht="15.75" customHeight="1">
      <c r="B807" s="3">
        <f>IFERROR(__xludf.DUMMYFUNCTION("""COMPUTED_VALUE"""),43714.64583333333)</f>
        <v>43714.64583</v>
      </c>
      <c r="C807" s="2">
        <f>IFERROR(__xludf.DUMMYFUNCTION("""COMPUTED_VALUE"""),711.9)</f>
        <v>711.9</v>
      </c>
    </row>
    <row r="808" ht="15.75" customHeight="1">
      <c r="B808" s="3">
        <f>IFERROR(__xludf.DUMMYFUNCTION("""COMPUTED_VALUE"""),43721.64583333333)</f>
        <v>43721.64583</v>
      </c>
      <c r="C808" s="2">
        <f>IFERROR(__xludf.DUMMYFUNCTION("""COMPUTED_VALUE"""),728.8)</f>
        <v>728.8</v>
      </c>
    </row>
    <row r="809" ht="15.75" customHeight="1">
      <c r="B809" s="3">
        <f>IFERROR(__xludf.DUMMYFUNCTION("""COMPUTED_VALUE"""),43728.64583333333)</f>
        <v>43728.64583</v>
      </c>
      <c r="C809" s="2">
        <f>IFERROR(__xludf.DUMMYFUNCTION("""COMPUTED_VALUE"""),765.0)</f>
        <v>765</v>
      </c>
    </row>
    <row r="810" ht="15.75" customHeight="1">
      <c r="B810" s="3">
        <f>IFERROR(__xludf.DUMMYFUNCTION("""COMPUTED_VALUE"""),43735.64583333333)</f>
        <v>43735.64583</v>
      </c>
      <c r="C810" s="2">
        <f>IFERROR(__xludf.DUMMYFUNCTION("""COMPUTED_VALUE"""),786.0)</f>
        <v>786</v>
      </c>
    </row>
    <row r="811" ht="15.75" customHeight="1">
      <c r="B811" s="3">
        <f>IFERROR(__xludf.DUMMYFUNCTION("""COMPUTED_VALUE"""),43742.64583333333)</f>
        <v>43742.64583</v>
      </c>
      <c r="C811" s="2">
        <f>IFERROR(__xludf.DUMMYFUNCTION("""COMPUTED_VALUE"""),738.6)</f>
        <v>738.6</v>
      </c>
    </row>
    <row r="812" ht="15.75" customHeight="1">
      <c r="B812" s="3">
        <f>IFERROR(__xludf.DUMMYFUNCTION("""COMPUTED_VALUE"""),43749.64583333333)</f>
        <v>43749.64583</v>
      </c>
      <c r="C812" s="2">
        <f>IFERROR(__xludf.DUMMYFUNCTION("""COMPUTED_VALUE"""),726.85)</f>
        <v>726.85</v>
      </c>
    </row>
    <row r="813" ht="15.75" customHeight="1">
      <c r="B813" s="3">
        <f>IFERROR(__xludf.DUMMYFUNCTION("""COMPUTED_VALUE"""),43756.64583333333)</f>
        <v>43756.64583</v>
      </c>
      <c r="C813" s="2">
        <f>IFERROR(__xludf.DUMMYFUNCTION("""COMPUTED_VALUE"""),749.0)</f>
        <v>749</v>
      </c>
    </row>
    <row r="814" ht="15.75" customHeight="1">
      <c r="B814" s="3">
        <f>IFERROR(__xludf.DUMMYFUNCTION("""COMPUTED_VALUE"""),43763.79166666667)</f>
        <v>43763.79167</v>
      </c>
      <c r="C814" s="2">
        <f>IFERROR(__xludf.DUMMYFUNCTION("""COMPUTED_VALUE"""),772.0)</f>
        <v>772</v>
      </c>
    </row>
    <row r="815" ht="15.75" customHeight="1">
      <c r="B815" s="3">
        <f>IFERROR(__xludf.DUMMYFUNCTION("""COMPUTED_VALUE"""),43770.64583333333)</f>
        <v>43770.64583</v>
      </c>
      <c r="C815" s="2">
        <f>IFERROR(__xludf.DUMMYFUNCTION("""COMPUTED_VALUE"""),798.0)</f>
        <v>798</v>
      </c>
    </row>
    <row r="816" ht="15.75" customHeight="1">
      <c r="B816" s="3">
        <f>IFERROR(__xludf.DUMMYFUNCTION("""COMPUTED_VALUE"""),43777.64583333333)</f>
        <v>43777.64583</v>
      </c>
      <c r="C816" s="2">
        <f>IFERROR(__xludf.DUMMYFUNCTION("""COMPUTED_VALUE"""),795.9)</f>
        <v>795.9</v>
      </c>
    </row>
    <row r="817" ht="15.75" customHeight="1">
      <c r="B817" s="3">
        <f>IFERROR(__xludf.DUMMYFUNCTION("""COMPUTED_VALUE"""),43784.64583333333)</f>
        <v>43784.64583</v>
      </c>
      <c r="C817" s="2">
        <f>IFERROR(__xludf.DUMMYFUNCTION("""COMPUTED_VALUE"""),771.75)</f>
        <v>771.75</v>
      </c>
    </row>
    <row r="818" ht="15.75" customHeight="1">
      <c r="B818" s="3">
        <f>IFERROR(__xludf.DUMMYFUNCTION("""COMPUTED_VALUE"""),43791.64583333333)</f>
        <v>43791.64583</v>
      </c>
      <c r="C818" s="2">
        <f>IFERROR(__xludf.DUMMYFUNCTION("""COMPUTED_VALUE"""),801.0)</f>
        <v>801</v>
      </c>
    </row>
    <row r="819" ht="15.75" customHeight="1">
      <c r="B819" s="3">
        <f>IFERROR(__xludf.DUMMYFUNCTION("""COMPUTED_VALUE"""),43798.64583333333)</f>
        <v>43798.64583</v>
      </c>
      <c r="C819" s="2">
        <f>IFERROR(__xludf.DUMMYFUNCTION("""COMPUTED_VALUE"""),825.25)</f>
        <v>825.25</v>
      </c>
    </row>
    <row r="820" ht="15.75" customHeight="1">
      <c r="B820" s="3">
        <f>IFERROR(__xludf.DUMMYFUNCTION("""COMPUTED_VALUE"""),43805.64583333333)</f>
        <v>43805.64583</v>
      </c>
      <c r="C820" s="2">
        <f>IFERROR(__xludf.DUMMYFUNCTION("""COMPUTED_VALUE"""),805.0)</f>
        <v>805</v>
      </c>
    </row>
    <row r="821" ht="15.75" customHeight="1">
      <c r="B821" s="3">
        <f>IFERROR(__xludf.DUMMYFUNCTION("""COMPUTED_VALUE"""),43812.64583333333)</f>
        <v>43812.64583</v>
      </c>
      <c r="C821" s="2">
        <f>IFERROR(__xludf.DUMMYFUNCTION("""COMPUTED_VALUE"""),787.6)</f>
        <v>787.6</v>
      </c>
    </row>
    <row r="822" ht="15.75" customHeight="1">
      <c r="B822" s="3">
        <f>IFERROR(__xludf.DUMMYFUNCTION("""COMPUTED_VALUE"""),43819.64583333333)</f>
        <v>43819.64583</v>
      </c>
      <c r="C822" s="2">
        <f>IFERROR(__xludf.DUMMYFUNCTION("""COMPUTED_VALUE"""),783.2)</f>
        <v>783.2</v>
      </c>
    </row>
    <row r="823" ht="15.75" customHeight="1">
      <c r="B823" s="3">
        <f>IFERROR(__xludf.DUMMYFUNCTION("""COMPUTED_VALUE"""),43826.64583333333)</f>
        <v>43826.64583</v>
      </c>
      <c r="C823" s="2">
        <f>IFERROR(__xludf.DUMMYFUNCTION("""COMPUTED_VALUE"""),753.0)</f>
        <v>753</v>
      </c>
    </row>
    <row r="824" ht="15.75" customHeight="1"/>
    <row r="825" ht="15.75" customHeight="1"/>
    <row r="826" ht="15.75" customHeight="1">
      <c r="B826" s="2" t="str">
        <f>IFERROR(__xludf.DUMMYFUNCTION("GOOGLEFINANCE(""NSE:GRASIM"", ""high"",DATE(2020,1,1),DATE(2021,1,1),""weekly"")"),"Date")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IFERROR(__xludf.DUMMYFUNCTION("""COMPUTED_VALUE"""),43833.64583333333)</f>
        <v>43833.64583</v>
      </c>
      <c r="C827" s="2">
        <f>IFERROR(__xludf.DUMMYFUNCTION("""COMPUTED_VALUE"""),769.95)</f>
        <v>769.95</v>
      </c>
    </row>
    <row r="828" ht="15.75" customHeight="1">
      <c r="B828" s="3">
        <f>IFERROR(__xludf.DUMMYFUNCTION("""COMPUTED_VALUE"""),43840.64583333333)</f>
        <v>43840.64583</v>
      </c>
      <c r="C828" s="2">
        <f>IFERROR(__xludf.DUMMYFUNCTION("""COMPUTED_VALUE"""),766.5)</f>
        <v>766.5</v>
      </c>
    </row>
    <row r="829" ht="15.75" customHeight="1">
      <c r="B829" s="3">
        <f>IFERROR(__xludf.DUMMYFUNCTION("""COMPUTED_VALUE"""),43847.64583333333)</f>
        <v>43847.64583</v>
      </c>
      <c r="C829" s="2">
        <f>IFERROR(__xludf.DUMMYFUNCTION("""COMPUTED_VALUE"""),772.0)</f>
        <v>772</v>
      </c>
    </row>
    <row r="830" ht="15.75" customHeight="1">
      <c r="B830" s="3">
        <f>IFERROR(__xludf.DUMMYFUNCTION("""COMPUTED_VALUE"""),43854.64583333333)</f>
        <v>43854.64583</v>
      </c>
      <c r="C830" s="2">
        <f>IFERROR(__xludf.DUMMYFUNCTION("""COMPUTED_VALUE"""),824.4)</f>
        <v>824.4</v>
      </c>
    </row>
    <row r="831" ht="15.75" customHeight="1">
      <c r="B831" s="3">
        <f>IFERROR(__xludf.DUMMYFUNCTION("""COMPUTED_VALUE"""),43862.70833333333)</f>
        <v>43862.70833</v>
      </c>
      <c r="C831" s="2">
        <f>IFERROR(__xludf.DUMMYFUNCTION("""COMPUTED_VALUE"""),836.9)</f>
        <v>836.9</v>
      </c>
    </row>
    <row r="832" ht="15.75" customHeight="1">
      <c r="B832" s="3">
        <f>IFERROR(__xludf.DUMMYFUNCTION("""COMPUTED_VALUE"""),43868.64583333333)</f>
        <v>43868.64583</v>
      </c>
      <c r="C832" s="2">
        <f>IFERROR(__xludf.DUMMYFUNCTION("""COMPUTED_VALUE"""),806.65)</f>
        <v>806.65</v>
      </c>
    </row>
    <row r="833" ht="15.75" customHeight="1">
      <c r="B833" s="3">
        <f>IFERROR(__xludf.DUMMYFUNCTION("""COMPUTED_VALUE"""),43875.64583333333)</f>
        <v>43875.64583</v>
      </c>
      <c r="C833" s="2">
        <f>IFERROR(__xludf.DUMMYFUNCTION("""COMPUTED_VALUE"""),789.7)</f>
        <v>789.7</v>
      </c>
    </row>
    <row r="834" ht="15.75" customHeight="1">
      <c r="B834" s="3">
        <f>IFERROR(__xludf.DUMMYFUNCTION("""COMPUTED_VALUE"""),43881.64583333333)</f>
        <v>43881.64583</v>
      </c>
      <c r="C834" s="2">
        <f>IFERROR(__xludf.DUMMYFUNCTION("""COMPUTED_VALUE"""),767.8)</f>
        <v>767.8</v>
      </c>
    </row>
    <row r="835" ht="15.75" customHeight="1">
      <c r="B835" s="3">
        <f>IFERROR(__xludf.DUMMYFUNCTION("""COMPUTED_VALUE"""),43889.64583333333)</f>
        <v>43889.64583</v>
      </c>
      <c r="C835" s="2">
        <f>IFERROR(__xludf.DUMMYFUNCTION("""COMPUTED_VALUE"""),748.0)</f>
        <v>748</v>
      </c>
    </row>
    <row r="836" ht="15.75" customHeight="1">
      <c r="B836" s="3">
        <f>IFERROR(__xludf.DUMMYFUNCTION("""COMPUTED_VALUE"""),43896.64583333333)</f>
        <v>43896.64583</v>
      </c>
      <c r="C836" s="2">
        <f>IFERROR(__xludf.DUMMYFUNCTION("""COMPUTED_VALUE"""),708.8)</f>
        <v>708.8</v>
      </c>
    </row>
    <row r="837" ht="15.75" customHeight="1">
      <c r="B837" s="3">
        <f>IFERROR(__xludf.DUMMYFUNCTION("""COMPUTED_VALUE"""),43903.64583333333)</f>
        <v>43903.64583</v>
      </c>
      <c r="C837" s="2">
        <f>IFERROR(__xludf.DUMMYFUNCTION("""COMPUTED_VALUE"""),654.0)</f>
        <v>654</v>
      </c>
    </row>
    <row r="838" ht="15.75" customHeight="1">
      <c r="B838" s="3">
        <f>IFERROR(__xludf.DUMMYFUNCTION("""COMPUTED_VALUE"""),43910.64583333333)</f>
        <v>43910.64583</v>
      </c>
      <c r="C838" s="2">
        <f>IFERROR(__xludf.DUMMYFUNCTION("""COMPUTED_VALUE"""),599.5)</f>
        <v>599.5</v>
      </c>
    </row>
    <row r="839" ht="15.75" customHeight="1">
      <c r="B839" s="3">
        <f>IFERROR(__xludf.DUMMYFUNCTION("""COMPUTED_VALUE"""),43917.64583333333)</f>
        <v>43917.64583</v>
      </c>
      <c r="C839" s="2">
        <f>IFERROR(__xludf.DUMMYFUNCTION("""COMPUTED_VALUE"""),500.0)</f>
        <v>500</v>
      </c>
    </row>
    <row r="840" ht="15.75" customHeight="1">
      <c r="B840" s="3">
        <f>IFERROR(__xludf.DUMMYFUNCTION("""COMPUTED_VALUE"""),43924.64583333333)</f>
        <v>43924.64583</v>
      </c>
      <c r="C840" s="2">
        <f>IFERROR(__xludf.DUMMYFUNCTION("""COMPUTED_VALUE"""),484.3)</f>
        <v>484.3</v>
      </c>
    </row>
    <row r="841" ht="15.75" customHeight="1">
      <c r="B841" s="3">
        <f>IFERROR(__xludf.DUMMYFUNCTION("""COMPUTED_VALUE"""),43930.64583333333)</f>
        <v>43930.64583</v>
      </c>
      <c r="C841" s="2">
        <f>IFERROR(__xludf.DUMMYFUNCTION("""COMPUTED_VALUE"""),547.45)</f>
        <v>547.45</v>
      </c>
    </row>
    <row r="842" ht="15.75" customHeight="1">
      <c r="B842" s="3">
        <f>IFERROR(__xludf.DUMMYFUNCTION("""COMPUTED_VALUE"""),43938.64583333333)</f>
        <v>43938.64583</v>
      </c>
      <c r="C842" s="2">
        <f>IFERROR(__xludf.DUMMYFUNCTION("""COMPUTED_VALUE"""),572.85)</f>
        <v>572.85</v>
      </c>
    </row>
    <row r="843" ht="15.75" customHeight="1">
      <c r="B843" s="3">
        <f>IFERROR(__xludf.DUMMYFUNCTION("""COMPUTED_VALUE"""),43945.64583333333)</f>
        <v>43945.64583</v>
      </c>
      <c r="C843" s="2">
        <f>IFERROR(__xludf.DUMMYFUNCTION("""COMPUTED_VALUE"""),552.9)</f>
        <v>552.9</v>
      </c>
    </row>
    <row r="844" ht="15.75" customHeight="1">
      <c r="B844" s="3">
        <f>IFERROR(__xludf.DUMMYFUNCTION("""COMPUTED_VALUE"""),43951.64583333333)</f>
        <v>43951.64583</v>
      </c>
      <c r="C844" s="2">
        <f>IFERROR(__xludf.DUMMYFUNCTION("""COMPUTED_VALUE"""),515.0)</f>
        <v>515</v>
      </c>
    </row>
    <row r="845" ht="15.75" customHeight="1">
      <c r="B845" s="3">
        <f>IFERROR(__xludf.DUMMYFUNCTION("""COMPUTED_VALUE"""),43959.64583333333)</f>
        <v>43959.64583</v>
      </c>
      <c r="C845" s="2">
        <f>IFERROR(__xludf.DUMMYFUNCTION("""COMPUTED_VALUE"""),494.95)</f>
        <v>494.95</v>
      </c>
    </row>
    <row r="846" ht="15.75" customHeight="1">
      <c r="B846" s="3">
        <f>IFERROR(__xludf.DUMMYFUNCTION("""COMPUTED_VALUE"""),43966.64583333333)</f>
        <v>43966.64583</v>
      </c>
      <c r="C846" s="2">
        <f>IFERROR(__xludf.DUMMYFUNCTION("""COMPUTED_VALUE"""),550.0)</f>
        <v>550</v>
      </c>
    </row>
    <row r="847" ht="15.75" customHeight="1">
      <c r="B847" s="3">
        <f>IFERROR(__xludf.DUMMYFUNCTION("""COMPUTED_VALUE"""),43973.64583333333)</f>
        <v>43973.64583</v>
      </c>
      <c r="C847" s="2">
        <f>IFERROR(__xludf.DUMMYFUNCTION("""COMPUTED_VALUE"""),538.95)</f>
        <v>538.95</v>
      </c>
    </row>
    <row r="848" ht="15.75" customHeight="1">
      <c r="B848" s="3">
        <f>IFERROR(__xludf.DUMMYFUNCTION("""COMPUTED_VALUE"""),43980.64583333333)</f>
        <v>43980.64583</v>
      </c>
      <c r="C848" s="2">
        <f>IFERROR(__xludf.DUMMYFUNCTION("""COMPUTED_VALUE"""),602.0)</f>
        <v>602</v>
      </c>
    </row>
    <row r="849" ht="15.75" customHeight="1">
      <c r="B849" s="3">
        <f>IFERROR(__xludf.DUMMYFUNCTION("""COMPUTED_VALUE"""),43987.64583333333)</f>
        <v>43987.64583</v>
      </c>
      <c r="C849" s="2">
        <f>IFERROR(__xludf.DUMMYFUNCTION("""COMPUTED_VALUE"""),630.7)</f>
        <v>630.7</v>
      </c>
    </row>
    <row r="850" ht="15.75" customHeight="1">
      <c r="B850" s="3">
        <f>IFERROR(__xludf.DUMMYFUNCTION("""COMPUTED_VALUE"""),43994.64583333333)</f>
        <v>43994.64583</v>
      </c>
      <c r="C850" s="2">
        <f>IFERROR(__xludf.DUMMYFUNCTION("""COMPUTED_VALUE"""),644.4)</f>
        <v>644.4</v>
      </c>
    </row>
    <row r="851" ht="15.75" customHeight="1">
      <c r="B851" s="3">
        <f>IFERROR(__xludf.DUMMYFUNCTION("""COMPUTED_VALUE"""),44001.64583333333)</f>
        <v>44001.64583</v>
      </c>
      <c r="C851" s="2">
        <f>IFERROR(__xludf.DUMMYFUNCTION("""COMPUTED_VALUE"""),610.85)</f>
        <v>610.85</v>
      </c>
    </row>
    <row r="852" ht="15.75" customHeight="1">
      <c r="B852" s="3">
        <f>IFERROR(__xludf.DUMMYFUNCTION("""COMPUTED_VALUE"""),44008.64583333333)</f>
        <v>44008.64583</v>
      </c>
      <c r="C852" s="2">
        <f>IFERROR(__xludf.DUMMYFUNCTION("""COMPUTED_VALUE"""),634.35)</f>
        <v>634.35</v>
      </c>
    </row>
    <row r="853" ht="15.75" customHeight="1">
      <c r="B853" s="3">
        <f>IFERROR(__xludf.DUMMYFUNCTION("""COMPUTED_VALUE"""),44015.64583333333)</f>
        <v>44015.64583</v>
      </c>
      <c r="C853" s="2">
        <f>IFERROR(__xludf.DUMMYFUNCTION("""COMPUTED_VALUE"""),631.55)</f>
        <v>631.55</v>
      </c>
    </row>
    <row r="854" ht="15.75" customHeight="1">
      <c r="B854" s="3">
        <f>IFERROR(__xludf.DUMMYFUNCTION("""COMPUTED_VALUE"""),44022.64583333333)</f>
        <v>44022.64583</v>
      </c>
      <c r="C854" s="2">
        <f>IFERROR(__xludf.DUMMYFUNCTION("""COMPUTED_VALUE"""),653.4)</f>
        <v>653.4</v>
      </c>
    </row>
    <row r="855" ht="15.75" customHeight="1">
      <c r="B855" s="3">
        <f>IFERROR(__xludf.DUMMYFUNCTION("""COMPUTED_VALUE"""),44029.64583333333)</f>
        <v>44029.64583</v>
      </c>
      <c r="C855" s="2">
        <f>IFERROR(__xludf.DUMMYFUNCTION("""COMPUTED_VALUE"""),617.95)</f>
        <v>617.95</v>
      </c>
    </row>
    <row r="856" ht="15.75" customHeight="1">
      <c r="B856" s="3">
        <f>IFERROR(__xludf.DUMMYFUNCTION("""COMPUTED_VALUE"""),44036.64583333333)</f>
        <v>44036.64583</v>
      </c>
      <c r="C856" s="2">
        <f>IFERROR(__xludf.DUMMYFUNCTION("""COMPUTED_VALUE"""),616.5)</f>
        <v>616.5</v>
      </c>
    </row>
    <row r="857" ht="15.75" customHeight="1">
      <c r="B857" s="3">
        <f>IFERROR(__xludf.DUMMYFUNCTION("""COMPUTED_VALUE"""),44043.64583333333)</f>
        <v>44043.64583</v>
      </c>
      <c r="C857" s="2">
        <f>IFERROR(__xludf.DUMMYFUNCTION("""COMPUTED_VALUE"""),636.9)</f>
        <v>636.9</v>
      </c>
    </row>
    <row r="858" ht="15.75" customHeight="1">
      <c r="B858" s="3">
        <f>IFERROR(__xludf.DUMMYFUNCTION("""COMPUTED_VALUE"""),44050.64583333333)</f>
        <v>44050.64583</v>
      </c>
      <c r="C858" s="2">
        <f>IFERROR(__xludf.DUMMYFUNCTION("""COMPUTED_VALUE"""),646.5)</f>
        <v>646.5</v>
      </c>
    </row>
    <row r="859" ht="15.75" customHeight="1">
      <c r="B859" s="3">
        <f>IFERROR(__xludf.DUMMYFUNCTION("""COMPUTED_VALUE"""),44057.64583333333)</f>
        <v>44057.64583</v>
      </c>
      <c r="C859" s="2">
        <f>IFERROR(__xludf.DUMMYFUNCTION("""COMPUTED_VALUE"""),643.35)</f>
        <v>643.35</v>
      </c>
    </row>
    <row r="860" ht="15.75" customHeight="1">
      <c r="B860" s="3">
        <f>IFERROR(__xludf.DUMMYFUNCTION("""COMPUTED_VALUE"""),44064.64583333333)</f>
        <v>44064.64583</v>
      </c>
      <c r="C860" s="2">
        <f>IFERROR(__xludf.DUMMYFUNCTION("""COMPUTED_VALUE"""),683.0)</f>
        <v>683</v>
      </c>
    </row>
    <row r="861" ht="15.75" customHeight="1">
      <c r="B861" s="3">
        <f>IFERROR(__xludf.DUMMYFUNCTION("""COMPUTED_VALUE"""),44071.64583333333)</f>
        <v>44071.64583</v>
      </c>
      <c r="C861" s="2">
        <f>IFERROR(__xludf.DUMMYFUNCTION("""COMPUTED_VALUE"""),717.5)</f>
        <v>717.5</v>
      </c>
    </row>
    <row r="862" ht="15.75" customHeight="1">
      <c r="B862" s="3">
        <f>IFERROR(__xludf.DUMMYFUNCTION("""COMPUTED_VALUE"""),44078.64583333333)</f>
        <v>44078.64583</v>
      </c>
      <c r="C862" s="2">
        <f>IFERROR(__xludf.DUMMYFUNCTION("""COMPUTED_VALUE"""),729.35)</f>
        <v>729.35</v>
      </c>
    </row>
    <row r="863" ht="15.75" customHeight="1">
      <c r="B863" s="3">
        <f>IFERROR(__xludf.DUMMYFUNCTION("""COMPUTED_VALUE"""),44085.64583333333)</f>
        <v>44085.64583</v>
      </c>
      <c r="C863" s="2">
        <f>IFERROR(__xludf.DUMMYFUNCTION("""COMPUTED_VALUE"""),727.0)</f>
        <v>727</v>
      </c>
    </row>
    <row r="864" ht="15.75" customHeight="1">
      <c r="B864" s="3">
        <f>IFERROR(__xludf.DUMMYFUNCTION("""COMPUTED_VALUE"""),44092.64583333333)</f>
        <v>44092.64583</v>
      </c>
      <c r="C864" s="2">
        <f>IFERROR(__xludf.DUMMYFUNCTION("""COMPUTED_VALUE"""),748.65)</f>
        <v>748.65</v>
      </c>
    </row>
    <row r="865" ht="15.75" customHeight="1">
      <c r="B865" s="3">
        <f>IFERROR(__xludf.DUMMYFUNCTION("""COMPUTED_VALUE"""),44099.64583333333)</f>
        <v>44099.64583</v>
      </c>
      <c r="C865" s="2">
        <f>IFERROR(__xludf.DUMMYFUNCTION("""COMPUTED_VALUE"""),749.65)</f>
        <v>749.65</v>
      </c>
    </row>
    <row r="866" ht="15.75" customHeight="1">
      <c r="B866" s="3">
        <f>IFERROR(__xludf.DUMMYFUNCTION("""COMPUTED_VALUE"""),44105.64583333333)</f>
        <v>44105.64583</v>
      </c>
      <c r="C866" s="2">
        <f>IFERROR(__xludf.DUMMYFUNCTION("""COMPUTED_VALUE"""),756.0)</f>
        <v>756</v>
      </c>
    </row>
    <row r="867" ht="15.75" customHeight="1">
      <c r="B867" s="3">
        <f>IFERROR(__xludf.DUMMYFUNCTION("""COMPUTED_VALUE"""),44113.64583333333)</f>
        <v>44113.64583</v>
      </c>
      <c r="C867" s="2">
        <f>IFERROR(__xludf.DUMMYFUNCTION("""COMPUTED_VALUE"""),774.7)</f>
        <v>774.7</v>
      </c>
    </row>
    <row r="868" ht="15.75" customHeight="1">
      <c r="B868" s="3">
        <f>IFERROR(__xludf.DUMMYFUNCTION("""COMPUTED_VALUE"""),44120.64583333333)</f>
        <v>44120.64583</v>
      </c>
      <c r="C868" s="2">
        <f>IFERROR(__xludf.DUMMYFUNCTION("""COMPUTED_VALUE"""),776.65)</f>
        <v>776.65</v>
      </c>
    </row>
    <row r="869" ht="15.75" customHeight="1">
      <c r="B869" s="3">
        <f>IFERROR(__xludf.DUMMYFUNCTION("""COMPUTED_VALUE"""),44127.64583333333)</f>
        <v>44127.64583</v>
      </c>
      <c r="C869" s="2">
        <f>IFERROR(__xludf.DUMMYFUNCTION("""COMPUTED_VALUE"""),804.0)</f>
        <v>804</v>
      </c>
    </row>
    <row r="870" ht="15.75" customHeight="1">
      <c r="B870" s="3">
        <f>IFERROR(__xludf.DUMMYFUNCTION("""COMPUTED_VALUE"""),44134.64583333333)</f>
        <v>44134.64583</v>
      </c>
      <c r="C870" s="2">
        <f>IFERROR(__xludf.DUMMYFUNCTION("""COMPUTED_VALUE"""),793.75)</f>
        <v>793.75</v>
      </c>
    </row>
    <row r="871" ht="15.75" customHeight="1">
      <c r="B871" s="3">
        <f>IFERROR(__xludf.DUMMYFUNCTION("""COMPUTED_VALUE"""),44141.64583333333)</f>
        <v>44141.64583</v>
      </c>
      <c r="C871" s="2">
        <f>IFERROR(__xludf.DUMMYFUNCTION("""COMPUTED_VALUE"""),810.4)</f>
        <v>810.4</v>
      </c>
    </row>
    <row r="872" ht="15.75" customHeight="1">
      <c r="B872" s="3">
        <f>IFERROR(__xludf.DUMMYFUNCTION("""COMPUTED_VALUE"""),44155.64583333333)</f>
        <v>44155.64583</v>
      </c>
      <c r="C872" s="2">
        <f>IFERROR(__xludf.DUMMYFUNCTION("""COMPUTED_VALUE"""),861.9)</f>
        <v>861.9</v>
      </c>
    </row>
    <row r="873" ht="15.75" customHeight="1">
      <c r="B873" s="3">
        <f>IFERROR(__xludf.DUMMYFUNCTION("""COMPUTED_VALUE"""),44162.64583333333)</f>
        <v>44162.64583</v>
      </c>
      <c r="C873" s="2">
        <f>IFERROR(__xludf.DUMMYFUNCTION("""COMPUTED_VALUE"""),885.85)</f>
        <v>885.85</v>
      </c>
    </row>
    <row r="874" ht="15.75" customHeight="1">
      <c r="B874" s="3">
        <f>IFERROR(__xludf.DUMMYFUNCTION("""COMPUTED_VALUE"""),44169.64583333333)</f>
        <v>44169.64583</v>
      </c>
      <c r="C874" s="2">
        <f>IFERROR(__xludf.DUMMYFUNCTION("""COMPUTED_VALUE"""),946.9)</f>
        <v>946.9</v>
      </c>
    </row>
    <row r="875" ht="15.75" customHeight="1">
      <c r="B875" s="3">
        <f>IFERROR(__xludf.DUMMYFUNCTION("""COMPUTED_VALUE"""),44176.64583333333)</f>
        <v>44176.64583</v>
      </c>
      <c r="C875" s="2">
        <f>IFERROR(__xludf.DUMMYFUNCTION("""COMPUTED_VALUE"""),954.0)</f>
        <v>954</v>
      </c>
    </row>
    <row r="876" ht="15.75" customHeight="1">
      <c r="B876" s="3">
        <f>IFERROR(__xludf.DUMMYFUNCTION("""COMPUTED_VALUE"""),44183.64583333333)</f>
        <v>44183.64583</v>
      </c>
      <c r="C876" s="2">
        <f>IFERROR(__xludf.DUMMYFUNCTION("""COMPUTED_VALUE"""),926.4)</f>
        <v>926.4</v>
      </c>
    </row>
    <row r="877" ht="15.75" customHeight="1">
      <c r="B877" s="3">
        <f>IFERROR(__xludf.DUMMYFUNCTION("""COMPUTED_VALUE"""),44189.64583333333)</f>
        <v>44189.64583</v>
      </c>
      <c r="C877" s="2">
        <f>IFERROR(__xludf.DUMMYFUNCTION("""COMPUTED_VALUE"""),911.85)</f>
        <v>911.85</v>
      </c>
    </row>
    <row r="878" ht="15.75" customHeight="1">
      <c r="B878" s="3">
        <f>IFERROR(__xludf.DUMMYFUNCTION("""COMPUTED_VALUE"""),44197.64583333333)</f>
        <v>44197.64583</v>
      </c>
      <c r="C878" s="2">
        <f>IFERROR(__xludf.DUMMYFUNCTION("""COMPUTED_VALUE"""),940.85)</f>
        <v>940.85</v>
      </c>
    </row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IFERROR(__xludf.DUMMYFUNCTION("GOOGLEFINANCE(""NSE:RELIANCE"", ""high"",DATE(2003,1,1),DATE(2004,1,1),""weekly"")"),"Date")</f>
        <v>Date</v>
      </c>
      <c r="C1" s="2" t="str">
        <f>IFERROR(__xludf.DUMMYFUNCTION("""COMPUTED_VALUE"""),"High")</f>
        <v>High</v>
      </c>
    </row>
    <row r="2">
      <c r="A2" s="2" t="s">
        <v>2</v>
      </c>
      <c r="B2" s="3">
        <f>IFERROR(__xludf.DUMMYFUNCTION("""COMPUTED_VALUE"""),37624.645833333336)</f>
        <v>37624.64583</v>
      </c>
      <c r="C2" s="2">
        <f>IFERROR(__xludf.DUMMYFUNCTION("""COMPUTED_VALUE"""),60.7)</f>
        <v>60.7</v>
      </c>
    </row>
    <row r="3">
      <c r="A3" s="2" t="s">
        <v>3</v>
      </c>
      <c r="B3" s="3">
        <f>IFERROR(__xludf.DUMMYFUNCTION("""COMPUTED_VALUE"""),37631.645833333336)</f>
        <v>37631.64583</v>
      </c>
      <c r="C3" s="2">
        <f>IFERROR(__xludf.DUMMYFUNCTION("""COMPUTED_VALUE"""),60.2)</f>
        <v>60.2</v>
      </c>
    </row>
    <row r="4">
      <c r="A4" s="2" t="s">
        <v>4</v>
      </c>
      <c r="B4" s="3">
        <f>IFERROR(__xludf.DUMMYFUNCTION("""COMPUTED_VALUE"""),37638.645833333336)</f>
        <v>37638.64583</v>
      </c>
      <c r="C4" s="2">
        <f>IFERROR(__xludf.DUMMYFUNCTION("""COMPUTED_VALUE"""),59.86)</f>
        <v>59.86</v>
      </c>
    </row>
    <row r="5">
      <c r="A5" s="2" t="s">
        <v>5</v>
      </c>
      <c r="B5" s="3">
        <f>IFERROR(__xludf.DUMMYFUNCTION("""COMPUTED_VALUE"""),37645.645833333336)</f>
        <v>37645.64583</v>
      </c>
      <c r="C5" s="2">
        <f>IFERROR(__xludf.DUMMYFUNCTION("""COMPUTED_VALUE"""),60.4)</f>
        <v>60.4</v>
      </c>
    </row>
    <row r="6">
      <c r="A6" s="2" t="s">
        <v>6</v>
      </c>
      <c r="B6" s="3">
        <f>IFERROR(__xludf.DUMMYFUNCTION("""COMPUTED_VALUE"""),37652.645833333336)</f>
        <v>37652.64583</v>
      </c>
      <c r="C6" s="2">
        <f>IFERROR(__xludf.DUMMYFUNCTION("""COMPUTED_VALUE"""),62.41)</f>
        <v>62.41</v>
      </c>
    </row>
    <row r="7">
      <c r="A7" s="2" t="s">
        <v>7</v>
      </c>
      <c r="B7" s="3">
        <f>IFERROR(__xludf.DUMMYFUNCTION("""COMPUTED_VALUE"""),37659.645833333336)</f>
        <v>37659.64583</v>
      </c>
      <c r="C7" s="2">
        <f>IFERROR(__xludf.DUMMYFUNCTION("""COMPUTED_VALUE"""),57.74)</f>
        <v>57.74</v>
      </c>
    </row>
    <row r="8">
      <c r="A8" s="2" t="s">
        <v>8</v>
      </c>
      <c r="B8" s="3">
        <f>IFERROR(__xludf.DUMMYFUNCTION("""COMPUTED_VALUE"""),37666.645833333336)</f>
        <v>37666.64583</v>
      </c>
      <c r="C8" s="2">
        <f>IFERROR(__xludf.DUMMYFUNCTION("""COMPUTED_VALUE"""),57.36)</f>
        <v>57.36</v>
      </c>
    </row>
    <row r="9">
      <c r="A9" s="2" t="s">
        <v>9</v>
      </c>
      <c r="B9" s="3">
        <f>IFERROR(__xludf.DUMMYFUNCTION("""COMPUTED_VALUE"""),37673.645833333336)</f>
        <v>37673.64583</v>
      </c>
      <c r="C9" s="2">
        <f>IFERROR(__xludf.DUMMYFUNCTION("""COMPUTED_VALUE"""),59.58)</f>
        <v>59.58</v>
      </c>
    </row>
    <row r="10">
      <c r="A10" s="2" t="s">
        <v>10</v>
      </c>
      <c r="B10" s="3">
        <f>IFERROR(__xludf.DUMMYFUNCTION("""COMPUTED_VALUE"""),37680.645833333336)</f>
        <v>37680.64583</v>
      </c>
      <c r="C10" s="2">
        <f>IFERROR(__xludf.DUMMYFUNCTION("""COMPUTED_VALUE"""),61.16)</f>
        <v>61.16</v>
      </c>
    </row>
    <row r="11">
      <c r="A11" s="2" t="s">
        <v>11</v>
      </c>
      <c r="B11" s="3">
        <f>IFERROR(__xludf.DUMMYFUNCTION("""COMPUTED_VALUE"""),37687.645833333336)</f>
        <v>37687.64583</v>
      </c>
      <c r="C11" s="2">
        <f>IFERROR(__xludf.DUMMYFUNCTION("""COMPUTED_VALUE"""),60.64)</f>
        <v>60.64</v>
      </c>
    </row>
    <row r="12">
      <c r="A12" s="2" t="s">
        <v>12</v>
      </c>
      <c r="B12" s="3">
        <f>IFERROR(__xludf.DUMMYFUNCTION("""COMPUTED_VALUE"""),37693.645833333336)</f>
        <v>37693.64583</v>
      </c>
      <c r="C12" s="2">
        <f>IFERROR(__xludf.DUMMYFUNCTION("""COMPUTED_VALUE"""),57.86)</f>
        <v>57.86</v>
      </c>
    </row>
    <row r="13">
      <c r="A13" s="2" t="s">
        <v>13</v>
      </c>
      <c r="B13" s="3">
        <f>IFERROR(__xludf.DUMMYFUNCTION("""COMPUTED_VALUE"""),37708.645833333336)</f>
        <v>37708.64583</v>
      </c>
      <c r="C13" s="2">
        <f>IFERROR(__xludf.DUMMYFUNCTION("""COMPUTED_VALUE"""),58.97)</f>
        <v>58.97</v>
      </c>
    </row>
    <row r="14">
      <c r="A14" s="2" t="s">
        <v>14</v>
      </c>
      <c r="B14" s="3">
        <f>IFERROR(__xludf.DUMMYFUNCTION("""COMPUTED_VALUE"""),37715.645833333336)</f>
        <v>37715.64583</v>
      </c>
      <c r="C14" s="2">
        <f>IFERROR(__xludf.DUMMYFUNCTION("""COMPUTED_VALUE"""),59.21)</f>
        <v>59.21</v>
      </c>
    </row>
    <row r="15">
      <c r="A15" s="2" t="s">
        <v>15</v>
      </c>
      <c r="B15" s="3">
        <f>IFERROR(__xludf.DUMMYFUNCTION("""COMPUTED_VALUE"""),37722.645833333336)</f>
        <v>37722.64583</v>
      </c>
      <c r="C15" s="2">
        <f>IFERROR(__xludf.DUMMYFUNCTION("""COMPUTED_VALUE"""),60.8)</f>
        <v>60.8</v>
      </c>
    </row>
    <row r="16">
      <c r="A16" s="2" t="s">
        <v>16</v>
      </c>
      <c r="B16" s="3">
        <f>IFERROR(__xludf.DUMMYFUNCTION("""COMPUTED_VALUE"""),37728.645833333336)</f>
        <v>37728.64583</v>
      </c>
      <c r="C16" s="2">
        <f>IFERROR(__xludf.DUMMYFUNCTION("""COMPUTED_VALUE"""),59.03)</f>
        <v>59.03</v>
      </c>
    </row>
    <row r="17">
      <c r="A17" s="2" t="s">
        <v>17</v>
      </c>
      <c r="B17" s="3">
        <f>IFERROR(__xludf.DUMMYFUNCTION("""COMPUTED_VALUE"""),37736.645833333336)</f>
        <v>37736.64583</v>
      </c>
      <c r="C17" s="2">
        <f>IFERROR(__xludf.DUMMYFUNCTION("""COMPUTED_VALUE"""),57.27)</f>
        <v>57.27</v>
      </c>
    </row>
    <row r="18">
      <c r="A18" s="2" t="s">
        <v>18</v>
      </c>
      <c r="B18" s="3">
        <f>IFERROR(__xludf.DUMMYFUNCTION("""COMPUTED_VALUE"""),37743.645833333336)</f>
        <v>37743.64583</v>
      </c>
      <c r="C18" s="2">
        <f>IFERROR(__xludf.DUMMYFUNCTION("""COMPUTED_VALUE"""),55.47)</f>
        <v>55.47</v>
      </c>
    </row>
    <row r="19">
      <c r="A19" s="2" t="s">
        <v>19</v>
      </c>
      <c r="B19" s="3">
        <f>IFERROR(__xludf.DUMMYFUNCTION("""COMPUTED_VALUE"""),37750.645833333336)</f>
        <v>37750.64583</v>
      </c>
      <c r="C19" s="2">
        <f>IFERROR(__xludf.DUMMYFUNCTION("""COMPUTED_VALUE"""),55.57)</f>
        <v>55.57</v>
      </c>
    </row>
    <row r="20">
      <c r="B20" s="3">
        <f>IFERROR(__xludf.DUMMYFUNCTION("""COMPUTED_VALUE"""),37757.645833333336)</f>
        <v>37757.64583</v>
      </c>
      <c r="C20" s="2">
        <f>IFERROR(__xludf.DUMMYFUNCTION("""COMPUTED_VALUE"""),54.32)</f>
        <v>54.32</v>
      </c>
    </row>
    <row r="21" ht="15.75" customHeight="1">
      <c r="B21" s="3">
        <f>IFERROR(__xludf.DUMMYFUNCTION("""COMPUTED_VALUE"""),37764.645833333336)</f>
        <v>37764.64583</v>
      </c>
      <c r="C21" s="2">
        <f>IFERROR(__xludf.DUMMYFUNCTION("""COMPUTED_VALUE"""),55.41)</f>
        <v>55.41</v>
      </c>
    </row>
    <row r="22" ht="15.75" customHeight="1">
      <c r="B22" s="3">
        <f>IFERROR(__xludf.DUMMYFUNCTION("""COMPUTED_VALUE"""),37771.645833333336)</f>
        <v>37771.64583</v>
      </c>
      <c r="C22" s="2">
        <f>IFERROR(__xludf.DUMMYFUNCTION("""COMPUTED_VALUE"""),60.8)</f>
        <v>60.8</v>
      </c>
    </row>
    <row r="23" ht="15.75" customHeight="1">
      <c r="B23" s="3">
        <f>IFERROR(__xludf.DUMMYFUNCTION("""COMPUTED_VALUE"""),37778.645833333336)</f>
        <v>37778.64583</v>
      </c>
      <c r="C23" s="2">
        <f>IFERROR(__xludf.DUMMYFUNCTION("""COMPUTED_VALUE"""),63.79)</f>
        <v>63.79</v>
      </c>
    </row>
    <row r="24" ht="15.75" customHeight="1">
      <c r="B24" s="3">
        <f>IFERROR(__xludf.DUMMYFUNCTION("""COMPUTED_VALUE"""),37785.645833333336)</f>
        <v>37785.64583</v>
      </c>
      <c r="C24" s="2">
        <f>IFERROR(__xludf.DUMMYFUNCTION("""COMPUTED_VALUE"""),64.32)</f>
        <v>64.32</v>
      </c>
    </row>
    <row r="25" ht="15.75" customHeight="1">
      <c r="B25" s="3">
        <f>IFERROR(__xludf.DUMMYFUNCTION("""COMPUTED_VALUE"""),37792.645833333336)</f>
        <v>37792.64583</v>
      </c>
      <c r="C25" s="2">
        <f>IFERROR(__xludf.DUMMYFUNCTION("""COMPUTED_VALUE"""),68.0)</f>
        <v>68</v>
      </c>
    </row>
    <row r="26" ht="15.75" customHeight="1">
      <c r="B26" s="3">
        <f>IFERROR(__xludf.DUMMYFUNCTION("""COMPUTED_VALUE"""),37799.645833333336)</f>
        <v>37799.64583</v>
      </c>
      <c r="C26" s="2">
        <f>IFERROR(__xludf.DUMMYFUNCTION("""COMPUTED_VALUE"""),67.34)</f>
        <v>67.34</v>
      </c>
    </row>
    <row r="27" ht="15.75" customHeight="1">
      <c r="B27" s="3">
        <f>IFERROR(__xludf.DUMMYFUNCTION("""COMPUTED_VALUE"""),37806.645833333336)</f>
        <v>37806.64583</v>
      </c>
      <c r="C27" s="2">
        <f>IFERROR(__xludf.DUMMYFUNCTION("""COMPUTED_VALUE"""),67.91)</f>
        <v>67.91</v>
      </c>
    </row>
    <row r="28" ht="15.75" customHeight="1">
      <c r="B28" s="3">
        <f>IFERROR(__xludf.DUMMYFUNCTION("""COMPUTED_VALUE"""),37813.645833333336)</f>
        <v>37813.64583</v>
      </c>
      <c r="C28" s="2">
        <f>IFERROR(__xludf.DUMMYFUNCTION("""COMPUTED_VALUE"""),67.95)</f>
        <v>67.95</v>
      </c>
    </row>
    <row r="29" ht="15.75" customHeight="1">
      <c r="B29" s="3">
        <f>IFERROR(__xludf.DUMMYFUNCTION("""COMPUTED_VALUE"""),37820.645833333336)</f>
        <v>37820.64583</v>
      </c>
      <c r="C29" s="2">
        <f>IFERROR(__xludf.DUMMYFUNCTION("""COMPUTED_VALUE"""),70.47)</f>
        <v>70.47</v>
      </c>
    </row>
    <row r="30" ht="15.75" customHeight="1">
      <c r="B30" s="3">
        <f>IFERROR(__xludf.DUMMYFUNCTION("""COMPUTED_VALUE"""),37827.645833333336)</f>
        <v>37827.64583</v>
      </c>
      <c r="C30" s="2">
        <f>IFERROR(__xludf.DUMMYFUNCTION("""COMPUTED_VALUE"""),70.67)</f>
        <v>70.67</v>
      </c>
    </row>
    <row r="31" ht="15.75" customHeight="1">
      <c r="B31" s="3">
        <f>IFERROR(__xludf.DUMMYFUNCTION("""COMPUTED_VALUE"""),37834.645833333336)</f>
        <v>37834.64583</v>
      </c>
      <c r="C31" s="2">
        <f>IFERROR(__xludf.DUMMYFUNCTION("""COMPUTED_VALUE"""),72.85)</f>
        <v>72.85</v>
      </c>
    </row>
    <row r="32" ht="15.75" customHeight="1">
      <c r="B32" s="3">
        <f>IFERROR(__xludf.DUMMYFUNCTION("""COMPUTED_VALUE"""),37841.645833333336)</f>
        <v>37841.64583</v>
      </c>
      <c r="C32" s="2">
        <f>IFERROR(__xludf.DUMMYFUNCTION("""COMPUTED_VALUE"""),73.38)</f>
        <v>73.38</v>
      </c>
    </row>
    <row r="33" ht="15.75" customHeight="1">
      <c r="B33" s="3">
        <f>IFERROR(__xludf.DUMMYFUNCTION("""COMPUTED_VALUE"""),37847.645833333336)</f>
        <v>37847.64583</v>
      </c>
      <c r="C33" s="2">
        <f>IFERROR(__xludf.DUMMYFUNCTION("""COMPUTED_VALUE"""),78.28)</f>
        <v>78.28</v>
      </c>
    </row>
    <row r="34" ht="15.75" customHeight="1">
      <c r="B34" s="3">
        <f>IFERROR(__xludf.DUMMYFUNCTION("""COMPUTED_VALUE"""),37855.645833333336)</f>
        <v>37855.64583</v>
      </c>
      <c r="C34" s="2">
        <f>IFERROR(__xludf.DUMMYFUNCTION("""COMPUTED_VALUE"""),77.47)</f>
        <v>77.47</v>
      </c>
    </row>
    <row r="35" ht="15.75" customHeight="1">
      <c r="B35" s="3">
        <f>IFERROR(__xludf.DUMMYFUNCTION("""COMPUTED_VALUE"""),37862.645833333336)</f>
        <v>37862.64583</v>
      </c>
      <c r="C35" s="2">
        <f>IFERROR(__xludf.DUMMYFUNCTION("""COMPUTED_VALUE"""),85.51)</f>
        <v>85.51</v>
      </c>
    </row>
    <row r="36" ht="15.75" customHeight="1">
      <c r="B36" s="3">
        <f>IFERROR(__xludf.DUMMYFUNCTION("""COMPUTED_VALUE"""),37869.645833333336)</f>
        <v>37869.64583</v>
      </c>
      <c r="C36" s="2">
        <f>IFERROR(__xludf.DUMMYFUNCTION("""COMPUTED_VALUE"""),84.88)</f>
        <v>84.88</v>
      </c>
    </row>
    <row r="37" ht="15.75" customHeight="1">
      <c r="B37" s="3">
        <f>IFERROR(__xludf.DUMMYFUNCTION("""COMPUTED_VALUE"""),37876.645833333336)</f>
        <v>37876.64583</v>
      </c>
      <c r="C37" s="2">
        <f>IFERROR(__xludf.DUMMYFUNCTION("""COMPUTED_VALUE"""),89.07)</f>
        <v>89.07</v>
      </c>
    </row>
    <row r="38" ht="15.75" customHeight="1">
      <c r="B38" s="3">
        <f>IFERROR(__xludf.DUMMYFUNCTION("""COMPUTED_VALUE"""),37883.645833333336)</f>
        <v>37883.64583</v>
      </c>
      <c r="C38" s="2">
        <f>IFERROR(__xludf.DUMMYFUNCTION("""COMPUTED_VALUE"""),84.52)</f>
        <v>84.52</v>
      </c>
    </row>
    <row r="39" ht="15.75" customHeight="1">
      <c r="B39" s="3">
        <f>IFERROR(__xludf.DUMMYFUNCTION("""COMPUTED_VALUE"""),37890.645833333336)</f>
        <v>37890.64583</v>
      </c>
      <c r="C39" s="2">
        <f>IFERROR(__xludf.DUMMYFUNCTION("""COMPUTED_VALUE"""),87.08)</f>
        <v>87.08</v>
      </c>
    </row>
    <row r="40" ht="15.75" customHeight="1">
      <c r="B40" s="3">
        <f>IFERROR(__xludf.DUMMYFUNCTION("""COMPUTED_VALUE"""),37897.645833333336)</f>
        <v>37897.64583</v>
      </c>
      <c r="C40" s="2">
        <f>IFERROR(__xludf.DUMMYFUNCTION("""COMPUTED_VALUE"""),102.68)</f>
        <v>102.68</v>
      </c>
    </row>
    <row r="41" ht="15.75" customHeight="1">
      <c r="B41" s="3">
        <f>IFERROR(__xludf.DUMMYFUNCTION("""COMPUTED_VALUE"""),37904.645833333336)</f>
        <v>37904.64583</v>
      </c>
      <c r="C41" s="2">
        <f>IFERROR(__xludf.DUMMYFUNCTION("""COMPUTED_VALUE"""),95.03)</f>
        <v>95.03</v>
      </c>
    </row>
    <row r="42" ht="15.75" customHeight="1">
      <c r="B42" s="3">
        <f>IFERROR(__xludf.DUMMYFUNCTION("""COMPUTED_VALUE"""),37911.645833333336)</f>
        <v>37911.64583</v>
      </c>
      <c r="C42" s="2">
        <f>IFERROR(__xludf.DUMMYFUNCTION("""COMPUTED_VALUE"""),100.25)</f>
        <v>100.25</v>
      </c>
    </row>
    <row r="43" ht="15.75" customHeight="1">
      <c r="B43" s="3">
        <f>IFERROR(__xludf.DUMMYFUNCTION("""COMPUTED_VALUE"""),37925.645833333336)</f>
        <v>37925.64583</v>
      </c>
      <c r="C43" s="2">
        <f>IFERROR(__xludf.DUMMYFUNCTION("""COMPUTED_VALUE"""),98.2)</f>
        <v>98.2</v>
      </c>
    </row>
    <row r="44" ht="15.75" customHeight="1">
      <c r="B44" s="3">
        <f>IFERROR(__xludf.DUMMYFUNCTION("""COMPUTED_VALUE"""),37932.645833333336)</f>
        <v>37932.64583</v>
      </c>
      <c r="C44" s="2">
        <f>IFERROR(__xludf.DUMMYFUNCTION("""COMPUTED_VALUE"""),101.88)</f>
        <v>101.88</v>
      </c>
    </row>
    <row r="45" ht="15.75" customHeight="1">
      <c r="B45" s="3">
        <f>IFERROR(__xludf.DUMMYFUNCTION("""COMPUTED_VALUE"""),37946.645833333336)</f>
        <v>37946.64583</v>
      </c>
      <c r="C45" s="2">
        <f>IFERROR(__xludf.DUMMYFUNCTION("""COMPUTED_VALUE"""),96.12)</f>
        <v>96.12</v>
      </c>
    </row>
    <row r="46" ht="15.75" customHeight="1">
      <c r="B46" s="3">
        <f>IFERROR(__xludf.DUMMYFUNCTION("""COMPUTED_VALUE"""),37953.645833333336)</f>
        <v>37953.64583</v>
      </c>
      <c r="C46" s="2">
        <f>IFERROR(__xludf.DUMMYFUNCTION("""COMPUTED_VALUE"""),98.63)</f>
        <v>98.63</v>
      </c>
    </row>
    <row r="47" ht="15.75" customHeight="1">
      <c r="B47" s="3">
        <f>IFERROR(__xludf.DUMMYFUNCTION("""COMPUTED_VALUE"""),37960.645833333336)</f>
        <v>37960.64583</v>
      </c>
      <c r="C47" s="2">
        <f>IFERROR(__xludf.DUMMYFUNCTION("""COMPUTED_VALUE"""),103.08)</f>
        <v>103.08</v>
      </c>
    </row>
    <row r="48" ht="15.75" customHeight="1">
      <c r="B48" s="3">
        <f>IFERROR(__xludf.DUMMYFUNCTION("""COMPUTED_VALUE"""),37967.645833333336)</f>
        <v>37967.64583</v>
      </c>
      <c r="C48" s="2">
        <f>IFERROR(__xludf.DUMMYFUNCTION("""COMPUTED_VALUE"""),101.47)</f>
        <v>101.47</v>
      </c>
    </row>
    <row r="49" ht="15.75" customHeight="1">
      <c r="B49" s="3">
        <f>IFERROR(__xludf.DUMMYFUNCTION("""COMPUTED_VALUE"""),37974.645833333336)</f>
        <v>37974.64583</v>
      </c>
      <c r="C49" s="2">
        <f>IFERROR(__xludf.DUMMYFUNCTION("""COMPUTED_VALUE"""),105.29)</f>
        <v>105.29</v>
      </c>
    </row>
    <row r="50" ht="15.75" customHeight="1">
      <c r="B50" s="3">
        <f>IFERROR(__xludf.DUMMYFUNCTION("""COMPUTED_VALUE"""),37981.645833333336)</f>
        <v>37981.64583</v>
      </c>
      <c r="C50" s="2">
        <f>IFERROR(__xludf.DUMMYFUNCTION("""COMPUTED_VALUE"""),107.25)</f>
        <v>107.25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2" t="str">
        <f>IFERROR(__xludf.DUMMYFUNCTION("GOOGLEFINANCE(""NSE:RELIANCE"", ""high"",DATE(2004,1,1),DATE(2005,1,1),""weekly"")"),"Date")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IFERROR(__xludf.DUMMYFUNCTION("""COMPUTED_VALUE"""),37988.645833333336)</f>
        <v>37988.64583</v>
      </c>
      <c r="C57" s="2">
        <f>IFERROR(__xludf.DUMMYFUNCTION("""COMPUTED_VALUE"""),118.57)</f>
        <v>118.57</v>
      </c>
    </row>
    <row r="58" ht="15.75" customHeight="1">
      <c r="B58" s="3">
        <f>IFERROR(__xludf.DUMMYFUNCTION("""COMPUTED_VALUE"""),37995.645833333336)</f>
        <v>37995.64583</v>
      </c>
      <c r="C58" s="2">
        <f>IFERROR(__xludf.DUMMYFUNCTION("""COMPUTED_VALUE"""),121.94)</f>
        <v>121.94</v>
      </c>
    </row>
    <row r="59" ht="15.75" customHeight="1">
      <c r="B59" s="3">
        <f>IFERROR(__xludf.DUMMYFUNCTION("""COMPUTED_VALUE"""),38002.645833333336)</f>
        <v>38002.64583</v>
      </c>
      <c r="C59" s="2">
        <f>IFERROR(__xludf.DUMMYFUNCTION("""COMPUTED_VALUE"""),121.99)</f>
        <v>121.99</v>
      </c>
    </row>
    <row r="60" ht="15.75" customHeight="1">
      <c r="B60" s="3">
        <f>IFERROR(__xludf.DUMMYFUNCTION("""COMPUTED_VALUE"""),38009.645833333336)</f>
        <v>38009.64583</v>
      </c>
      <c r="C60" s="2">
        <f>IFERROR(__xludf.DUMMYFUNCTION("""COMPUTED_VALUE"""),120.36)</f>
        <v>120.36</v>
      </c>
    </row>
    <row r="61" ht="15.75" customHeight="1">
      <c r="B61" s="3">
        <f>IFERROR(__xludf.DUMMYFUNCTION("""COMPUTED_VALUE"""),38016.645833333336)</f>
        <v>38016.64583</v>
      </c>
      <c r="C61" s="2">
        <f>IFERROR(__xludf.DUMMYFUNCTION("""COMPUTED_VALUE"""),118.64)</f>
        <v>118.64</v>
      </c>
    </row>
    <row r="62" ht="15.75" customHeight="1">
      <c r="B62" s="3">
        <f>IFERROR(__xludf.DUMMYFUNCTION("""COMPUTED_VALUE"""),38023.645833333336)</f>
        <v>38023.64583</v>
      </c>
      <c r="C62" s="2">
        <f>IFERROR(__xludf.DUMMYFUNCTION("""COMPUTED_VALUE"""),116.47)</f>
        <v>116.47</v>
      </c>
    </row>
    <row r="63" ht="15.75" customHeight="1">
      <c r="B63" s="3">
        <f>IFERROR(__xludf.DUMMYFUNCTION("""COMPUTED_VALUE"""),38030.645833333336)</f>
        <v>38030.64583</v>
      </c>
      <c r="C63" s="2">
        <f>IFERROR(__xludf.DUMMYFUNCTION("""COMPUTED_VALUE"""),124.83)</f>
        <v>124.83</v>
      </c>
    </row>
    <row r="64" ht="15.75" customHeight="1">
      <c r="B64" s="3">
        <f>IFERROR(__xludf.DUMMYFUNCTION("""COMPUTED_VALUE"""),38037.645833333336)</f>
        <v>38037.64583</v>
      </c>
      <c r="C64" s="2">
        <f>IFERROR(__xludf.DUMMYFUNCTION("""COMPUTED_VALUE"""),122.92)</f>
        <v>122.92</v>
      </c>
    </row>
    <row r="65" ht="15.75" customHeight="1">
      <c r="B65" s="3">
        <f>IFERROR(__xludf.DUMMYFUNCTION("""COMPUTED_VALUE"""),38044.645833333336)</f>
        <v>38044.64583</v>
      </c>
      <c r="C65" s="2">
        <f>IFERROR(__xludf.DUMMYFUNCTION("""COMPUTED_VALUE"""),119.59)</f>
        <v>119.59</v>
      </c>
    </row>
    <row r="66" ht="15.75" customHeight="1">
      <c r="B66" s="3">
        <f>IFERROR(__xludf.DUMMYFUNCTION("""COMPUTED_VALUE"""),38051.645833333336)</f>
        <v>38051.64583</v>
      </c>
      <c r="C66" s="2">
        <f>IFERROR(__xludf.DUMMYFUNCTION("""COMPUTED_VALUE"""),118.28)</f>
        <v>118.28</v>
      </c>
    </row>
    <row r="67" ht="15.75" customHeight="1">
      <c r="B67" s="3">
        <f>IFERROR(__xludf.DUMMYFUNCTION("""COMPUTED_VALUE"""),38058.645833333336)</f>
        <v>38058.64583</v>
      </c>
      <c r="C67" s="2">
        <f>IFERROR(__xludf.DUMMYFUNCTION("""COMPUTED_VALUE"""),120.8)</f>
        <v>120.8</v>
      </c>
    </row>
    <row r="68" ht="15.75" customHeight="1">
      <c r="B68" s="3">
        <f>IFERROR(__xludf.DUMMYFUNCTION("""COMPUTED_VALUE"""),38065.645833333336)</f>
        <v>38065.64583</v>
      </c>
      <c r="C68" s="2">
        <f>IFERROR(__xludf.DUMMYFUNCTION("""COMPUTED_VALUE"""),114.72)</f>
        <v>114.72</v>
      </c>
    </row>
    <row r="69" ht="15.75" customHeight="1">
      <c r="B69" s="3">
        <f>IFERROR(__xludf.DUMMYFUNCTION("""COMPUTED_VALUE"""),38072.645833333336)</f>
        <v>38072.64583</v>
      </c>
      <c r="C69" s="2">
        <f>IFERROR(__xludf.DUMMYFUNCTION("""COMPUTED_VALUE"""),106.77)</f>
        <v>106.77</v>
      </c>
    </row>
    <row r="70" ht="15.75" customHeight="1">
      <c r="B70" s="3">
        <f>IFERROR(__xludf.DUMMYFUNCTION("""COMPUTED_VALUE"""),38079.645833333336)</f>
        <v>38079.64583</v>
      </c>
      <c r="C70" s="2">
        <f>IFERROR(__xludf.DUMMYFUNCTION("""COMPUTED_VALUE"""),130.87)</f>
        <v>130.87</v>
      </c>
    </row>
    <row r="71" ht="15.75" customHeight="1">
      <c r="B71" s="3">
        <f>IFERROR(__xludf.DUMMYFUNCTION("""COMPUTED_VALUE"""),38085.645833333336)</f>
        <v>38085.64583</v>
      </c>
      <c r="C71" s="2">
        <f>IFERROR(__xludf.DUMMYFUNCTION("""COMPUTED_VALUE"""),117.26)</f>
        <v>117.26</v>
      </c>
    </row>
    <row r="72" ht="15.75" customHeight="1">
      <c r="B72" s="3">
        <f>IFERROR(__xludf.DUMMYFUNCTION("""COMPUTED_VALUE"""),38100.645833333336)</f>
        <v>38100.64583</v>
      </c>
      <c r="C72" s="2">
        <f>IFERROR(__xludf.DUMMYFUNCTION("""COMPUTED_VALUE"""),115.73)</f>
        <v>115.73</v>
      </c>
    </row>
    <row r="73" ht="15.75" customHeight="1">
      <c r="B73" s="3">
        <f>IFERROR(__xludf.DUMMYFUNCTION("""COMPUTED_VALUE"""),38107.645833333336)</f>
        <v>38107.64583</v>
      </c>
      <c r="C73" s="2">
        <f>IFERROR(__xludf.DUMMYFUNCTION("""COMPUTED_VALUE"""),125.85)</f>
        <v>125.85</v>
      </c>
    </row>
    <row r="74" ht="15.75" customHeight="1">
      <c r="B74" s="3">
        <f>IFERROR(__xludf.DUMMYFUNCTION("""COMPUTED_VALUE"""),38114.645833333336)</f>
        <v>38114.64583</v>
      </c>
      <c r="C74" s="2">
        <f>IFERROR(__xludf.DUMMYFUNCTION("""COMPUTED_VALUE"""),127.46)</f>
        <v>127.46</v>
      </c>
    </row>
    <row r="75" ht="15.75" customHeight="1">
      <c r="B75" s="3">
        <f>IFERROR(__xludf.DUMMYFUNCTION("""COMPUTED_VALUE"""),38121.645833333336)</f>
        <v>38121.64583</v>
      </c>
      <c r="C75" s="2">
        <f>IFERROR(__xludf.DUMMYFUNCTION("""COMPUTED_VALUE"""),106.65)</f>
        <v>106.65</v>
      </c>
    </row>
    <row r="76" ht="15.75" customHeight="1">
      <c r="B76" s="3">
        <f>IFERROR(__xludf.DUMMYFUNCTION("""COMPUTED_VALUE"""),38128.645833333336)</f>
        <v>38128.64583</v>
      </c>
      <c r="C76" s="2">
        <f>IFERROR(__xludf.DUMMYFUNCTION("""COMPUTED_VALUE"""),95.01)</f>
        <v>95.01</v>
      </c>
    </row>
    <row r="77" ht="15.75" customHeight="1">
      <c r="B77" s="3">
        <f>IFERROR(__xludf.DUMMYFUNCTION("""COMPUTED_VALUE"""),38135.645833333336)</f>
        <v>38135.64583</v>
      </c>
      <c r="C77" s="2">
        <f>IFERROR(__xludf.DUMMYFUNCTION("""COMPUTED_VALUE"""),94.23)</f>
        <v>94.23</v>
      </c>
    </row>
    <row r="78" ht="15.75" customHeight="1">
      <c r="B78" s="3">
        <f>IFERROR(__xludf.DUMMYFUNCTION("""COMPUTED_VALUE"""),38142.645833333336)</f>
        <v>38142.64583</v>
      </c>
      <c r="C78" s="2">
        <f>IFERROR(__xludf.DUMMYFUNCTION("""COMPUTED_VALUE"""),91.04)</f>
        <v>91.04</v>
      </c>
    </row>
    <row r="79" ht="15.75" customHeight="1">
      <c r="B79" s="3">
        <f>IFERROR(__xludf.DUMMYFUNCTION("""COMPUTED_VALUE"""),38149.645833333336)</f>
        <v>38149.64583</v>
      </c>
      <c r="C79" s="2">
        <f>IFERROR(__xludf.DUMMYFUNCTION("""COMPUTED_VALUE"""),92.26)</f>
        <v>92.26</v>
      </c>
    </row>
    <row r="80" ht="15.75" customHeight="1">
      <c r="B80" s="3">
        <f>IFERROR(__xludf.DUMMYFUNCTION("""COMPUTED_VALUE"""),38156.645833333336)</f>
        <v>38156.64583</v>
      </c>
      <c r="C80" s="2">
        <f>IFERROR(__xludf.DUMMYFUNCTION("""COMPUTED_VALUE"""),92.0)</f>
        <v>92</v>
      </c>
    </row>
    <row r="81" ht="15.75" customHeight="1">
      <c r="B81" s="3">
        <f>IFERROR(__xludf.DUMMYFUNCTION("""COMPUTED_VALUE"""),38163.645833333336)</f>
        <v>38163.64583</v>
      </c>
      <c r="C81" s="2">
        <f>IFERROR(__xludf.DUMMYFUNCTION("""COMPUTED_VALUE"""),90.18)</f>
        <v>90.18</v>
      </c>
    </row>
    <row r="82" ht="15.75" customHeight="1">
      <c r="B82" s="3">
        <f>IFERROR(__xludf.DUMMYFUNCTION("""COMPUTED_VALUE"""),38170.645833333336)</f>
        <v>38170.64583</v>
      </c>
      <c r="C82" s="2">
        <f>IFERROR(__xludf.DUMMYFUNCTION("""COMPUTED_VALUE"""),90.05)</f>
        <v>90.05</v>
      </c>
    </row>
    <row r="83" ht="15.75" customHeight="1">
      <c r="B83" s="3">
        <f>IFERROR(__xludf.DUMMYFUNCTION("""COMPUTED_VALUE"""),38177.645833333336)</f>
        <v>38177.64583</v>
      </c>
      <c r="C83" s="2">
        <f>IFERROR(__xludf.DUMMYFUNCTION("""COMPUTED_VALUE"""),89.98)</f>
        <v>89.98</v>
      </c>
    </row>
    <row r="84" ht="15.75" customHeight="1">
      <c r="B84" s="3">
        <f>IFERROR(__xludf.DUMMYFUNCTION("""COMPUTED_VALUE"""),38184.645833333336)</f>
        <v>38184.64583</v>
      </c>
      <c r="C84" s="2">
        <f>IFERROR(__xludf.DUMMYFUNCTION("""COMPUTED_VALUE"""),88.59)</f>
        <v>88.59</v>
      </c>
    </row>
    <row r="85" ht="15.75" customHeight="1">
      <c r="B85" s="3">
        <f>IFERROR(__xludf.DUMMYFUNCTION("""COMPUTED_VALUE"""),38191.645833333336)</f>
        <v>38191.64583</v>
      </c>
      <c r="C85" s="2">
        <f>IFERROR(__xludf.DUMMYFUNCTION("""COMPUTED_VALUE"""),94.37)</f>
        <v>94.37</v>
      </c>
    </row>
    <row r="86" ht="15.75" customHeight="1">
      <c r="B86" s="3">
        <f>IFERROR(__xludf.DUMMYFUNCTION("""COMPUTED_VALUE"""),38198.645833333336)</f>
        <v>38198.64583</v>
      </c>
      <c r="C86" s="2">
        <f>IFERROR(__xludf.DUMMYFUNCTION("""COMPUTED_VALUE"""),98.76)</f>
        <v>98.76</v>
      </c>
    </row>
    <row r="87" ht="15.75" customHeight="1">
      <c r="B87" s="3">
        <f>IFERROR(__xludf.DUMMYFUNCTION("""COMPUTED_VALUE"""),38205.645833333336)</f>
        <v>38205.64583</v>
      </c>
      <c r="C87" s="2">
        <f>IFERROR(__xludf.DUMMYFUNCTION("""COMPUTED_VALUE"""),101.62)</f>
        <v>101.62</v>
      </c>
    </row>
    <row r="88" ht="15.75" customHeight="1">
      <c r="B88" s="3">
        <f>IFERROR(__xludf.DUMMYFUNCTION("""COMPUTED_VALUE"""),38212.645833333336)</f>
        <v>38212.64583</v>
      </c>
      <c r="C88" s="2">
        <f>IFERROR(__xludf.DUMMYFUNCTION("""COMPUTED_VALUE"""),100.56)</f>
        <v>100.56</v>
      </c>
    </row>
    <row r="89" ht="15.75" customHeight="1">
      <c r="B89" s="3">
        <f>IFERROR(__xludf.DUMMYFUNCTION("""COMPUTED_VALUE"""),38219.645833333336)</f>
        <v>38219.64583</v>
      </c>
      <c r="C89" s="2">
        <f>IFERROR(__xludf.DUMMYFUNCTION("""COMPUTED_VALUE"""),111.74)</f>
        <v>111.74</v>
      </c>
    </row>
    <row r="90" ht="15.75" customHeight="1">
      <c r="B90" s="3">
        <f>IFERROR(__xludf.DUMMYFUNCTION("""COMPUTED_VALUE"""),38226.645833333336)</f>
        <v>38226.64583</v>
      </c>
      <c r="C90" s="2">
        <f>IFERROR(__xludf.DUMMYFUNCTION("""COMPUTED_VALUE"""),93.89)</f>
        <v>93.89</v>
      </c>
    </row>
    <row r="91" ht="15.75" customHeight="1">
      <c r="B91" s="3">
        <f>IFERROR(__xludf.DUMMYFUNCTION("""COMPUTED_VALUE"""),38233.645833333336)</f>
        <v>38233.64583</v>
      </c>
      <c r="C91" s="2">
        <f>IFERROR(__xludf.DUMMYFUNCTION("""COMPUTED_VALUE"""),96.52)</f>
        <v>96.52</v>
      </c>
    </row>
    <row r="92" ht="15.75" customHeight="1">
      <c r="B92" s="3">
        <f>IFERROR(__xludf.DUMMYFUNCTION("""COMPUTED_VALUE"""),38240.645833333336)</f>
        <v>38240.64583</v>
      </c>
      <c r="C92" s="2">
        <f>IFERROR(__xludf.DUMMYFUNCTION("""COMPUTED_VALUE"""),98.4)</f>
        <v>98.4</v>
      </c>
    </row>
    <row r="93" ht="15.75" customHeight="1">
      <c r="B93" s="3">
        <f>IFERROR(__xludf.DUMMYFUNCTION("""COMPUTED_VALUE"""),38247.645833333336)</f>
        <v>38247.64583</v>
      </c>
      <c r="C93" s="2">
        <f>IFERROR(__xludf.DUMMYFUNCTION("""COMPUTED_VALUE"""),102.68)</f>
        <v>102.68</v>
      </c>
    </row>
    <row r="94" ht="15.75" customHeight="1">
      <c r="B94" s="3">
        <f>IFERROR(__xludf.DUMMYFUNCTION("""COMPUTED_VALUE"""),38254.645833333336)</f>
        <v>38254.64583</v>
      </c>
      <c r="C94" s="2">
        <f>IFERROR(__xludf.DUMMYFUNCTION("""COMPUTED_VALUE"""),103.08)</f>
        <v>103.08</v>
      </c>
    </row>
    <row r="95" ht="15.75" customHeight="1">
      <c r="B95" s="3">
        <f>IFERROR(__xludf.DUMMYFUNCTION("""COMPUTED_VALUE"""),38261.645833333336)</f>
        <v>38261.64583</v>
      </c>
      <c r="C95" s="2">
        <f>IFERROR(__xludf.DUMMYFUNCTION("""COMPUTED_VALUE"""),107.71)</f>
        <v>107.71</v>
      </c>
    </row>
    <row r="96" ht="15.75" customHeight="1">
      <c r="B96" s="3">
        <f>IFERROR(__xludf.DUMMYFUNCTION("""COMPUTED_VALUE"""),38275.645833333336)</f>
        <v>38275.64583</v>
      </c>
      <c r="C96" s="2">
        <f>IFERROR(__xludf.DUMMYFUNCTION("""COMPUTED_VALUE"""),112.4)</f>
        <v>112.4</v>
      </c>
    </row>
    <row r="97" ht="15.75" customHeight="1">
      <c r="B97" s="3">
        <f>IFERROR(__xludf.DUMMYFUNCTION("""COMPUTED_VALUE"""),38281.645833333336)</f>
        <v>38281.64583</v>
      </c>
      <c r="C97" s="2">
        <f>IFERROR(__xludf.DUMMYFUNCTION("""COMPUTED_VALUE"""),114.16)</f>
        <v>114.16</v>
      </c>
    </row>
    <row r="98" ht="15.75" customHeight="1">
      <c r="B98" s="3">
        <f>IFERROR(__xludf.DUMMYFUNCTION("""COMPUTED_VALUE"""),38289.645833333336)</f>
        <v>38289.64583</v>
      </c>
      <c r="C98" s="2">
        <f>IFERROR(__xludf.DUMMYFUNCTION("""COMPUTED_VALUE"""),120.8)</f>
        <v>120.8</v>
      </c>
    </row>
    <row r="99" ht="15.75" customHeight="1">
      <c r="B99" s="3">
        <f>IFERROR(__xludf.DUMMYFUNCTION("""COMPUTED_VALUE"""),38296.645833333336)</f>
        <v>38296.64583</v>
      </c>
      <c r="C99" s="2">
        <f>IFERROR(__xludf.DUMMYFUNCTION("""COMPUTED_VALUE"""),118.19)</f>
        <v>118.19</v>
      </c>
    </row>
    <row r="100" ht="15.75" customHeight="1">
      <c r="B100" s="3">
        <f>IFERROR(__xludf.DUMMYFUNCTION("""COMPUTED_VALUE"""),38303.645833333336)</f>
        <v>38303.64583</v>
      </c>
      <c r="C100" s="2">
        <f>IFERROR(__xludf.DUMMYFUNCTION("""COMPUTED_VALUE"""),111.13)</f>
        <v>111.13</v>
      </c>
    </row>
    <row r="101" ht="15.75" customHeight="1">
      <c r="B101" s="3">
        <f>IFERROR(__xludf.DUMMYFUNCTION("""COMPUTED_VALUE"""),38310.645833333336)</f>
        <v>38310.64583</v>
      </c>
      <c r="C101" s="2">
        <f>IFERROR(__xludf.DUMMYFUNCTION("""COMPUTED_VALUE"""),110.65)</f>
        <v>110.65</v>
      </c>
    </row>
    <row r="102" ht="15.75" customHeight="1">
      <c r="B102" s="3">
        <f>IFERROR(__xludf.DUMMYFUNCTION("""COMPUTED_VALUE"""),38316.645833333336)</f>
        <v>38316.64583</v>
      </c>
      <c r="C102" s="2">
        <f>IFERROR(__xludf.DUMMYFUNCTION("""COMPUTED_VALUE"""),108.48)</f>
        <v>108.48</v>
      </c>
    </row>
    <row r="103" ht="15.75" customHeight="1">
      <c r="B103" s="3">
        <f>IFERROR(__xludf.DUMMYFUNCTION("""COMPUTED_VALUE"""),38324.645833333336)</f>
        <v>38324.64583</v>
      </c>
      <c r="C103" s="2">
        <f>IFERROR(__xludf.DUMMYFUNCTION("""COMPUTED_VALUE"""),110.31)</f>
        <v>110.31</v>
      </c>
    </row>
    <row r="104" ht="15.75" customHeight="1">
      <c r="B104" s="3">
        <f>IFERROR(__xludf.DUMMYFUNCTION("""COMPUTED_VALUE"""),38331.645833333336)</f>
        <v>38331.64583</v>
      </c>
      <c r="C104" s="2">
        <f>IFERROR(__xludf.DUMMYFUNCTION("""COMPUTED_VALUE"""),110.13)</f>
        <v>110.13</v>
      </c>
    </row>
    <row r="105" ht="15.75" customHeight="1">
      <c r="B105" s="3">
        <f>IFERROR(__xludf.DUMMYFUNCTION("""COMPUTED_VALUE"""),38338.645833333336)</f>
        <v>38338.64583</v>
      </c>
      <c r="C105" s="2">
        <f>IFERROR(__xludf.DUMMYFUNCTION("""COMPUTED_VALUE"""),102.28)</f>
        <v>102.28</v>
      </c>
    </row>
    <row r="106" ht="15.75" customHeight="1">
      <c r="B106" s="3">
        <f>IFERROR(__xludf.DUMMYFUNCTION("""COMPUTED_VALUE"""),38345.645833333336)</f>
        <v>38345.64583</v>
      </c>
      <c r="C106" s="2">
        <f>IFERROR(__xludf.DUMMYFUNCTION("""COMPUTED_VALUE"""),105.84)</f>
        <v>105.84</v>
      </c>
    </row>
    <row r="107" ht="15.75" customHeight="1">
      <c r="B107" s="3">
        <f>IFERROR(__xludf.DUMMYFUNCTION("""COMPUTED_VALUE"""),38352.645833333336)</f>
        <v>38352.64583</v>
      </c>
      <c r="C107" s="2">
        <f>IFERROR(__xludf.DUMMYFUNCTION("""COMPUTED_VALUE"""),110.13)</f>
        <v>110.13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IFERROR(__xludf.DUMMYFUNCTION("GOOGLEFINANCE(""NSE:RELIANCE"", ""high"",DATE(2005,1,1),DATE(2006,1,1),""weekly"")"),"Date")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IFERROR(__xludf.DUMMYFUNCTION("""COMPUTED_VALUE"""),38359.645833333336)</f>
        <v>38359.64583</v>
      </c>
      <c r="C112" s="2">
        <f>IFERROR(__xludf.DUMMYFUNCTION("""COMPUTED_VALUE"""),110.74)</f>
        <v>110.74</v>
      </c>
    </row>
    <row r="113" ht="15.75" customHeight="1">
      <c r="B113" s="3">
        <f>IFERROR(__xludf.DUMMYFUNCTION("""COMPUTED_VALUE"""),38366.645833333336)</f>
        <v>38366.64583</v>
      </c>
      <c r="C113" s="2">
        <f>IFERROR(__xludf.DUMMYFUNCTION("""COMPUTED_VALUE"""),110.31)</f>
        <v>110.31</v>
      </c>
    </row>
    <row r="114" ht="15.75" customHeight="1">
      <c r="B114" s="3">
        <f>IFERROR(__xludf.DUMMYFUNCTION("""COMPUTED_VALUE"""),38372.645833333336)</f>
        <v>38372.64583</v>
      </c>
      <c r="C114" s="2">
        <f>IFERROR(__xludf.DUMMYFUNCTION("""COMPUTED_VALUE"""),105.18)</f>
        <v>105.18</v>
      </c>
    </row>
    <row r="115" ht="15.75" customHeight="1">
      <c r="B115" s="3">
        <f>IFERROR(__xludf.DUMMYFUNCTION("""COMPUTED_VALUE"""),38380.645833333336)</f>
        <v>38380.64583</v>
      </c>
      <c r="C115" s="2">
        <f>IFERROR(__xludf.DUMMYFUNCTION("""COMPUTED_VALUE"""),105.39)</f>
        <v>105.39</v>
      </c>
    </row>
    <row r="116" ht="15.75" customHeight="1">
      <c r="B116" s="3">
        <f>IFERROR(__xludf.DUMMYFUNCTION("""COMPUTED_VALUE"""),38387.645833333336)</f>
        <v>38387.64583</v>
      </c>
      <c r="C116" s="2">
        <f>IFERROR(__xludf.DUMMYFUNCTION("""COMPUTED_VALUE"""),110.2)</f>
        <v>110.2</v>
      </c>
    </row>
    <row r="117" ht="15.75" customHeight="1">
      <c r="B117" s="3">
        <f>IFERROR(__xludf.DUMMYFUNCTION("""COMPUTED_VALUE"""),38394.645833333336)</f>
        <v>38394.64583</v>
      </c>
      <c r="C117" s="2">
        <f>IFERROR(__xludf.DUMMYFUNCTION("""COMPUTED_VALUE"""),120.36)</f>
        <v>120.36</v>
      </c>
    </row>
    <row r="118" ht="15.75" customHeight="1">
      <c r="B118" s="3">
        <f>IFERROR(__xludf.DUMMYFUNCTION("""COMPUTED_VALUE"""),38401.645833333336)</f>
        <v>38401.64583</v>
      </c>
      <c r="C118" s="2">
        <f>IFERROR(__xludf.DUMMYFUNCTION("""COMPUTED_VALUE"""),111.39)</f>
        <v>111.39</v>
      </c>
    </row>
    <row r="119" ht="15.75" customHeight="1">
      <c r="B119" s="3">
        <f>IFERROR(__xludf.DUMMYFUNCTION("""COMPUTED_VALUE"""),38408.645833333336)</f>
        <v>38408.64583</v>
      </c>
      <c r="C119" s="2">
        <f>IFERROR(__xludf.DUMMYFUNCTION("""COMPUTED_VALUE"""),111.44)</f>
        <v>111.44</v>
      </c>
    </row>
    <row r="120" ht="15.75" customHeight="1">
      <c r="B120" s="3">
        <f>IFERROR(__xludf.DUMMYFUNCTION("""COMPUTED_VALUE"""),38415.645833333336)</f>
        <v>38415.64583</v>
      </c>
      <c r="C120" s="2">
        <f>IFERROR(__xludf.DUMMYFUNCTION("""COMPUTED_VALUE"""),115.45)</f>
        <v>115.45</v>
      </c>
    </row>
    <row r="121" ht="15.75" customHeight="1">
      <c r="B121" s="3">
        <f>IFERROR(__xludf.DUMMYFUNCTION("""COMPUTED_VALUE"""),38422.645833333336)</f>
        <v>38422.64583</v>
      </c>
      <c r="C121" s="2">
        <f>IFERROR(__xludf.DUMMYFUNCTION("""COMPUTED_VALUE"""),120.96)</f>
        <v>120.96</v>
      </c>
    </row>
    <row r="122" ht="15.75" customHeight="1">
      <c r="B122" s="3">
        <f>IFERROR(__xludf.DUMMYFUNCTION("""COMPUTED_VALUE"""),38429.645833333336)</f>
        <v>38429.64583</v>
      </c>
      <c r="C122" s="2">
        <f>IFERROR(__xludf.DUMMYFUNCTION("""COMPUTED_VALUE"""),119.17)</f>
        <v>119.17</v>
      </c>
    </row>
    <row r="123" ht="15.75" customHeight="1">
      <c r="B123" s="3">
        <f>IFERROR(__xludf.DUMMYFUNCTION("""COMPUTED_VALUE"""),38435.645833333336)</f>
        <v>38435.64583</v>
      </c>
      <c r="C123" s="2">
        <f>IFERROR(__xludf.DUMMYFUNCTION("""COMPUTED_VALUE"""),116.13)</f>
        <v>116.13</v>
      </c>
    </row>
    <row r="124" ht="15.75" customHeight="1">
      <c r="B124" s="3">
        <f>IFERROR(__xludf.DUMMYFUNCTION("""COMPUTED_VALUE"""),38443.645833333336)</f>
        <v>38443.64583</v>
      </c>
      <c r="C124" s="2">
        <f>IFERROR(__xludf.DUMMYFUNCTION("""COMPUTED_VALUE"""),115.43)</f>
        <v>115.43</v>
      </c>
    </row>
    <row r="125" ht="15.75" customHeight="1">
      <c r="B125" s="3">
        <f>IFERROR(__xludf.DUMMYFUNCTION("""COMPUTED_VALUE"""),38450.645833333336)</f>
        <v>38450.64583</v>
      </c>
      <c r="C125" s="2">
        <f>IFERROR(__xludf.DUMMYFUNCTION("""COMPUTED_VALUE"""),116.15)</f>
        <v>116.15</v>
      </c>
    </row>
    <row r="126" ht="15.75" customHeight="1">
      <c r="B126" s="3">
        <f>IFERROR(__xludf.DUMMYFUNCTION("""COMPUTED_VALUE"""),38457.645833333336)</f>
        <v>38457.64583</v>
      </c>
      <c r="C126" s="2">
        <f>IFERROR(__xludf.DUMMYFUNCTION("""COMPUTED_VALUE"""),112.15)</f>
        <v>112.15</v>
      </c>
    </row>
    <row r="127" ht="15.75" customHeight="1">
      <c r="B127" s="3">
        <f>IFERROR(__xludf.DUMMYFUNCTION("""COMPUTED_VALUE"""),38464.645833333336)</f>
        <v>38464.64583</v>
      </c>
      <c r="C127" s="2">
        <f>IFERROR(__xludf.DUMMYFUNCTION("""COMPUTED_VALUE"""),110.69)</f>
        <v>110.69</v>
      </c>
    </row>
    <row r="128" ht="15.75" customHeight="1">
      <c r="B128" s="3">
        <f>IFERROR(__xludf.DUMMYFUNCTION("""COMPUTED_VALUE"""),38471.645833333336)</f>
        <v>38471.64583</v>
      </c>
      <c r="C128" s="2">
        <f>IFERROR(__xludf.DUMMYFUNCTION("""COMPUTED_VALUE"""),112.65)</f>
        <v>112.65</v>
      </c>
    </row>
    <row r="129" ht="15.75" customHeight="1">
      <c r="B129" s="3">
        <f>IFERROR(__xludf.DUMMYFUNCTION("""COMPUTED_VALUE"""),38478.645833333336)</f>
        <v>38478.64583</v>
      </c>
      <c r="C129" s="2">
        <f>IFERROR(__xludf.DUMMYFUNCTION("""COMPUTED_VALUE"""),110.84)</f>
        <v>110.84</v>
      </c>
    </row>
    <row r="130" ht="15.75" customHeight="1">
      <c r="B130" s="3">
        <f>IFERROR(__xludf.DUMMYFUNCTION("""COMPUTED_VALUE"""),38485.645833333336)</f>
        <v>38485.64583</v>
      </c>
      <c r="C130" s="2">
        <f>IFERROR(__xludf.DUMMYFUNCTION("""COMPUTED_VALUE"""),111.89)</f>
        <v>111.89</v>
      </c>
    </row>
    <row r="131" ht="15.75" customHeight="1">
      <c r="B131" s="3">
        <f>IFERROR(__xludf.DUMMYFUNCTION("""COMPUTED_VALUE"""),38492.645833333336)</f>
        <v>38492.64583</v>
      </c>
      <c r="C131" s="2">
        <f>IFERROR(__xludf.DUMMYFUNCTION("""COMPUTED_VALUE"""),109.47)</f>
        <v>109.47</v>
      </c>
    </row>
    <row r="132" ht="15.75" customHeight="1">
      <c r="B132" s="3">
        <f>IFERROR(__xludf.DUMMYFUNCTION("""COMPUTED_VALUE"""),38499.645833333336)</f>
        <v>38499.64583</v>
      </c>
      <c r="C132" s="2">
        <f>IFERROR(__xludf.DUMMYFUNCTION("""COMPUTED_VALUE"""),108.6)</f>
        <v>108.6</v>
      </c>
    </row>
    <row r="133" ht="15.75" customHeight="1">
      <c r="B133" s="3">
        <f>IFERROR(__xludf.DUMMYFUNCTION("""COMPUTED_VALUE"""),38513.645833333336)</f>
        <v>38513.64583</v>
      </c>
      <c r="C133" s="2">
        <f>IFERROR(__xludf.DUMMYFUNCTION("""COMPUTED_VALUE"""),114.64)</f>
        <v>114.64</v>
      </c>
    </row>
    <row r="134" ht="15.75" customHeight="1">
      <c r="B134" s="3">
        <f>IFERROR(__xludf.DUMMYFUNCTION("""COMPUTED_VALUE"""),38520.645833333336)</f>
        <v>38520.64583</v>
      </c>
      <c r="C134" s="2">
        <f>IFERROR(__xludf.DUMMYFUNCTION("""COMPUTED_VALUE"""),121.92)</f>
        <v>121.92</v>
      </c>
    </row>
    <row r="135" ht="15.75" customHeight="1">
      <c r="B135" s="3">
        <f>IFERROR(__xludf.DUMMYFUNCTION("""COMPUTED_VALUE"""),38527.645833333336)</f>
        <v>38527.64583</v>
      </c>
      <c r="C135" s="2">
        <f>IFERROR(__xludf.DUMMYFUNCTION("""COMPUTED_VALUE"""),132.88)</f>
        <v>132.88</v>
      </c>
    </row>
    <row r="136" ht="15.75" customHeight="1">
      <c r="B136" s="3">
        <f>IFERROR(__xludf.DUMMYFUNCTION("""COMPUTED_VALUE"""),38534.645833333336)</f>
        <v>38534.64583</v>
      </c>
      <c r="C136" s="2">
        <f>IFERROR(__xludf.DUMMYFUNCTION("""COMPUTED_VALUE"""),135.9)</f>
        <v>135.9</v>
      </c>
    </row>
    <row r="137" ht="15.75" customHeight="1">
      <c r="B137" s="3">
        <f>IFERROR(__xludf.DUMMYFUNCTION("""COMPUTED_VALUE"""),38541.645833333336)</f>
        <v>38541.64583</v>
      </c>
      <c r="C137" s="2">
        <f>IFERROR(__xludf.DUMMYFUNCTION("""COMPUTED_VALUE"""),130.77)</f>
        <v>130.77</v>
      </c>
    </row>
    <row r="138" ht="15.75" customHeight="1">
      <c r="B138" s="3">
        <f>IFERROR(__xludf.DUMMYFUNCTION("""COMPUTED_VALUE"""),38548.645833333336)</f>
        <v>38548.64583</v>
      </c>
      <c r="C138" s="2">
        <f>IFERROR(__xludf.DUMMYFUNCTION("""COMPUTED_VALUE"""),134.9)</f>
        <v>134.9</v>
      </c>
    </row>
    <row r="139" ht="15.75" customHeight="1">
      <c r="B139" s="3">
        <f>IFERROR(__xludf.DUMMYFUNCTION("""COMPUTED_VALUE"""),38555.645833333336)</f>
        <v>38555.64583</v>
      </c>
      <c r="C139" s="2">
        <f>IFERROR(__xludf.DUMMYFUNCTION("""COMPUTED_VALUE"""),139.21)</f>
        <v>139.21</v>
      </c>
    </row>
    <row r="140" ht="15.75" customHeight="1">
      <c r="B140" s="3">
        <f>IFERROR(__xludf.DUMMYFUNCTION("""COMPUTED_VALUE"""),38562.645833333336)</f>
        <v>38562.64583</v>
      </c>
      <c r="C140" s="2">
        <f>IFERROR(__xludf.DUMMYFUNCTION("""COMPUTED_VALUE"""),143.33)</f>
        <v>143.33</v>
      </c>
    </row>
    <row r="141" ht="15.75" customHeight="1">
      <c r="B141" s="3">
        <f>IFERROR(__xludf.DUMMYFUNCTION("""COMPUTED_VALUE"""),38569.645833333336)</f>
        <v>38569.64583</v>
      </c>
      <c r="C141" s="2">
        <f>IFERROR(__xludf.DUMMYFUNCTION("""COMPUTED_VALUE"""),153.0)</f>
        <v>153</v>
      </c>
    </row>
    <row r="142" ht="15.75" customHeight="1">
      <c r="B142" s="3">
        <f>IFERROR(__xludf.DUMMYFUNCTION("""COMPUTED_VALUE"""),38576.645833333336)</f>
        <v>38576.64583</v>
      </c>
      <c r="C142" s="2">
        <f>IFERROR(__xludf.DUMMYFUNCTION("""COMPUTED_VALUE"""),160.87)</f>
        <v>160.87</v>
      </c>
    </row>
    <row r="143" ht="15.75" customHeight="1">
      <c r="B143" s="3">
        <f>IFERROR(__xludf.DUMMYFUNCTION("""COMPUTED_VALUE"""),38583.645833333336)</f>
        <v>38583.64583</v>
      </c>
      <c r="C143" s="2">
        <f>IFERROR(__xludf.DUMMYFUNCTION("""COMPUTED_VALUE"""),151.0)</f>
        <v>151</v>
      </c>
    </row>
    <row r="144" ht="15.75" customHeight="1">
      <c r="B144" s="3">
        <f>IFERROR(__xludf.DUMMYFUNCTION("""COMPUTED_VALUE"""),38590.645833333336)</f>
        <v>38590.64583</v>
      </c>
      <c r="C144" s="2">
        <f>IFERROR(__xludf.DUMMYFUNCTION("""COMPUTED_VALUE"""),143.67)</f>
        <v>143.67</v>
      </c>
    </row>
    <row r="145" ht="15.75" customHeight="1">
      <c r="B145" s="3">
        <f>IFERROR(__xludf.DUMMYFUNCTION("""COMPUTED_VALUE"""),38597.645833333336)</f>
        <v>38597.64583</v>
      </c>
      <c r="C145" s="2">
        <f>IFERROR(__xludf.DUMMYFUNCTION("""COMPUTED_VALUE"""),147.5)</f>
        <v>147.5</v>
      </c>
    </row>
    <row r="146" ht="15.75" customHeight="1">
      <c r="B146" s="3">
        <f>IFERROR(__xludf.DUMMYFUNCTION("""COMPUTED_VALUE"""),38604.645833333336)</f>
        <v>38604.64583</v>
      </c>
      <c r="C146" s="2">
        <f>IFERROR(__xludf.DUMMYFUNCTION("""COMPUTED_VALUE"""),150.1)</f>
        <v>150.1</v>
      </c>
    </row>
    <row r="147" ht="15.75" customHeight="1">
      <c r="B147" s="3">
        <f>IFERROR(__xludf.DUMMYFUNCTION("""COMPUTED_VALUE"""),38611.645833333336)</f>
        <v>38611.64583</v>
      </c>
      <c r="C147" s="2">
        <f>IFERROR(__xludf.DUMMYFUNCTION("""COMPUTED_VALUE"""),154.6)</f>
        <v>154.6</v>
      </c>
    </row>
    <row r="148" ht="15.75" customHeight="1">
      <c r="B148" s="3">
        <f>IFERROR(__xludf.DUMMYFUNCTION("""COMPUTED_VALUE"""),38618.645833333336)</f>
        <v>38618.64583</v>
      </c>
      <c r="C148" s="2">
        <f>IFERROR(__xludf.DUMMYFUNCTION("""COMPUTED_VALUE"""),169.12)</f>
        <v>169.12</v>
      </c>
    </row>
    <row r="149" ht="15.75" customHeight="1">
      <c r="B149" s="3">
        <f>IFERROR(__xludf.DUMMYFUNCTION("""COMPUTED_VALUE"""),38625.645833333336)</f>
        <v>38625.64583</v>
      </c>
      <c r="C149" s="2">
        <f>IFERROR(__xludf.DUMMYFUNCTION("""COMPUTED_VALUE"""),163.77)</f>
        <v>163.77</v>
      </c>
    </row>
    <row r="150" ht="15.75" customHeight="1">
      <c r="B150" s="3">
        <f>IFERROR(__xludf.DUMMYFUNCTION("""COMPUTED_VALUE"""),38632.645833333336)</f>
        <v>38632.64583</v>
      </c>
      <c r="C150" s="2">
        <f>IFERROR(__xludf.DUMMYFUNCTION("""COMPUTED_VALUE"""),163.06)</f>
        <v>163.06</v>
      </c>
    </row>
    <row r="151" ht="15.75" customHeight="1">
      <c r="B151" s="3">
        <f>IFERROR(__xludf.DUMMYFUNCTION("""COMPUTED_VALUE"""),38639.645833333336)</f>
        <v>38639.64583</v>
      </c>
      <c r="C151" s="2">
        <f>IFERROR(__xludf.DUMMYFUNCTION("""COMPUTED_VALUE"""),159.64)</f>
        <v>159.64</v>
      </c>
    </row>
    <row r="152" ht="15.75" customHeight="1">
      <c r="B152" s="3">
        <f>IFERROR(__xludf.DUMMYFUNCTION("""COMPUTED_VALUE"""),38646.645833333336)</f>
        <v>38646.64583</v>
      </c>
      <c r="C152" s="2">
        <f>IFERROR(__xludf.DUMMYFUNCTION("""COMPUTED_VALUE"""),157.33)</f>
        <v>157.33</v>
      </c>
    </row>
    <row r="153" ht="15.75" customHeight="1">
      <c r="B153" s="3">
        <f>IFERROR(__xludf.DUMMYFUNCTION("""COMPUTED_VALUE"""),38653.645833333336)</f>
        <v>38653.64583</v>
      </c>
      <c r="C153" s="2">
        <f>IFERROR(__xludf.DUMMYFUNCTION("""COMPUTED_VALUE"""),156.92)</f>
        <v>156.92</v>
      </c>
    </row>
    <row r="154" ht="15.75" customHeight="1">
      <c r="B154" s="3">
        <f>IFERROR(__xludf.DUMMYFUNCTION("""COMPUTED_VALUE"""),38658.645833333336)</f>
        <v>38658.64583</v>
      </c>
      <c r="C154" s="2">
        <f>IFERROR(__xludf.DUMMYFUNCTION("""COMPUTED_VALUE"""),157.02)</f>
        <v>157.02</v>
      </c>
    </row>
    <row r="155" ht="15.75" customHeight="1">
      <c r="B155" s="3">
        <f>IFERROR(__xludf.DUMMYFUNCTION("""COMPUTED_VALUE"""),38667.645833333336)</f>
        <v>38667.64583</v>
      </c>
      <c r="C155" s="2">
        <f>IFERROR(__xludf.DUMMYFUNCTION("""COMPUTED_VALUE"""),161.92)</f>
        <v>161.92</v>
      </c>
    </row>
    <row r="156" ht="15.75" customHeight="1">
      <c r="B156" s="3">
        <f>IFERROR(__xludf.DUMMYFUNCTION("""COMPUTED_VALUE"""),38674.645833333336)</f>
        <v>38674.64583</v>
      </c>
      <c r="C156" s="2">
        <f>IFERROR(__xludf.DUMMYFUNCTION("""COMPUTED_VALUE"""),168.12)</f>
        <v>168.12</v>
      </c>
    </row>
    <row r="157" ht="15.75" customHeight="1">
      <c r="B157" s="3">
        <f>IFERROR(__xludf.DUMMYFUNCTION("""COMPUTED_VALUE"""),38688.645833333336)</f>
        <v>38688.64583</v>
      </c>
      <c r="C157" s="2">
        <f>IFERROR(__xludf.DUMMYFUNCTION("""COMPUTED_VALUE"""),174.33)</f>
        <v>174.33</v>
      </c>
    </row>
    <row r="158" ht="15.75" customHeight="1">
      <c r="B158" s="3">
        <f>IFERROR(__xludf.DUMMYFUNCTION("""COMPUTED_VALUE"""),38695.645833333336)</f>
        <v>38695.64583</v>
      </c>
      <c r="C158" s="2">
        <f>IFERROR(__xludf.DUMMYFUNCTION("""COMPUTED_VALUE"""),174.14)</f>
        <v>174.14</v>
      </c>
    </row>
    <row r="159" ht="15.75" customHeight="1">
      <c r="B159" s="3">
        <f>IFERROR(__xludf.DUMMYFUNCTION("""COMPUTED_VALUE"""),38702.645833333336)</f>
        <v>38702.64583</v>
      </c>
      <c r="C159" s="2">
        <f>IFERROR(__xludf.DUMMYFUNCTION("""COMPUTED_VALUE"""),176.07)</f>
        <v>176.07</v>
      </c>
    </row>
    <row r="160" ht="15.75" customHeight="1">
      <c r="B160" s="3">
        <f>IFERROR(__xludf.DUMMYFUNCTION("""COMPUTED_VALUE"""),38709.645833333336)</f>
        <v>38709.64583</v>
      </c>
      <c r="C160" s="2">
        <f>IFERROR(__xludf.DUMMYFUNCTION("""COMPUTED_VALUE"""),175.11)</f>
        <v>175.11</v>
      </c>
    </row>
    <row r="161" ht="15.75" customHeight="1">
      <c r="B161" s="3">
        <f>IFERROR(__xludf.DUMMYFUNCTION("""COMPUTED_VALUE"""),38716.645833333336)</f>
        <v>38716.64583</v>
      </c>
      <c r="C161" s="2">
        <f>IFERROR(__xludf.DUMMYFUNCTION("""COMPUTED_VALUE"""),181.37)</f>
        <v>181.37</v>
      </c>
    </row>
    <row r="162" ht="15.75" customHeight="1"/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IFERROR(__xludf.DUMMYFUNCTION("GOOGLEFINANCE(""NSE:RELIANCE"", ""high"",DATE(2006,1,1),DATE(2007,1,1),""weekly"")"),"Date")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IFERROR(__xludf.DUMMYFUNCTION("""COMPUTED_VALUE"""),38723.645833333336)</f>
        <v>38723.64583</v>
      </c>
      <c r="C167" s="2">
        <f>IFERROR(__xludf.DUMMYFUNCTION("""COMPUTED_VALUE"""),188.45)</f>
        <v>188.45</v>
      </c>
    </row>
    <row r="168" ht="15.75" customHeight="1">
      <c r="B168" s="3">
        <f>IFERROR(__xludf.DUMMYFUNCTION("""COMPUTED_VALUE"""),38730.645833333336)</f>
        <v>38730.64583</v>
      </c>
      <c r="C168" s="2">
        <f>IFERROR(__xludf.DUMMYFUNCTION("""COMPUTED_VALUE"""),186.34)</f>
        <v>186.34</v>
      </c>
    </row>
    <row r="169" ht="15.75" customHeight="1">
      <c r="B169" s="3">
        <f>IFERROR(__xludf.DUMMYFUNCTION("""COMPUTED_VALUE"""),38737.645833333336)</f>
        <v>38737.64583</v>
      </c>
      <c r="C169" s="2">
        <f>IFERROR(__xludf.DUMMYFUNCTION("""COMPUTED_VALUE"""),188.65)</f>
        <v>188.65</v>
      </c>
    </row>
    <row r="170" ht="15.75" customHeight="1">
      <c r="B170" s="3">
        <f>IFERROR(__xludf.DUMMYFUNCTION("""COMPUTED_VALUE"""),38744.645833333336)</f>
        <v>38744.64583</v>
      </c>
      <c r="C170" s="2">
        <f>IFERROR(__xludf.DUMMYFUNCTION("""COMPUTED_VALUE"""),176.82)</f>
        <v>176.82</v>
      </c>
    </row>
    <row r="171" ht="15.75" customHeight="1">
      <c r="B171" s="3">
        <f>IFERROR(__xludf.DUMMYFUNCTION("""COMPUTED_VALUE"""),38751.645833333336)</f>
        <v>38751.64583</v>
      </c>
      <c r="C171" s="2">
        <f>IFERROR(__xludf.DUMMYFUNCTION("""COMPUTED_VALUE"""),178.25)</f>
        <v>178.25</v>
      </c>
    </row>
    <row r="172" ht="15.75" customHeight="1">
      <c r="B172" s="3">
        <f>IFERROR(__xludf.DUMMYFUNCTION("""COMPUTED_VALUE"""),38758.645833333336)</f>
        <v>38758.64583</v>
      </c>
      <c r="C172" s="2">
        <f>IFERROR(__xludf.DUMMYFUNCTION("""COMPUTED_VALUE"""),179.18)</f>
        <v>179.18</v>
      </c>
    </row>
    <row r="173" ht="15.75" customHeight="1">
      <c r="B173" s="3">
        <f>IFERROR(__xludf.DUMMYFUNCTION("""COMPUTED_VALUE"""),38765.645833333336)</f>
        <v>38765.64583</v>
      </c>
      <c r="C173" s="2">
        <f>IFERROR(__xludf.DUMMYFUNCTION("""COMPUTED_VALUE"""),179.38)</f>
        <v>179.38</v>
      </c>
    </row>
    <row r="174" ht="15.75" customHeight="1">
      <c r="B174" s="3">
        <f>IFERROR(__xludf.DUMMYFUNCTION("""COMPUTED_VALUE"""),38772.645833333336)</f>
        <v>38772.64583</v>
      </c>
      <c r="C174" s="2">
        <f>IFERROR(__xludf.DUMMYFUNCTION("""COMPUTED_VALUE"""),175.18)</f>
        <v>175.18</v>
      </c>
    </row>
    <row r="175" ht="15.75" customHeight="1">
      <c r="B175" s="3">
        <f>IFERROR(__xludf.DUMMYFUNCTION("""COMPUTED_VALUE"""),38779.645833333336)</f>
        <v>38779.64583</v>
      </c>
      <c r="C175" s="2">
        <f>IFERROR(__xludf.DUMMYFUNCTION("""COMPUTED_VALUE"""),178.06)</f>
        <v>178.06</v>
      </c>
    </row>
    <row r="176" ht="15.75" customHeight="1">
      <c r="B176" s="3">
        <f>IFERROR(__xludf.DUMMYFUNCTION("""COMPUTED_VALUE"""),38786.645833333336)</f>
        <v>38786.64583</v>
      </c>
      <c r="C176" s="2">
        <f>IFERROR(__xludf.DUMMYFUNCTION("""COMPUTED_VALUE"""),183.26)</f>
        <v>183.26</v>
      </c>
    </row>
    <row r="177" ht="15.75" customHeight="1">
      <c r="B177" s="3">
        <f>IFERROR(__xludf.DUMMYFUNCTION("""COMPUTED_VALUE"""),38793.645833333336)</f>
        <v>38793.64583</v>
      </c>
      <c r="C177" s="2">
        <f>IFERROR(__xludf.DUMMYFUNCTION("""COMPUTED_VALUE"""),193.64)</f>
        <v>193.64</v>
      </c>
    </row>
    <row r="178" ht="15.75" customHeight="1">
      <c r="B178" s="3">
        <f>IFERROR(__xludf.DUMMYFUNCTION("""COMPUTED_VALUE"""),38800.645833333336)</f>
        <v>38800.64583</v>
      </c>
      <c r="C178" s="2">
        <f>IFERROR(__xludf.DUMMYFUNCTION("""COMPUTED_VALUE"""),196.88)</f>
        <v>196.88</v>
      </c>
    </row>
    <row r="179" ht="15.75" customHeight="1">
      <c r="B179" s="3">
        <f>IFERROR(__xludf.DUMMYFUNCTION("""COMPUTED_VALUE"""),38807.645833333336)</f>
        <v>38807.64583</v>
      </c>
      <c r="C179" s="2">
        <f>IFERROR(__xludf.DUMMYFUNCTION("""COMPUTED_VALUE"""),200.1)</f>
        <v>200.1</v>
      </c>
    </row>
    <row r="180" ht="15.75" customHeight="1">
      <c r="B180" s="3">
        <f>IFERROR(__xludf.DUMMYFUNCTION("""COMPUTED_VALUE"""),38814.645833333336)</f>
        <v>38814.64583</v>
      </c>
      <c r="C180" s="2">
        <f>IFERROR(__xludf.DUMMYFUNCTION("""COMPUTED_VALUE"""),209.58)</f>
        <v>209.58</v>
      </c>
    </row>
    <row r="181" ht="15.75" customHeight="1">
      <c r="B181" s="3">
        <f>IFERROR(__xludf.DUMMYFUNCTION("""COMPUTED_VALUE"""),38820.645833333336)</f>
        <v>38820.64583</v>
      </c>
      <c r="C181" s="2">
        <f>IFERROR(__xludf.DUMMYFUNCTION("""COMPUTED_VALUE"""),212.65)</f>
        <v>212.65</v>
      </c>
    </row>
    <row r="182" ht="15.75" customHeight="1">
      <c r="B182" s="3">
        <f>IFERROR(__xludf.DUMMYFUNCTION("""COMPUTED_VALUE"""),38828.645833333336)</f>
        <v>38828.64583</v>
      </c>
      <c r="C182" s="2">
        <f>IFERROR(__xludf.DUMMYFUNCTION("""COMPUTED_VALUE"""),249.62)</f>
        <v>249.62</v>
      </c>
    </row>
    <row r="183" ht="15.75" customHeight="1">
      <c r="B183" s="3">
        <f>IFERROR(__xludf.DUMMYFUNCTION("""COMPUTED_VALUE"""),38842.645833333336)</f>
        <v>38842.64583</v>
      </c>
      <c r="C183" s="2">
        <f>IFERROR(__xludf.DUMMYFUNCTION("""COMPUTED_VALUE"""),277.56)</f>
        <v>277.56</v>
      </c>
    </row>
    <row r="184" ht="15.75" customHeight="1">
      <c r="B184" s="3">
        <f>IFERROR(__xludf.DUMMYFUNCTION("""COMPUTED_VALUE"""),38849.645833333336)</f>
        <v>38849.64583</v>
      </c>
      <c r="C184" s="2">
        <f>IFERROR(__xludf.DUMMYFUNCTION("""COMPUTED_VALUE"""),293.31)</f>
        <v>293.31</v>
      </c>
    </row>
    <row r="185" ht="15.75" customHeight="1">
      <c r="B185" s="3">
        <f>IFERROR(__xludf.DUMMYFUNCTION("""COMPUTED_VALUE"""),38856.645833333336)</f>
        <v>38856.64583</v>
      </c>
      <c r="C185" s="2">
        <f>IFERROR(__xludf.DUMMYFUNCTION("""COMPUTED_VALUE"""),270.41)</f>
        <v>270.41</v>
      </c>
    </row>
    <row r="186" ht="15.75" customHeight="1">
      <c r="B186" s="3">
        <f>IFERROR(__xludf.DUMMYFUNCTION("""COMPUTED_VALUE"""),38863.645833333336)</f>
        <v>38863.64583</v>
      </c>
      <c r="C186" s="2">
        <f>IFERROR(__xludf.DUMMYFUNCTION("""COMPUTED_VALUE"""),247.4)</f>
        <v>247.4</v>
      </c>
    </row>
    <row r="187" ht="15.75" customHeight="1">
      <c r="B187" s="3">
        <f>IFERROR(__xludf.DUMMYFUNCTION("""COMPUTED_VALUE"""),38870.645833333336)</f>
        <v>38870.64583</v>
      </c>
      <c r="C187" s="2">
        <f>IFERROR(__xludf.DUMMYFUNCTION("""COMPUTED_VALUE"""),242.2)</f>
        <v>242.2</v>
      </c>
    </row>
    <row r="188" ht="15.75" customHeight="1">
      <c r="B188" s="3">
        <f>IFERROR(__xludf.DUMMYFUNCTION("""COMPUTED_VALUE"""),38877.645833333336)</f>
        <v>38877.64583</v>
      </c>
      <c r="C188" s="2">
        <f>IFERROR(__xludf.DUMMYFUNCTION("""COMPUTED_VALUE"""),240.39)</f>
        <v>240.39</v>
      </c>
    </row>
    <row r="189" ht="15.75" customHeight="1">
      <c r="B189" s="3">
        <f>IFERROR(__xludf.DUMMYFUNCTION("""COMPUTED_VALUE"""),38884.645833333336)</f>
        <v>38884.64583</v>
      </c>
      <c r="C189" s="2">
        <f>IFERROR(__xludf.DUMMYFUNCTION("""COMPUTED_VALUE"""),234.77)</f>
        <v>234.77</v>
      </c>
    </row>
    <row r="190" ht="15.75" customHeight="1">
      <c r="B190" s="3">
        <f>IFERROR(__xludf.DUMMYFUNCTION("""COMPUTED_VALUE"""),38891.645833333336)</f>
        <v>38891.64583</v>
      </c>
      <c r="C190" s="2">
        <f>IFERROR(__xludf.DUMMYFUNCTION("""COMPUTED_VALUE"""),251.73)</f>
        <v>251.73</v>
      </c>
    </row>
    <row r="191" ht="15.75" customHeight="1">
      <c r="B191" s="3">
        <f>IFERROR(__xludf.DUMMYFUNCTION("""COMPUTED_VALUE"""),38898.645833333336)</f>
        <v>38898.64583</v>
      </c>
      <c r="C191" s="2">
        <f>IFERROR(__xludf.DUMMYFUNCTION("""COMPUTED_VALUE"""),263.49)</f>
        <v>263.49</v>
      </c>
    </row>
    <row r="192" ht="15.75" customHeight="1">
      <c r="B192" s="3">
        <f>IFERROR(__xludf.DUMMYFUNCTION("""COMPUTED_VALUE"""),38905.645833333336)</f>
        <v>38905.64583</v>
      </c>
      <c r="C192" s="2">
        <f>IFERROR(__xludf.DUMMYFUNCTION("""COMPUTED_VALUE"""),272.16)</f>
        <v>272.16</v>
      </c>
    </row>
    <row r="193" ht="15.75" customHeight="1">
      <c r="B193" s="3">
        <f>IFERROR(__xludf.DUMMYFUNCTION("""COMPUTED_VALUE"""),38912.645833333336)</f>
        <v>38912.64583</v>
      </c>
      <c r="C193" s="2">
        <f>IFERROR(__xludf.DUMMYFUNCTION("""COMPUTED_VALUE"""),272.41)</f>
        <v>272.41</v>
      </c>
    </row>
    <row r="194" ht="15.75" customHeight="1">
      <c r="B194" s="3">
        <f>IFERROR(__xludf.DUMMYFUNCTION("""COMPUTED_VALUE"""),38919.645833333336)</f>
        <v>38919.64583</v>
      </c>
      <c r="C194" s="2">
        <f>IFERROR(__xludf.DUMMYFUNCTION("""COMPUTED_VALUE"""),264.58)</f>
        <v>264.58</v>
      </c>
    </row>
    <row r="195" ht="15.75" customHeight="1">
      <c r="B195" s="3">
        <f>IFERROR(__xludf.DUMMYFUNCTION("""COMPUTED_VALUE"""),38926.645833333336)</f>
        <v>38926.64583</v>
      </c>
      <c r="C195" s="2">
        <f>IFERROR(__xludf.DUMMYFUNCTION("""COMPUTED_VALUE"""),251.56)</f>
        <v>251.56</v>
      </c>
    </row>
    <row r="196" ht="15.75" customHeight="1">
      <c r="B196" s="3">
        <f>IFERROR(__xludf.DUMMYFUNCTION("""COMPUTED_VALUE"""),38933.645833333336)</f>
        <v>38933.64583</v>
      </c>
      <c r="C196" s="2">
        <f>IFERROR(__xludf.DUMMYFUNCTION("""COMPUTED_VALUE"""),249.62)</f>
        <v>249.62</v>
      </c>
    </row>
    <row r="197" ht="15.75" customHeight="1">
      <c r="B197" s="3">
        <f>IFERROR(__xludf.DUMMYFUNCTION("""COMPUTED_VALUE"""),38940.645833333336)</f>
        <v>38940.64583</v>
      </c>
      <c r="C197" s="2">
        <f>IFERROR(__xludf.DUMMYFUNCTION("""COMPUTED_VALUE"""),251.36)</f>
        <v>251.36</v>
      </c>
    </row>
    <row r="198" ht="15.75" customHeight="1">
      <c r="B198" s="3">
        <f>IFERROR(__xludf.DUMMYFUNCTION("""COMPUTED_VALUE"""),38947.645833333336)</f>
        <v>38947.64583</v>
      </c>
      <c r="C198" s="2">
        <f>IFERROR(__xludf.DUMMYFUNCTION("""COMPUTED_VALUE"""),267.08)</f>
        <v>267.08</v>
      </c>
    </row>
    <row r="199" ht="15.75" customHeight="1">
      <c r="B199" s="3">
        <f>IFERROR(__xludf.DUMMYFUNCTION("""COMPUTED_VALUE"""),38954.645833333336)</f>
        <v>38954.64583</v>
      </c>
      <c r="C199" s="2">
        <f>IFERROR(__xludf.DUMMYFUNCTION("""COMPUTED_VALUE"""),278.6)</f>
        <v>278.6</v>
      </c>
    </row>
    <row r="200" ht="15.75" customHeight="1">
      <c r="B200" s="3">
        <f>IFERROR(__xludf.DUMMYFUNCTION("""COMPUTED_VALUE"""),38961.645833333336)</f>
        <v>38961.64583</v>
      </c>
      <c r="C200" s="2">
        <f>IFERROR(__xludf.DUMMYFUNCTION("""COMPUTED_VALUE"""),282.29)</f>
        <v>282.29</v>
      </c>
    </row>
    <row r="201" ht="15.75" customHeight="1">
      <c r="B201" s="3">
        <f>IFERROR(__xludf.DUMMYFUNCTION("""COMPUTED_VALUE"""),38968.645833333336)</f>
        <v>38968.64583</v>
      </c>
      <c r="C201" s="2">
        <f>IFERROR(__xludf.DUMMYFUNCTION("""COMPUTED_VALUE"""),283.8)</f>
        <v>283.8</v>
      </c>
    </row>
    <row r="202" ht="15.75" customHeight="1">
      <c r="B202" s="3">
        <f>IFERROR(__xludf.DUMMYFUNCTION("""COMPUTED_VALUE"""),38975.645833333336)</f>
        <v>38975.64583</v>
      </c>
      <c r="C202" s="2">
        <f>IFERROR(__xludf.DUMMYFUNCTION("""COMPUTED_VALUE"""),283.3)</f>
        <v>283.3</v>
      </c>
    </row>
    <row r="203" ht="15.75" customHeight="1">
      <c r="B203" s="3">
        <f>IFERROR(__xludf.DUMMYFUNCTION("""COMPUTED_VALUE"""),38982.645833333336)</f>
        <v>38982.64583</v>
      </c>
      <c r="C203" s="2">
        <f>IFERROR(__xludf.DUMMYFUNCTION("""COMPUTED_VALUE"""),286.99)</f>
        <v>286.99</v>
      </c>
    </row>
    <row r="204" ht="15.75" customHeight="1">
      <c r="B204" s="3">
        <f>IFERROR(__xludf.DUMMYFUNCTION("""COMPUTED_VALUE"""),38989.645833333336)</f>
        <v>38989.64583</v>
      </c>
      <c r="C204" s="2">
        <f>IFERROR(__xludf.DUMMYFUNCTION("""COMPUTED_VALUE"""),296.38)</f>
        <v>296.38</v>
      </c>
    </row>
    <row r="205" ht="15.75" customHeight="1">
      <c r="B205" s="3">
        <f>IFERROR(__xludf.DUMMYFUNCTION("""COMPUTED_VALUE"""),38996.645833333336)</f>
        <v>38996.64583</v>
      </c>
      <c r="C205" s="2">
        <f>IFERROR(__xludf.DUMMYFUNCTION("""COMPUTED_VALUE"""),291.32)</f>
        <v>291.32</v>
      </c>
    </row>
    <row r="206" ht="15.75" customHeight="1">
      <c r="B206" s="3">
        <f>IFERROR(__xludf.DUMMYFUNCTION("""COMPUTED_VALUE"""),39003.645833333336)</f>
        <v>39003.64583</v>
      </c>
      <c r="C206" s="2">
        <f>IFERROR(__xludf.DUMMYFUNCTION("""COMPUTED_VALUE"""),296.17)</f>
        <v>296.17</v>
      </c>
    </row>
    <row r="207" ht="15.75" customHeight="1">
      <c r="B207" s="3">
        <f>IFERROR(__xludf.DUMMYFUNCTION("""COMPUTED_VALUE"""),39017.645833333336)</f>
        <v>39017.64583</v>
      </c>
      <c r="C207" s="2">
        <f>IFERROR(__xludf.DUMMYFUNCTION("""COMPUTED_VALUE"""),303.88)</f>
        <v>303.88</v>
      </c>
    </row>
    <row r="208" ht="15.75" customHeight="1">
      <c r="B208" s="3">
        <f>IFERROR(__xludf.DUMMYFUNCTION("""COMPUTED_VALUE"""),39024.645833333336)</f>
        <v>39024.64583</v>
      </c>
      <c r="C208" s="2">
        <f>IFERROR(__xludf.DUMMYFUNCTION("""COMPUTED_VALUE"""),321.69)</f>
        <v>321.69</v>
      </c>
    </row>
    <row r="209" ht="15.75" customHeight="1">
      <c r="B209" s="3">
        <f>IFERROR(__xludf.DUMMYFUNCTION("""COMPUTED_VALUE"""),39031.645833333336)</f>
        <v>39031.64583</v>
      </c>
      <c r="C209" s="2">
        <f>IFERROR(__xludf.DUMMYFUNCTION("""COMPUTED_VALUE"""),325.89)</f>
        <v>325.89</v>
      </c>
    </row>
    <row r="210" ht="15.75" customHeight="1">
      <c r="B210" s="3">
        <f>IFERROR(__xludf.DUMMYFUNCTION("""COMPUTED_VALUE"""),39038.645833333336)</f>
        <v>39038.64583</v>
      </c>
      <c r="C210" s="2">
        <f>IFERROR(__xludf.DUMMYFUNCTION("""COMPUTED_VALUE"""),320.95)</f>
        <v>320.95</v>
      </c>
    </row>
    <row r="211" ht="15.75" customHeight="1">
      <c r="B211" s="3">
        <f>IFERROR(__xludf.DUMMYFUNCTION("""COMPUTED_VALUE"""),39045.645833333336)</f>
        <v>39045.64583</v>
      </c>
      <c r="C211" s="2">
        <f>IFERROR(__xludf.DUMMYFUNCTION("""COMPUTED_VALUE"""),319.58)</f>
        <v>319.58</v>
      </c>
    </row>
    <row r="212" ht="15.75" customHeight="1">
      <c r="B212" s="3">
        <f>IFERROR(__xludf.DUMMYFUNCTION("""COMPUTED_VALUE"""),39052.645833333336)</f>
        <v>39052.64583</v>
      </c>
      <c r="C212" s="2">
        <f>IFERROR(__xludf.DUMMYFUNCTION("""COMPUTED_VALUE"""),314.43)</f>
        <v>314.43</v>
      </c>
    </row>
    <row r="213" ht="15.75" customHeight="1">
      <c r="B213" s="3">
        <f>IFERROR(__xludf.DUMMYFUNCTION("""COMPUTED_VALUE"""),39059.645833333336)</f>
        <v>39059.64583</v>
      </c>
      <c r="C213" s="2">
        <f>IFERROR(__xludf.DUMMYFUNCTION("""COMPUTED_VALUE"""),324.17)</f>
        <v>324.17</v>
      </c>
    </row>
    <row r="214" ht="15.75" customHeight="1">
      <c r="B214" s="3">
        <f>IFERROR(__xludf.DUMMYFUNCTION("""COMPUTED_VALUE"""),39066.645833333336)</f>
        <v>39066.64583</v>
      </c>
      <c r="C214" s="2">
        <f>IFERROR(__xludf.DUMMYFUNCTION("""COMPUTED_VALUE"""),316.98)</f>
        <v>316.98</v>
      </c>
    </row>
    <row r="215" ht="15.75" customHeight="1">
      <c r="B215" s="3">
        <f>IFERROR(__xludf.DUMMYFUNCTION("""COMPUTED_VALUE"""),39073.645833333336)</f>
        <v>39073.64583</v>
      </c>
      <c r="C215" s="2">
        <f>IFERROR(__xludf.DUMMYFUNCTION("""COMPUTED_VALUE"""),321.44)</f>
        <v>321.44</v>
      </c>
    </row>
    <row r="216" ht="15.75" customHeight="1">
      <c r="B216" s="3">
        <f>IFERROR(__xludf.DUMMYFUNCTION("""COMPUTED_VALUE"""),39080.645833333336)</f>
        <v>39080.64583</v>
      </c>
      <c r="C216" s="2">
        <f>IFERROR(__xludf.DUMMYFUNCTION("""COMPUTED_VALUE"""),322.68)</f>
        <v>322.68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IFERROR(__xludf.DUMMYFUNCTION("GOOGLEFINANCE(""NSE:RELIANCE"", ""high"",DATE(2007,1,1),DATE(2008,1,1),""weekly"")"),"Date")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IFERROR(__xludf.DUMMYFUNCTION("""COMPUTED_VALUE"""),39087.645833333336)</f>
        <v>39087.64583</v>
      </c>
      <c r="C222" s="2">
        <f>IFERROR(__xludf.DUMMYFUNCTION("""COMPUTED_VALUE"""),324.91)</f>
        <v>324.91</v>
      </c>
    </row>
    <row r="223" ht="15.75" customHeight="1">
      <c r="B223" s="3">
        <f>IFERROR(__xludf.DUMMYFUNCTION("""COMPUTED_VALUE"""),39094.645833333336)</f>
        <v>39094.64583</v>
      </c>
      <c r="C223" s="2">
        <f>IFERROR(__xludf.DUMMYFUNCTION("""COMPUTED_VALUE"""),333.08)</f>
        <v>333.08</v>
      </c>
    </row>
    <row r="224" ht="15.75" customHeight="1">
      <c r="B224" s="3">
        <f>IFERROR(__xludf.DUMMYFUNCTION("""COMPUTED_VALUE"""),39101.645833333336)</f>
        <v>39101.64583</v>
      </c>
      <c r="C224" s="2">
        <f>IFERROR(__xludf.DUMMYFUNCTION("""COMPUTED_VALUE"""),353.63)</f>
        <v>353.63</v>
      </c>
    </row>
    <row r="225" ht="15.75" customHeight="1">
      <c r="B225" s="3">
        <f>IFERROR(__xludf.DUMMYFUNCTION("""COMPUTED_VALUE"""),39107.645833333336)</f>
        <v>39107.64583</v>
      </c>
      <c r="C225" s="2">
        <f>IFERROR(__xludf.DUMMYFUNCTION("""COMPUTED_VALUE"""),345.45)</f>
        <v>345.45</v>
      </c>
    </row>
    <row r="226" ht="15.75" customHeight="1">
      <c r="B226" s="3">
        <f>IFERROR(__xludf.DUMMYFUNCTION("""COMPUTED_VALUE"""),39115.645833333336)</f>
        <v>39115.64583</v>
      </c>
      <c r="C226" s="2">
        <f>IFERROR(__xludf.DUMMYFUNCTION("""COMPUTED_VALUE"""),345.19)</f>
        <v>345.19</v>
      </c>
    </row>
    <row r="227" ht="15.75" customHeight="1">
      <c r="B227" s="3">
        <f>IFERROR(__xludf.DUMMYFUNCTION("""COMPUTED_VALUE"""),39122.645833333336)</f>
        <v>39122.64583</v>
      </c>
      <c r="C227" s="2">
        <f>IFERROR(__xludf.DUMMYFUNCTION("""COMPUTED_VALUE"""),348.68)</f>
        <v>348.68</v>
      </c>
    </row>
    <row r="228" ht="15.75" customHeight="1">
      <c r="B228" s="3">
        <f>IFERROR(__xludf.DUMMYFUNCTION("""COMPUTED_VALUE"""),39128.645833333336)</f>
        <v>39128.64583</v>
      </c>
      <c r="C228" s="2">
        <f>IFERROR(__xludf.DUMMYFUNCTION("""COMPUTED_VALUE"""),350.09)</f>
        <v>350.09</v>
      </c>
    </row>
    <row r="229" ht="15.75" customHeight="1">
      <c r="B229" s="3">
        <f>IFERROR(__xludf.DUMMYFUNCTION("""COMPUTED_VALUE"""),39136.645833333336)</f>
        <v>39136.64583</v>
      </c>
      <c r="C229" s="2">
        <f>IFERROR(__xludf.DUMMYFUNCTION("""COMPUTED_VALUE"""),357.7)</f>
        <v>357.7</v>
      </c>
    </row>
    <row r="230" ht="15.75" customHeight="1">
      <c r="B230" s="3">
        <f>IFERROR(__xludf.DUMMYFUNCTION("""COMPUTED_VALUE"""),39143.645833333336)</f>
        <v>39143.64583</v>
      </c>
      <c r="C230" s="2">
        <f>IFERROR(__xludf.DUMMYFUNCTION("""COMPUTED_VALUE"""),354.08)</f>
        <v>354.08</v>
      </c>
    </row>
    <row r="231" ht="15.75" customHeight="1">
      <c r="B231" s="3">
        <f>IFERROR(__xludf.DUMMYFUNCTION("""COMPUTED_VALUE"""),39150.645833333336)</f>
        <v>39150.64583</v>
      </c>
      <c r="C231" s="2">
        <f>IFERROR(__xludf.DUMMYFUNCTION("""COMPUTED_VALUE"""),334.27)</f>
        <v>334.27</v>
      </c>
    </row>
    <row r="232" ht="15.75" customHeight="1">
      <c r="B232" s="3">
        <f>IFERROR(__xludf.DUMMYFUNCTION("""COMPUTED_VALUE"""),39157.645833333336)</f>
        <v>39157.64583</v>
      </c>
      <c r="C232" s="2">
        <f>IFERROR(__xludf.DUMMYFUNCTION("""COMPUTED_VALUE"""),330.5)</f>
        <v>330.5</v>
      </c>
    </row>
    <row r="233" ht="15.75" customHeight="1">
      <c r="B233" s="3">
        <f>IFERROR(__xludf.DUMMYFUNCTION("""COMPUTED_VALUE"""),39164.645833333336)</f>
        <v>39164.64583</v>
      </c>
      <c r="C233" s="2">
        <f>IFERROR(__xludf.DUMMYFUNCTION("""COMPUTED_VALUE"""),342.69)</f>
        <v>342.69</v>
      </c>
    </row>
    <row r="234" ht="15.75" customHeight="1">
      <c r="B234" s="3">
        <f>IFERROR(__xludf.DUMMYFUNCTION("""COMPUTED_VALUE"""),39171.645833333336)</f>
        <v>39171.64583</v>
      </c>
      <c r="C234" s="2">
        <f>IFERROR(__xludf.DUMMYFUNCTION("""COMPUTED_VALUE"""),342.49)</f>
        <v>342.49</v>
      </c>
    </row>
    <row r="235" ht="15.75" customHeight="1">
      <c r="B235" s="3">
        <f>IFERROR(__xludf.DUMMYFUNCTION("""COMPUTED_VALUE"""),39177.645833333336)</f>
        <v>39177.64583</v>
      </c>
      <c r="C235" s="2">
        <f>IFERROR(__xludf.DUMMYFUNCTION("""COMPUTED_VALUE"""),339.01)</f>
        <v>339.01</v>
      </c>
    </row>
    <row r="236" ht="15.75" customHeight="1">
      <c r="B236" s="3">
        <f>IFERROR(__xludf.DUMMYFUNCTION("""COMPUTED_VALUE"""),39185.645833333336)</f>
        <v>39185.64583</v>
      </c>
      <c r="C236" s="2">
        <f>IFERROR(__xludf.DUMMYFUNCTION("""COMPUTED_VALUE"""),350.64)</f>
        <v>350.64</v>
      </c>
    </row>
    <row r="237" ht="15.75" customHeight="1">
      <c r="B237" s="3">
        <f>IFERROR(__xludf.DUMMYFUNCTION("""COMPUTED_VALUE"""),39192.645833333336)</f>
        <v>39192.64583</v>
      </c>
      <c r="C237" s="2">
        <f>IFERROR(__xludf.DUMMYFUNCTION("""COMPUTED_VALUE"""),382.61)</f>
        <v>382.61</v>
      </c>
    </row>
    <row r="238" ht="15.75" customHeight="1">
      <c r="B238" s="3">
        <f>IFERROR(__xludf.DUMMYFUNCTION("""COMPUTED_VALUE"""),39199.645833333336)</f>
        <v>39199.64583</v>
      </c>
      <c r="C238" s="2">
        <f>IFERROR(__xludf.DUMMYFUNCTION("""COMPUTED_VALUE"""),402.82)</f>
        <v>402.82</v>
      </c>
    </row>
    <row r="239" ht="15.75" customHeight="1">
      <c r="B239" s="3">
        <f>IFERROR(__xludf.DUMMYFUNCTION("""COMPUTED_VALUE"""),39206.645833333336)</f>
        <v>39206.64583</v>
      </c>
      <c r="C239" s="2">
        <f>IFERROR(__xludf.DUMMYFUNCTION("""COMPUTED_VALUE"""),405.14)</f>
        <v>405.14</v>
      </c>
    </row>
    <row r="240" ht="15.75" customHeight="1">
      <c r="B240" s="3">
        <f>IFERROR(__xludf.DUMMYFUNCTION("""COMPUTED_VALUE"""),39213.645833333336)</f>
        <v>39213.64583</v>
      </c>
      <c r="C240" s="2">
        <f>IFERROR(__xludf.DUMMYFUNCTION("""COMPUTED_VALUE"""),400.69)</f>
        <v>400.69</v>
      </c>
    </row>
    <row r="241" ht="15.75" customHeight="1">
      <c r="B241" s="3">
        <f>IFERROR(__xludf.DUMMYFUNCTION("""COMPUTED_VALUE"""),39220.645833333336)</f>
        <v>39220.64583</v>
      </c>
      <c r="C241" s="2">
        <f>IFERROR(__xludf.DUMMYFUNCTION("""COMPUTED_VALUE"""),422.48)</f>
        <v>422.48</v>
      </c>
    </row>
    <row r="242" ht="15.75" customHeight="1">
      <c r="B242" s="3">
        <f>IFERROR(__xludf.DUMMYFUNCTION("""COMPUTED_VALUE"""),39227.645833333336)</f>
        <v>39227.64583</v>
      </c>
      <c r="C242" s="2">
        <f>IFERROR(__xludf.DUMMYFUNCTION("""COMPUTED_VALUE"""),445.21)</f>
        <v>445.21</v>
      </c>
    </row>
    <row r="243" ht="15.75" customHeight="1">
      <c r="B243" s="3">
        <f>IFERROR(__xludf.DUMMYFUNCTION("""COMPUTED_VALUE"""),39234.645833333336)</f>
        <v>39234.64583</v>
      </c>
      <c r="C243" s="2">
        <f>IFERROR(__xludf.DUMMYFUNCTION("""COMPUTED_VALUE"""),440.81)</f>
        <v>440.81</v>
      </c>
    </row>
    <row r="244" ht="15.75" customHeight="1">
      <c r="B244" s="3">
        <f>IFERROR(__xludf.DUMMYFUNCTION("""COMPUTED_VALUE"""),39241.645833333336)</f>
        <v>39241.64583</v>
      </c>
      <c r="C244" s="2">
        <f>IFERROR(__xludf.DUMMYFUNCTION("""COMPUTED_VALUE"""),438.08)</f>
        <v>438.08</v>
      </c>
    </row>
    <row r="245" ht="15.75" customHeight="1">
      <c r="B245" s="3">
        <f>IFERROR(__xludf.DUMMYFUNCTION("""COMPUTED_VALUE"""),39248.645833333336)</f>
        <v>39248.64583</v>
      </c>
      <c r="C245" s="2">
        <f>IFERROR(__xludf.DUMMYFUNCTION("""COMPUTED_VALUE"""),445.76)</f>
        <v>445.76</v>
      </c>
    </row>
    <row r="246" ht="15.75" customHeight="1">
      <c r="B246" s="3">
        <f>IFERROR(__xludf.DUMMYFUNCTION("""COMPUTED_VALUE"""),39255.645833333336)</f>
        <v>39255.64583</v>
      </c>
      <c r="C246" s="2">
        <f>IFERROR(__xludf.DUMMYFUNCTION("""COMPUTED_VALUE"""),433.08)</f>
        <v>433.08</v>
      </c>
    </row>
    <row r="247" ht="15.75" customHeight="1">
      <c r="B247" s="3">
        <f>IFERROR(__xludf.DUMMYFUNCTION("""COMPUTED_VALUE"""),39262.645833333336)</f>
        <v>39262.64583</v>
      </c>
      <c r="C247" s="2">
        <f>IFERROR(__xludf.DUMMYFUNCTION("""COMPUTED_VALUE"""),425.95)</f>
        <v>425.95</v>
      </c>
    </row>
    <row r="248" ht="15.75" customHeight="1">
      <c r="B248" s="3">
        <f>IFERROR(__xludf.DUMMYFUNCTION("""COMPUTED_VALUE"""),39269.645833333336)</f>
        <v>39269.64583</v>
      </c>
      <c r="C248" s="2">
        <f>IFERROR(__xludf.DUMMYFUNCTION("""COMPUTED_VALUE"""),428.83)</f>
        <v>428.83</v>
      </c>
    </row>
    <row r="249" ht="15.75" customHeight="1">
      <c r="B249" s="3">
        <f>IFERROR(__xludf.DUMMYFUNCTION("""COMPUTED_VALUE"""),39276.645833333336)</f>
        <v>39276.64583</v>
      </c>
      <c r="C249" s="2">
        <f>IFERROR(__xludf.DUMMYFUNCTION("""COMPUTED_VALUE"""),443.46)</f>
        <v>443.46</v>
      </c>
    </row>
    <row r="250" ht="15.75" customHeight="1">
      <c r="B250" s="3">
        <f>IFERROR(__xludf.DUMMYFUNCTION("""COMPUTED_VALUE"""),39283.645833333336)</f>
        <v>39283.64583</v>
      </c>
      <c r="C250" s="2">
        <f>IFERROR(__xludf.DUMMYFUNCTION("""COMPUTED_VALUE"""),474.24)</f>
        <v>474.24</v>
      </c>
    </row>
    <row r="251" ht="15.75" customHeight="1">
      <c r="B251" s="3">
        <f>IFERROR(__xludf.DUMMYFUNCTION("""COMPUTED_VALUE"""),39290.645833333336)</f>
        <v>39290.64583</v>
      </c>
      <c r="C251" s="2">
        <f>IFERROR(__xludf.DUMMYFUNCTION("""COMPUTED_VALUE"""),482.53)</f>
        <v>482.53</v>
      </c>
    </row>
    <row r="252" ht="15.75" customHeight="1">
      <c r="B252" s="3">
        <f>IFERROR(__xludf.DUMMYFUNCTION("""COMPUTED_VALUE"""),39297.645833333336)</f>
        <v>39297.64583</v>
      </c>
      <c r="C252" s="2">
        <f>IFERROR(__xludf.DUMMYFUNCTION("""COMPUTED_VALUE"""),470.97)</f>
        <v>470.97</v>
      </c>
    </row>
    <row r="253" ht="15.75" customHeight="1">
      <c r="B253" s="3">
        <f>IFERROR(__xludf.DUMMYFUNCTION("""COMPUTED_VALUE"""),39304.645833333336)</f>
        <v>39304.64583</v>
      </c>
      <c r="C253" s="2">
        <f>IFERROR(__xludf.DUMMYFUNCTION("""COMPUTED_VALUE"""),473.62)</f>
        <v>473.62</v>
      </c>
    </row>
    <row r="254" ht="15.75" customHeight="1">
      <c r="B254" s="3">
        <f>IFERROR(__xludf.DUMMYFUNCTION("""COMPUTED_VALUE"""),39311.645833333336)</f>
        <v>39311.64583</v>
      </c>
      <c r="C254" s="2">
        <f>IFERROR(__xludf.DUMMYFUNCTION("""COMPUTED_VALUE"""),455.66)</f>
        <v>455.66</v>
      </c>
    </row>
    <row r="255" ht="15.75" customHeight="1">
      <c r="B255" s="3">
        <f>IFERROR(__xludf.DUMMYFUNCTION("""COMPUTED_VALUE"""),39318.645833333336)</f>
        <v>39318.64583</v>
      </c>
      <c r="C255" s="2">
        <f>IFERROR(__xludf.DUMMYFUNCTION("""COMPUTED_VALUE"""),456.9)</f>
        <v>456.9</v>
      </c>
    </row>
    <row r="256" ht="15.75" customHeight="1">
      <c r="B256" s="3">
        <f>IFERROR(__xludf.DUMMYFUNCTION("""COMPUTED_VALUE"""),39325.645833333336)</f>
        <v>39325.64583</v>
      </c>
      <c r="C256" s="2">
        <f>IFERROR(__xludf.DUMMYFUNCTION("""COMPUTED_VALUE"""),487.86)</f>
        <v>487.86</v>
      </c>
    </row>
    <row r="257" ht="15.75" customHeight="1">
      <c r="B257" s="3">
        <f>IFERROR(__xludf.DUMMYFUNCTION("""COMPUTED_VALUE"""),39332.645833333336)</f>
        <v>39332.64583</v>
      </c>
      <c r="C257" s="2">
        <f>IFERROR(__xludf.DUMMYFUNCTION("""COMPUTED_VALUE"""),493.8)</f>
        <v>493.8</v>
      </c>
    </row>
    <row r="258" ht="15.75" customHeight="1">
      <c r="B258" s="3">
        <f>IFERROR(__xludf.DUMMYFUNCTION("""COMPUTED_VALUE"""),39339.645833333336)</f>
        <v>39339.64583</v>
      </c>
      <c r="C258" s="2">
        <f>IFERROR(__xludf.DUMMYFUNCTION("""COMPUTED_VALUE"""),512.84)</f>
        <v>512.84</v>
      </c>
    </row>
    <row r="259" ht="15.75" customHeight="1">
      <c r="B259" s="3">
        <f>IFERROR(__xludf.DUMMYFUNCTION("""COMPUTED_VALUE"""),39346.645833333336)</f>
        <v>39346.64583</v>
      </c>
      <c r="C259" s="2">
        <f>IFERROR(__xludf.DUMMYFUNCTION("""COMPUTED_VALUE"""),569.33)</f>
        <v>569.33</v>
      </c>
    </row>
    <row r="260" ht="15.75" customHeight="1">
      <c r="B260" s="3">
        <f>IFERROR(__xludf.DUMMYFUNCTION("""COMPUTED_VALUE"""),39353.645833333336)</f>
        <v>39353.64583</v>
      </c>
      <c r="C260" s="2">
        <f>IFERROR(__xludf.DUMMYFUNCTION("""COMPUTED_VALUE"""),600.78)</f>
        <v>600.78</v>
      </c>
    </row>
    <row r="261" ht="15.75" customHeight="1">
      <c r="B261" s="3">
        <f>IFERROR(__xludf.DUMMYFUNCTION("""COMPUTED_VALUE"""),39360.645833333336)</f>
        <v>39360.64583</v>
      </c>
      <c r="C261" s="2">
        <f>IFERROR(__xludf.DUMMYFUNCTION("""COMPUTED_VALUE"""),622.82)</f>
        <v>622.82</v>
      </c>
    </row>
    <row r="262" ht="15.75" customHeight="1">
      <c r="B262" s="3">
        <f>IFERROR(__xludf.DUMMYFUNCTION("""COMPUTED_VALUE"""),39367.645833333336)</f>
        <v>39367.64583</v>
      </c>
      <c r="C262" s="2">
        <f>IFERROR(__xludf.DUMMYFUNCTION("""COMPUTED_VALUE"""),674.75)</f>
        <v>674.75</v>
      </c>
    </row>
    <row r="263" ht="15.75" customHeight="1">
      <c r="B263" s="3">
        <f>IFERROR(__xludf.DUMMYFUNCTION("""COMPUTED_VALUE"""),39374.645833333336)</f>
        <v>39374.64583</v>
      </c>
      <c r="C263" s="2">
        <f>IFERROR(__xludf.DUMMYFUNCTION("""COMPUTED_VALUE"""),740.21)</f>
        <v>740.21</v>
      </c>
    </row>
    <row r="264" ht="15.75" customHeight="1">
      <c r="B264" s="3">
        <f>IFERROR(__xludf.DUMMYFUNCTION("""COMPUTED_VALUE"""),39381.645833333336)</f>
        <v>39381.64583</v>
      </c>
      <c r="C264" s="2">
        <f>IFERROR(__xludf.DUMMYFUNCTION("""COMPUTED_VALUE"""),672.05)</f>
        <v>672.05</v>
      </c>
    </row>
    <row r="265" ht="15.75" customHeight="1">
      <c r="B265" s="3">
        <f>IFERROR(__xludf.DUMMYFUNCTION("""COMPUTED_VALUE"""),39388.645833333336)</f>
        <v>39388.64583</v>
      </c>
      <c r="C265" s="2">
        <f>IFERROR(__xludf.DUMMYFUNCTION("""COMPUTED_VALUE"""),706.89)</f>
        <v>706.89</v>
      </c>
    </row>
    <row r="266" ht="15.75" customHeight="1">
      <c r="B266" s="3">
        <f>IFERROR(__xludf.DUMMYFUNCTION("""COMPUTED_VALUE"""),39402.645833333336)</f>
        <v>39402.64583</v>
      </c>
      <c r="C266" s="2">
        <f>IFERROR(__xludf.DUMMYFUNCTION("""COMPUTED_VALUE"""),725.1)</f>
        <v>725.1</v>
      </c>
    </row>
    <row r="267" ht="15.75" customHeight="1">
      <c r="B267" s="3">
        <f>IFERROR(__xludf.DUMMYFUNCTION("""COMPUTED_VALUE"""),39409.645833333336)</f>
        <v>39409.64583</v>
      </c>
      <c r="C267" s="2">
        <f>IFERROR(__xludf.DUMMYFUNCTION("""COMPUTED_VALUE"""),719.65)</f>
        <v>719.65</v>
      </c>
    </row>
    <row r="268" ht="15.75" customHeight="1">
      <c r="B268" s="3">
        <f>IFERROR(__xludf.DUMMYFUNCTION("""COMPUTED_VALUE"""),39416.645833333336)</f>
        <v>39416.64583</v>
      </c>
      <c r="C268" s="2">
        <f>IFERROR(__xludf.DUMMYFUNCTION("""COMPUTED_VALUE"""),719.08)</f>
        <v>719.08</v>
      </c>
    </row>
    <row r="269" ht="15.75" customHeight="1">
      <c r="B269" s="3">
        <f>IFERROR(__xludf.DUMMYFUNCTION("""COMPUTED_VALUE"""),39423.645833333336)</f>
        <v>39423.64583</v>
      </c>
      <c r="C269" s="2">
        <f>IFERROR(__xludf.DUMMYFUNCTION("""COMPUTED_VALUE"""),739.96)</f>
        <v>739.96</v>
      </c>
    </row>
    <row r="270" ht="15.75" customHeight="1">
      <c r="B270" s="3">
        <f>IFERROR(__xludf.DUMMYFUNCTION("""COMPUTED_VALUE"""),39430.645833333336)</f>
        <v>39430.64583</v>
      </c>
      <c r="C270" s="2">
        <f>IFERROR(__xludf.DUMMYFUNCTION("""COMPUTED_VALUE"""),724.15)</f>
        <v>724.15</v>
      </c>
    </row>
    <row r="271" ht="15.75" customHeight="1">
      <c r="B271" s="3">
        <f>IFERROR(__xludf.DUMMYFUNCTION("""COMPUTED_VALUE"""),39436.645833333336)</f>
        <v>39436.64583</v>
      </c>
      <c r="C271" s="2">
        <f>IFERROR(__xludf.DUMMYFUNCTION("""COMPUTED_VALUE"""),715.19)</f>
        <v>715.19</v>
      </c>
    </row>
    <row r="272" ht="15.75" customHeight="1">
      <c r="B272" s="3">
        <f>IFERROR(__xludf.DUMMYFUNCTION("""COMPUTED_VALUE"""),39444.645833333336)</f>
        <v>39444.64583</v>
      </c>
      <c r="C272" s="2">
        <f>IFERROR(__xludf.DUMMYFUNCTION("""COMPUTED_VALUE"""),725.6)</f>
        <v>725.6</v>
      </c>
    </row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IFERROR(__xludf.DUMMYFUNCTION("GOOGLEFINANCE(""NSE:RELIANCE"", ""high"",DATE(2008,1,1),DATE(2009,1,1),""weekly"")"),"Date")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IFERROR(__xludf.DUMMYFUNCTION("""COMPUTED_VALUE"""),39451.645833333336)</f>
        <v>39451.64583</v>
      </c>
      <c r="C277" s="2">
        <f>IFERROR(__xludf.DUMMYFUNCTION("""COMPUTED_VALUE"""),747.83)</f>
        <v>747.83</v>
      </c>
    </row>
    <row r="278" ht="15.75" customHeight="1">
      <c r="B278" s="3">
        <f>IFERROR(__xludf.DUMMYFUNCTION("""COMPUTED_VALUE"""),39458.645833333336)</f>
        <v>39458.64583</v>
      </c>
      <c r="C278" s="2">
        <f>IFERROR(__xludf.DUMMYFUNCTION("""COMPUTED_VALUE"""),777.6)</f>
        <v>777.6</v>
      </c>
    </row>
    <row r="279" ht="15.75" customHeight="1">
      <c r="B279" s="3">
        <f>IFERROR(__xludf.DUMMYFUNCTION("""COMPUTED_VALUE"""),39465.645833333336)</f>
        <v>39465.64583</v>
      </c>
      <c r="C279" s="2">
        <f>IFERROR(__xludf.DUMMYFUNCTION("""COMPUTED_VALUE"""),816.73)</f>
        <v>816.73</v>
      </c>
    </row>
    <row r="280" ht="15.75" customHeight="1">
      <c r="B280" s="3">
        <f>IFERROR(__xludf.DUMMYFUNCTION("""COMPUTED_VALUE"""),39472.645833333336)</f>
        <v>39472.64583</v>
      </c>
      <c r="C280" s="2">
        <f>IFERROR(__xludf.DUMMYFUNCTION("""COMPUTED_VALUE"""),699.59)</f>
        <v>699.59</v>
      </c>
    </row>
    <row r="281" ht="15.75" customHeight="1">
      <c r="B281" s="3">
        <f>IFERROR(__xludf.DUMMYFUNCTION("""COMPUTED_VALUE"""),39479.645833333336)</f>
        <v>39479.64583</v>
      </c>
      <c r="C281" s="2">
        <f>IFERROR(__xludf.DUMMYFUNCTION("""COMPUTED_VALUE"""),655.02)</f>
        <v>655.02</v>
      </c>
    </row>
    <row r="282" ht="15.75" customHeight="1">
      <c r="B282" s="3">
        <f>IFERROR(__xludf.DUMMYFUNCTION("""COMPUTED_VALUE"""),39486.645833333336)</f>
        <v>39486.64583</v>
      </c>
      <c r="C282" s="2">
        <f>IFERROR(__xludf.DUMMYFUNCTION("""COMPUTED_VALUE"""),654.27)</f>
        <v>654.27</v>
      </c>
    </row>
    <row r="283" ht="15.75" customHeight="1">
      <c r="B283" s="3">
        <f>IFERROR(__xludf.DUMMYFUNCTION("""COMPUTED_VALUE"""),39493.645833333336)</f>
        <v>39493.64583</v>
      </c>
      <c r="C283" s="2">
        <f>IFERROR(__xludf.DUMMYFUNCTION("""COMPUTED_VALUE"""),643.87)</f>
        <v>643.87</v>
      </c>
    </row>
    <row r="284" ht="15.75" customHeight="1">
      <c r="B284" s="3">
        <f>IFERROR(__xludf.DUMMYFUNCTION("""COMPUTED_VALUE"""),39500.645833333336)</f>
        <v>39500.64583</v>
      </c>
      <c r="C284" s="2">
        <f>IFERROR(__xludf.DUMMYFUNCTION("""COMPUTED_VALUE"""),648.33)</f>
        <v>648.33</v>
      </c>
    </row>
    <row r="285" ht="15.75" customHeight="1">
      <c r="B285" s="3">
        <f>IFERROR(__xludf.DUMMYFUNCTION("""COMPUTED_VALUE"""),39507.645833333336)</f>
        <v>39507.64583</v>
      </c>
      <c r="C285" s="2">
        <f>IFERROR(__xludf.DUMMYFUNCTION("""COMPUTED_VALUE"""),653.28)</f>
        <v>653.28</v>
      </c>
    </row>
    <row r="286" ht="15.75" customHeight="1">
      <c r="B286" s="3">
        <f>IFERROR(__xludf.DUMMYFUNCTION("""COMPUTED_VALUE"""),39514.645833333336)</f>
        <v>39514.64583</v>
      </c>
      <c r="C286" s="2">
        <f>IFERROR(__xludf.DUMMYFUNCTION("""COMPUTED_VALUE"""),594.29)</f>
        <v>594.29</v>
      </c>
    </row>
    <row r="287" ht="15.75" customHeight="1">
      <c r="B287" s="3">
        <f>IFERROR(__xludf.DUMMYFUNCTION("""COMPUTED_VALUE"""),39521.645833333336)</f>
        <v>39521.64583</v>
      </c>
      <c r="C287" s="2">
        <f>IFERROR(__xludf.DUMMYFUNCTION("""COMPUTED_VALUE"""),601.38)</f>
        <v>601.38</v>
      </c>
    </row>
    <row r="288" ht="15.75" customHeight="1">
      <c r="B288" s="3">
        <f>IFERROR(__xludf.DUMMYFUNCTION("""COMPUTED_VALUE"""),39526.645833333336)</f>
        <v>39526.64583</v>
      </c>
      <c r="C288" s="2">
        <f>IFERROR(__xludf.DUMMYFUNCTION("""COMPUTED_VALUE"""),580.72)</f>
        <v>580.72</v>
      </c>
    </row>
    <row r="289" ht="15.75" customHeight="1">
      <c r="B289" s="3">
        <f>IFERROR(__xludf.DUMMYFUNCTION("""COMPUTED_VALUE"""),39535.645833333336)</f>
        <v>39535.64583</v>
      </c>
      <c r="C289" s="2">
        <f>IFERROR(__xludf.DUMMYFUNCTION("""COMPUTED_VALUE"""),586.39)</f>
        <v>586.39</v>
      </c>
    </row>
    <row r="290" ht="15.75" customHeight="1">
      <c r="B290" s="3">
        <f>IFERROR(__xludf.DUMMYFUNCTION("""COMPUTED_VALUE"""),39542.645833333336)</f>
        <v>39542.64583</v>
      </c>
      <c r="C290" s="2">
        <f>IFERROR(__xludf.DUMMYFUNCTION("""COMPUTED_VALUE"""),607.42)</f>
        <v>607.42</v>
      </c>
    </row>
    <row r="291" ht="15.75" customHeight="1">
      <c r="B291" s="3">
        <f>IFERROR(__xludf.DUMMYFUNCTION("""COMPUTED_VALUE"""),39549.645833333336)</f>
        <v>39549.64583</v>
      </c>
      <c r="C291" s="2">
        <f>IFERROR(__xludf.DUMMYFUNCTION("""COMPUTED_VALUE"""),635.7)</f>
        <v>635.7</v>
      </c>
    </row>
    <row r="292" ht="15.75" customHeight="1">
      <c r="B292" s="3">
        <f>IFERROR(__xludf.DUMMYFUNCTION("""COMPUTED_VALUE"""),39555.645833333336)</f>
        <v>39555.64583</v>
      </c>
      <c r="C292" s="2">
        <f>IFERROR(__xludf.DUMMYFUNCTION("""COMPUTED_VALUE"""),673.09)</f>
        <v>673.09</v>
      </c>
    </row>
    <row r="293" ht="15.75" customHeight="1">
      <c r="B293" s="3">
        <f>IFERROR(__xludf.DUMMYFUNCTION("""COMPUTED_VALUE"""),39563.645833333336)</f>
        <v>39563.64583</v>
      </c>
      <c r="C293" s="2">
        <f>IFERROR(__xludf.DUMMYFUNCTION("""COMPUTED_VALUE"""),663.68)</f>
        <v>663.68</v>
      </c>
    </row>
    <row r="294" ht="15.75" customHeight="1">
      <c r="B294" s="3">
        <f>IFERROR(__xludf.DUMMYFUNCTION("""COMPUTED_VALUE"""),39570.645833333336)</f>
        <v>39570.64583</v>
      </c>
      <c r="C294" s="2">
        <f>IFERROR(__xludf.DUMMYFUNCTION("""COMPUTED_VALUE"""),749.37)</f>
        <v>749.37</v>
      </c>
    </row>
    <row r="295" ht="15.75" customHeight="1">
      <c r="B295" s="3">
        <f>IFERROR(__xludf.DUMMYFUNCTION("""COMPUTED_VALUE"""),39577.645833333336)</f>
        <v>39577.64583</v>
      </c>
      <c r="C295" s="2">
        <f>IFERROR(__xludf.DUMMYFUNCTION("""COMPUTED_VALUE"""),670.87)</f>
        <v>670.87</v>
      </c>
    </row>
    <row r="296" ht="15.75" customHeight="1">
      <c r="B296" s="3">
        <f>IFERROR(__xludf.DUMMYFUNCTION("""COMPUTED_VALUE"""),39584.645833333336)</f>
        <v>39584.64583</v>
      </c>
      <c r="C296" s="2">
        <f>IFERROR(__xludf.DUMMYFUNCTION("""COMPUTED_VALUE"""),655.76)</f>
        <v>655.76</v>
      </c>
    </row>
    <row r="297" ht="15.75" customHeight="1">
      <c r="B297" s="3">
        <f>IFERROR(__xludf.DUMMYFUNCTION("""COMPUTED_VALUE"""),39591.645833333336)</f>
        <v>39591.64583</v>
      </c>
      <c r="C297" s="2">
        <f>IFERROR(__xludf.DUMMYFUNCTION("""COMPUTED_VALUE"""),662.45)</f>
        <v>662.45</v>
      </c>
    </row>
    <row r="298" ht="15.75" customHeight="1">
      <c r="B298" s="3">
        <f>IFERROR(__xludf.DUMMYFUNCTION("""COMPUTED_VALUE"""),39598.645833333336)</f>
        <v>39598.64583</v>
      </c>
      <c r="C298" s="2">
        <f>IFERROR(__xludf.DUMMYFUNCTION("""COMPUTED_VALUE"""),641.35)</f>
        <v>641.35</v>
      </c>
    </row>
    <row r="299" ht="15.75" customHeight="1">
      <c r="B299" s="3">
        <f>IFERROR(__xludf.DUMMYFUNCTION("""COMPUTED_VALUE"""),39605.645833333336)</f>
        <v>39605.64583</v>
      </c>
      <c r="C299" s="2">
        <f>IFERROR(__xludf.DUMMYFUNCTION("""COMPUTED_VALUE"""),605.24)</f>
        <v>605.24</v>
      </c>
    </row>
    <row r="300" ht="15.75" customHeight="1">
      <c r="B300" s="3">
        <f>IFERROR(__xludf.DUMMYFUNCTION("""COMPUTED_VALUE"""),39612.645833333336)</f>
        <v>39612.64583</v>
      </c>
      <c r="C300" s="2">
        <f>IFERROR(__xludf.DUMMYFUNCTION("""COMPUTED_VALUE"""),569.56)</f>
        <v>569.56</v>
      </c>
    </row>
    <row r="301" ht="15.75" customHeight="1">
      <c r="B301" s="3">
        <f>IFERROR(__xludf.DUMMYFUNCTION("""COMPUTED_VALUE"""),39619.645833333336)</f>
        <v>39619.64583</v>
      </c>
      <c r="C301" s="2">
        <f>IFERROR(__xludf.DUMMYFUNCTION("""COMPUTED_VALUE"""),581.96)</f>
        <v>581.96</v>
      </c>
    </row>
    <row r="302" ht="15.75" customHeight="1">
      <c r="B302" s="3">
        <f>IFERROR(__xludf.DUMMYFUNCTION("""COMPUTED_VALUE"""),39626.645833333336)</f>
        <v>39626.64583</v>
      </c>
      <c r="C302" s="2">
        <f>IFERROR(__xludf.DUMMYFUNCTION("""COMPUTED_VALUE"""),559.65)</f>
        <v>559.65</v>
      </c>
    </row>
    <row r="303" ht="15.75" customHeight="1">
      <c r="B303" s="3">
        <f>IFERROR(__xludf.DUMMYFUNCTION("""COMPUTED_VALUE"""),39633.645833333336)</f>
        <v>39633.64583</v>
      </c>
      <c r="C303" s="2">
        <f>IFERROR(__xludf.DUMMYFUNCTION("""COMPUTED_VALUE"""),549.0)</f>
        <v>549</v>
      </c>
    </row>
    <row r="304" ht="15.75" customHeight="1">
      <c r="B304" s="3">
        <f>IFERROR(__xludf.DUMMYFUNCTION("""COMPUTED_VALUE"""),39640.645833333336)</f>
        <v>39640.64583</v>
      </c>
      <c r="C304" s="2">
        <f>IFERROR(__xludf.DUMMYFUNCTION("""COMPUTED_VALUE"""),525.0)</f>
        <v>525</v>
      </c>
    </row>
    <row r="305" ht="15.75" customHeight="1">
      <c r="B305" s="3">
        <f>IFERROR(__xludf.DUMMYFUNCTION("""COMPUTED_VALUE"""),39647.645833333336)</f>
        <v>39647.64583</v>
      </c>
      <c r="C305" s="2">
        <f>IFERROR(__xludf.DUMMYFUNCTION("""COMPUTED_VALUE"""),526.74)</f>
        <v>526.74</v>
      </c>
    </row>
    <row r="306" ht="15.75" customHeight="1">
      <c r="B306" s="3">
        <f>IFERROR(__xludf.DUMMYFUNCTION("""COMPUTED_VALUE"""),39654.645833333336)</f>
        <v>39654.64583</v>
      </c>
      <c r="C306" s="2">
        <f>IFERROR(__xludf.DUMMYFUNCTION("""COMPUTED_VALUE"""),579.1)</f>
        <v>579.1</v>
      </c>
    </row>
    <row r="307" ht="15.75" customHeight="1">
      <c r="B307" s="3">
        <f>IFERROR(__xludf.DUMMYFUNCTION("""COMPUTED_VALUE"""),39661.645833333336)</f>
        <v>39661.64583</v>
      </c>
      <c r="C307" s="2">
        <f>IFERROR(__xludf.DUMMYFUNCTION("""COMPUTED_VALUE"""),572.8)</f>
        <v>572.8</v>
      </c>
    </row>
    <row r="308" ht="15.75" customHeight="1">
      <c r="B308" s="3">
        <f>IFERROR(__xludf.DUMMYFUNCTION("""COMPUTED_VALUE"""),39668.645833333336)</f>
        <v>39668.64583</v>
      </c>
      <c r="C308" s="2">
        <f>IFERROR(__xludf.DUMMYFUNCTION("""COMPUTED_VALUE"""),581.91)</f>
        <v>581.91</v>
      </c>
    </row>
    <row r="309" ht="15.75" customHeight="1">
      <c r="B309" s="3">
        <f>IFERROR(__xludf.DUMMYFUNCTION("""COMPUTED_VALUE"""),39674.645833333336)</f>
        <v>39674.64583</v>
      </c>
      <c r="C309" s="2">
        <f>IFERROR(__xludf.DUMMYFUNCTION("""COMPUTED_VALUE"""),588.4)</f>
        <v>588.4</v>
      </c>
    </row>
    <row r="310" ht="15.75" customHeight="1">
      <c r="B310" s="3">
        <f>IFERROR(__xludf.DUMMYFUNCTION("""COMPUTED_VALUE"""),39682.645833333336)</f>
        <v>39682.64583</v>
      </c>
      <c r="C310" s="2">
        <f>IFERROR(__xludf.DUMMYFUNCTION("""COMPUTED_VALUE"""),567.1)</f>
        <v>567.1</v>
      </c>
    </row>
    <row r="311" ht="15.75" customHeight="1">
      <c r="B311" s="3">
        <f>IFERROR(__xludf.DUMMYFUNCTION("""COMPUTED_VALUE"""),39689.645833333336)</f>
        <v>39689.64583</v>
      </c>
      <c r="C311" s="2">
        <f>IFERROR(__xludf.DUMMYFUNCTION("""COMPUTED_VALUE"""),565.87)</f>
        <v>565.87</v>
      </c>
    </row>
    <row r="312" ht="15.75" customHeight="1">
      <c r="B312" s="3">
        <f>IFERROR(__xludf.DUMMYFUNCTION("""COMPUTED_VALUE"""),39696.645833333336)</f>
        <v>39696.64583</v>
      </c>
      <c r="C312" s="2">
        <f>IFERROR(__xludf.DUMMYFUNCTION("""COMPUTED_VALUE"""),557.2)</f>
        <v>557.2</v>
      </c>
    </row>
    <row r="313" ht="15.75" customHeight="1">
      <c r="B313" s="3">
        <f>IFERROR(__xludf.DUMMYFUNCTION("""COMPUTED_VALUE"""),39703.645833333336)</f>
        <v>39703.64583</v>
      </c>
      <c r="C313" s="2">
        <f>IFERROR(__xludf.DUMMYFUNCTION("""COMPUTED_VALUE"""),542.34)</f>
        <v>542.34</v>
      </c>
    </row>
    <row r="314" ht="15.75" customHeight="1">
      <c r="B314" s="3">
        <f>IFERROR(__xludf.DUMMYFUNCTION("""COMPUTED_VALUE"""),39710.645833333336)</f>
        <v>39710.64583</v>
      </c>
      <c r="C314" s="2">
        <f>IFERROR(__xludf.DUMMYFUNCTION("""COMPUTED_VALUE"""),513.1)</f>
        <v>513.1</v>
      </c>
    </row>
    <row r="315" ht="15.75" customHeight="1">
      <c r="B315" s="3">
        <f>IFERROR(__xludf.DUMMYFUNCTION("""COMPUTED_VALUE"""),39717.645833333336)</f>
        <v>39717.64583</v>
      </c>
      <c r="C315" s="2">
        <f>IFERROR(__xludf.DUMMYFUNCTION("""COMPUTED_VALUE"""),522.53)</f>
        <v>522.53</v>
      </c>
    </row>
    <row r="316" ht="15.75" customHeight="1">
      <c r="B316" s="3">
        <f>IFERROR(__xludf.DUMMYFUNCTION("""COMPUTED_VALUE"""),39724.645833333336)</f>
        <v>39724.64583</v>
      </c>
      <c r="C316" s="2">
        <f>IFERROR(__xludf.DUMMYFUNCTION("""COMPUTED_VALUE"""),491.57)</f>
        <v>491.57</v>
      </c>
    </row>
    <row r="317" ht="15.75" customHeight="1">
      <c r="B317" s="3">
        <f>IFERROR(__xludf.DUMMYFUNCTION("""COMPUTED_VALUE"""),39731.645833333336)</f>
        <v>39731.64583</v>
      </c>
      <c r="C317" s="2">
        <f>IFERROR(__xludf.DUMMYFUNCTION("""COMPUTED_VALUE"""),433.13)</f>
        <v>433.13</v>
      </c>
    </row>
    <row r="318" ht="15.75" customHeight="1">
      <c r="B318" s="3">
        <f>IFERROR(__xludf.DUMMYFUNCTION("""COMPUTED_VALUE"""),39738.645833333336)</f>
        <v>39738.64583</v>
      </c>
      <c r="C318" s="2">
        <f>IFERROR(__xludf.DUMMYFUNCTION("""COMPUTED_VALUE"""),413.07)</f>
        <v>413.07</v>
      </c>
    </row>
    <row r="319" ht="15.75" customHeight="1">
      <c r="B319" s="3">
        <f>IFERROR(__xludf.DUMMYFUNCTION("""COMPUTED_VALUE"""),39745.645833333336)</f>
        <v>39745.64583</v>
      </c>
      <c r="C319" s="2">
        <f>IFERROR(__xludf.DUMMYFUNCTION("""COMPUTED_VALUE"""),352.89)</f>
        <v>352.89</v>
      </c>
    </row>
    <row r="320" ht="15.75" customHeight="1">
      <c r="B320" s="3">
        <f>IFERROR(__xludf.DUMMYFUNCTION("""COMPUTED_VALUE"""),39752.645833333336)</f>
        <v>39752.64583</v>
      </c>
      <c r="C320" s="2">
        <f>IFERROR(__xludf.DUMMYFUNCTION("""COMPUTED_VALUE"""),345.45)</f>
        <v>345.45</v>
      </c>
    </row>
    <row r="321" ht="15.75" customHeight="1">
      <c r="B321" s="3">
        <f>IFERROR(__xludf.DUMMYFUNCTION("""COMPUTED_VALUE"""),39759.645833333336)</f>
        <v>39759.64583</v>
      </c>
      <c r="C321" s="2">
        <f>IFERROR(__xludf.DUMMYFUNCTION("""COMPUTED_VALUE"""),372.75)</f>
        <v>372.75</v>
      </c>
    </row>
    <row r="322" ht="15.75" customHeight="1">
      <c r="B322" s="3">
        <f>IFERROR(__xludf.DUMMYFUNCTION("""COMPUTED_VALUE"""),39766.645833333336)</f>
        <v>39766.64583</v>
      </c>
      <c r="C322" s="2">
        <f>IFERROR(__xludf.DUMMYFUNCTION("""COMPUTED_VALUE"""),324.1)</f>
        <v>324.1</v>
      </c>
    </row>
    <row r="323" ht="15.75" customHeight="1">
      <c r="B323" s="3">
        <f>IFERROR(__xludf.DUMMYFUNCTION("""COMPUTED_VALUE"""),39773.645833333336)</f>
        <v>39773.64583</v>
      </c>
      <c r="C323" s="2">
        <f>IFERROR(__xludf.DUMMYFUNCTION("""COMPUTED_VALUE"""),302.58)</f>
        <v>302.58</v>
      </c>
    </row>
    <row r="324" ht="15.75" customHeight="1">
      <c r="B324" s="3">
        <f>IFERROR(__xludf.DUMMYFUNCTION("""COMPUTED_VALUE"""),39780.645833333336)</f>
        <v>39780.64583</v>
      </c>
      <c r="C324" s="2">
        <f>IFERROR(__xludf.DUMMYFUNCTION("""COMPUTED_VALUE"""),294.4)</f>
        <v>294.4</v>
      </c>
    </row>
    <row r="325" ht="15.75" customHeight="1">
      <c r="B325" s="3">
        <f>IFERROR(__xludf.DUMMYFUNCTION("""COMPUTED_VALUE"""),39787.645833333336)</f>
        <v>39787.64583</v>
      </c>
      <c r="C325" s="2">
        <f>IFERROR(__xludf.DUMMYFUNCTION("""COMPUTED_VALUE"""),292.71)</f>
        <v>292.71</v>
      </c>
    </row>
    <row r="326" ht="15.75" customHeight="1">
      <c r="B326" s="3">
        <f>IFERROR(__xludf.DUMMYFUNCTION("""COMPUTED_VALUE"""),39794.645833333336)</f>
        <v>39794.64583</v>
      </c>
      <c r="C326" s="2">
        <f>IFERROR(__xludf.DUMMYFUNCTION("""COMPUTED_VALUE"""),327.88)</f>
        <v>327.88</v>
      </c>
    </row>
    <row r="327" ht="15.75" customHeight="1">
      <c r="B327" s="3">
        <f>IFERROR(__xludf.DUMMYFUNCTION("""COMPUTED_VALUE"""),39801.645833333336)</f>
        <v>39801.64583</v>
      </c>
      <c r="C327" s="2">
        <f>IFERROR(__xludf.DUMMYFUNCTION("""COMPUTED_VALUE"""),348.43)</f>
        <v>348.43</v>
      </c>
    </row>
    <row r="328" ht="15.75" customHeight="1">
      <c r="B328" s="3">
        <f>IFERROR(__xludf.DUMMYFUNCTION("""COMPUTED_VALUE"""),39808.645833333336)</f>
        <v>39808.64583</v>
      </c>
      <c r="C328" s="2">
        <f>IFERROR(__xludf.DUMMYFUNCTION("""COMPUTED_VALUE"""),334.91)</f>
        <v>334.91</v>
      </c>
    </row>
    <row r="329" ht="15.75" customHeight="1"/>
    <row r="330" ht="15.75" customHeight="1"/>
    <row r="331" ht="15.75" customHeight="1">
      <c r="B331" s="2" t="str">
        <f>IFERROR(__xludf.DUMMYFUNCTION("GOOGLEFINANCE(""NSE:RELIANCE"", ""high"",DATE(2009,1,1),DATE(2010,1,1),""weekly"")"),"Date")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IFERROR(__xludf.DUMMYFUNCTION("""COMPUTED_VALUE"""),39815.645833333336)</f>
        <v>39815.64583</v>
      </c>
      <c r="C332" s="2">
        <f>IFERROR(__xludf.DUMMYFUNCTION("""COMPUTED_VALUE"""),321.91)</f>
        <v>321.91</v>
      </c>
    </row>
    <row r="333" ht="15.75" customHeight="1">
      <c r="B333" s="3">
        <f>IFERROR(__xludf.DUMMYFUNCTION("""COMPUTED_VALUE"""),39822.645833333336)</f>
        <v>39822.64583</v>
      </c>
      <c r="C333" s="2">
        <f>IFERROR(__xludf.DUMMYFUNCTION("""COMPUTED_VALUE"""),344.22)</f>
        <v>344.22</v>
      </c>
    </row>
    <row r="334" ht="15.75" customHeight="1">
      <c r="B334" s="3">
        <f>IFERROR(__xludf.DUMMYFUNCTION("""COMPUTED_VALUE"""),39829.645833333336)</f>
        <v>39829.64583</v>
      </c>
      <c r="C334" s="2">
        <f>IFERROR(__xludf.DUMMYFUNCTION("""COMPUTED_VALUE"""),304.85)</f>
        <v>304.85</v>
      </c>
    </row>
    <row r="335" ht="15.75" customHeight="1">
      <c r="B335" s="3">
        <f>IFERROR(__xludf.DUMMYFUNCTION("""COMPUTED_VALUE"""),39836.645833333336)</f>
        <v>39836.64583</v>
      </c>
      <c r="C335" s="2">
        <f>IFERROR(__xludf.DUMMYFUNCTION("""COMPUTED_VALUE"""),330.6)</f>
        <v>330.6</v>
      </c>
    </row>
    <row r="336" ht="15.75" customHeight="1">
      <c r="B336" s="3">
        <f>IFERROR(__xludf.DUMMYFUNCTION("""COMPUTED_VALUE"""),39843.645833333336)</f>
        <v>39843.64583</v>
      </c>
      <c r="C336" s="2">
        <f>IFERROR(__xludf.DUMMYFUNCTION("""COMPUTED_VALUE"""),329.56)</f>
        <v>329.56</v>
      </c>
    </row>
    <row r="337" ht="15.75" customHeight="1">
      <c r="B337" s="3">
        <f>IFERROR(__xludf.DUMMYFUNCTION("""COMPUTED_VALUE"""),39850.645833333336)</f>
        <v>39850.64583</v>
      </c>
      <c r="C337" s="2">
        <f>IFERROR(__xludf.DUMMYFUNCTION("""COMPUTED_VALUE"""),335.01)</f>
        <v>335.01</v>
      </c>
    </row>
    <row r="338" ht="15.75" customHeight="1">
      <c r="B338" s="3">
        <f>IFERROR(__xludf.DUMMYFUNCTION("""COMPUTED_VALUE"""),39857.645833333336)</f>
        <v>39857.64583</v>
      </c>
      <c r="C338" s="2">
        <f>IFERROR(__xludf.DUMMYFUNCTION("""COMPUTED_VALUE"""),350.19)</f>
        <v>350.19</v>
      </c>
    </row>
    <row r="339" ht="15.75" customHeight="1">
      <c r="B339" s="3">
        <f>IFERROR(__xludf.DUMMYFUNCTION("""COMPUTED_VALUE"""),39864.645833333336)</f>
        <v>39864.64583</v>
      </c>
      <c r="C339" s="2">
        <f>IFERROR(__xludf.DUMMYFUNCTION("""COMPUTED_VALUE"""),345.97)</f>
        <v>345.97</v>
      </c>
    </row>
    <row r="340" ht="15.75" customHeight="1">
      <c r="B340" s="3">
        <f>IFERROR(__xludf.DUMMYFUNCTION("""COMPUTED_VALUE"""),39871.645833333336)</f>
        <v>39871.64583</v>
      </c>
      <c r="C340" s="2">
        <f>IFERROR(__xludf.DUMMYFUNCTION("""COMPUTED_VALUE"""),321.19)</f>
        <v>321.19</v>
      </c>
    </row>
    <row r="341" ht="15.75" customHeight="1">
      <c r="B341" s="3">
        <f>IFERROR(__xludf.DUMMYFUNCTION("""COMPUTED_VALUE"""),39878.645833333336)</f>
        <v>39878.64583</v>
      </c>
      <c r="C341" s="2">
        <f>IFERROR(__xludf.DUMMYFUNCTION("""COMPUTED_VALUE"""),312.95)</f>
        <v>312.95</v>
      </c>
    </row>
    <row r="342" ht="15.75" customHeight="1">
      <c r="B342" s="3">
        <f>IFERROR(__xludf.DUMMYFUNCTION("""COMPUTED_VALUE"""),39885.645833333336)</f>
        <v>39885.64583</v>
      </c>
      <c r="C342" s="2">
        <f>IFERROR(__xludf.DUMMYFUNCTION("""COMPUTED_VALUE"""),320.4)</f>
        <v>320.4</v>
      </c>
    </row>
    <row r="343" ht="15.75" customHeight="1">
      <c r="B343" s="3">
        <f>IFERROR(__xludf.DUMMYFUNCTION("""COMPUTED_VALUE"""),39892.645833333336)</f>
        <v>39892.64583</v>
      </c>
      <c r="C343" s="2">
        <f>IFERROR(__xludf.DUMMYFUNCTION("""COMPUTED_VALUE"""),337.29)</f>
        <v>337.29</v>
      </c>
    </row>
    <row r="344" ht="15.75" customHeight="1">
      <c r="B344" s="3">
        <f>IFERROR(__xludf.DUMMYFUNCTION("""COMPUTED_VALUE"""),39899.645833333336)</f>
        <v>39899.64583</v>
      </c>
      <c r="C344" s="2">
        <f>IFERROR(__xludf.DUMMYFUNCTION("""COMPUTED_VALUE"""),392.12)</f>
        <v>392.12</v>
      </c>
    </row>
    <row r="345" ht="15.75" customHeight="1">
      <c r="B345" s="3">
        <f>IFERROR(__xludf.DUMMYFUNCTION("""COMPUTED_VALUE"""),39905.645833333336)</f>
        <v>39905.64583</v>
      </c>
      <c r="C345" s="2">
        <f>IFERROR(__xludf.DUMMYFUNCTION("""COMPUTED_VALUE"""),416.04)</f>
        <v>416.04</v>
      </c>
    </row>
    <row r="346" ht="15.75" customHeight="1">
      <c r="B346" s="3">
        <f>IFERROR(__xludf.DUMMYFUNCTION("""COMPUTED_VALUE"""),39912.645833333336)</f>
        <v>39912.64583</v>
      </c>
      <c r="C346" s="2">
        <f>IFERROR(__xludf.DUMMYFUNCTION("""COMPUTED_VALUE"""),437.8)</f>
        <v>437.8</v>
      </c>
    </row>
    <row r="347" ht="15.75" customHeight="1">
      <c r="B347" s="3">
        <f>IFERROR(__xludf.DUMMYFUNCTION("""COMPUTED_VALUE"""),39920.645833333336)</f>
        <v>39920.64583</v>
      </c>
      <c r="C347" s="2">
        <f>IFERROR(__xludf.DUMMYFUNCTION("""COMPUTED_VALUE"""),455.66)</f>
        <v>455.66</v>
      </c>
    </row>
    <row r="348" ht="15.75" customHeight="1">
      <c r="B348" s="3">
        <f>IFERROR(__xludf.DUMMYFUNCTION("""COMPUTED_VALUE"""),39927.645833333336)</f>
        <v>39927.64583</v>
      </c>
      <c r="C348" s="2">
        <f>IFERROR(__xludf.DUMMYFUNCTION("""COMPUTED_VALUE"""),446.25)</f>
        <v>446.25</v>
      </c>
    </row>
    <row r="349" ht="15.75" customHeight="1">
      <c r="B349" s="3">
        <f>IFERROR(__xludf.DUMMYFUNCTION("""COMPUTED_VALUE"""),39932.645833333336)</f>
        <v>39932.64583</v>
      </c>
      <c r="C349" s="2">
        <f>IFERROR(__xludf.DUMMYFUNCTION("""COMPUTED_VALUE"""),450.71)</f>
        <v>450.71</v>
      </c>
    </row>
    <row r="350" ht="15.75" customHeight="1">
      <c r="B350" s="3">
        <f>IFERROR(__xludf.DUMMYFUNCTION("""COMPUTED_VALUE"""),39941.645833333336)</f>
        <v>39941.64583</v>
      </c>
      <c r="C350" s="2">
        <f>IFERROR(__xludf.DUMMYFUNCTION("""COMPUTED_VALUE"""),479.96)</f>
        <v>479.96</v>
      </c>
    </row>
    <row r="351" ht="15.75" customHeight="1">
      <c r="B351" s="3">
        <f>IFERROR(__xludf.DUMMYFUNCTION("""COMPUTED_VALUE"""),39948.645833333336)</f>
        <v>39948.64583</v>
      </c>
      <c r="C351" s="2">
        <f>IFERROR(__xludf.DUMMYFUNCTION("""COMPUTED_VALUE"""),489.19)</f>
        <v>489.19</v>
      </c>
    </row>
    <row r="352" ht="15.75" customHeight="1">
      <c r="B352" s="3">
        <f>IFERROR(__xludf.DUMMYFUNCTION("""COMPUTED_VALUE"""),39955.645833333336)</f>
        <v>39955.64583</v>
      </c>
      <c r="C352" s="2">
        <f>IFERROR(__xludf.DUMMYFUNCTION("""COMPUTED_VALUE"""),627.78)</f>
        <v>627.78</v>
      </c>
    </row>
    <row r="353" ht="15.75" customHeight="1">
      <c r="B353" s="3">
        <f>IFERROR(__xludf.DUMMYFUNCTION("""COMPUTED_VALUE"""),39962.645833333336)</f>
        <v>39962.64583</v>
      </c>
      <c r="C353" s="2">
        <f>IFERROR(__xludf.DUMMYFUNCTION("""COMPUTED_VALUE"""),571.49)</f>
        <v>571.49</v>
      </c>
    </row>
    <row r="354" ht="15.75" customHeight="1">
      <c r="B354" s="3">
        <f>IFERROR(__xludf.DUMMYFUNCTION("""COMPUTED_VALUE"""),39969.645833333336)</f>
        <v>39969.64583</v>
      </c>
      <c r="C354" s="2">
        <f>IFERROR(__xludf.DUMMYFUNCTION("""COMPUTED_VALUE"""),577.01)</f>
        <v>577.01</v>
      </c>
    </row>
    <row r="355" ht="15.75" customHeight="1">
      <c r="B355" s="3">
        <f>IFERROR(__xludf.DUMMYFUNCTION("""COMPUTED_VALUE"""),39976.645833333336)</f>
        <v>39976.64583</v>
      </c>
      <c r="C355" s="2">
        <f>IFERROR(__xludf.DUMMYFUNCTION("""COMPUTED_VALUE"""),589.14)</f>
        <v>589.14</v>
      </c>
    </row>
    <row r="356" ht="15.75" customHeight="1">
      <c r="B356" s="3">
        <f>IFERROR(__xludf.DUMMYFUNCTION("""COMPUTED_VALUE"""),39983.645833333336)</f>
        <v>39983.64583</v>
      </c>
      <c r="C356" s="2">
        <f>IFERROR(__xludf.DUMMYFUNCTION("""COMPUTED_VALUE"""),584.36)</f>
        <v>584.36</v>
      </c>
    </row>
    <row r="357" ht="15.75" customHeight="1">
      <c r="B357" s="3">
        <f>IFERROR(__xludf.DUMMYFUNCTION("""COMPUTED_VALUE"""),39990.645833333336)</f>
        <v>39990.64583</v>
      </c>
      <c r="C357" s="2">
        <f>IFERROR(__xludf.DUMMYFUNCTION("""COMPUTED_VALUE"""),507.67)</f>
        <v>507.67</v>
      </c>
    </row>
    <row r="358" ht="15.75" customHeight="1">
      <c r="B358" s="3">
        <f>IFERROR(__xludf.DUMMYFUNCTION("""COMPUTED_VALUE"""),39997.645833333336)</f>
        <v>39997.64583</v>
      </c>
      <c r="C358" s="2">
        <f>IFERROR(__xludf.DUMMYFUNCTION("""COMPUTED_VALUE"""),540.61)</f>
        <v>540.61</v>
      </c>
    </row>
    <row r="359" ht="15.75" customHeight="1">
      <c r="B359" s="3">
        <f>IFERROR(__xludf.DUMMYFUNCTION("""COMPUTED_VALUE"""),40004.645833333336)</f>
        <v>40004.64583</v>
      </c>
      <c r="C359" s="2">
        <f>IFERROR(__xludf.DUMMYFUNCTION("""COMPUTED_VALUE"""),508.16)</f>
        <v>508.16</v>
      </c>
    </row>
    <row r="360" ht="15.75" customHeight="1">
      <c r="B360" s="3">
        <f>IFERROR(__xludf.DUMMYFUNCTION("""COMPUTED_VALUE"""),40011.645833333336)</f>
        <v>40011.64583</v>
      </c>
      <c r="C360" s="2">
        <f>IFERROR(__xludf.DUMMYFUNCTION("""COMPUTED_VALUE"""),487.46)</f>
        <v>487.46</v>
      </c>
    </row>
    <row r="361" ht="15.75" customHeight="1">
      <c r="B361" s="3">
        <f>IFERROR(__xludf.DUMMYFUNCTION("""COMPUTED_VALUE"""),40018.645833333336)</f>
        <v>40018.64583</v>
      </c>
      <c r="C361" s="2">
        <f>IFERROR(__xludf.DUMMYFUNCTION("""COMPUTED_VALUE"""),517.25)</f>
        <v>517.25</v>
      </c>
    </row>
    <row r="362" ht="15.75" customHeight="1">
      <c r="B362" s="3">
        <f>IFERROR(__xludf.DUMMYFUNCTION("""COMPUTED_VALUE"""),40025.645833333336)</f>
        <v>40025.64583</v>
      </c>
      <c r="C362" s="2">
        <f>IFERROR(__xludf.DUMMYFUNCTION("""COMPUTED_VALUE"""),494.05)</f>
        <v>494.05</v>
      </c>
    </row>
    <row r="363" ht="15.75" customHeight="1">
      <c r="B363" s="3">
        <f>IFERROR(__xludf.DUMMYFUNCTION("""COMPUTED_VALUE"""),40032.645833333336)</f>
        <v>40032.64583</v>
      </c>
      <c r="C363" s="2">
        <f>IFERROR(__xludf.DUMMYFUNCTION("""COMPUTED_VALUE"""),526.24)</f>
        <v>526.24</v>
      </c>
    </row>
    <row r="364" ht="15.75" customHeight="1">
      <c r="B364" s="3">
        <f>IFERROR(__xludf.DUMMYFUNCTION("""COMPUTED_VALUE"""),40039.645833333336)</f>
        <v>40039.64583</v>
      </c>
      <c r="C364" s="2">
        <f>IFERROR(__xludf.DUMMYFUNCTION("""COMPUTED_VALUE"""),511.14)</f>
        <v>511.14</v>
      </c>
    </row>
    <row r="365" ht="15.75" customHeight="1">
      <c r="B365" s="3">
        <f>IFERROR(__xludf.DUMMYFUNCTION("""COMPUTED_VALUE"""),40046.645833333336)</f>
        <v>40046.64583</v>
      </c>
      <c r="C365" s="2">
        <f>IFERROR(__xludf.DUMMYFUNCTION("""COMPUTED_VALUE"""),497.76)</f>
        <v>497.76</v>
      </c>
    </row>
    <row r="366" ht="15.75" customHeight="1">
      <c r="B366" s="3">
        <f>IFERROR(__xludf.DUMMYFUNCTION("""COMPUTED_VALUE"""),40053.645833333336)</f>
        <v>40053.64583</v>
      </c>
      <c r="C366" s="2">
        <f>IFERROR(__xludf.DUMMYFUNCTION("""COMPUTED_VALUE"""),515.1)</f>
        <v>515.1</v>
      </c>
    </row>
    <row r="367" ht="15.75" customHeight="1">
      <c r="B367" s="3">
        <f>IFERROR(__xludf.DUMMYFUNCTION("""COMPUTED_VALUE"""),40060.645833333336)</f>
        <v>40060.64583</v>
      </c>
      <c r="C367" s="2">
        <f>IFERROR(__xludf.DUMMYFUNCTION("""COMPUTED_VALUE"""),511.14)</f>
        <v>511.14</v>
      </c>
    </row>
    <row r="368" ht="15.75" customHeight="1">
      <c r="B368" s="3">
        <f>IFERROR(__xludf.DUMMYFUNCTION("""COMPUTED_VALUE"""),40067.645833333336)</f>
        <v>40067.64583</v>
      </c>
      <c r="C368" s="2">
        <f>IFERROR(__xludf.DUMMYFUNCTION("""COMPUTED_VALUE"""),554.7)</f>
        <v>554.7</v>
      </c>
    </row>
    <row r="369" ht="15.75" customHeight="1">
      <c r="B369" s="3">
        <f>IFERROR(__xludf.DUMMYFUNCTION("""COMPUTED_VALUE"""),40074.645833333336)</f>
        <v>40074.64583</v>
      </c>
      <c r="C369" s="2">
        <f>IFERROR(__xludf.DUMMYFUNCTION("""COMPUTED_VALUE"""),549.45)</f>
        <v>549.45</v>
      </c>
    </row>
    <row r="370" ht="15.75" customHeight="1">
      <c r="B370" s="3">
        <f>IFERROR(__xludf.DUMMYFUNCTION("""COMPUTED_VALUE"""),40081.645833333336)</f>
        <v>40081.64583</v>
      </c>
      <c r="C370" s="2">
        <f>IFERROR(__xludf.DUMMYFUNCTION("""COMPUTED_VALUE"""),531.91)</f>
        <v>531.91</v>
      </c>
    </row>
    <row r="371" ht="15.75" customHeight="1">
      <c r="B371" s="3">
        <f>IFERROR(__xludf.DUMMYFUNCTION("""COMPUTED_VALUE"""),40087.645833333336)</f>
        <v>40087.64583</v>
      </c>
      <c r="C371" s="2">
        <f>IFERROR(__xludf.DUMMYFUNCTION("""COMPUTED_VALUE"""),548.01)</f>
        <v>548.01</v>
      </c>
    </row>
    <row r="372" ht="15.75" customHeight="1">
      <c r="B372" s="3">
        <f>IFERROR(__xludf.DUMMYFUNCTION("""COMPUTED_VALUE"""),40095.645833333336)</f>
        <v>40095.64583</v>
      </c>
      <c r="C372" s="2">
        <f>IFERROR(__xludf.DUMMYFUNCTION("""COMPUTED_VALUE"""),553.61)</f>
        <v>553.61</v>
      </c>
    </row>
    <row r="373" ht="15.75" customHeight="1">
      <c r="B373" s="3">
        <f>IFERROR(__xludf.DUMMYFUNCTION("""COMPUTED_VALUE"""),40109.645833333336)</f>
        <v>40109.64583</v>
      </c>
      <c r="C373" s="2">
        <f>IFERROR(__xludf.DUMMYFUNCTION("""COMPUTED_VALUE"""),565.44)</f>
        <v>565.44</v>
      </c>
    </row>
    <row r="374" ht="15.75" customHeight="1">
      <c r="B374" s="3">
        <f>IFERROR(__xludf.DUMMYFUNCTION("""COMPUTED_VALUE"""),40116.645833333336)</f>
        <v>40116.64583</v>
      </c>
      <c r="C374" s="2">
        <f>IFERROR(__xludf.DUMMYFUNCTION("""COMPUTED_VALUE"""),512.13)</f>
        <v>512.13</v>
      </c>
    </row>
    <row r="375" ht="15.75" customHeight="1">
      <c r="B375" s="3">
        <f>IFERROR(__xludf.DUMMYFUNCTION("""COMPUTED_VALUE"""),40123.645833333336)</f>
        <v>40123.64583</v>
      </c>
      <c r="C375" s="2">
        <f>IFERROR(__xludf.DUMMYFUNCTION("""COMPUTED_VALUE"""),489.07)</f>
        <v>489.07</v>
      </c>
    </row>
    <row r="376" ht="15.75" customHeight="1">
      <c r="B376" s="3">
        <f>IFERROR(__xludf.DUMMYFUNCTION("""COMPUTED_VALUE"""),40130.645833333336)</f>
        <v>40130.64583</v>
      </c>
      <c r="C376" s="2">
        <f>IFERROR(__xludf.DUMMYFUNCTION("""COMPUTED_VALUE"""),531.44)</f>
        <v>531.44</v>
      </c>
    </row>
    <row r="377" ht="15.75" customHeight="1">
      <c r="B377" s="3">
        <f>IFERROR(__xludf.DUMMYFUNCTION("""COMPUTED_VALUE"""),40137.645833333336)</f>
        <v>40137.64583</v>
      </c>
      <c r="C377" s="2">
        <f>IFERROR(__xludf.DUMMYFUNCTION("""COMPUTED_VALUE"""),535.41)</f>
        <v>535.41</v>
      </c>
    </row>
    <row r="378" ht="15.75" customHeight="1">
      <c r="B378" s="3">
        <f>IFERROR(__xludf.DUMMYFUNCTION("""COMPUTED_VALUE"""),40144.645833333336)</f>
        <v>40144.64583</v>
      </c>
      <c r="C378" s="2">
        <f>IFERROR(__xludf.DUMMYFUNCTION("""COMPUTED_VALUE"""),551.23)</f>
        <v>551.23</v>
      </c>
    </row>
    <row r="379" ht="15.75" customHeight="1">
      <c r="B379" s="3">
        <f>IFERROR(__xludf.DUMMYFUNCTION("""COMPUTED_VALUE"""),40151.645833333336)</f>
        <v>40151.64583</v>
      </c>
      <c r="C379" s="2">
        <f>IFERROR(__xludf.DUMMYFUNCTION("""COMPUTED_VALUE"""),554.72)</f>
        <v>554.72</v>
      </c>
    </row>
    <row r="380" ht="15.75" customHeight="1">
      <c r="B380" s="3">
        <f>IFERROR(__xludf.DUMMYFUNCTION("""COMPUTED_VALUE"""),40158.645833333336)</f>
        <v>40158.64583</v>
      </c>
      <c r="C380" s="2">
        <f>IFERROR(__xludf.DUMMYFUNCTION("""COMPUTED_VALUE"""),541.89)</f>
        <v>541.89</v>
      </c>
    </row>
    <row r="381" ht="15.75" customHeight="1">
      <c r="B381" s="3">
        <f>IFERROR(__xludf.DUMMYFUNCTION("""COMPUTED_VALUE"""),40165.645833333336)</f>
        <v>40165.64583</v>
      </c>
      <c r="C381" s="2">
        <f>IFERROR(__xludf.DUMMYFUNCTION("""COMPUTED_VALUE"""),536.89)</f>
        <v>536.89</v>
      </c>
    </row>
    <row r="382" ht="15.75" customHeight="1">
      <c r="B382" s="3">
        <f>IFERROR(__xludf.DUMMYFUNCTION("""COMPUTED_VALUE"""),40171.645833333336)</f>
        <v>40171.64583</v>
      </c>
      <c r="C382" s="2">
        <f>IFERROR(__xludf.DUMMYFUNCTION("""COMPUTED_VALUE"""),536.79)</f>
        <v>536.79</v>
      </c>
    </row>
    <row r="383" ht="15.75" customHeight="1">
      <c r="B383" s="3">
        <f>IFERROR(__xludf.DUMMYFUNCTION("""COMPUTED_VALUE"""),40178.645833333336)</f>
        <v>40178.64583</v>
      </c>
      <c r="C383" s="2">
        <f>IFERROR(__xludf.DUMMYFUNCTION("""COMPUTED_VALUE"""),542.83)</f>
        <v>542.83</v>
      </c>
    </row>
    <row r="384" ht="15.75" customHeight="1"/>
    <row r="385" ht="15.75" customHeight="1"/>
    <row r="386" ht="15.75" customHeight="1">
      <c r="B386" s="2" t="str">
        <f>IFERROR(__xludf.DUMMYFUNCTION("GOOGLEFINANCE(""NSE:RELIANCE"", ""high"",DATE(2010,1,1),DATE(2011,1,1),""weekly"")"),"Date")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IFERROR(__xludf.DUMMYFUNCTION("""COMPUTED_VALUE"""),40186.645833333336)</f>
        <v>40186.64583</v>
      </c>
      <c r="C387" s="2">
        <f>IFERROR(__xludf.DUMMYFUNCTION("""COMPUTED_VALUE"""),569.53)</f>
        <v>569.53</v>
      </c>
    </row>
    <row r="388" ht="15.75" customHeight="1">
      <c r="B388" s="3">
        <f>IFERROR(__xludf.DUMMYFUNCTION("""COMPUTED_VALUE"""),40193.645833333336)</f>
        <v>40193.64583</v>
      </c>
      <c r="C388" s="2">
        <f>IFERROR(__xludf.DUMMYFUNCTION("""COMPUTED_VALUE"""),569.43)</f>
        <v>569.43</v>
      </c>
    </row>
    <row r="389" ht="15.75" customHeight="1">
      <c r="B389" s="3">
        <f>IFERROR(__xludf.DUMMYFUNCTION("""COMPUTED_VALUE"""),40200.645833333336)</f>
        <v>40200.64583</v>
      </c>
      <c r="C389" s="2">
        <f>IFERROR(__xludf.DUMMYFUNCTION("""COMPUTED_VALUE"""),552.96)</f>
        <v>552.96</v>
      </c>
    </row>
    <row r="390" ht="15.75" customHeight="1">
      <c r="B390" s="3">
        <f>IFERROR(__xludf.DUMMYFUNCTION("""COMPUTED_VALUE"""),40207.645833333336)</f>
        <v>40207.64583</v>
      </c>
      <c r="C390" s="2">
        <f>IFERROR(__xludf.DUMMYFUNCTION("""COMPUTED_VALUE"""),522.23)</f>
        <v>522.23</v>
      </c>
    </row>
    <row r="391" ht="15.75" customHeight="1">
      <c r="B391" s="3">
        <f>IFERROR(__xludf.DUMMYFUNCTION("""COMPUTED_VALUE"""),40220.645833333336)</f>
        <v>40220.64583</v>
      </c>
      <c r="C391" s="2">
        <f>IFERROR(__xludf.DUMMYFUNCTION("""COMPUTED_VALUE"""),505.09)</f>
        <v>505.09</v>
      </c>
    </row>
    <row r="392" ht="15.75" customHeight="1">
      <c r="B392" s="3">
        <f>IFERROR(__xludf.DUMMYFUNCTION("""COMPUTED_VALUE"""),40228.645833333336)</f>
        <v>40228.64583</v>
      </c>
      <c r="C392" s="2">
        <f>IFERROR(__xludf.DUMMYFUNCTION("""COMPUTED_VALUE"""),514.28)</f>
        <v>514.28</v>
      </c>
    </row>
    <row r="393" ht="15.75" customHeight="1">
      <c r="B393" s="3">
        <f>IFERROR(__xludf.DUMMYFUNCTION("""COMPUTED_VALUE"""),40235.645833333336)</f>
        <v>40235.64583</v>
      </c>
      <c r="C393" s="2">
        <f>IFERROR(__xludf.DUMMYFUNCTION("""COMPUTED_VALUE"""),495.29)</f>
        <v>495.29</v>
      </c>
    </row>
    <row r="394" ht="15.75" customHeight="1">
      <c r="B394" s="3">
        <f>IFERROR(__xludf.DUMMYFUNCTION("""COMPUTED_VALUE"""),40242.645833333336)</f>
        <v>40242.64583</v>
      </c>
      <c r="C394" s="2">
        <f>IFERROR(__xludf.DUMMYFUNCTION("""COMPUTED_VALUE"""),515.1)</f>
        <v>515.1</v>
      </c>
    </row>
    <row r="395" ht="15.75" customHeight="1">
      <c r="B395" s="3">
        <f>IFERROR(__xludf.DUMMYFUNCTION("""COMPUTED_VALUE"""),40249.645833333336)</f>
        <v>40249.64583</v>
      </c>
      <c r="C395" s="2">
        <f>IFERROR(__xludf.DUMMYFUNCTION("""COMPUTED_VALUE"""),511.63)</f>
        <v>511.63</v>
      </c>
    </row>
    <row r="396" ht="15.75" customHeight="1">
      <c r="B396" s="3">
        <f>IFERROR(__xludf.DUMMYFUNCTION("""COMPUTED_VALUE"""),40256.645833333336)</f>
        <v>40256.64583</v>
      </c>
      <c r="C396" s="2">
        <f>IFERROR(__xludf.DUMMYFUNCTION("""COMPUTED_VALUE"""),543.08)</f>
        <v>543.08</v>
      </c>
    </row>
    <row r="397" ht="15.75" customHeight="1">
      <c r="B397" s="3">
        <f>IFERROR(__xludf.DUMMYFUNCTION("""COMPUTED_VALUE"""),40263.645833333336)</f>
        <v>40263.64583</v>
      </c>
      <c r="C397" s="2">
        <f>IFERROR(__xludf.DUMMYFUNCTION("""COMPUTED_VALUE"""),550.26)</f>
        <v>550.26</v>
      </c>
    </row>
    <row r="398" ht="15.75" customHeight="1">
      <c r="B398" s="3">
        <f>IFERROR(__xludf.DUMMYFUNCTION("""COMPUTED_VALUE"""),40269.645833333336)</f>
        <v>40269.64583</v>
      </c>
      <c r="C398" s="2">
        <f>IFERROR(__xludf.DUMMYFUNCTION("""COMPUTED_VALUE"""),549.74)</f>
        <v>549.74</v>
      </c>
    </row>
    <row r="399" ht="15.75" customHeight="1">
      <c r="B399" s="3">
        <f>IFERROR(__xludf.DUMMYFUNCTION("""COMPUTED_VALUE"""),40277.645833333336)</f>
        <v>40277.64583</v>
      </c>
      <c r="C399" s="2">
        <f>IFERROR(__xludf.DUMMYFUNCTION("""COMPUTED_VALUE"""),569.43)</f>
        <v>569.43</v>
      </c>
    </row>
    <row r="400" ht="15.75" customHeight="1">
      <c r="B400" s="3">
        <f>IFERROR(__xludf.DUMMYFUNCTION("""COMPUTED_VALUE"""),40284.645833333336)</f>
        <v>40284.64583</v>
      </c>
      <c r="C400" s="2">
        <f>IFERROR(__xludf.DUMMYFUNCTION("""COMPUTED_VALUE"""),567.1)</f>
        <v>567.1</v>
      </c>
    </row>
    <row r="401" ht="15.75" customHeight="1">
      <c r="B401" s="3">
        <f>IFERROR(__xludf.DUMMYFUNCTION("""COMPUTED_VALUE"""),40291.645833333336)</f>
        <v>40291.64583</v>
      </c>
      <c r="C401" s="2">
        <f>IFERROR(__xludf.DUMMYFUNCTION("""COMPUTED_VALUE"""),542.83)</f>
        <v>542.83</v>
      </c>
    </row>
    <row r="402" ht="15.75" customHeight="1">
      <c r="B402" s="3">
        <f>IFERROR(__xludf.DUMMYFUNCTION("""COMPUTED_VALUE"""),40298.645833333336)</f>
        <v>40298.64583</v>
      </c>
      <c r="C402" s="2">
        <f>IFERROR(__xludf.DUMMYFUNCTION("""COMPUTED_VALUE"""),543.73)</f>
        <v>543.73</v>
      </c>
    </row>
    <row r="403" ht="15.75" customHeight="1">
      <c r="B403" s="3">
        <f>IFERROR(__xludf.DUMMYFUNCTION("""COMPUTED_VALUE"""),40305.645833333336)</f>
        <v>40305.64583</v>
      </c>
      <c r="C403" s="2">
        <f>IFERROR(__xludf.DUMMYFUNCTION("""COMPUTED_VALUE"""),525.0)</f>
        <v>525</v>
      </c>
    </row>
    <row r="404" ht="15.75" customHeight="1">
      <c r="B404" s="3">
        <f>IFERROR(__xludf.DUMMYFUNCTION("""COMPUTED_VALUE"""),40312.645833333336)</f>
        <v>40312.64583</v>
      </c>
      <c r="C404" s="2">
        <f>IFERROR(__xludf.DUMMYFUNCTION("""COMPUTED_VALUE"""),541.55)</f>
        <v>541.55</v>
      </c>
    </row>
    <row r="405" ht="15.75" customHeight="1">
      <c r="B405" s="3">
        <f>IFERROR(__xludf.DUMMYFUNCTION("""COMPUTED_VALUE"""),40319.645833333336)</f>
        <v>40319.64583</v>
      </c>
      <c r="C405" s="2">
        <f>IFERROR(__xludf.DUMMYFUNCTION("""COMPUTED_VALUE"""),512.47)</f>
        <v>512.47</v>
      </c>
    </row>
    <row r="406" ht="15.75" customHeight="1">
      <c r="B406" s="3">
        <f>IFERROR(__xludf.DUMMYFUNCTION("""COMPUTED_VALUE"""),40326.645833333336)</f>
        <v>40326.64583</v>
      </c>
      <c r="C406" s="2">
        <f>IFERROR(__xludf.DUMMYFUNCTION("""COMPUTED_VALUE"""),519.53)</f>
        <v>519.53</v>
      </c>
    </row>
    <row r="407" ht="15.75" customHeight="1">
      <c r="B407" s="3">
        <f>IFERROR(__xludf.DUMMYFUNCTION("""COMPUTED_VALUE"""),40333.645833333336)</f>
        <v>40333.64583</v>
      </c>
      <c r="C407" s="2">
        <f>IFERROR(__xludf.DUMMYFUNCTION("""COMPUTED_VALUE"""),519.31)</f>
        <v>519.31</v>
      </c>
    </row>
    <row r="408" ht="15.75" customHeight="1">
      <c r="B408" s="3">
        <f>IFERROR(__xludf.DUMMYFUNCTION("""COMPUTED_VALUE"""),40340.645833333336)</f>
        <v>40340.64583</v>
      </c>
      <c r="C408" s="2">
        <f>IFERROR(__xludf.DUMMYFUNCTION("""COMPUTED_VALUE"""),520.47)</f>
        <v>520.47</v>
      </c>
    </row>
    <row r="409" ht="15.75" customHeight="1">
      <c r="B409" s="3">
        <f>IFERROR(__xludf.DUMMYFUNCTION("""COMPUTED_VALUE"""),40347.645833333336)</f>
        <v>40347.64583</v>
      </c>
      <c r="C409" s="2">
        <f>IFERROR(__xludf.DUMMYFUNCTION("""COMPUTED_VALUE"""),539.76)</f>
        <v>539.76</v>
      </c>
    </row>
    <row r="410" ht="15.75" customHeight="1">
      <c r="B410" s="3">
        <f>IFERROR(__xludf.DUMMYFUNCTION("""COMPUTED_VALUE"""),40354.645833333336)</f>
        <v>40354.64583</v>
      </c>
      <c r="C410" s="2">
        <f>IFERROR(__xludf.DUMMYFUNCTION("""COMPUTED_VALUE"""),532.33)</f>
        <v>532.33</v>
      </c>
    </row>
    <row r="411" ht="15.75" customHeight="1">
      <c r="B411" s="3">
        <f>IFERROR(__xludf.DUMMYFUNCTION("""COMPUTED_VALUE"""),40361.645833333336)</f>
        <v>40361.64583</v>
      </c>
      <c r="C411" s="2">
        <f>IFERROR(__xludf.DUMMYFUNCTION("""COMPUTED_VALUE"""),541.82)</f>
        <v>541.82</v>
      </c>
    </row>
    <row r="412" ht="15.75" customHeight="1">
      <c r="B412" s="3">
        <f>IFERROR(__xludf.DUMMYFUNCTION("""COMPUTED_VALUE"""),40368.645833333336)</f>
        <v>40368.64583</v>
      </c>
      <c r="C412" s="2">
        <f>IFERROR(__xludf.DUMMYFUNCTION("""COMPUTED_VALUE"""),535.85)</f>
        <v>535.85</v>
      </c>
    </row>
    <row r="413" ht="15.75" customHeight="1">
      <c r="B413" s="3">
        <f>IFERROR(__xludf.DUMMYFUNCTION("""COMPUTED_VALUE"""),40375.645833333336)</f>
        <v>40375.64583</v>
      </c>
      <c r="C413" s="2">
        <f>IFERROR(__xludf.DUMMYFUNCTION("""COMPUTED_VALUE"""),542.07)</f>
        <v>542.07</v>
      </c>
    </row>
    <row r="414" ht="15.75" customHeight="1">
      <c r="B414" s="3">
        <f>IFERROR(__xludf.DUMMYFUNCTION("""COMPUTED_VALUE"""),40382.645833333336)</f>
        <v>40382.64583</v>
      </c>
      <c r="C414" s="2">
        <f>IFERROR(__xludf.DUMMYFUNCTION("""COMPUTED_VALUE"""),530.4)</f>
        <v>530.4</v>
      </c>
    </row>
    <row r="415" ht="15.75" customHeight="1">
      <c r="B415" s="3">
        <f>IFERROR(__xludf.DUMMYFUNCTION("""COMPUTED_VALUE"""),40389.645833333336)</f>
        <v>40389.64583</v>
      </c>
      <c r="C415" s="2">
        <f>IFERROR(__xludf.DUMMYFUNCTION("""COMPUTED_VALUE"""),531.76)</f>
        <v>531.76</v>
      </c>
    </row>
    <row r="416" ht="15.75" customHeight="1">
      <c r="B416" s="3">
        <f>IFERROR(__xludf.DUMMYFUNCTION("""COMPUTED_VALUE"""),40396.645833333336)</f>
        <v>40396.64583</v>
      </c>
      <c r="C416" s="2">
        <f>IFERROR(__xludf.DUMMYFUNCTION("""COMPUTED_VALUE"""),510.64)</f>
        <v>510.64</v>
      </c>
    </row>
    <row r="417" ht="15.75" customHeight="1">
      <c r="B417" s="3">
        <f>IFERROR(__xludf.DUMMYFUNCTION("""COMPUTED_VALUE"""),40403.645833333336)</f>
        <v>40403.64583</v>
      </c>
      <c r="C417" s="2">
        <f>IFERROR(__xludf.DUMMYFUNCTION("""COMPUTED_VALUE"""),498.26)</f>
        <v>498.26</v>
      </c>
    </row>
    <row r="418" ht="15.75" customHeight="1">
      <c r="B418" s="3">
        <f>IFERROR(__xludf.DUMMYFUNCTION("""COMPUTED_VALUE"""),40410.645833333336)</f>
        <v>40410.64583</v>
      </c>
      <c r="C418" s="2">
        <f>IFERROR(__xludf.DUMMYFUNCTION("""COMPUTED_VALUE"""),492.02)</f>
        <v>492.02</v>
      </c>
    </row>
    <row r="419" ht="15.75" customHeight="1">
      <c r="B419" s="3">
        <f>IFERROR(__xludf.DUMMYFUNCTION("""COMPUTED_VALUE"""),40417.645833333336)</f>
        <v>40417.64583</v>
      </c>
      <c r="C419" s="2">
        <f>IFERROR(__xludf.DUMMYFUNCTION("""COMPUTED_VALUE"""),491.35)</f>
        <v>491.35</v>
      </c>
    </row>
    <row r="420" ht="15.75" customHeight="1">
      <c r="B420" s="3">
        <f>IFERROR(__xludf.DUMMYFUNCTION("""COMPUTED_VALUE"""),40424.645833333336)</f>
        <v>40424.64583</v>
      </c>
      <c r="C420" s="2">
        <f>IFERROR(__xludf.DUMMYFUNCTION("""COMPUTED_VALUE"""),477.85)</f>
        <v>477.85</v>
      </c>
    </row>
    <row r="421" ht="15.75" customHeight="1">
      <c r="B421" s="3">
        <f>IFERROR(__xludf.DUMMYFUNCTION("""COMPUTED_VALUE"""),40430.645833333336)</f>
        <v>40430.64583</v>
      </c>
      <c r="C421" s="2">
        <f>IFERROR(__xludf.DUMMYFUNCTION("""COMPUTED_VALUE"""),480.28)</f>
        <v>480.28</v>
      </c>
    </row>
    <row r="422" ht="15.75" customHeight="1">
      <c r="B422" s="3">
        <f>IFERROR(__xludf.DUMMYFUNCTION("""COMPUTED_VALUE"""),40438.645833333336)</f>
        <v>40438.64583</v>
      </c>
      <c r="C422" s="2">
        <f>IFERROR(__xludf.DUMMYFUNCTION("""COMPUTED_VALUE"""),510.84)</f>
        <v>510.84</v>
      </c>
    </row>
    <row r="423" ht="15.75" customHeight="1">
      <c r="B423" s="3">
        <f>IFERROR(__xludf.DUMMYFUNCTION("""COMPUTED_VALUE"""),40445.645833333336)</f>
        <v>40445.64583</v>
      </c>
      <c r="C423" s="2">
        <f>IFERROR(__xludf.DUMMYFUNCTION("""COMPUTED_VALUE"""),519.31)</f>
        <v>519.31</v>
      </c>
    </row>
    <row r="424" ht="15.75" customHeight="1">
      <c r="B424" s="3">
        <f>IFERROR(__xludf.DUMMYFUNCTION("""COMPUTED_VALUE"""),40452.645833333336)</f>
        <v>40452.64583</v>
      </c>
      <c r="C424" s="2">
        <f>IFERROR(__xludf.DUMMYFUNCTION("""COMPUTED_VALUE"""),505.14)</f>
        <v>505.14</v>
      </c>
    </row>
    <row r="425" ht="15.75" customHeight="1">
      <c r="B425" s="3">
        <f>IFERROR(__xludf.DUMMYFUNCTION("""COMPUTED_VALUE"""),40459.645833333336)</f>
        <v>40459.64583</v>
      </c>
      <c r="C425" s="2">
        <f>IFERROR(__xludf.DUMMYFUNCTION("""COMPUTED_VALUE"""),522.9)</f>
        <v>522.9</v>
      </c>
    </row>
    <row r="426" ht="15.75" customHeight="1">
      <c r="B426" s="3">
        <f>IFERROR(__xludf.DUMMYFUNCTION("""COMPUTED_VALUE"""),40466.645833333336)</f>
        <v>40466.64583</v>
      </c>
      <c r="C426" s="2">
        <f>IFERROR(__xludf.DUMMYFUNCTION("""COMPUTED_VALUE"""),535.65)</f>
        <v>535.65</v>
      </c>
    </row>
    <row r="427" ht="15.75" customHeight="1">
      <c r="B427" s="3">
        <f>IFERROR(__xludf.DUMMYFUNCTION("""COMPUTED_VALUE"""),40473.645833333336)</f>
        <v>40473.64583</v>
      </c>
      <c r="C427" s="2">
        <f>IFERROR(__xludf.DUMMYFUNCTION("""COMPUTED_VALUE"""),541.74)</f>
        <v>541.74</v>
      </c>
    </row>
    <row r="428" ht="15.75" customHeight="1">
      <c r="B428" s="3">
        <f>IFERROR(__xludf.DUMMYFUNCTION("""COMPUTED_VALUE"""),40480.645833333336)</f>
        <v>40480.64583</v>
      </c>
      <c r="C428" s="2">
        <f>IFERROR(__xludf.DUMMYFUNCTION("""COMPUTED_VALUE"""),549.77)</f>
        <v>549.77</v>
      </c>
    </row>
    <row r="429" ht="15.75" customHeight="1">
      <c r="B429" s="3">
        <f>IFERROR(__xludf.DUMMYFUNCTION("""COMPUTED_VALUE"""),40487.645833333336)</f>
        <v>40487.64583</v>
      </c>
      <c r="C429" s="2">
        <f>IFERROR(__xludf.DUMMYFUNCTION("""COMPUTED_VALUE"""),557.15)</f>
        <v>557.15</v>
      </c>
    </row>
    <row r="430" ht="15.75" customHeight="1">
      <c r="B430" s="3">
        <f>IFERROR(__xludf.DUMMYFUNCTION("""COMPUTED_VALUE"""),40494.645833333336)</f>
        <v>40494.64583</v>
      </c>
      <c r="C430" s="2">
        <f>IFERROR(__xludf.DUMMYFUNCTION("""COMPUTED_VALUE"""),554.97)</f>
        <v>554.97</v>
      </c>
    </row>
    <row r="431" ht="15.75" customHeight="1">
      <c r="B431" s="3">
        <f>IFERROR(__xludf.DUMMYFUNCTION("""COMPUTED_VALUE"""),40501.645833333336)</f>
        <v>40501.64583</v>
      </c>
      <c r="C431" s="2">
        <f>IFERROR(__xludf.DUMMYFUNCTION("""COMPUTED_VALUE"""),528.92)</f>
        <v>528.92</v>
      </c>
    </row>
    <row r="432" ht="15.75" customHeight="1">
      <c r="B432" s="3">
        <f>IFERROR(__xludf.DUMMYFUNCTION("""COMPUTED_VALUE"""),40508.645833333336)</f>
        <v>40508.64583</v>
      </c>
      <c r="C432" s="2">
        <f>IFERROR(__xludf.DUMMYFUNCTION("""COMPUTED_VALUE"""),504.1)</f>
        <v>504.1</v>
      </c>
    </row>
    <row r="433" ht="15.75" customHeight="1">
      <c r="B433" s="3">
        <f>IFERROR(__xludf.DUMMYFUNCTION("""COMPUTED_VALUE"""),40515.645833333336)</f>
        <v>40515.64583</v>
      </c>
      <c r="C433" s="2">
        <f>IFERROR(__xludf.DUMMYFUNCTION("""COMPUTED_VALUE"""),507.17)</f>
        <v>507.17</v>
      </c>
    </row>
    <row r="434" ht="15.75" customHeight="1">
      <c r="B434" s="3">
        <f>IFERROR(__xludf.DUMMYFUNCTION("""COMPUTED_VALUE"""),40522.645833333336)</f>
        <v>40522.64583</v>
      </c>
      <c r="C434" s="2">
        <f>IFERROR(__xludf.DUMMYFUNCTION("""COMPUTED_VALUE"""),514.95)</f>
        <v>514.95</v>
      </c>
    </row>
    <row r="435" ht="15.75" customHeight="1">
      <c r="B435" s="3">
        <f>IFERROR(__xludf.DUMMYFUNCTION("""COMPUTED_VALUE"""),40528.645833333336)</f>
        <v>40528.64583</v>
      </c>
      <c r="C435" s="2">
        <f>IFERROR(__xludf.DUMMYFUNCTION("""COMPUTED_VALUE"""),526.99)</f>
        <v>526.99</v>
      </c>
    </row>
    <row r="436" ht="15.75" customHeight="1">
      <c r="B436" s="3">
        <f>IFERROR(__xludf.DUMMYFUNCTION("""COMPUTED_VALUE"""),40536.645833333336)</f>
        <v>40536.64583</v>
      </c>
      <c r="C436" s="2">
        <f>IFERROR(__xludf.DUMMYFUNCTION("""COMPUTED_VALUE"""),532.43)</f>
        <v>532.43</v>
      </c>
    </row>
    <row r="437" ht="15.75" customHeight="1">
      <c r="B437" s="3">
        <f>IFERROR(__xludf.DUMMYFUNCTION("""COMPUTED_VALUE"""),40543.645833333336)</f>
        <v>40543.64583</v>
      </c>
      <c r="C437" s="2">
        <f>IFERROR(__xludf.DUMMYFUNCTION("""COMPUTED_VALUE"""),529.36)</f>
        <v>529.36</v>
      </c>
    </row>
    <row r="438" ht="15.75" customHeight="1"/>
    <row r="439" ht="15.75" customHeight="1"/>
    <row r="440" ht="15.75" customHeight="1"/>
    <row r="441" ht="15.75" customHeight="1">
      <c r="B441" s="2" t="str">
        <f>IFERROR(__xludf.DUMMYFUNCTION("GOOGLEFINANCE(""NSE:RELIANCE"", ""high"",DATE(2011,1,1),DATE(2012,1,1),""weekly"")"),"Date")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IFERROR(__xludf.DUMMYFUNCTION("""COMPUTED_VALUE"""),40550.645833333336)</f>
        <v>40550.64583</v>
      </c>
      <c r="C442" s="2">
        <f>IFERROR(__xludf.DUMMYFUNCTION("""COMPUTED_VALUE"""),540.56)</f>
        <v>540.56</v>
      </c>
    </row>
    <row r="443" ht="15.75" customHeight="1">
      <c r="B443" s="3">
        <f>IFERROR(__xludf.DUMMYFUNCTION("""COMPUTED_VALUE"""),40557.645833333336)</f>
        <v>40557.64583</v>
      </c>
      <c r="C443" s="2">
        <f>IFERROR(__xludf.DUMMYFUNCTION("""COMPUTED_VALUE"""),530.18)</f>
        <v>530.18</v>
      </c>
    </row>
    <row r="444" ht="15.75" customHeight="1">
      <c r="B444" s="3">
        <f>IFERROR(__xludf.DUMMYFUNCTION("""COMPUTED_VALUE"""),40564.645833333336)</f>
        <v>40564.64583</v>
      </c>
      <c r="C444" s="2">
        <f>IFERROR(__xludf.DUMMYFUNCTION("""COMPUTED_VALUE"""),499.25)</f>
        <v>499.25</v>
      </c>
    </row>
    <row r="445" ht="15.75" customHeight="1">
      <c r="B445" s="3">
        <f>IFERROR(__xludf.DUMMYFUNCTION("""COMPUTED_VALUE"""),40571.645833333336)</f>
        <v>40571.64583</v>
      </c>
      <c r="C445" s="2">
        <f>IFERROR(__xludf.DUMMYFUNCTION("""COMPUTED_VALUE"""),493.26)</f>
        <v>493.26</v>
      </c>
    </row>
    <row r="446" ht="15.75" customHeight="1">
      <c r="B446" s="3">
        <f>IFERROR(__xludf.DUMMYFUNCTION("""COMPUTED_VALUE"""),40578.645833333336)</f>
        <v>40578.64583</v>
      </c>
      <c r="C446" s="2">
        <f>IFERROR(__xludf.DUMMYFUNCTION("""COMPUTED_VALUE"""),469.28)</f>
        <v>469.28</v>
      </c>
    </row>
    <row r="447" ht="15.75" customHeight="1">
      <c r="B447" s="3">
        <f>IFERROR(__xludf.DUMMYFUNCTION("""COMPUTED_VALUE"""),40585.645833333336)</f>
        <v>40585.64583</v>
      </c>
      <c r="C447" s="2">
        <f>IFERROR(__xludf.DUMMYFUNCTION("""COMPUTED_VALUE"""),464.98)</f>
        <v>464.98</v>
      </c>
    </row>
    <row r="448" ht="15.75" customHeight="1">
      <c r="B448" s="3">
        <f>IFERROR(__xludf.DUMMYFUNCTION("""COMPUTED_VALUE"""),40592.645833333336)</f>
        <v>40592.64583</v>
      </c>
      <c r="C448" s="2">
        <f>IFERROR(__xludf.DUMMYFUNCTION("""COMPUTED_VALUE"""),476.96)</f>
        <v>476.96</v>
      </c>
    </row>
    <row r="449" ht="15.75" customHeight="1">
      <c r="B449" s="3">
        <f>IFERROR(__xludf.DUMMYFUNCTION("""COMPUTED_VALUE"""),40599.645833333336)</f>
        <v>40599.64583</v>
      </c>
      <c r="C449" s="2">
        <f>IFERROR(__xludf.DUMMYFUNCTION("""COMPUTED_VALUE"""),499.94)</f>
        <v>499.94</v>
      </c>
    </row>
    <row r="450" ht="15.75" customHeight="1">
      <c r="B450" s="3">
        <f>IFERROR(__xludf.DUMMYFUNCTION("""COMPUTED_VALUE"""),40606.645833333336)</f>
        <v>40606.64583</v>
      </c>
      <c r="C450" s="2">
        <f>IFERROR(__xludf.DUMMYFUNCTION("""COMPUTED_VALUE"""),492.71)</f>
        <v>492.71</v>
      </c>
    </row>
    <row r="451" ht="15.75" customHeight="1">
      <c r="B451" s="3">
        <f>IFERROR(__xludf.DUMMYFUNCTION("""COMPUTED_VALUE"""),40613.645833333336)</f>
        <v>40613.64583</v>
      </c>
      <c r="C451" s="2">
        <f>IFERROR(__xludf.DUMMYFUNCTION("""COMPUTED_VALUE"""),497.47)</f>
        <v>497.47</v>
      </c>
    </row>
    <row r="452" ht="15.75" customHeight="1">
      <c r="B452" s="3">
        <f>IFERROR(__xludf.DUMMYFUNCTION("""COMPUTED_VALUE"""),40620.645833333336)</f>
        <v>40620.64583</v>
      </c>
      <c r="C452" s="2">
        <f>IFERROR(__xludf.DUMMYFUNCTION("""COMPUTED_VALUE"""),522.53)</f>
        <v>522.53</v>
      </c>
    </row>
    <row r="453" ht="15.75" customHeight="1">
      <c r="B453" s="3">
        <f>IFERROR(__xludf.DUMMYFUNCTION("""COMPUTED_VALUE"""),40627.645833333336)</f>
        <v>40627.64583</v>
      </c>
      <c r="C453" s="2">
        <f>IFERROR(__xludf.DUMMYFUNCTION("""COMPUTED_VALUE"""),510.12)</f>
        <v>510.12</v>
      </c>
    </row>
    <row r="454" ht="15.75" customHeight="1">
      <c r="B454" s="3">
        <f>IFERROR(__xludf.DUMMYFUNCTION("""COMPUTED_VALUE"""),40634.645833333336)</f>
        <v>40634.64583</v>
      </c>
      <c r="C454" s="2">
        <f>IFERROR(__xludf.DUMMYFUNCTION("""COMPUTED_VALUE"""),527.93)</f>
        <v>527.93</v>
      </c>
    </row>
    <row r="455" ht="15.75" customHeight="1">
      <c r="B455" s="3">
        <f>IFERROR(__xludf.DUMMYFUNCTION("""COMPUTED_VALUE"""),40641.645833333336)</f>
        <v>40641.64583</v>
      </c>
      <c r="C455" s="2">
        <f>IFERROR(__xludf.DUMMYFUNCTION("""COMPUTED_VALUE"""),524.51)</f>
        <v>524.51</v>
      </c>
    </row>
    <row r="456" ht="15.75" customHeight="1">
      <c r="B456" s="3">
        <f>IFERROR(__xludf.DUMMYFUNCTION("""COMPUTED_VALUE"""),40648.645833333336)</f>
        <v>40648.64583</v>
      </c>
      <c r="C456" s="2">
        <f>IFERROR(__xludf.DUMMYFUNCTION("""COMPUTED_VALUE"""),507.59)</f>
        <v>507.59</v>
      </c>
    </row>
    <row r="457" ht="15.75" customHeight="1">
      <c r="B457" s="3">
        <f>IFERROR(__xludf.DUMMYFUNCTION("""COMPUTED_VALUE"""),40654.645833333336)</f>
        <v>40654.64583</v>
      </c>
      <c r="C457" s="2">
        <f>IFERROR(__xludf.DUMMYFUNCTION("""COMPUTED_VALUE"""),517.43)</f>
        <v>517.43</v>
      </c>
    </row>
    <row r="458" ht="15.75" customHeight="1">
      <c r="B458" s="3">
        <f>IFERROR(__xludf.DUMMYFUNCTION("""COMPUTED_VALUE"""),40662.645833333336)</f>
        <v>40662.64583</v>
      </c>
      <c r="C458" s="2">
        <f>IFERROR(__xludf.DUMMYFUNCTION("""COMPUTED_VALUE"""),505.69)</f>
        <v>505.69</v>
      </c>
    </row>
    <row r="459" ht="15.75" customHeight="1">
      <c r="B459" s="3">
        <f>IFERROR(__xludf.DUMMYFUNCTION("""COMPUTED_VALUE"""),40669.645833333336)</f>
        <v>40669.64583</v>
      </c>
      <c r="C459" s="2">
        <f>IFERROR(__xludf.DUMMYFUNCTION("""COMPUTED_VALUE"""),488.75)</f>
        <v>488.75</v>
      </c>
    </row>
    <row r="460" ht="15.75" customHeight="1">
      <c r="B460" s="3">
        <f>IFERROR(__xludf.DUMMYFUNCTION("""COMPUTED_VALUE"""),40676.645833333336)</f>
        <v>40676.64583</v>
      </c>
      <c r="C460" s="2">
        <f>IFERROR(__xludf.DUMMYFUNCTION("""COMPUTED_VALUE"""),478.47)</f>
        <v>478.47</v>
      </c>
    </row>
    <row r="461" ht="15.75" customHeight="1">
      <c r="B461" s="3">
        <f>IFERROR(__xludf.DUMMYFUNCTION("""COMPUTED_VALUE"""),40683.645833333336)</f>
        <v>40683.64583</v>
      </c>
      <c r="C461" s="2">
        <f>IFERROR(__xludf.DUMMYFUNCTION("""COMPUTED_VALUE"""),471.22)</f>
        <v>471.22</v>
      </c>
    </row>
    <row r="462" ht="15.75" customHeight="1">
      <c r="B462" s="3">
        <f>IFERROR(__xludf.DUMMYFUNCTION("""COMPUTED_VALUE"""),40690.645833333336)</f>
        <v>40690.64583</v>
      </c>
      <c r="C462" s="2">
        <f>IFERROR(__xludf.DUMMYFUNCTION("""COMPUTED_VALUE"""),471.96)</f>
        <v>471.96</v>
      </c>
    </row>
    <row r="463" ht="15.75" customHeight="1">
      <c r="B463" s="3">
        <f>IFERROR(__xludf.DUMMYFUNCTION("""COMPUTED_VALUE"""),40697.645833333336)</f>
        <v>40697.64583</v>
      </c>
      <c r="C463" s="2">
        <f>IFERROR(__xludf.DUMMYFUNCTION("""COMPUTED_VALUE"""),478.94)</f>
        <v>478.94</v>
      </c>
    </row>
    <row r="464" ht="15.75" customHeight="1">
      <c r="B464" s="3">
        <f>IFERROR(__xludf.DUMMYFUNCTION("""COMPUTED_VALUE"""),40704.645833333336)</f>
        <v>40704.64583</v>
      </c>
      <c r="C464" s="2">
        <f>IFERROR(__xludf.DUMMYFUNCTION("""COMPUTED_VALUE"""),475.48)</f>
        <v>475.48</v>
      </c>
    </row>
    <row r="465" ht="15.75" customHeight="1">
      <c r="B465" s="3">
        <f>IFERROR(__xludf.DUMMYFUNCTION("""COMPUTED_VALUE"""),40711.645833333336)</f>
        <v>40711.64583</v>
      </c>
      <c r="C465" s="2">
        <f>IFERROR(__xludf.DUMMYFUNCTION("""COMPUTED_VALUE"""),467.18)</f>
        <v>467.18</v>
      </c>
    </row>
    <row r="466" ht="15.75" customHeight="1">
      <c r="B466" s="3">
        <f>IFERROR(__xludf.DUMMYFUNCTION("""COMPUTED_VALUE"""),40718.645833333336)</f>
        <v>40718.64583</v>
      </c>
      <c r="C466" s="2">
        <f>IFERROR(__xludf.DUMMYFUNCTION("""COMPUTED_VALUE"""),435.7)</f>
        <v>435.7</v>
      </c>
    </row>
    <row r="467" ht="15.75" customHeight="1">
      <c r="B467" s="3">
        <f>IFERROR(__xludf.DUMMYFUNCTION("""COMPUTED_VALUE"""),40725.645833333336)</f>
        <v>40725.64583</v>
      </c>
      <c r="C467" s="2">
        <f>IFERROR(__xludf.DUMMYFUNCTION("""COMPUTED_VALUE"""),449.23)</f>
        <v>449.23</v>
      </c>
    </row>
    <row r="468" ht="15.75" customHeight="1">
      <c r="B468" s="3">
        <f>IFERROR(__xludf.DUMMYFUNCTION("""COMPUTED_VALUE"""),40732.645833333336)</f>
        <v>40732.64583</v>
      </c>
      <c r="C468" s="2">
        <f>IFERROR(__xludf.DUMMYFUNCTION("""COMPUTED_VALUE"""),435.56)</f>
        <v>435.56</v>
      </c>
    </row>
    <row r="469" ht="15.75" customHeight="1">
      <c r="B469" s="3">
        <f>IFERROR(__xludf.DUMMYFUNCTION("""COMPUTED_VALUE"""),40739.645833333336)</f>
        <v>40739.64583</v>
      </c>
      <c r="C469" s="2">
        <f>IFERROR(__xludf.DUMMYFUNCTION("""COMPUTED_VALUE"""),434.81)</f>
        <v>434.81</v>
      </c>
    </row>
    <row r="470" ht="15.75" customHeight="1">
      <c r="B470" s="3">
        <f>IFERROR(__xludf.DUMMYFUNCTION("""COMPUTED_VALUE"""),40746.645833333336)</f>
        <v>40746.64583</v>
      </c>
      <c r="C470" s="2">
        <f>IFERROR(__xludf.DUMMYFUNCTION("""COMPUTED_VALUE"""),439.22)</f>
        <v>439.22</v>
      </c>
    </row>
    <row r="471" ht="15.75" customHeight="1">
      <c r="B471" s="3">
        <f>IFERROR(__xludf.DUMMYFUNCTION("""COMPUTED_VALUE"""),40753.645833333336)</f>
        <v>40753.64583</v>
      </c>
      <c r="C471" s="2">
        <f>IFERROR(__xludf.DUMMYFUNCTION("""COMPUTED_VALUE"""),441.8)</f>
        <v>441.8</v>
      </c>
    </row>
    <row r="472" ht="15.75" customHeight="1">
      <c r="B472" s="3">
        <f>IFERROR(__xludf.DUMMYFUNCTION("""COMPUTED_VALUE"""),40760.645833333336)</f>
        <v>40760.64583</v>
      </c>
      <c r="C472" s="2">
        <f>IFERROR(__xludf.DUMMYFUNCTION("""COMPUTED_VALUE"""),415.5)</f>
        <v>415.5</v>
      </c>
    </row>
    <row r="473" ht="15.75" customHeight="1">
      <c r="B473" s="3">
        <f>IFERROR(__xludf.DUMMYFUNCTION("""COMPUTED_VALUE"""),40767.645833333336)</f>
        <v>40767.64583</v>
      </c>
      <c r="C473" s="2">
        <f>IFERROR(__xludf.DUMMYFUNCTION("""COMPUTED_VALUE"""),394.45)</f>
        <v>394.45</v>
      </c>
    </row>
    <row r="474" ht="15.75" customHeight="1">
      <c r="B474" s="3">
        <f>IFERROR(__xludf.DUMMYFUNCTION("""COMPUTED_VALUE"""),40774.645833333336)</f>
        <v>40774.64583</v>
      </c>
      <c r="C474" s="2">
        <f>IFERROR(__xludf.DUMMYFUNCTION("""COMPUTED_VALUE"""),383.55)</f>
        <v>383.55</v>
      </c>
    </row>
    <row r="475" ht="15.75" customHeight="1">
      <c r="B475" s="3">
        <f>IFERROR(__xludf.DUMMYFUNCTION("""COMPUTED_VALUE"""),40781.645833333336)</f>
        <v>40781.64583</v>
      </c>
      <c r="C475" s="2">
        <f>IFERROR(__xludf.DUMMYFUNCTION("""COMPUTED_VALUE"""),382.36)</f>
        <v>382.36</v>
      </c>
    </row>
    <row r="476" ht="15.75" customHeight="1">
      <c r="B476" s="3">
        <f>IFERROR(__xludf.DUMMYFUNCTION("""COMPUTED_VALUE"""),40788.645833333336)</f>
        <v>40788.64583</v>
      </c>
      <c r="C476" s="2">
        <f>IFERROR(__xludf.DUMMYFUNCTION("""COMPUTED_VALUE"""),403.01)</f>
        <v>403.01</v>
      </c>
    </row>
    <row r="477" ht="15.75" customHeight="1">
      <c r="B477" s="3">
        <f>IFERROR(__xludf.DUMMYFUNCTION("""COMPUTED_VALUE"""),40795.645833333336)</f>
        <v>40795.64583</v>
      </c>
      <c r="C477" s="2">
        <f>IFERROR(__xludf.DUMMYFUNCTION("""COMPUTED_VALUE"""),425.45)</f>
        <v>425.45</v>
      </c>
    </row>
    <row r="478" ht="15.75" customHeight="1">
      <c r="B478" s="3">
        <f>IFERROR(__xludf.DUMMYFUNCTION("""COMPUTED_VALUE"""),40802.645833333336)</f>
        <v>40802.64583</v>
      </c>
      <c r="C478" s="2">
        <f>IFERROR(__xludf.DUMMYFUNCTION("""COMPUTED_VALUE"""),420.99)</f>
        <v>420.99</v>
      </c>
    </row>
    <row r="479" ht="15.75" customHeight="1">
      <c r="B479" s="3">
        <f>IFERROR(__xludf.DUMMYFUNCTION("""COMPUTED_VALUE"""),40809.645833333336)</f>
        <v>40809.64583</v>
      </c>
      <c r="C479" s="2">
        <f>IFERROR(__xludf.DUMMYFUNCTION("""COMPUTED_VALUE"""),422.95)</f>
        <v>422.95</v>
      </c>
    </row>
    <row r="480" ht="15.75" customHeight="1">
      <c r="B480" s="3">
        <f>IFERROR(__xludf.DUMMYFUNCTION("""COMPUTED_VALUE"""),40816.645833333336)</f>
        <v>40816.64583</v>
      </c>
      <c r="C480" s="2">
        <f>IFERROR(__xludf.DUMMYFUNCTION("""COMPUTED_VALUE"""),407.57)</f>
        <v>407.57</v>
      </c>
    </row>
    <row r="481" ht="15.75" customHeight="1">
      <c r="B481" s="3">
        <f>IFERROR(__xludf.DUMMYFUNCTION("""COMPUTED_VALUE"""),40823.645833333336)</f>
        <v>40823.64583</v>
      </c>
      <c r="C481" s="2">
        <f>IFERROR(__xludf.DUMMYFUNCTION("""COMPUTED_VALUE"""),400.19)</f>
        <v>400.19</v>
      </c>
    </row>
    <row r="482" ht="15.75" customHeight="1">
      <c r="B482" s="3">
        <f>IFERROR(__xludf.DUMMYFUNCTION("""COMPUTED_VALUE"""),40830.645833333336)</f>
        <v>40830.64583</v>
      </c>
      <c r="C482" s="2">
        <f>IFERROR(__xludf.DUMMYFUNCTION("""COMPUTED_VALUE"""),430.75)</f>
        <v>430.75</v>
      </c>
    </row>
    <row r="483" ht="15.75" customHeight="1">
      <c r="B483" s="3">
        <f>IFERROR(__xludf.DUMMYFUNCTION("""COMPUTED_VALUE"""),40837.645833333336)</f>
        <v>40837.64583</v>
      </c>
      <c r="C483" s="2">
        <f>IFERROR(__xludf.DUMMYFUNCTION("""COMPUTED_VALUE"""),430.33)</f>
        <v>430.33</v>
      </c>
    </row>
    <row r="484" ht="15.75" customHeight="1">
      <c r="B484" s="3">
        <f>IFERROR(__xludf.DUMMYFUNCTION("""COMPUTED_VALUE"""),40844.645833333336)</f>
        <v>40844.64583</v>
      </c>
      <c r="C484" s="2">
        <f>IFERROR(__xludf.DUMMYFUNCTION("""COMPUTED_VALUE"""),447.74)</f>
        <v>447.74</v>
      </c>
    </row>
    <row r="485" ht="15.75" customHeight="1">
      <c r="B485" s="3">
        <f>IFERROR(__xludf.DUMMYFUNCTION("""COMPUTED_VALUE"""),40851.645833333336)</f>
        <v>40851.64583</v>
      </c>
      <c r="C485" s="2">
        <f>IFERROR(__xludf.DUMMYFUNCTION("""COMPUTED_VALUE"""),448.23)</f>
        <v>448.23</v>
      </c>
    </row>
    <row r="486" ht="15.75" customHeight="1">
      <c r="B486" s="3">
        <f>IFERROR(__xludf.DUMMYFUNCTION("""COMPUTED_VALUE"""),40858.645833333336)</f>
        <v>40858.64583</v>
      </c>
      <c r="C486" s="2">
        <f>IFERROR(__xludf.DUMMYFUNCTION("""COMPUTED_VALUE"""),442.12)</f>
        <v>442.12</v>
      </c>
    </row>
    <row r="487" ht="15.75" customHeight="1">
      <c r="B487" s="3">
        <f>IFERROR(__xludf.DUMMYFUNCTION("""COMPUTED_VALUE"""),40865.645833333336)</f>
        <v>40865.64583</v>
      </c>
      <c r="C487" s="2">
        <f>IFERROR(__xludf.DUMMYFUNCTION("""COMPUTED_VALUE"""),443.78)</f>
        <v>443.78</v>
      </c>
    </row>
    <row r="488" ht="15.75" customHeight="1">
      <c r="B488" s="3">
        <f>IFERROR(__xludf.DUMMYFUNCTION("""COMPUTED_VALUE"""),40872.645833333336)</f>
        <v>40872.64583</v>
      </c>
      <c r="C488" s="2">
        <f>IFERROR(__xludf.DUMMYFUNCTION("""COMPUTED_VALUE"""),398.43)</f>
        <v>398.43</v>
      </c>
    </row>
    <row r="489" ht="15.75" customHeight="1">
      <c r="B489" s="3">
        <f>IFERROR(__xludf.DUMMYFUNCTION("""COMPUTED_VALUE"""),40879.645833333336)</f>
        <v>40879.64583</v>
      </c>
      <c r="C489" s="2">
        <f>IFERROR(__xludf.DUMMYFUNCTION("""COMPUTED_VALUE"""),403.66)</f>
        <v>403.66</v>
      </c>
    </row>
    <row r="490" ht="15.75" customHeight="1">
      <c r="B490" s="3">
        <f>IFERROR(__xludf.DUMMYFUNCTION("""COMPUTED_VALUE"""),40886.645833333336)</f>
        <v>40886.64583</v>
      </c>
      <c r="C490" s="2">
        <f>IFERROR(__xludf.DUMMYFUNCTION("""COMPUTED_VALUE"""),405.89)</f>
        <v>405.89</v>
      </c>
    </row>
    <row r="491" ht="15.75" customHeight="1">
      <c r="B491" s="3">
        <f>IFERROR(__xludf.DUMMYFUNCTION("""COMPUTED_VALUE"""),40893.645833333336)</f>
        <v>40893.64583</v>
      </c>
      <c r="C491" s="2">
        <f>IFERROR(__xludf.DUMMYFUNCTION("""COMPUTED_VALUE"""),418.32)</f>
        <v>418.32</v>
      </c>
    </row>
    <row r="492" ht="15.75" customHeight="1">
      <c r="B492" s="3">
        <f>IFERROR(__xludf.DUMMYFUNCTION("""COMPUTED_VALUE"""),40900.645833333336)</f>
        <v>40900.64583</v>
      </c>
      <c r="C492" s="2">
        <f>IFERROR(__xludf.DUMMYFUNCTION("""COMPUTED_VALUE"""),381.25)</f>
        <v>381.25</v>
      </c>
    </row>
    <row r="493" ht="15.75" customHeight="1">
      <c r="B493" s="3">
        <f>IFERROR(__xludf.DUMMYFUNCTION("""COMPUTED_VALUE"""),40907.645833333336)</f>
        <v>40907.64583</v>
      </c>
      <c r="C493" s="2">
        <f>IFERROR(__xludf.DUMMYFUNCTION("""COMPUTED_VALUE"""),380.73)</f>
        <v>380.73</v>
      </c>
    </row>
    <row r="494" ht="15.75" customHeight="1"/>
    <row r="495" ht="15.75" customHeight="1"/>
    <row r="496" ht="15.75" customHeight="1">
      <c r="B496" s="2" t="str">
        <f>IFERROR(__xludf.DUMMYFUNCTION("GOOGLEFINANCE(""NSE:RELIANCE"", ""high"",DATE(2012,1,1),DATE(2013,1,1),""weekly"")"),"Date")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IFERROR(__xludf.DUMMYFUNCTION("""COMPUTED_VALUE"""),40921.645833333336)</f>
        <v>40921.64583</v>
      </c>
      <c r="C497" s="2">
        <f>IFERROR(__xludf.DUMMYFUNCTION("""COMPUTED_VALUE"""),372.95)</f>
        <v>372.95</v>
      </c>
    </row>
    <row r="498" ht="15.75" customHeight="1">
      <c r="B498" s="3">
        <f>IFERROR(__xludf.DUMMYFUNCTION("""COMPUTED_VALUE"""),40928.645833333336)</f>
        <v>40928.64583</v>
      </c>
      <c r="C498" s="2">
        <f>IFERROR(__xludf.DUMMYFUNCTION("""COMPUTED_VALUE"""),396.23)</f>
        <v>396.23</v>
      </c>
    </row>
    <row r="499" ht="15.75" customHeight="1">
      <c r="B499" s="3">
        <f>IFERROR(__xludf.DUMMYFUNCTION("""COMPUTED_VALUE"""),40935.645833333336)</f>
        <v>40935.64583</v>
      </c>
      <c r="C499" s="2">
        <f>IFERROR(__xludf.DUMMYFUNCTION("""COMPUTED_VALUE"""),410.05)</f>
        <v>410.05</v>
      </c>
    </row>
    <row r="500" ht="15.75" customHeight="1">
      <c r="B500" s="3">
        <f>IFERROR(__xludf.DUMMYFUNCTION("""COMPUTED_VALUE"""),40942.645833333336)</f>
        <v>40942.64583</v>
      </c>
      <c r="C500" s="2">
        <f>IFERROR(__xludf.DUMMYFUNCTION("""COMPUTED_VALUE"""),417.38)</f>
        <v>417.38</v>
      </c>
    </row>
    <row r="501" ht="15.75" customHeight="1">
      <c r="B501" s="3">
        <f>IFERROR(__xludf.DUMMYFUNCTION("""COMPUTED_VALUE"""),40949.645833333336)</f>
        <v>40949.64583</v>
      </c>
      <c r="C501" s="2">
        <f>IFERROR(__xludf.DUMMYFUNCTION("""COMPUTED_VALUE"""),428.27)</f>
        <v>428.27</v>
      </c>
    </row>
    <row r="502" ht="15.75" customHeight="1">
      <c r="B502" s="3">
        <f>IFERROR(__xludf.DUMMYFUNCTION("""COMPUTED_VALUE"""),40956.645833333336)</f>
        <v>40956.64583</v>
      </c>
      <c r="C502" s="2">
        <f>IFERROR(__xludf.DUMMYFUNCTION("""COMPUTED_VALUE"""),425.35)</f>
        <v>425.35</v>
      </c>
    </row>
    <row r="503" ht="15.75" customHeight="1">
      <c r="B503" s="3">
        <f>IFERROR(__xludf.DUMMYFUNCTION("""COMPUTED_VALUE"""),40963.645833333336)</f>
        <v>40963.64583</v>
      </c>
      <c r="C503" s="2">
        <f>IFERROR(__xludf.DUMMYFUNCTION("""COMPUTED_VALUE"""),424.66)</f>
        <v>424.66</v>
      </c>
    </row>
    <row r="504" ht="15.75" customHeight="1">
      <c r="B504" s="3">
        <f>IFERROR(__xludf.DUMMYFUNCTION("""COMPUTED_VALUE"""),40977.645833333336)</f>
        <v>40977.64583</v>
      </c>
      <c r="C504" s="2">
        <f>IFERROR(__xludf.DUMMYFUNCTION("""COMPUTED_VALUE"""),403.16)</f>
        <v>403.16</v>
      </c>
    </row>
    <row r="505" ht="15.75" customHeight="1">
      <c r="B505" s="3">
        <f>IFERROR(__xludf.DUMMYFUNCTION("""COMPUTED_VALUE"""),40984.645833333336)</f>
        <v>40984.64583</v>
      </c>
      <c r="C505" s="2">
        <f>IFERROR(__xludf.DUMMYFUNCTION("""COMPUTED_VALUE"""),411.09)</f>
        <v>411.09</v>
      </c>
    </row>
    <row r="506" ht="15.75" customHeight="1">
      <c r="B506" s="3">
        <f>IFERROR(__xludf.DUMMYFUNCTION("""COMPUTED_VALUE"""),40991.645833333336)</f>
        <v>40991.64583</v>
      </c>
      <c r="C506" s="2">
        <f>IFERROR(__xludf.DUMMYFUNCTION("""COMPUTED_VALUE"""),387.81)</f>
        <v>387.81</v>
      </c>
    </row>
    <row r="507" ht="15.75" customHeight="1">
      <c r="B507" s="3">
        <f>IFERROR(__xludf.DUMMYFUNCTION("""COMPUTED_VALUE"""),40998.645833333336)</f>
        <v>40998.64583</v>
      </c>
      <c r="C507" s="2">
        <f>IFERROR(__xludf.DUMMYFUNCTION("""COMPUTED_VALUE"""),372.95)</f>
        <v>372.95</v>
      </c>
    </row>
    <row r="508" ht="15.75" customHeight="1">
      <c r="B508" s="3">
        <f>IFERROR(__xludf.DUMMYFUNCTION("""COMPUTED_VALUE"""),41003.645833333336)</f>
        <v>41003.64583</v>
      </c>
      <c r="C508" s="2">
        <f>IFERROR(__xludf.DUMMYFUNCTION("""COMPUTED_VALUE"""),377.85)</f>
        <v>377.85</v>
      </c>
    </row>
    <row r="509" ht="15.75" customHeight="1">
      <c r="B509" s="3">
        <f>IFERROR(__xludf.DUMMYFUNCTION("""COMPUTED_VALUE"""),41012.645833333336)</f>
        <v>41012.64583</v>
      </c>
      <c r="C509" s="2">
        <f>IFERROR(__xludf.DUMMYFUNCTION("""COMPUTED_VALUE"""),377.41)</f>
        <v>377.41</v>
      </c>
    </row>
    <row r="510" ht="15.75" customHeight="1">
      <c r="B510" s="3">
        <f>IFERROR(__xludf.DUMMYFUNCTION("""COMPUTED_VALUE"""),41019.645833333336)</f>
        <v>41019.64583</v>
      </c>
      <c r="C510" s="2">
        <f>IFERROR(__xludf.DUMMYFUNCTION("""COMPUTED_VALUE"""),374.83)</f>
        <v>374.83</v>
      </c>
    </row>
    <row r="511" ht="15.75" customHeight="1">
      <c r="B511" s="3">
        <f>IFERROR(__xludf.DUMMYFUNCTION("""COMPUTED_VALUE"""),41033.645833333336)</f>
        <v>41033.64583</v>
      </c>
      <c r="C511" s="2">
        <f>IFERROR(__xludf.DUMMYFUNCTION("""COMPUTED_VALUE"""),372.16)</f>
        <v>372.16</v>
      </c>
    </row>
    <row r="512" ht="15.75" customHeight="1">
      <c r="B512" s="3">
        <f>IFERROR(__xludf.DUMMYFUNCTION("""COMPUTED_VALUE"""),41040.645833333336)</f>
        <v>41040.64583</v>
      </c>
      <c r="C512" s="2">
        <f>IFERROR(__xludf.DUMMYFUNCTION("""COMPUTED_VALUE"""),357.6)</f>
        <v>357.6</v>
      </c>
    </row>
    <row r="513" ht="15.75" customHeight="1">
      <c r="B513" s="3">
        <f>IFERROR(__xludf.DUMMYFUNCTION("""COMPUTED_VALUE"""),41047.645833333336)</f>
        <v>41047.64583</v>
      </c>
      <c r="C513" s="2">
        <f>IFERROR(__xludf.DUMMYFUNCTION("""COMPUTED_VALUE"""),348.09)</f>
        <v>348.09</v>
      </c>
    </row>
    <row r="514" ht="15.75" customHeight="1">
      <c r="B514" s="3">
        <f>IFERROR(__xludf.DUMMYFUNCTION("""COMPUTED_VALUE"""),41054.645833333336)</f>
        <v>41054.64583</v>
      </c>
      <c r="C514" s="2">
        <f>IFERROR(__xludf.DUMMYFUNCTION("""COMPUTED_VALUE"""),348.98)</f>
        <v>348.98</v>
      </c>
    </row>
    <row r="515" ht="15.75" customHeight="1">
      <c r="B515" s="3">
        <f>IFERROR(__xludf.DUMMYFUNCTION("""COMPUTED_VALUE"""),41061.645833333336)</f>
        <v>41061.64583</v>
      </c>
      <c r="C515" s="2">
        <f>IFERROR(__xludf.DUMMYFUNCTION("""COMPUTED_VALUE"""),361.09)</f>
        <v>361.09</v>
      </c>
    </row>
    <row r="516" ht="15.75" customHeight="1">
      <c r="B516" s="3">
        <f>IFERROR(__xludf.DUMMYFUNCTION("""COMPUTED_VALUE"""),41068.645833333336)</f>
        <v>41068.64583</v>
      </c>
      <c r="C516" s="2">
        <f>IFERROR(__xludf.DUMMYFUNCTION("""COMPUTED_VALUE"""),362.5)</f>
        <v>362.5</v>
      </c>
    </row>
    <row r="517" ht="15.75" customHeight="1">
      <c r="B517" s="3">
        <f>IFERROR(__xludf.DUMMYFUNCTION("""COMPUTED_VALUE"""),41075.645833333336)</f>
        <v>41075.64583</v>
      </c>
      <c r="C517" s="2">
        <f>IFERROR(__xludf.DUMMYFUNCTION("""COMPUTED_VALUE"""),364.73)</f>
        <v>364.73</v>
      </c>
    </row>
    <row r="518" ht="15.75" customHeight="1">
      <c r="B518" s="3">
        <f>IFERROR(__xludf.DUMMYFUNCTION("""COMPUTED_VALUE"""),41082.645833333336)</f>
        <v>41082.64583</v>
      </c>
      <c r="C518" s="2">
        <f>IFERROR(__xludf.DUMMYFUNCTION("""COMPUTED_VALUE"""),367.97)</f>
        <v>367.97</v>
      </c>
    </row>
    <row r="519" ht="15.75" customHeight="1">
      <c r="B519" s="3">
        <f>IFERROR(__xludf.DUMMYFUNCTION("""COMPUTED_VALUE"""),41089.645833333336)</f>
        <v>41089.64583</v>
      </c>
      <c r="C519" s="2">
        <f>IFERROR(__xludf.DUMMYFUNCTION("""COMPUTED_VALUE"""),366.96)</f>
        <v>366.96</v>
      </c>
    </row>
    <row r="520" ht="15.75" customHeight="1">
      <c r="B520" s="3">
        <f>IFERROR(__xludf.DUMMYFUNCTION("""COMPUTED_VALUE"""),41096.645833333336)</f>
        <v>41096.64583</v>
      </c>
      <c r="C520" s="2">
        <f>IFERROR(__xludf.DUMMYFUNCTION("""COMPUTED_VALUE"""),367.82)</f>
        <v>367.82</v>
      </c>
    </row>
    <row r="521" ht="15.75" customHeight="1">
      <c r="B521" s="3">
        <f>IFERROR(__xludf.DUMMYFUNCTION("""COMPUTED_VALUE"""),41103.645833333336)</f>
        <v>41103.64583</v>
      </c>
      <c r="C521" s="2">
        <f>IFERROR(__xludf.DUMMYFUNCTION("""COMPUTED_VALUE"""),367.5)</f>
        <v>367.5</v>
      </c>
    </row>
    <row r="522" ht="15.75" customHeight="1">
      <c r="B522" s="3">
        <f>IFERROR(__xludf.DUMMYFUNCTION("""COMPUTED_VALUE"""),41110.645833333336)</f>
        <v>41110.64583</v>
      </c>
      <c r="C522" s="2">
        <f>IFERROR(__xludf.DUMMYFUNCTION("""COMPUTED_VALUE"""),361.51)</f>
        <v>361.51</v>
      </c>
    </row>
    <row r="523" ht="15.75" customHeight="1">
      <c r="B523" s="3">
        <f>IFERROR(__xludf.DUMMYFUNCTION("""COMPUTED_VALUE"""),41117.645833333336)</f>
        <v>41117.64583</v>
      </c>
      <c r="C523" s="2">
        <f>IFERROR(__xludf.DUMMYFUNCTION("""COMPUTED_VALUE"""),360.0)</f>
        <v>360</v>
      </c>
    </row>
    <row r="524" ht="15.75" customHeight="1">
      <c r="B524" s="3">
        <f>IFERROR(__xludf.DUMMYFUNCTION("""COMPUTED_VALUE"""),41124.645833333336)</f>
        <v>41124.64583</v>
      </c>
      <c r="C524" s="2">
        <f>IFERROR(__xludf.DUMMYFUNCTION("""COMPUTED_VALUE"""),371.91)</f>
        <v>371.91</v>
      </c>
    </row>
    <row r="525" ht="15.75" customHeight="1">
      <c r="B525" s="3">
        <f>IFERROR(__xludf.DUMMYFUNCTION("""COMPUTED_VALUE"""),41131.645833333336)</f>
        <v>41131.64583</v>
      </c>
      <c r="C525" s="2">
        <f>IFERROR(__xludf.DUMMYFUNCTION("""COMPUTED_VALUE"""),395.73)</f>
        <v>395.73</v>
      </c>
    </row>
    <row r="526" ht="15.75" customHeight="1">
      <c r="B526" s="3">
        <f>IFERROR(__xludf.DUMMYFUNCTION("""COMPUTED_VALUE"""),41138.645833333336)</f>
        <v>41138.64583</v>
      </c>
      <c r="C526" s="2">
        <f>IFERROR(__xludf.DUMMYFUNCTION("""COMPUTED_VALUE"""),408.56)</f>
        <v>408.56</v>
      </c>
    </row>
    <row r="527" ht="15.75" customHeight="1">
      <c r="B527" s="3">
        <f>IFERROR(__xludf.DUMMYFUNCTION("""COMPUTED_VALUE"""),41145.645833333336)</f>
        <v>41145.64583</v>
      </c>
      <c r="C527" s="2">
        <f>IFERROR(__xludf.DUMMYFUNCTION("""COMPUTED_VALUE"""),408.07)</f>
        <v>408.07</v>
      </c>
    </row>
    <row r="528" ht="15.75" customHeight="1">
      <c r="B528" s="3">
        <f>IFERROR(__xludf.DUMMYFUNCTION("""COMPUTED_VALUE"""),41152.645833333336)</f>
        <v>41152.64583</v>
      </c>
      <c r="C528" s="2">
        <f>IFERROR(__xludf.DUMMYFUNCTION("""COMPUTED_VALUE"""),394.99)</f>
        <v>394.99</v>
      </c>
    </row>
    <row r="529" ht="15.75" customHeight="1">
      <c r="B529" s="3">
        <f>IFERROR(__xludf.DUMMYFUNCTION("""COMPUTED_VALUE"""),41166.645833333336)</f>
        <v>41166.64583</v>
      </c>
      <c r="C529" s="2">
        <f>IFERROR(__xludf.DUMMYFUNCTION("""COMPUTED_VALUE"""),418.86)</f>
        <v>418.86</v>
      </c>
    </row>
    <row r="530" ht="15.75" customHeight="1">
      <c r="B530" s="3">
        <f>IFERROR(__xludf.DUMMYFUNCTION("""COMPUTED_VALUE"""),41173.645833333336)</f>
        <v>41173.64583</v>
      </c>
      <c r="C530" s="2">
        <f>IFERROR(__xludf.DUMMYFUNCTION("""COMPUTED_VALUE"""),436.64)</f>
        <v>436.64</v>
      </c>
    </row>
    <row r="531" ht="15.75" customHeight="1">
      <c r="B531" s="3">
        <f>IFERROR(__xludf.DUMMYFUNCTION("""COMPUTED_VALUE"""),41180.645833333336)</f>
        <v>41180.64583</v>
      </c>
      <c r="C531" s="2">
        <f>IFERROR(__xludf.DUMMYFUNCTION("""COMPUTED_VALUE"""),424.86)</f>
        <v>424.86</v>
      </c>
    </row>
    <row r="532" ht="15.75" customHeight="1">
      <c r="B532" s="3">
        <f>IFERROR(__xludf.DUMMYFUNCTION("""COMPUTED_VALUE"""),41187.645833333336)</f>
        <v>41187.64583</v>
      </c>
      <c r="C532" s="2">
        <f>IFERROR(__xludf.DUMMYFUNCTION("""COMPUTED_VALUE"""),426.94)</f>
        <v>426.94</v>
      </c>
    </row>
    <row r="533" ht="15.75" customHeight="1">
      <c r="B533" s="3">
        <f>IFERROR(__xludf.DUMMYFUNCTION("""COMPUTED_VALUE"""),41194.645833333336)</f>
        <v>41194.64583</v>
      </c>
      <c r="C533" s="2">
        <f>IFERROR(__xludf.DUMMYFUNCTION("""COMPUTED_VALUE"""),423.25)</f>
        <v>423.25</v>
      </c>
    </row>
    <row r="534" ht="15.75" customHeight="1">
      <c r="B534" s="3">
        <f>IFERROR(__xludf.DUMMYFUNCTION("""COMPUTED_VALUE"""),41201.645833333336)</f>
        <v>41201.64583</v>
      </c>
      <c r="C534" s="2">
        <f>IFERROR(__xludf.DUMMYFUNCTION("""COMPUTED_VALUE"""),416.02)</f>
        <v>416.02</v>
      </c>
    </row>
    <row r="535" ht="15.75" customHeight="1">
      <c r="B535" s="3">
        <f>IFERROR(__xludf.DUMMYFUNCTION("""COMPUTED_VALUE"""),41208.645833333336)</f>
        <v>41208.64583</v>
      </c>
      <c r="C535" s="2">
        <f>IFERROR(__xludf.DUMMYFUNCTION("""COMPUTED_VALUE"""),405.49)</f>
        <v>405.49</v>
      </c>
    </row>
    <row r="536" ht="15.75" customHeight="1">
      <c r="B536" s="3">
        <f>IFERROR(__xludf.DUMMYFUNCTION("""COMPUTED_VALUE"""),41215.645833333336)</f>
        <v>41215.64583</v>
      </c>
      <c r="C536" s="2">
        <f>IFERROR(__xludf.DUMMYFUNCTION("""COMPUTED_VALUE"""),403.61)</f>
        <v>403.61</v>
      </c>
    </row>
    <row r="537" ht="15.75" customHeight="1">
      <c r="B537" s="3">
        <f>IFERROR(__xludf.DUMMYFUNCTION("""COMPUTED_VALUE"""),41222.645833333336)</f>
        <v>41222.64583</v>
      </c>
      <c r="C537" s="2">
        <f>IFERROR(__xludf.DUMMYFUNCTION("""COMPUTED_VALUE"""),400.66)</f>
        <v>400.66</v>
      </c>
    </row>
    <row r="538" ht="15.75" customHeight="1">
      <c r="B538" s="3">
        <f>IFERROR(__xludf.DUMMYFUNCTION("""COMPUTED_VALUE"""),41229.645833333336)</f>
        <v>41229.64583</v>
      </c>
      <c r="C538" s="2">
        <f>IFERROR(__xludf.DUMMYFUNCTION("""COMPUTED_VALUE"""),392.59)</f>
        <v>392.59</v>
      </c>
    </row>
    <row r="539" ht="15.75" customHeight="1">
      <c r="B539" s="3">
        <f>IFERROR(__xludf.DUMMYFUNCTION("""COMPUTED_VALUE"""),41236.645833333336)</f>
        <v>41236.64583</v>
      </c>
      <c r="C539" s="2">
        <f>IFERROR(__xludf.DUMMYFUNCTION("""COMPUTED_VALUE"""),386.67)</f>
        <v>386.67</v>
      </c>
    </row>
    <row r="540" ht="15.75" customHeight="1">
      <c r="B540" s="3">
        <f>IFERROR(__xludf.DUMMYFUNCTION("""COMPUTED_VALUE"""),41243.645833333336)</f>
        <v>41243.64583</v>
      </c>
      <c r="C540" s="2">
        <f>IFERROR(__xludf.DUMMYFUNCTION("""COMPUTED_VALUE"""),400.19)</f>
        <v>400.19</v>
      </c>
    </row>
    <row r="541" ht="15.75" customHeight="1">
      <c r="B541" s="3">
        <f>IFERROR(__xludf.DUMMYFUNCTION("""COMPUTED_VALUE"""),41250.645833333336)</f>
        <v>41250.64583</v>
      </c>
      <c r="C541" s="2">
        <f>IFERROR(__xludf.DUMMYFUNCTION("""COMPUTED_VALUE"""),420.85)</f>
        <v>420.85</v>
      </c>
    </row>
    <row r="542" ht="15.75" customHeight="1">
      <c r="B542" s="3">
        <f>IFERROR(__xludf.DUMMYFUNCTION("""COMPUTED_VALUE"""),41257.645833333336)</f>
        <v>41257.64583</v>
      </c>
      <c r="C542" s="2">
        <f>IFERROR(__xludf.DUMMYFUNCTION("""COMPUTED_VALUE"""),419.41)</f>
        <v>419.41</v>
      </c>
    </row>
    <row r="543" ht="15.75" customHeight="1">
      <c r="B543" s="3">
        <f>IFERROR(__xludf.DUMMYFUNCTION("""COMPUTED_VALUE"""),41264.645833333336)</f>
        <v>41264.64583</v>
      </c>
      <c r="C543" s="2">
        <f>IFERROR(__xludf.DUMMYFUNCTION("""COMPUTED_VALUE"""),418.22)</f>
        <v>418.22</v>
      </c>
    </row>
    <row r="544" ht="15.75" customHeight="1">
      <c r="B544" s="3">
        <f>IFERROR(__xludf.DUMMYFUNCTION("""COMPUTED_VALUE"""),41271.645833333336)</f>
        <v>41271.64583</v>
      </c>
      <c r="C544" s="2">
        <f>IFERROR(__xludf.DUMMYFUNCTION("""COMPUTED_VALUE"""),419.01)</f>
        <v>419.01</v>
      </c>
    </row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>
      <c r="B551" s="2" t="str">
        <f>IFERROR(__xludf.DUMMYFUNCTION("GOOGLEFINANCE(""NSE:RELIANCE"", ""high"",DATE(2013,1,1),DATE(2014,1,1),""weekly"")"),"Date")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IFERROR(__xludf.DUMMYFUNCTION("""COMPUTED_VALUE"""),41278.645833333336)</f>
        <v>41278.64583</v>
      </c>
      <c r="C552" s="2">
        <f>IFERROR(__xludf.DUMMYFUNCTION("""COMPUTED_VALUE"""),428.23)</f>
        <v>428.23</v>
      </c>
    </row>
    <row r="553" ht="15.75" customHeight="1">
      <c r="B553" s="3">
        <f>IFERROR(__xludf.DUMMYFUNCTION("""COMPUTED_VALUE"""),41285.645833333336)</f>
        <v>41285.64583</v>
      </c>
      <c r="C553" s="2">
        <f>IFERROR(__xludf.DUMMYFUNCTION("""COMPUTED_VALUE"""),431.39)</f>
        <v>431.39</v>
      </c>
    </row>
    <row r="554" ht="15.75" customHeight="1">
      <c r="B554" s="3">
        <f>IFERROR(__xludf.DUMMYFUNCTION("""COMPUTED_VALUE"""),41292.645833333336)</f>
        <v>41292.64583</v>
      </c>
      <c r="C554" s="2">
        <f>IFERROR(__xludf.DUMMYFUNCTION("""COMPUTED_VALUE"""),447.22)</f>
        <v>447.22</v>
      </c>
    </row>
    <row r="555" ht="15.75" customHeight="1">
      <c r="B555" s="3">
        <f>IFERROR(__xludf.DUMMYFUNCTION("""COMPUTED_VALUE"""),41299.645833333336)</f>
        <v>41299.64583</v>
      </c>
      <c r="C555" s="2">
        <f>IFERROR(__xludf.DUMMYFUNCTION("""COMPUTED_VALUE"""),473.0)</f>
        <v>473</v>
      </c>
    </row>
    <row r="556" ht="15.75" customHeight="1">
      <c r="B556" s="3">
        <f>IFERROR(__xludf.DUMMYFUNCTION("""COMPUTED_VALUE"""),41306.645833333336)</f>
        <v>41306.64583</v>
      </c>
      <c r="C556" s="2">
        <f>IFERROR(__xludf.DUMMYFUNCTION("""COMPUTED_VALUE"""),452.27)</f>
        <v>452.27</v>
      </c>
    </row>
    <row r="557" ht="15.75" customHeight="1">
      <c r="B557" s="3">
        <f>IFERROR(__xludf.DUMMYFUNCTION("""COMPUTED_VALUE"""),41313.645833333336)</f>
        <v>41313.64583</v>
      </c>
      <c r="C557" s="2">
        <f>IFERROR(__xludf.DUMMYFUNCTION("""COMPUTED_VALUE"""),446.25)</f>
        <v>446.25</v>
      </c>
    </row>
    <row r="558" ht="15.75" customHeight="1">
      <c r="B558" s="3">
        <f>IFERROR(__xludf.DUMMYFUNCTION("""COMPUTED_VALUE"""),41320.645833333336)</f>
        <v>41320.64583</v>
      </c>
      <c r="C558" s="2">
        <f>IFERROR(__xludf.DUMMYFUNCTION("""COMPUTED_VALUE"""),439.81)</f>
        <v>439.81</v>
      </c>
    </row>
    <row r="559" ht="15.75" customHeight="1">
      <c r="B559" s="3">
        <f>IFERROR(__xludf.DUMMYFUNCTION("""COMPUTED_VALUE"""),41327.645833333336)</f>
        <v>41327.64583</v>
      </c>
      <c r="C559" s="2">
        <f>IFERROR(__xludf.DUMMYFUNCTION("""COMPUTED_VALUE"""),435.28)</f>
        <v>435.28</v>
      </c>
    </row>
    <row r="560" ht="15.75" customHeight="1">
      <c r="B560" s="3">
        <f>IFERROR(__xludf.DUMMYFUNCTION("""COMPUTED_VALUE"""),41334.645833333336)</f>
        <v>41334.64583</v>
      </c>
      <c r="C560" s="2">
        <f>IFERROR(__xludf.DUMMYFUNCTION("""COMPUTED_VALUE"""),428.4)</f>
        <v>428.4</v>
      </c>
    </row>
    <row r="561" ht="15.75" customHeight="1">
      <c r="B561" s="3">
        <f>IFERROR(__xludf.DUMMYFUNCTION("""COMPUTED_VALUE"""),41341.645833333336)</f>
        <v>41341.64583</v>
      </c>
      <c r="C561" s="2">
        <f>IFERROR(__xludf.DUMMYFUNCTION("""COMPUTED_VALUE"""),423.32)</f>
        <v>423.32</v>
      </c>
    </row>
    <row r="562" ht="15.75" customHeight="1">
      <c r="B562" s="3">
        <f>IFERROR(__xludf.DUMMYFUNCTION("""COMPUTED_VALUE"""),41348.645833333336)</f>
        <v>41348.64583</v>
      </c>
      <c r="C562" s="2">
        <f>IFERROR(__xludf.DUMMYFUNCTION("""COMPUTED_VALUE"""),430.6)</f>
        <v>430.6</v>
      </c>
    </row>
    <row r="563" ht="15.75" customHeight="1">
      <c r="B563" s="3">
        <f>IFERROR(__xludf.DUMMYFUNCTION("""COMPUTED_VALUE"""),41355.645833333336)</f>
        <v>41355.64583</v>
      </c>
      <c r="C563" s="2">
        <f>IFERROR(__xludf.DUMMYFUNCTION("""COMPUTED_VALUE"""),417.77)</f>
        <v>417.77</v>
      </c>
    </row>
    <row r="564" ht="15.75" customHeight="1">
      <c r="B564" s="3">
        <f>IFERROR(__xludf.DUMMYFUNCTION("""COMPUTED_VALUE"""),41361.645833333336)</f>
        <v>41361.64583</v>
      </c>
      <c r="C564" s="2">
        <f>IFERROR(__xludf.DUMMYFUNCTION("""COMPUTED_VALUE"""),407.79)</f>
        <v>407.79</v>
      </c>
    </row>
    <row r="565" ht="15.75" customHeight="1">
      <c r="B565" s="3">
        <f>IFERROR(__xludf.DUMMYFUNCTION("""COMPUTED_VALUE"""),41369.645833333336)</f>
        <v>41369.64583</v>
      </c>
      <c r="C565" s="2">
        <f>IFERROR(__xludf.DUMMYFUNCTION("""COMPUTED_VALUE"""),395.73)</f>
        <v>395.73</v>
      </c>
    </row>
    <row r="566" ht="15.75" customHeight="1">
      <c r="B566" s="3">
        <f>IFERROR(__xludf.DUMMYFUNCTION("""COMPUTED_VALUE"""),41376.645833333336)</f>
        <v>41376.64583</v>
      </c>
      <c r="C566" s="2">
        <f>IFERROR(__xludf.DUMMYFUNCTION("""COMPUTED_VALUE"""),394.05)</f>
        <v>394.05</v>
      </c>
    </row>
    <row r="567" ht="15.75" customHeight="1">
      <c r="B567" s="3">
        <f>IFERROR(__xludf.DUMMYFUNCTION("""COMPUTED_VALUE"""),41382.645833333336)</f>
        <v>41382.64583</v>
      </c>
      <c r="C567" s="2">
        <f>IFERROR(__xludf.DUMMYFUNCTION("""COMPUTED_VALUE"""),401.18)</f>
        <v>401.18</v>
      </c>
    </row>
    <row r="568" ht="15.75" customHeight="1">
      <c r="B568" s="3">
        <f>IFERROR(__xludf.DUMMYFUNCTION("""COMPUTED_VALUE"""),41390.645833333336)</f>
        <v>41390.64583</v>
      </c>
      <c r="C568" s="2">
        <f>IFERROR(__xludf.DUMMYFUNCTION("""COMPUTED_VALUE"""),409.4)</f>
        <v>409.4</v>
      </c>
    </row>
    <row r="569" ht="15.75" customHeight="1">
      <c r="B569" s="3">
        <f>IFERROR(__xludf.DUMMYFUNCTION("""COMPUTED_VALUE"""),41397.645833333336)</f>
        <v>41397.64583</v>
      </c>
      <c r="C569" s="2">
        <f>IFERROR(__xludf.DUMMYFUNCTION("""COMPUTED_VALUE"""),404.1)</f>
        <v>404.1</v>
      </c>
    </row>
    <row r="570" ht="15.75" customHeight="1">
      <c r="B570" s="3">
        <f>IFERROR(__xludf.DUMMYFUNCTION("""COMPUTED_VALUE"""),41411.645833333336)</f>
        <v>41411.64583</v>
      </c>
      <c r="C570" s="2">
        <f>IFERROR(__xludf.DUMMYFUNCTION("""COMPUTED_VALUE"""),418.37)</f>
        <v>418.37</v>
      </c>
    </row>
    <row r="571" ht="15.75" customHeight="1">
      <c r="B571" s="3">
        <f>IFERROR(__xludf.DUMMYFUNCTION("""COMPUTED_VALUE"""),41418.645833333336)</f>
        <v>41418.64583</v>
      </c>
      <c r="C571" s="2">
        <f>IFERROR(__xludf.DUMMYFUNCTION("""COMPUTED_VALUE"""),423.47)</f>
        <v>423.47</v>
      </c>
    </row>
    <row r="572" ht="15.75" customHeight="1">
      <c r="B572" s="3">
        <f>IFERROR(__xludf.DUMMYFUNCTION("""COMPUTED_VALUE"""),41425.645833333336)</f>
        <v>41425.64583</v>
      </c>
      <c r="C572" s="2">
        <f>IFERROR(__xludf.DUMMYFUNCTION("""COMPUTED_VALUE"""),420.89)</f>
        <v>420.89</v>
      </c>
    </row>
    <row r="573" ht="15.75" customHeight="1">
      <c r="B573" s="3">
        <f>IFERROR(__xludf.DUMMYFUNCTION("""COMPUTED_VALUE"""),41432.645833333336)</f>
        <v>41432.64583</v>
      </c>
      <c r="C573" s="2">
        <f>IFERROR(__xludf.DUMMYFUNCTION("""COMPUTED_VALUE"""),398.88)</f>
        <v>398.88</v>
      </c>
    </row>
    <row r="574" ht="15.75" customHeight="1">
      <c r="B574" s="3">
        <f>IFERROR(__xludf.DUMMYFUNCTION("""COMPUTED_VALUE"""),41439.645833333336)</f>
        <v>41439.64583</v>
      </c>
      <c r="C574" s="2">
        <f>IFERROR(__xludf.DUMMYFUNCTION("""COMPUTED_VALUE"""),406.06)</f>
        <v>406.06</v>
      </c>
    </row>
    <row r="575" ht="15.75" customHeight="1">
      <c r="B575" s="3">
        <f>IFERROR(__xludf.DUMMYFUNCTION("""COMPUTED_VALUE"""),41446.645833333336)</f>
        <v>41446.64583</v>
      </c>
      <c r="C575" s="2">
        <f>IFERROR(__xludf.DUMMYFUNCTION("""COMPUTED_VALUE"""),414.8)</f>
        <v>414.8</v>
      </c>
    </row>
    <row r="576" ht="15.75" customHeight="1">
      <c r="B576" s="3">
        <f>IFERROR(__xludf.DUMMYFUNCTION("""COMPUTED_VALUE"""),41453.645833333336)</f>
        <v>41453.64583</v>
      </c>
      <c r="C576" s="2">
        <f>IFERROR(__xludf.DUMMYFUNCTION("""COMPUTED_VALUE"""),432.39)</f>
        <v>432.39</v>
      </c>
    </row>
    <row r="577" ht="15.75" customHeight="1">
      <c r="B577" s="3">
        <f>IFERROR(__xludf.DUMMYFUNCTION("""COMPUTED_VALUE"""),41460.645833333336)</f>
        <v>41460.64583</v>
      </c>
      <c r="C577" s="2">
        <f>IFERROR(__xludf.DUMMYFUNCTION("""COMPUTED_VALUE"""),441.7)</f>
        <v>441.7</v>
      </c>
    </row>
    <row r="578" ht="15.75" customHeight="1">
      <c r="B578" s="3">
        <f>IFERROR(__xludf.DUMMYFUNCTION("""COMPUTED_VALUE"""),41467.645833333336)</f>
        <v>41467.64583</v>
      </c>
      <c r="C578" s="2">
        <f>IFERROR(__xludf.DUMMYFUNCTION("""COMPUTED_VALUE"""),443.78)</f>
        <v>443.78</v>
      </c>
    </row>
    <row r="579" ht="15.75" customHeight="1">
      <c r="B579" s="3">
        <f>IFERROR(__xludf.DUMMYFUNCTION("""COMPUTED_VALUE"""),41474.645833333336)</f>
        <v>41474.64583</v>
      </c>
      <c r="C579" s="2">
        <f>IFERROR(__xludf.DUMMYFUNCTION("""COMPUTED_VALUE"""),459.58)</f>
        <v>459.58</v>
      </c>
    </row>
    <row r="580" ht="15.75" customHeight="1">
      <c r="B580" s="3">
        <f>IFERROR(__xludf.DUMMYFUNCTION("""COMPUTED_VALUE"""),41481.645833333336)</f>
        <v>41481.64583</v>
      </c>
      <c r="C580" s="2">
        <f>IFERROR(__xludf.DUMMYFUNCTION("""COMPUTED_VALUE"""),458.14)</f>
        <v>458.14</v>
      </c>
    </row>
    <row r="581" ht="15.75" customHeight="1">
      <c r="B581" s="3">
        <f>IFERROR(__xludf.DUMMYFUNCTION("""COMPUTED_VALUE"""),41488.645833333336)</f>
        <v>41488.64583</v>
      </c>
      <c r="C581" s="2">
        <f>IFERROR(__xludf.DUMMYFUNCTION("""COMPUTED_VALUE"""),445.09)</f>
        <v>445.09</v>
      </c>
    </row>
    <row r="582" ht="15.75" customHeight="1">
      <c r="B582" s="3">
        <f>IFERROR(__xludf.DUMMYFUNCTION("""COMPUTED_VALUE"""),41494.645833333336)</f>
        <v>41494.64583</v>
      </c>
      <c r="C582" s="2">
        <f>IFERROR(__xludf.DUMMYFUNCTION("""COMPUTED_VALUE"""),436.77)</f>
        <v>436.77</v>
      </c>
    </row>
    <row r="583" ht="15.75" customHeight="1">
      <c r="B583" s="3">
        <f>IFERROR(__xludf.DUMMYFUNCTION("""COMPUTED_VALUE"""),41502.645833333336)</f>
        <v>41502.64583</v>
      </c>
      <c r="C583" s="2">
        <f>IFERROR(__xludf.DUMMYFUNCTION("""COMPUTED_VALUE"""),432.31)</f>
        <v>432.31</v>
      </c>
    </row>
    <row r="584" ht="15.75" customHeight="1">
      <c r="B584" s="3">
        <f>IFERROR(__xludf.DUMMYFUNCTION("""COMPUTED_VALUE"""),41509.645833333336)</f>
        <v>41509.64583</v>
      </c>
      <c r="C584" s="2">
        <f>IFERROR(__xludf.DUMMYFUNCTION("""COMPUTED_VALUE"""),413.42)</f>
        <v>413.42</v>
      </c>
    </row>
    <row r="585" ht="15.75" customHeight="1">
      <c r="B585" s="3">
        <f>IFERROR(__xludf.DUMMYFUNCTION("""COMPUTED_VALUE"""),41516.645833333336)</f>
        <v>41516.64583</v>
      </c>
      <c r="C585" s="2">
        <f>IFERROR(__xludf.DUMMYFUNCTION("""COMPUTED_VALUE"""),425.95)</f>
        <v>425.95</v>
      </c>
    </row>
    <row r="586" ht="15.75" customHeight="1">
      <c r="B586" s="3">
        <f>IFERROR(__xludf.DUMMYFUNCTION("""COMPUTED_VALUE"""),41523.645833333336)</f>
        <v>41523.64583</v>
      </c>
      <c r="C586" s="2">
        <f>IFERROR(__xludf.DUMMYFUNCTION("""COMPUTED_VALUE"""),441.65)</f>
        <v>441.65</v>
      </c>
    </row>
    <row r="587" ht="15.75" customHeight="1">
      <c r="B587" s="3">
        <f>IFERROR(__xludf.DUMMYFUNCTION("""COMPUTED_VALUE"""),41530.645833333336)</f>
        <v>41530.64583</v>
      </c>
      <c r="C587" s="2">
        <f>IFERROR(__xludf.DUMMYFUNCTION("""COMPUTED_VALUE"""),446.25)</f>
        <v>446.25</v>
      </c>
    </row>
    <row r="588" ht="15.75" customHeight="1">
      <c r="B588" s="3">
        <f>IFERROR(__xludf.DUMMYFUNCTION("""COMPUTED_VALUE"""),41537.645833333336)</f>
        <v>41537.64583</v>
      </c>
      <c r="C588" s="2">
        <f>IFERROR(__xludf.DUMMYFUNCTION("""COMPUTED_VALUE"""),446.25)</f>
        <v>446.25</v>
      </c>
    </row>
    <row r="589" ht="15.75" customHeight="1">
      <c r="B589" s="3">
        <f>IFERROR(__xludf.DUMMYFUNCTION("""COMPUTED_VALUE"""),41544.645833333336)</f>
        <v>41544.64583</v>
      </c>
      <c r="C589" s="2">
        <f>IFERROR(__xludf.DUMMYFUNCTION("""COMPUTED_VALUE"""),438.11)</f>
        <v>438.11</v>
      </c>
    </row>
    <row r="590" ht="15.75" customHeight="1">
      <c r="B590" s="3">
        <f>IFERROR(__xludf.DUMMYFUNCTION("""COMPUTED_VALUE"""),41551.645833333336)</f>
        <v>41551.64583</v>
      </c>
      <c r="C590" s="2">
        <f>IFERROR(__xludf.DUMMYFUNCTION("""COMPUTED_VALUE"""),425.8)</f>
        <v>425.8</v>
      </c>
    </row>
    <row r="591" ht="15.75" customHeight="1">
      <c r="B591" s="3">
        <f>IFERROR(__xludf.DUMMYFUNCTION("""COMPUTED_VALUE"""),41558.645833333336)</f>
        <v>41558.64583</v>
      </c>
      <c r="C591" s="2">
        <f>IFERROR(__xludf.DUMMYFUNCTION("""COMPUTED_VALUE"""),429.91)</f>
        <v>429.91</v>
      </c>
    </row>
    <row r="592" ht="15.75" customHeight="1">
      <c r="B592" s="3">
        <f>IFERROR(__xludf.DUMMYFUNCTION("""COMPUTED_VALUE"""),41565.645833333336)</f>
        <v>41565.64583</v>
      </c>
      <c r="C592" s="2">
        <f>IFERROR(__xludf.DUMMYFUNCTION("""COMPUTED_VALUE"""),449.72)</f>
        <v>449.72</v>
      </c>
    </row>
    <row r="593" ht="15.75" customHeight="1">
      <c r="B593" s="3">
        <f>IFERROR(__xludf.DUMMYFUNCTION("""COMPUTED_VALUE"""),41572.645833333336)</f>
        <v>41572.64583</v>
      </c>
      <c r="C593" s="2">
        <f>IFERROR(__xludf.DUMMYFUNCTION("""COMPUTED_VALUE"""),453.44)</f>
        <v>453.44</v>
      </c>
    </row>
    <row r="594" ht="15.75" customHeight="1">
      <c r="B594" s="3">
        <f>IFERROR(__xludf.DUMMYFUNCTION("""COMPUTED_VALUE"""),41579.645833333336)</f>
        <v>41579.64583</v>
      </c>
      <c r="C594" s="2">
        <f>IFERROR(__xludf.DUMMYFUNCTION("""COMPUTED_VALUE"""),458.91)</f>
        <v>458.91</v>
      </c>
    </row>
    <row r="595" ht="15.75" customHeight="1">
      <c r="B595" s="3">
        <f>IFERROR(__xludf.DUMMYFUNCTION("""COMPUTED_VALUE"""),41586.645833333336)</f>
        <v>41586.64583</v>
      </c>
      <c r="C595" s="2">
        <f>IFERROR(__xludf.DUMMYFUNCTION("""COMPUTED_VALUE"""),456.51)</f>
        <v>456.51</v>
      </c>
    </row>
    <row r="596" ht="15.75" customHeight="1">
      <c r="B596" s="3">
        <f>IFERROR(__xludf.DUMMYFUNCTION("""COMPUTED_VALUE"""),41592.645833333336)</f>
        <v>41592.64583</v>
      </c>
      <c r="C596" s="2">
        <f>IFERROR(__xludf.DUMMYFUNCTION("""COMPUTED_VALUE"""),436.89)</f>
        <v>436.89</v>
      </c>
    </row>
    <row r="597" ht="15.75" customHeight="1">
      <c r="B597" s="3">
        <f>IFERROR(__xludf.DUMMYFUNCTION("""COMPUTED_VALUE"""),41600.645833333336)</f>
        <v>41600.64583</v>
      </c>
      <c r="C597" s="2">
        <f>IFERROR(__xludf.DUMMYFUNCTION("""COMPUTED_VALUE"""),438.28)</f>
        <v>438.28</v>
      </c>
    </row>
    <row r="598" ht="15.75" customHeight="1">
      <c r="B598" s="3">
        <f>IFERROR(__xludf.DUMMYFUNCTION("""COMPUTED_VALUE"""),41607.645833333336)</f>
        <v>41607.64583</v>
      </c>
      <c r="C598" s="2">
        <f>IFERROR(__xludf.DUMMYFUNCTION("""COMPUTED_VALUE"""),424.39)</f>
        <v>424.39</v>
      </c>
    </row>
    <row r="599" ht="15.75" customHeight="1">
      <c r="B599" s="3">
        <f>IFERROR(__xludf.DUMMYFUNCTION("""COMPUTED_VALUE"""),41614.645833333336)</f>
        <v>41614.64583</v>
      </c>
      <c r="C599" s="2">
        <f>IFERROR(__xludf.DUMMYFUNCTION("""COMPUTED_VALUE"""),434.37)</f>
        <v>434.37</v>
      </c>
    </row>
    <row r="600" ht="15.75" customHeight="1">
      <c r="B600" s="3">
        <f>IFERROR(__xludf.DUMMYFUNCTION("""COMPUTED_VALUE"""),41621.645833333336)</f>
        <v>41621.64583</v>
      </c>
      <c r="C600" s="2">
        <f>IFERROR(__xludf.DUMMYFUNCTION("""COMPUTED_VALUE"""),440.16)</f>
        <v>440.16</v>
      </c>
    </row>
    <row r="601" ht="15.75" customHeight="1">
      <c r="B601" s="3">
        <f>IFERROR(__xludf.DUMMYFUNCTION("""COMPUTED_VALUE"""),41628.645833333336)</f>
        <v>41628.64583</v>
      </c>
      <c r="C601" s="2">
        <f>IFERROR(__xludf.DUMMYFUNCTION("""COMPUTED_VALUE"""),444.77)</f>
        <v>444.77</v>
      </c>
    </row>
    <row r="602" ht="15.75" customHeight="1">
      <c r="B602" s="3">
        <f>IFERROR(__xludf.DUMMYFUNCTION("""COMPUTED_VALUE"""),41635.645833333336)</f>
        <v>41635.64583</v>
      </c>
      <c r="C602" s="2">
        <f>IFERROR(__xludf.DUMMYFUNCTION("""COMPUTED_VALUE"""),450.22)</f>
        <v>450.22</v>
      </c>
    </row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IFERROR(__xludf.DUMMYFUNCTION("GOOGLEFINANCE(""NSE:RELIANCE"", ""high"",DATE(2014,1,1),DATE(2015,1,1),""weekly"")"),"Date")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IFERROR(__xludf.DUMMYFUNCTION("""COMPUTED_VALUE"""),41642.645833333336)</f>
        <v>41642.64583</v>
      </c>
      <c r="C607" s="2">
        <f>IFERROR(__xludf.DUMMYFUNCTION("""COMPUTED_VALUE"""),444.89)</f>
        <v>444.89</v>
      </c>
    </row>
    <row r="608" ht="15.75" customHeight="1">
      <c r="B608" s="3">
        <f>IFERROR(__xludf.DUMMYFUNCTION("""COMPUTED_VALUE"""),41649.645833333336)</f>
        <v>41649.64583</v>
      </c>
      <c r="C608" s="2">
        <f>IFERROR(__xludf.DUMMYFUNCTION("""COMPUTED_VALUE"""),434.02)</f>
        <v>434.02</v>
      </c>
    </row>
    <row r="609" ht="15.75" customHeight="1">
      <c r="B609" s="3">
        <f>IFERROR(__xludf.DUMMYFUNCTION("""COMPUTED_VALUE"""),41656.645833333336)</f>
        <v>41656.64583</v>
      </c>
      <c r="C609" s="2">
        <f>IFERROR(__xludf.DUMMYFUNCTION("""COMPUTED_VALUE"""),444.22)</f>
        <v>444.22</v>
      </c>
    </row>
    <row r="610" ht="15.75" customHeight="1">
      <c r="B610" s="3">
        <f>IFERROR(__xludf.DUMMYFUNCTION("""COMPUTED_VALUE"""),41663.645833333336)</f>
        <v>41663.64583</v>
      </c>
      <c r="C610" s="2">
        <f>IFERROR(__xludf.DUMMYFUNCTION("""COMPUTED_VALUE"""),440.31)</f>
        <v>440.31</v>
      </c>
    </row>
    <row r="611" ht="15.75" customHeight="1">
      <c r="B611" s="3">
        <f>IFERROR(__xludf.DUMMYFUNCTION("""COMPUTED_VALUE"""),41670.645833333336)</f>
        <v>41670.64583</v>
      </c>
      <c r="C611" s="2">
        <f>IFERROR(__xludf.DUMMYFUNCTION("""COMPUTED_VALUE"""),426.34)</f>
        <v>426.34</v>
      </c>
    </row>
    <row r="612" ht="15.75" customHeight="1">
      <c r="B612" s="3">
        <f>IFERROR(__xludf.DUMMYFUNCTION("""COMPUTED_VALUE"""),41677.645833333336)</f>
        <v>41677.64583</v>
      </c>
      <c r="C612" s="2">
        <f>IFERROR(__xludf.DUMMYFUNCTION("""COMPUTED_VALUE"""),410.99)</f>
        <v>410.99</v>
      </c>
    </row>
    <row r="613" ht="15.75" customHeight="1">
      <c r="B613" s="3">
        <f>IFERROR(__xludf.DUMMYFUNCTION("""COMPUTED_VALUE"""),41684.645833333336)</f>
        <v>41684.64583</v>
      </c>
      <c r="C613" s="2">
        <f>IFERROR(__xludf.DUMMYFUNCTION("""COMPUTED_VALUE"""),408.91)</f>
        <v>408.91</v>
      </c>
    </row>
    <row r="614" ht="15.75" customHeight="1">
      <c r="B614" s="3">
        <f>IFERROR(__xludf.DUMMYFUNCTION("""COMPUTED_VALUE"""),41691.645833333336)</f>
        <v>41691.64583</v>
      </c>
      <c r="C614" s="2">
        <f>IFERROR(__xludf.DUMMYFUNCTION("""COMPUTED_VALUE"""),407.13)</f>
        <v>407.13</v>
      </c>
    </row>
    <row r="615" ht="15.75" customHeight="1">
      <c r="B615" s="3">
        <f>IFERROR(__xludf.DUMMYFUNCTION("""COMPUTED_VALUE"""),41698.645833333336)</f>
        <v>41698.64583</v>
      </c>
      <c r="C615" s="2">
        <f>IFERROR(__xludf.DUMMYFUNCTION("""COMPUTED_VALUE"""),404.58)</f>
        <v>404.58</v>
      </c>
    </row>
    <row r="616" ht="15.75" customHeight="1">
      <c r="B616" s="3">
        <f>IFERROR(__xludf.DUMMYFUNCTION("""COMPUTED_VALUE"""),41705.645833333336)</f>
        <v>41705.64583</v>
      </c>
      <c r="C616" s="2">
        <f>IFERROR(__xludf.DUMMYFUNCTION("""COMPUTED_VALUE"""),432.88)</f>
        <v>432.88</v>
      </c>
    </row>
    <row r="617" ht="15.75" customHeight="1">
      <c r="B617" s="3">
        <f>IFERROR(__xludf.DUMMYFUNCTION("""COMPUTED_VALUE"""),41712.645833333336)</f>
        <v>41712.64583</v>
      </c>
      <c r="C617" s="2">
        <f>IFERROR(__xludf.DUMMYFUNCTION("""COMPUTED_VALUE"""),447.57)</f>
        <v>447.57</v>
      </c>
    </row>
    <row r="618" ht="15.75" customHeight="1">
      <c r="B618" s="3">
        <f>IFERROR(__xludf.DUMMYFUNCTION("""COMPUTED_VALUE"""),41726.645833333336)</f>
        <v>41726.64583</v>
      </c>
      <c r="C618" s="2">
        <f>IFERROR(__xludf.DUMMYFUNCTION("""COMPUTED_VALUE"""),455.64)</f>
        <v>455.64</v>
      </c>
    </row>
    <row r="619" ht="15.75" customHeight="1">
      <c r="B619" s="3">
        <f>IFERROR(__xludf.DUMMYFUNCTION("""COMPUTED_VALUE"""),41733.645833333336)</f>
        <v>41733.64583</v>
      </c>
      <c r="C619" s="2">
        <f>IFERROR(__xludf.DUMMYFUNCTION("""COMPUTED_VALUE"""),476.94)</f>
        <v>476.94</v>
      </c>
    </row>
    <row r="620" ht="15.75" customHeight="1">
      <c r="B620" s="3">
        <f>IFERROR(__xludf.DUMMYFUNCTION("""COMPUTED_VALUE"""),41740.645833333336)</f>
        <v>41740.64583</v>
      </c>
      <c r="C620" s="2">
        <f>IFERROR(__xludf.DUMMYFUNCTION("""COMPUTED_VALUE"""),482.36)</f>
        <v>482.36</v>
      </c>
    </row>
    <row r="621" ht="15.75" customHeight="1">
      <c r="B621" s="3">
        <f>IFERROR(__xludf.DUMMYFUNCTION("""COMPUTED_VALUE"""),41746.645833333336)</f>
        <v>41746.64583</v>
      </c>
      <c r="C621" s="2">
        <f>IFERROR(__xludf.DUMMYFUNCTION("""COMPUTED_VALUE"""),476.37)</f>
        <v>476.37</v>
      </c>
    </row>
    <row r="622" ht="15.75" customHeight="1">
      <c r="B622" s="3">
        <f>IFERROR(__xludf.DUMMYFUNCTION("""COMPUTED_VALUE"""),41754.645833333336)</f>
        <v>41754.64583</v>
      </c>
      <c r="C622" s="2">
        <f>IFERROR(__xludf.DUMMYFUNCTION("""COMPUTED_VALUE"""),489.71)</f>
        <v>489.71</v>
      </c>
    </row>
    <row r="623" ht="15.75" customHeight="1">
      <c r="B623" s="3">
        <f>IFERROR(__xludf.DUMMYFUNCTION("""COMPUTED_VALUE"""),41761.645833333336)</f>
        <v>41761.64583</v>
      </c>
      <c r="C623" s="2">
        <f>IFERROR(__xludf.DUMMYFUNCTION("""COMPUTED_VALUE"""),475.48)</f>
        <v>475.48</v>
      </c>
    </row>
    <row r="624" ht="15.75" customHeight="1">
      <c r="B624" s="3">
        <f>IFERROR(__xludf.DUMMYFUNCTION("""COMPUTED_VALUE"""),41768.645833333336)</f>
        <v>41768.64583</v>
      </c>
      <c r="C624" s="2">
        <f>IFERROR(__xludf.DUMMYFUNCTION("""COMPUTED_VALUE"""),494.79)</f>
        <v>494.79</v>
      </c>
    </row>
    <row r="625" ht="15.75" customHeight="1">
      <c r="B625" s="3">
        <f>IFERROR(__xludf.DUMMYFUNCTION("""COMPUTED_VALUE"""),41775.645833333336)</f>
        <v>41775.64583</v>
      </c>
      <c r="C625" s="2">
        <f>IFERROR(__xludf.DUMMYFUNCTION("""COMPUTED_VALUE"""),567.23)</f>
        <v>567.23</v>
      </c>
    </row>
    <row r="626" ht="15.75" customHeight="1">
      <c r="B626" s="3">
        <f>IFERROR(__xludf.DUMMYFUNCTION("""COMPUTED_VALUE"""),41782.645833333336)</f>
        <v>41782.64583</v>
      </c>
      <c r="C626" s="2">
        <f>IFERROR(__xludf.DUMMYFUNCTION("""COMPUTED_VALUE"""),560.66)</f>
        <v>560.66</v>
      </c>
    </row>
    <row r="627" ht="15.75" customHeight="1">
      <c r="B627" s="3">
        <f>IFERROR(__xludf.DUMMYFUNCTION("""COMPUTED_VALUE"""),41789.645833333336)</f>
        <v>41789.64583</v>
      </c>
      <c r="C627" s="2">
        <f>IFERROR(__xludf.DUMMYFUNCTION("""COMPUTED_VALUE"""),564.63)</f>
        <v>564.63</v>
      </c>
    </row>
    <row r="628" ht="15.75" customHeight="1">
      <c r="B628" s="3">
        <f>IFERROR(__xludf.DUMMYFUNCTION("""COMPUTED_VALUE"""),41796.645833333336)</f>
        <v>41796.64583</v>
      </c>
      <c r="C628" s="2">
        <f>IFERROR(__xludf.DUMMYFUNCTION("""COMPUTED_VALUE"""),561.16)</f>
        <v>561.16</v>
      </c>
    </row>
    <row r="629" ht="15.75" customHeight="1">
      <c r="B629" s="3">
        <f>IFERROR(__xludf.DUMMYFUNCTION("""COMPUTED_VALUE"""),41803.645833333336)</f>
        <v>41803.64583</v>
      </c>
      <c r="C629" s="2">
        <f>IFERROR(__xludf.DUMMYFUNCTION("""COMPUTED_VALUE"""),561.01)</f>
        <v>561.01</v>
      </c>
    </row>
    <row r="630" ht="15.75" customHeight="1">
      <c r="B630" s="3">
        <f>IFERROR(__xludf.DUMMYFUNCTION("""COMPUTED_VALUE"""),41810.645833333336)</f>
        <v>41810.64583</v>
      </c>
      <c r="C630" s="2">
        <f>IFERROR(__xludf.DUMMYFUNCTION("""COMPUTED_VALUE"""),545.63)</f>
        <v>545.63</v>
      </c>
    </row>
    <row r="631" ht="15.75" customHeight="1">
      <c r="B631" s="3">
        <f>IFERROR(__xludf.DUMMYFUNCTION("""COMPUTED_VALUE"""),41817.645833333336)</f>
        <v>41817.64583</v>
      </c>
      <c r="C631" s="2">
        <f>IFERROR(__xludf.DUMMYFUNCTION("""COMPUTED_VALUE"""),526.39)</f>
        <v>526.39</v>
      </c>
    </row>
    <row r="632" ht="15.75" customHeight="1">
      <c r="B632" s="3">
        <f>IFERROR(__xludf.DUMMYFUNCTION("""COMPUTED_VALUE"""),41824.645833333336)</f>
        <v>41824.64583</v>
      </c>
      <c r="C632" s="2">
        <f>IFERROR(__xludf.DUMMYFUNCTION("""COMPUTED_VALUE"""),513.51)</f>
        <v>513.51</v>
      </c>
    </row>
    <row r="633" ht="15.75" customHeight="1">
      <c r="B633" s="3">
        <f>IFERROR(__xludf.DUMMYFUNCTION("""COMPUTED_VALUE"""),41831.645833333336)</f>
        <v>41831.64583</v>
      </c>
      <c r="C633" s="2">
        <f>IFERROR(__xludf.DUMMYFUNCTION("""COMPUTED_VALUE"""),513.61)</f>
        <v>513.61</v>
      </c>
    </row>
    <row r="634" ht="15.75" customHeight="1">
      <c r="B634" s="3">
        <f>IFERROR(__xludf.DUMMYFUNCTION("""COMPUTED_VALUE"""),41838.645833333336)</f>
        <v>41838.64583</v>
      </c>
      <c r="C634" s="2">
        <f>IFERROR(__xludf.DUMMYFUNCTION("""COMPUTED_VALUE"""),494.4)</f>
        <v>494.4</v>
      </c>
    </row>
    <row r="635" ht="15.75" customHeight="1">
      <c r="B635" s="3">
        <f>IFERROR(__xludf.DUMMYFUNCTION("""COMPUTED_VALUE"""),41845.645833333336)</f>
        <v>41845.64583</v>
      </c>
      <c r="C635" s="2">
        <f>IFERROR(__xludf.DUMMYFUNCTION("""COMPUTED_VALUE"""),516.73)</f>
        <v>516.73</v>
      </c>
    </row>
    <row r="636" ht="15.75" customHeight="1">
      <c r="B636" s="3">
        <f>IFERROR(__xludf.DUMMYFUNCTION("""COMPUTED_VALUE"""),41852.645833333336)</f>
        <v>41852.64583</v>
      </c>
      <c r="C636" s="2">
        <f>IFERROR(__xludf.DUMMYFUNCTION("""COMPUTED_VALUE"""),506.95)</f>
        <v>506.95</v>
      </c>
    </row>
    <row r="637" ht="15.75" customHeight="1">
      <c r="B637" s="3">
        <f>IFERROR(__xludf.DUMMYFUNCTION("""COMPUTED_VALUE"""),41859.645833333336)</f>
        <v>41859.64583</v>
      </c>
      <c r="C637" s="2">
        <f>IFERROR(__xludf.DUMMYFUNCTION("""COMPUTED_VALUE"""),494.59)</f>
        <v>494.59</v>
      </c>
    </row>
    <row r="638" ht="15.75" customHeight="1">
      <c r="B638" s="3">
        <f>IFERROR(__xludf.DUMMYFUNCTION("""COMPUTED_VALUE"""),41865.645833333336)</f>
        <v>41865.64583</v>
      </c>
      <c r="C638" s="2">
        <f>IFERROR(__xludf.DUMMYFUNCTION("""COMPUTED_VALUE"""),497.76)</f>
        <v>497.76</v>
      </c>
    </row>
    <row r="639" ht="15.75" customHeight="1">
      <c r="B639" s="3">
        <f>IFERROR(__xludf.DUMMYFUNCTION("""COMPUTED_VALUE"""),41873.645833333336)</f>
        <v>41873.64583</v>
      </c>
      <c r="C639" s="2">
        <f>IFERROR(__xludf.DUMMYFUNCTION("""COMPUTED_VALUE"""),506.68)</f>
        <v>506.68</v>
      </c>
    </row>
    <row r="640" ht="15.75" customHeight="1">
      <c r="B640" s="3">
        <f>IFERROR(__xludf.DUMMYFUNCTION("""COMPUTED_VALUE"""),41879.645833333336)</f>
        <v>41879.64583</v>
      </c>
      <c r="C640" s="2">
        <f>IFERROR(__xludf.DUMMYFUNCTION("""COMPUTED_VALUE"""),499.5)</f>
        <v>499.5</v>
      </c>
    </row>
    <row r="641" ht="15.75" customHeight="1">
      <c r="B641" s="3">
        <f>IFERROR(__xludf.DUMMYFUNCTION("""COMPUTED_VALUE"""),41887.645833333336)</f>
        <v>41887.64583</v>
      </c>
      <c r="C641" s="2">
        <f>IFERROR(__xludf.DUMMYFUNCTION("""COMPUTED_VALUE"""),513.09)</f>
        <v>513.09</v>
      </c>
    </row>
    <row r="642" ht="15.75" customHeight="1">
      <c r="B642" s="3">
        <f>IFERROR(__xludf.DUMMYFUNCTION("""COMPUTED_VALUE"""),41894.645833333336)</f>
        <v>41894.64583</v>
      </c>
      <c r="C642" s="2">
        <f>IFERROR(__xludf.DUMMYFUNCTION("""COMPUTED_VALUE"""),515.74)</f>
        <v>515.74</v>
      </c>
    </row>
    <row r="643" ht="15.75" customHeight="1">
      <c r="B643" s="3">
        <f>IFERROR(__xludf.DUMMYFUNCTION("""COMPUTED_VALUE"""),41901.645833333336)</f>
        <v>41901.64583</v>
      </c>
      <c r="C643" s="2">
        <f>IFERROR(__xludf.DUMMYFUNCTION("""COMPUTED_VALUE"""),503.11)</f>
        <v>503.11</v>
      </c>
    </row>
    <row r="644" ht="15.75" customHeight="1">
      <c r="B644" s="3">
        <f>IFERROR(__xludf.DUMMYFUNCTION("""COMPUTED_VALUE"""),41908.645833333336)</f>
        <v>41908.64583</v>
      </c>
      <c r="C644" s="2">
        <f>IFERROR(__xludf.DUMMYFUNCTION("""COMPUTED_VALUE"""),493.31)</f>
        <v>493.31</v>
      </c>
    </row>
    <row r="645" ht="15.75" customHeight="1">
      <c r="B645" s="3">
        <f>IFERROR(__xludf.DUMMYFUNCTION("""COMPUTED_VALUE"""),41913.645833333336)</f>
        <v>41913.64583</v>
      </c>
      <c r="C645" s="2">
        <f>IFERROR(__xludf.DUMMYFUNCTION("""COMPUTED_VALUE"""),469.75)</f>
        <v>469.75</v>
      </c>
    </row>
    <row r="646" ht="15.75" customHeight="1">
      <c r="B646" s="3">
        <f>IFERROR(__xludf.DUMMYFUNCTION("""COMPUTED_VALUE"""),41922.645833333336)</f>
        <v>41922.64583</v>
      </c>
      <c r="C646" s="2">
        <f>IFERROR(__xludf.DUMMYFUNCTION("""COMPUTED_VALUE"""),479.93)</f>
        <v>479.93</v>
      </c>
    </row>
    <row r="647" ht="15.75" customHeight="1">
      <c r="B647" s="3">
        <f>IFERROR(__xludf.DUMMYFUNCTION("""COMPUTED_VALUE"""),41929.645833333336)</f>
        <v>41929.64583</v>
      </c>
      <c r="C647" s="2">
        <f>IFERROR(__xludf.DUMMYFUNCTION("""COMPUTED_VALUE"""),484.89)</f>
        <v>484.89</v>
      </c>
    </row>
    <row r="648" ht="15.75" customHeight="1">
      <c r="B648" s="3">
        <f>IFERROR(__xludf.DUMMYFUNCTION("""COMPUTED_VALUE"""),41935.645833333336)</f>
        <v>41935.64583</v>
      </c>
      <c r="C648" s="2">
        <f>IFERROR(__xludf.DUMMYFUNCTION("""COMPUTED_VALUE"""),472.75)</f>
        <v>472.75</v>
      </c>
    </row>
    <row r="649" ht="15.75" customHeight="1">
      <c r="B649" s="3">
        <f>IFERROR(__xludf.DUMMYFUNCTION("""COMPUTED_VALUE"""),41943.645833333336)</f>
        <v>41943.64583</v>
      </c>
      <c r="C649" s="2">
        <f>IFERROR(__xludf.DUMMYFUNCTION("""COMPUTED_VALUE"""),497.12)</f>
        <v>497.12</v>
      </c>
    </row>
    <row r="650" ht="15.75" customHeight="1">
      <c r="B650" s="3">
        <f>IFERROR(__xludf.DUMMYFUNCTION("""COMPUTED_VALUE"""),41950.645833333336)</f>
        <v>41950.64583</v>
      </c>
      <c r="C650" s="2">
        <f>IFERROR(__xludf.DUMMYFUNCTION("""COMPUTED_VALUE"""),499.74)</f>
        <v>499.74</v>
      </c>
    </row>
    <row r="651" ht="15.75" customHeight="1">
      <c r="B651" s="3">
        <f>IFERROR(__xludf.DUMMYFUNCTION("""COMPUTED_VALUE"""),41957.64583333333)</f>
        <v>41957.64583</v>
      </c>
      <c r="C651" s="2">
        <f>IFERROR(__xludf.DUMMYFUNCTION("""COMPUTED_VALUE"""),490.23)</f>
        <v>490.23</v>
      </c>
    </row>
    <row r="652" ht="15.75" customHeight="1">
      <c r="B652" s="3">
        <f>IFERROR(__xludf.DUMMYFUNCTION("""COMPUTED_VALUE"""),41964.64583333333)</f>
        <v>41964.64583</v>
      </c>
      <c r="C652" s="2">
        <f>IFERROR(__xludf.DUMMYFUNCTION("""COMPUTED_VALUE"""),495.78)</f>
        <v>495.78</v>
      </c>
    </row>
    <row r="653" ht="15.75" customHeight="1">
      <c r="B653" s="3">
        <f>IFERROR(__xludf.DUMMYFUNCTION("""COMPUTED_VALUE"""),41971.64583333333)</f>
        <v>41971.64583</v>
      </c>
      <c r="C653" s="2">
        <f>IFERROR(__xludf.DUMMYFUNCTION("""COMPUTED_VALUE"""),503.88)</f>
        <v>503.88</v>
      </c>
    </row>
    <row r="654" ht="15.75" customHeight="1">
      <c r="B654" s="3">
        <f>IFERROR(__xludf.DUMMYFUNCTION("""COMPUTED_VALUE"""),41978.64583333333)</f>
        <v>41978.64583</v>
      </c>
      <c r="C654" s="2">
        <f>IFERROR(__xludf.DUMMYFUNCTION("""COMPUTED_VALUE"""),491.3)</f>
        <v>491.3</v>
      </c>
    </row>
    <row r="655" ht="15.75" customHeight="1">
      <c r="B655" s="3">
        <f>IFERROR(__xludf.DUMMYFUNCTION("""COMPUTED_VALUE"""),41985.64583333333)</f>
        <v>41985.64583</v>
      </c>
      <c r="C655" s="2">
        <f>IFERROR(__xludf.DUMMYFUNCTION("""COMPUTED_VALUE"""),476.89)</f>
        <v>476.89</v>
      </c>
    </row>
    <row r="656" ht="15.75" customHeight="1">
      <c r="B656" s="3">
        <f>IFERROR(__xludf.DUMMYFUNCTION("""COMPUTED_VALUE"""),41992.64583333333)</f>
        <v>41992.64583</v>
      </c>
      <c r="C656" s="2">
        <f>IFERROR(__xludf.DUMMYFUNCTION("""COMPUTED_VALUE"""),449.92)</f>
        <v>449.92</v>
      </c>
    </row>
    <row r="657" ht="15.75" customHeight="1">
      <c r="B657" s="3">
        <f>IFERROR(__xludf.DUMMYFUNCTION("""COMPUTED_VALUE"""),41999.64583333333)</f>
        <v>41999.64583</v>
      </c>
      <c r="C657" s="2">
        <f>IFERROR(__xludf.DUMMYFUNCTION("""COMPUTED_VALUE"""),449.13)</f>
        <v>449.13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IFERROR(__xludf.DUMMYFUNCTION("GOOGLEFINANCE(""NSE:RELIANCE"", ""high"",DATE(2015,1,1),DATE(2016,1,1),""weekly"")"),"Date")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IFERROR(__xludf.DUMMYFUNCTION("""COMPUTED_VALUE"""),42006.64583333333)</f>
        <v>42006.64583</v>
      </c>
      <c r="C662" s="2">
        <f>IFERROR(__xludf.DUMMYFUNCTION("""COMPUTED_VALUE"""),445.29)</f>
        <v>445.29</v>
      </c>
    </row>
    <row r="663" ht="15.75" customHeight="1">
      <c r="B663" s="3">
        <f>IFERROR(__xludf.DUMMYFUNCTION("""COMPUTED_VALUE"""),42013.64583333333)</f>
        <v>42013.64583</v>
      </c>
      <c r="C663" s="2">
        <f>IFERROR(__xludf.DUMMYFUNCTION("""COMPUTED_VALUE"""),441.25)</f>
        <v>441.25</v>
      </c>
    </row>
    <row r="664" ht="15.75" customHeight="1">
      <c r="B664" s="3">
        <f>IFERROR(__xludf.DUMMYFUNCTION("""COMPUTED_VALUE"""),42020.64583333333)</f>
        <v>42020.64583</v>
      </c>
      <c r="C664" s="2">
        <f>IFERROR(__xludf.DUMMYFUNCTION("""COMPUTED_VALUE"""),433.38)</f>
        <v>433.38</v>
      </c>
    </row>
    <row r="665" ht="15.75" customHeight="1">
      <c r="B665" s="3">
        <f>IFERROR(__xludf.DUMMYFUNCTION("""COMPUTED_VALUE"""),42027.64583333333)</f>
        <v>42027.64583</v>
      </c>
      <c r="C665" s="2">
        <f>IFERROR(__xludf.DUMMYFUNCTION("""COMPUTED_VALUE"""),451.4)</f>
        <v>451.4</v>
      </c>
    </row>
    <row r="666" ht="15.75" customHeight="1">
      <c r="B666" s="3">
        <f>IFERROR(__xludf.DUMMYFUNCTION("""COMPUTED_VALUE"""),42034.64583333333)</f>
        <v>42034.64583</v>
      </c>
      <c r="C666" s="2">
        <f>IFERROR(__xludf.DUMMYFUNCTION("""COMPUTED_VALUE"""),462.85)</f>
        <v>462.85</v>
      </c>
    </row>
    <row r="667" ht="15.75" customHeight="1">
      <c r="B667" s="3">
        <f>IFERROR(__xludf.DUMMYFUNCTION("""COMPUTED_VALUE"""),42041.64583333333)</f>
        <v>42041.64583</v>
      </c>
      <c r="C667" s="2">
        <f>IFERROR(__xludf.DUMMYFUNCTION("""COMPUTED_VALUE"""),467.45)</f>
        <v>467.45</v>
      </c>
    </row>
    <row r="668" ht="15.75" customHeight="1">
      <c r="B668" s="3">
        <f>IFERROR(__xludf.DUMMYFUNCTION("""COMPUTED_VALUE"""),42048.64583333333)</f>
        <v>42048.64583</v>
      </c>
      <c r="C668" s="2">
        <f>IFERROR(__xludf.DUMMYFUNCTION("""COMPUTED_VALUE"""),456.06)</f>
        <v>456.06</v>
      </c>
    </row>
    <row r="669" ht="15.75" customHeight="1">
      <c r="B669" s="3">
        <f>IFERROR(__xludf.DUMMYFUNCTION("""COMPUTED_VALUE"""),42055.64583333333)</f>
        <v>42055.64583</v>
      </c>
      <c r="C669" s="2">
        <f>IFERROR(__xludf.DUMMYFUNCTION("""COMPUTED_VALUE"""),457.74)</f>
        <v>457.74</v>
      </c>
    </row>
    <row r="670" ht="15.75" customHeight="1">
      <c r="B670" s="3">
        <f>IFERROR(__xludf.DUMMYFUNCTION("""COMPUTED_VALUE"""),42068.64583333333)</f>
        <v>42068.64583</v>
      </c>
      <c r="C670" s="2">
        <f>IFERROR(__xludf.DUMMYFUNCTION("""COMPUTED_VALUE"""),450.54)</f>
        <v>450.54</v>
      </c>
    </row>
    <row r="671" ht="15.75" customHeight="1">
      <c r="B671" s="3">
        <f>IFERROR(__xludf.DUMMYFUNCTION("""COMPUTED_VALUE"""),42076.64583333333)</f>
        <v>42076.64583</v>
      </c>
      <c r="C671" s="2">
        <f>IFERROR(__xludf.DUMMYFUNCTION("""COMPUTED_VALUE"""),441.67)</f>
        <v>441.67</v>
      </c>
    </row>
    <row r="672" ht="15.75" customHeight="1">
      <c r="B672" s="3">
        <f>IFERROR(__xludf.DUMMYFUNCTION("""COMPUTED_VALUE"""),42090.64583333333)</f>
        <v>42090.64583</v>
      </c>
      <c r="C672" s="2">
        <f>IFERROR(__xludf.DUMMYFUNCTION("""COMPUTED_VALUE"""),427.93)</f>
        <v>427.93</v>
      </c>
    </row>
    <row r="673" ht="15.75" customHeight="1">
      <c r="B673" s="3">
        <f>IFERROR(__xludf.DUMMYFUNCTION("""COMPUTED_VALUE"""),42095.64583333333)</f>
        <v>42095.64583</v>
      </c>
      <c r="C673" s="2">
        <f>IFERROR(__xludf.DUMMYFUNCTION("""COMPUTED_VALUE"""),415.55)</f>
        <v>415.55</v>
      </c>
    </row>
    <row r="674" ht="15.75" customHeight="1">
      <c r="B674" s="3">
        <f>IFERROR(__xludf.DUMMYFUNCTION("""COMPUTED_VALUE"""),42104.64583333333)</f>
        <v>42104.64583</v>
      </c>
      <c r="C674" s="2">
        <f>IFERROR(__xludf.DUMMYFUNCTION("""COMPUTED_VALUE"""),450.12)</f>
        <v>450.12</v>
      </c>
    </row>
    <row r="675" ht="15.75" customHeight="1">
      <c r="B675" s="3">
        <f>IFERROR(__xludf.DUMMYFUNCTION("""COMPUTED_VALUE"""),42111.64583333333)</f>
        <v>42111.64583</v>
      </c>
      <c r="C675" s="2">
        <f>IFERROR(__xludf.DUMMYFUNCTION("""COMPUTED_VALUE"""),467.7)</f>
        <v>467.7</v>
      </c>
    </row>
    <row r="676" ht="15.75" customHeight="1">
      <c r="B676" s="3">
        <f>IFERROR(__xludf.DUMMYFUNCTION("""COMPUTED_VALUE"""),42118.64583333333)</f>
        <v>42118.64583</v>
      </c>
      <c r="C676" s="2">
        <f>IFERROR(__xludf.DUMMYFUNCTION("""COMPUTED_VALUE"""),464.31)</f>
        <v>464.31</v>
      </c>
    </row>
    <row r="677" ht="15.75" customHeight="1">
      <c r="B677" s="3">
        <f>IFERROR(__xludf.DUMMYFUNCTION("""COMPUTED_VALUE"""),42124.64583333333)</f>
        <v>42124.64583</v>
      </c>
      <c r="C677" s="2">
        <f>IFERROR(__xludf.DUMMYFUNCTION("""COMPUTED_VALUE"""),439.57)</f>
        <v>439.57</v>
      </c>
    </row>
    <row r="678" ht="15.75" customHeight="1">
      <c r="B678" s="3">
        <f>IFERROR(__xludf.DUMMYFUNCTION("""COMPUTED_VALUE"""),42132.64583333333)</f>
        <v>42132.64583</v>
      </c>
      <c r="C678" s="2">
        <f>IFERROR(__xludf.DUMMYFUNCTION("""COMPUTED_VALUE"""),446.65)</f>
        <v>446.65</v>
      </c>
    </row>
    <row r="679" ht="15.75" customHeight="1">
      <c r="B679" s="3">
        <f>IFERROR(__xludf.DUMMYFUNCTION("""COMPUTED_VALUE"""),42139.64583333333)</f>
        <v>42139.64583</v>
      </c>
      <c r="C679" s="2">
        <f>IFERROR(__xludf.DUMMYFUNCTION("""COMPUTED_VALUE"""),445.49)</f>
        <v>445.49</v>
      </c>
    </row>
    <row r="680" ht="15.75" customHeight="1">
      <c r="B680" s="3">
        <f>IFERROR(__xludf.DUMMYFUNCTION("""COMPUTED_VALUE"""),42146.64583333333)</f>
        <v>42146.64583</v>
      </c>
      <c r="C680" s="2">
        <f>IFERROR(__xludf.DUMMYFUNCTION("""COMPUTED_VALUE"""),453.39)</f>
        <v>453.39</v>
      </c>
    </row>
    <row r="681" ht="15.75" customHeight="1">
      <c r="B681" s="3">
        <f>IFERROR(__xludf.DUMMYFUNCTION("""COMPUTED_VALUE"""),42153.64583333333)</f>
        <v>42153.64583</v>
      </c>
      <c r="C681" s="2">
        <f>IFERROR(__xludf.DUMMYFUNCTION("""COMPUTED_VALUE"""),449.72)</f>
        <v>449.72</v>
      </c>
    </row>
    <row r="682" ht="15.75" customHeight="1">
      <c r="B682" s="3">
        <f>IFERROR(__xludf.DUMMYFUNCTION("""COMPUTED_VALUE"""),42160.64583333333)</f>
        <v>42160.64583</v>
      </c>
      <c r="C682" s="2">
        <f>IFERROR(__xludf.DUMMYFUNCTION("""COMPUTED_VALUE"""),455.07)</f>
        <v>455.07</v>
      </c>
    </row>
    <row r="683" ht="15.75" customHeight="1">
      <c r="B683" s="3">
        <f>IFERROR(__xludf.DUMMYFUNCTION("""COMPUTED_VALUE"""),42167.64583333333)</f>
        <v>42167.64583</v>
      </c>
      <c r="C683" s="2">
        <f>IFERROR(__xludf.DUMMYFUNCTION("""COMPUTED_VALUE"""),450.71)</f>
        <v>450.71</v>
      </c>
    </row>
    <row r="684" ht="15.75" customHeight="1">
      <c r="B684" s="3">
        <f>IFERROR(__xludf.DUMMYFUNCTION("""COMPUTED_VALUE"""),42174.64583333333)</f>
        <v>42174.64583</v>
      </c>
      <c r="C684" s="2">
        <f>IFERROR(__xludf.DUMMYFUNCTION("""COMPUTED_VALUE"""),498.46)</f>
        <v>498.46</v>
      </c>
    </row>
    <row r="685" ht="15.75" customHeight="1">
      <c r="B685" s="3">
        <f>IFERROR(__xludf.DUMMYFUNCTION("""COMPUTED_VALUE"""),42181.64583333333)</f>
        <v>42181.64583</v>
      </c>
      <c r="C685" s="2">
        <f>IFERROR(__xludf.DUMMYFUNCTION("""COMPUTED_VALUE"""),502.27)</f>
        <v>502.27</v>
      </c>
    </row>
    <row r="686" ht="15.75" customHeight="1">
      <c r="B686" s="3">
        <f>IFERROR(__xludf.DUMMYFUNCTION("""COMPUTED_VALUE"""),42188.64583333333)</f>
        <v>42188.64583</v>
      </c>
      <c r="C686" s="2">
        <f>IFERROR(__xludf.DUMMYFUNCTION("""COMPUTED_VALUE"""),505.07)</f>
        <v>505.07</v>
      </c>
    </row>
    <row r="687" ht="15.75" customHeight="1">
      <c r="B687" s="3">
        <f>IFERROR(__xludf.DUMMYFUNCTION("""COMPUTED_VALUE"""),42195.64583333333)</f>
        <v>42195.64583</v>
      </c>
      <c r="C687" s="2">
        <f>IFERROR(__xludf.DUMMYFUNCTION("""COMPUTED_VALUE"""),504.65)</f>
        <v>504.65</v>
      </c>
    </row>
    <row r="688" ht="15.75" customHeight="1">
      <c r="B688" s="3">
        <f>IFERROR(__xludf.DUMMYFUNCTION("""COMPUTED_VALUE"""),42202.64583333333)</f>
        <v>42202.64583</v>
      </c>
      <c r="C688" s="2">
        <f>IFERROR(__xludf.DUMMYFUNCTION("""COMPUTED_VALUE"""),510.72)</f>
        <v>510.72</v>
      </c>
    </row>
    <row r="689" ht="15.75" customHeight="1">
      <c r="B689" s="3">
        <f>IFERROR(__xludf.DUMMYFUNCTION("""COMPUTED_VALUE"""),42209.64583333333)</f>
        <v>42209.64583</v>
      </c>
      <c r="C689" s="2">
        <f>IFERROR(__xludf.DUMMYFUNCTION("""COMPUTED_VALUE"""),528.89)</f>
        <v>528.89</v>
      </c>
    </row>
    <row r="690" ht="15.75" customHeight="1">
      <c r="B690" s="3">
        <f>IFERROR(__xludf.DUMMYFUNCTION("""COMPUTED_VALUE"""),42216.64583333333)</f>
        <v>42216.64583</v>
      </c>
      <c r="C690" s="2">
        <f>IFERROR(__xludf.DUMMYFUNCTION("""COMPUTED_VALUE"""),510.1)</f>
        <v>510.1</v>
      </c>
    </row>
    <row r="691" ht="15.75" customHeight="1">
      <c r="B691" s="3">
        <f>IFERROR(__xludf.DUMMYFUNCTION("""COMPUTED_VALUE"""),42223.64583333333)</f>
        <v>42223.64583</v>
      </c>
      <c r="C691" s="2">
        <f>IFERROR(__xludf.DUMMYFUNCTION("""COMPUTED_VALUE"""),502.15)</f>
        <v>502.15</v>
      </c>
    </row>
    <row r="692" ht="15.75" customHeight="1">
      <c r="B692" s="3">
        <f>IFERROR(__xludf.DUMMYFUNCTION("""COMPUTED_VALUE"""),42230.64583333333)</f>
        <v>42230.64583</v>
      </c>
      <c r="C692" s="2">
        <f>IFERROR(__xludf.DUMMYFUNCTION("""COMPUTED_VALUE"""),489.74)</f>
        <v>489.74</v>
      </c>
    </row>
    <row r="693" ht="15.75" customHeight="1">
      <c r="B693" s="3">
        <f>IFERROR(__xludf.DUMMYFUNCTION("""COMPUTED_VALUE"""),42237.64583333333)</f>
        <v>42237.64583</v>
      </c>
      <c r="C693" s="2">
        <f>IFERROR(__xludf.DUMMYFUNCTION("""COMPUTED_VALUE"""),478.45)</f>
        <v>478.45</v>
      </c>
    </row>
    <row r="694" ht="15.75" customHeight="1">
      <c r="B694" s="3">
        <f>IFERROR(__xludf.DUMMYFUNCTION("""COMPUTED_VALUE"""),42244.64583333333)</f>
        <v>42244.64583</v>
      </c>
      <c r="C694" s="2">
        <f>IFERROR(__xludf.DUMMYFUNCTION("""COMPUTED_VALUE"""),437.34)</f>
        <v>437.34</v>
      </c>
    </row>
    <row r="695" ht="15.75" customHeight="1">
      <c r="B695" s="3">
        <f>IFERROR(__xludf.DUMMYFUNCTION("""COMPUTED_VALUE"""),42251.64583333333)</f>
        <v>42251.64583</v>
      </c>
      <c r="C695" s="2">
        <f>IFERROR(__xludf.DUMMYFUNCTION("""COMPUTED_VALUE"""),432.31)</f>
        <v>432.31</v>
      </c>
    </row>
    <row r="696" ht="15.75" customHeight="1">
      <c r="B696" s="3">
        <f>IFERROR(__xludf.DUMMYFUNCTION("""COMPUTED_VALUE"""),42258.64583333333)</f>
        <v>42258.64583</v>
      </c>
      <c r="C696" s="2">
        <f>IFERROR(__xludf.DUMMYFUNCTION("""COMPUTED_VALUE"""),435.21)</f>
        <v>435.21</v>
      </c>
    </row>
    <row r="697" ht="15.75" customHeight="1">
      <c r="B697" s="3">
        <f>IFERROR(__xludf.DUMMYFUNCTION("""COMPUTED_VALUE"""),42265.64583333333)</f>
        <v>42265.64583</v>
      </c>
      <c r="C697" s="2">
        <f>IFERROR(__xludf.DUMMYFUNCTION("""COMPUTED_VALUE"""),445.51)</f>
        <v>445.51</v>
      </c>
    </row>
    <row r="698" ht="15.75" customHeight="1">
      <c r="B698" s="3">
        <f>IFERROR(__xludf.DUMMYFUNCTION("""COMPUTED_VALUE"""),42271.64583333333)</f>
        <v>42271.64583</v>
      </c>
      <c r="C698" s="2">
        <f>IFERROR(__xludf.DUMMYFUNCTION("""COMPUTED_VALUE"""),439.91)</f>
        <v>439.91</v>
      </c>
    </row>
    <row r="699" ht="15.75" customHeight="1">
      <c r="B699" s="3">
        <f>IFERROR(__xludf.DUMMYFUNCTION("""COMPUTED_VALUE"""),42278.64583333333)</f>
        <v>42278.64583</v>
      </c>
      <c r="C699" s="2">
        <f>IFERROR(__xludf.DUMMYFUNCTION("""COMPUTED_VALUE"""),432.86)</f>
        <v>432.86</v>
      </c>
    </row>
    <row r="700" ht="15.75" customHeight="1">
      <c r="B700" s="3">
        <f>IFERROR(__xludf.DUMMYFUNCTION("""COMPUTED_VALUE"""),42286.64583333333)</f>
        <v>42286.64583</v>
      </c>
      <c r="C700" s="2">
        <f>IFERROR(__xludf.DUMMYFUNCTION("""COMPUTED_VALUE"""),454.7)</f>
        <v>454.7</v>
      </c>
    </row>
    <row r="701" ht="15.75" customHeight="1">
      <c r="B701" s="3">
        <f>IFERROR(__xludf.DUMMYFUNCTION("""COMPUTED_VALUE"""),42293.64583333333)</f>
        <v>42293.64583</v>
      </c>
      <c r="C701" s="2">
        <f>IFERROR(__xludf.DUMMYFUNCTION("""COMPUTED_VALUE"""),453.09)</f>
        <v>453.09</v>
      </c>
    </row>
    <row r="702" ht="15.75" customHeight="1">
      <c r="B702" s="3">
        <f>IFERROR(__xludf.DUMMYFUNCTION("""COMPUTED_VALUE"""),42300.64583333333)</f>
        <v>42300.64583</v>
      </c>
      <c r="C702" s="2">
        <f>IFERROR(__xludf.DUMMYFUNCTION("""COMPUTED_VALUE"""),482.81)</f>
        <v>482.81</v>
      </c>
    </row>
    <row r="703" ht="15.75" customHeight="1">
      <c r="B703" s="3">
        <f>IFERROR(__xludf.DUMMYFUNCTION("""COMPUTED_VALUE"""),42307.64583333333)</f>
        <v>42307.64583</v>
      </c>
      <c r="C703" s="2">
        <f>IFERROR(__xludf.DUMMYFUNCTION("""COMPUTED_VALUE"""),476.96)</f>
        <v>476.96</v>
      </c>
    </row>
    <row r="704" ht="15.75" customHeight="1">
      <c r="B704" s="3">
        <f>IFERROR(__xludf.DUMMYFUNCTION("""COMPUTED_VALUE"""),42314.64583333333)</f>
        <v>42314.64583</v>
      </c>
      <c r="C704" s="2">
        <f>IFERROR(__xludf.DUMMYFUNCTION("""COMPUTED_VALUE"""),482.9)</f>
        <v>482.9</v>
      </c>
    </row>
    <row r="705" ht="15.75" customHeight="1">
      <c r="B705" s="3">
        <f>IFERROR(__xludf.DUMMYFUNCTION("""COMPUTED_VALUE"""),42321.64583333333)</f>
        <v>42321.64583</v>
      </c>
      <c r="C705" s="2">
        <f>IFERROR(__xludf.DUMMYFUNCTION("""COMPUTED_VALUE"""),477.95)</f>
        <v>477.95</v>
      </c>
    </row>
    <row r="706" ht="15.75" customHeight="1">
      <c r="B706" s="3">
        <f>IFERROR(__xludf.DUMMYFUNCTION("""COMPUTED_VALUE"""),42328.64583333333)</f>
        <v>42328.64583</v>
      </c>
      <c r="C706" s="2">
        <f>IFERROR(__xludf.DUMMYFUNCTION("""COMPUTED_VALUE"""),471.91)</f>
        <v>471.91</v>
      </c>
    </row>
    <row r="707" ht="15.75" customHeight="1">
      <c r="B707" s="3">
        <f>IFERROR(__xludf.DUMMYFUNCTION("""COMPUTED_VALUE"""),42335.64583333333)</f>
        <v>42335.64583</v>
      </c>
      <c r="C707" s="2">
        <f>IFERROR(__xludf.DUMMYFUNCTION("""COMPUTED_VALUE"""),491.57)</f>
        <v>491.57</v>
      </c>
    </row>
    <row r="708" ht="15.75" customHeight="1">
      <c r="B708" s="3">
        <f>IFERROR(__xludf.DUMMYFUNCTION("""COMPUTED_VALUE"""),42342.64583333333)</f>
        <v>42342.64583</v>
      </c>
      <c r="C708" s="2">
        <f>IFERROR(__xludf.DUMMYFUNCTION("""COMPUTED_VALUE"""),489.81)</f>
        <v>489.81</v>
      </c>
    </row>
    <row r="709" ht="15.75" customHeight="1">
      <c r="B709" s="3">
        <f>IFERROR(__xludf.DUMMYFUNCTION("""COMPUTED_VALUE"""),42349.64583333333)</f>
        <v>42349.64583</v>
      </c>
      <c r="C709" s="2">
        <f>IFERROR(__xludf.DUMMYFUNCTION("""COMPUTED_VALUE"""),481.91)</f>
        <v>481.91</v>
      </c>
    </row>
    <row r="710" ht="15.75" customHeight="1">
      <c r="B710" s="3">
        <f>IFERROR(__xludf.DUMMYFUNCTION("""COMPUTED_VALUE"""),42356.64583333333)</f>
        <v>42356.64583</v>
      </c>
      <c r="C710" s="2">
        <f>IFERROR(__xludf.DUMMYFUNCTION("""COMPUTED_VALUE"""),502.72)</f>
        <v>502.72</v>
      </c>
    </row>
    <row r="711" ht="15.75" customHeight="1">
      <c r="B711" s="3">
        <f>IFERROR(__xludf.DUMMYFUNCTION("""COMPUTED_VALUE"""),42362.64583333333)</f>
        <v>42362.64583</v>
      </c>
      <c r="C711" s="2">
        <f>IFERROR(__xludf.DUMMYFUNCTION("""COMPUTED_VALUE"""),498.85)</f>
        <v>498.85</v>
      </c>
    </row>
    <row r="712" ht="15.75" customHeight="1">
      <c r="B712" s="3">
        <f>IFERROR(__xludf.DUMMYFUNCTION("""COMPUTED_VALUE"""),42370.64583333333)</f>
        <v>42370.64583</v>
      </c>
      <c r="C712" s="2">
        <f>IFERROR(__xludf.DUMMYFUNCTION("""COMPUTED_VALUE"""),505.04)</f>
        <v>505.04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IFERROR(__xludf.DUMMYFUNCTION("GOOGLEFINANCE(""NSE:RELIANCE"", ""high"",DATE(2016,1,1),DATE(2017,1,1),""weekly"")"),"Date")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IFERROR(__xludf.DUMMYFUNCTION("""COMPUTED_VALUE"""),42377.64583333333)</f>
        <v>42377.64583</v>
      </c>
      <c r="C717" s="2">
        <f>IFERROR(__xludf.DUMMYFUNCTION("""COMPUTED_VALUE"""),514.31)</f>
        <v>514.31</v>
      </c>
    </row>
    <row r="718" ht="15.75" customHeight="1">
      <c r="B718" s="3">
        <f>IFERROR(__xludf.DUMMYFUNCTION("""COMPUTED_VALUE"""),42384.64583333333)</f>
        <v>42384.64583</v>
      </c>
      <c r="C718" s="2">
        <f>IFERROR(__xludf.DUMMYFUNCTION("""COMPUTED_VALUE"""),539.74)</f>
        <v>539.74</v>
      </c>
    </row>
    <row r="719" ht="15.75" customHeight="1">
      <c r="B719" s="3">
        <f>IFERROR(__xludf.DUMMYFUNCTION("""COMPUTED_VALUE"""),42391.64583333333)</f>
        <v>42391.64583</v>
      </c>
      <c r="C719" s="2">
        <f>IFERROR(__xludf.DUMMYFUNCTION("""COMPUTED_VALUE"""),536.87)</f>
        <v>536.87</v>
      </c>
    </row>
    <row r="720" ht="15.75" customHeight="1">
      <c r="B720" s="3">
        <f>IFERROR(__xludf.DUMMYFUNCTION("""COMPUTED_VALUE"""),42398.64583333333)</f>
        <v>42398.64583</v>
      </c>
      <c r="C720" s="2">
        <f>IFERROR(__xludf.DUMMYFUNCTION("""COMPUTED_VALUE"""),515.1)</f>
        <v>515.1</v>
      </c>
    </row>
    <row r="721" ht="15.75" customHeight="1">
      <c r="B721" s="3">
        <f>IFERROR(__xludf.DUMMYFUNCTION("""COMPUTED_VALUE"""),42405.64583333333)</f>
        <v>42405.64583</v>
      </c>
      <c r="C721" s="2">
        <f>IFERROR(__xludf.DUMMYFUNCTION("""COMPUTED_VALUE"""),515.99)</f>
        <v>515.99</v>
      </c>
    </row>
    <row r="722" ht="15.75" customHeight="1">
      <c r="B722" s="3">
        <f>IFERROR(__xludf.DUMMYFUNCTION("""COMPUTED_VALUE"""),42412.64583333333)</f>
        <v>42412.64583</v>
      </c>
      <c r="C722" s="2">
        <f>IFERROR(__xludf.DUMMYFUNCTION("""COMPUTED_VALUE"""),487.76)</f>
        <v>487.76</v>
      </c>
    </row>
    <row r="723" ht="15.75" customHeight="1">
      <c r="B723" s="3">
        <f>IFERROR(__xludf.DUMMYFUNCTION("""COMPUTED_VALUE"""),42419.64583333333)</f>
        <v>42419.64583</v>
      </c>
      <c r="C723" s="2">
        <f>IFERROR(__xludf.DUMMYFUNCTION("""COMPUTED_VALUE"""),479.78)</f>
        <v>479.78</v>
      </c>
    </row>
    <row r="724" ht="15.75" customHeight="1">
      <c r="B724" s="3">
        <f>IFERROR(__xludf.DUMMYFUNCTION("""COMPUTED_VALUE"""),42426.64583333333)</f>
        <v>42426.64583</v>
      </c>
      <c r="C724" s="2">
        <f>IFERROR(__xludf.DUMMYFUNCTION("""COMPUTED_VALUE"""),479.59)</f>
        <v>479.59</v>
      </c>
    </row>
    <row r="725" ht="15.75" customHeight="1">
      <c r="B725" s="3">
        <f>IFERROR(__xludf.DUMMYFUNCTION("""COMPUTED_VALUE"""),42433.64583333333)</f>
        <v>42433.64583</v>
      </c>
      <c r="C725" s="2">
        <f>IFERROR(__xludf.DUMMYFUNCTION("""COMPUTED_VALUE"""),504.2)</f>
        <v>504.2</v>
      </c>
    </row>
    <row r="726" ht="15.75" customHeight="1">
      <c r="B726" s="3">
        <f>IFERROR(__xludf.DUMMYFUNCTION("""COMPUTED_VALUE"""),42440.64583333333)</f>
        <v>42440.64583</v>
      </c>
      <c r="C726" s="2">
        <f>IFERROR(__xludf.DUMMYFUNCTION("""COMPUTED_VALUE"""),518.02)</f>
        <v>518.02</v>
      </c>
    </row>
    <row r="727" ht="15.75" customHeight="1">
      <c r="B727" s="3">
        <f>IFERROR(__xludf.DUMMYFUNCTION("""COMPUTED_VALUE"""),42447.64583333333)</f>
        <v>42447.64583</v>
      </c>
      <c r="C727" s="2">
        <f>IFERROR(__xludf.DUMMYFUNCTION("""COMPUTED_VALUE"""),513.56)</f>
        <v>513.56</v>
      </c>
    </row>
    <row r="728" ht="15.75" customHeight="1">
      <c r="B728" s="3">
        <f>IFERROR(__xludf.DUMMYFUNCTION("""COMPUTED_VALUE"""),42452.64583333333)</f>
        <v>42452.64583</v>
      </c>
      <c r="C728" s="2">
        <f>IFERROR(__xludf.DUMMYFUNCTION("""COMPUTED_VALUE"""),521.17)</f>
        <v>521.17</v>
      </c>
    </row>
    <row r="729" ht="15.75" customHeight="1">
      <c r="B729" s="3">
        <f>IFERROR(__xludf.DUMMYFUNCTION("""COMPUTED_VALUE"""),42461.64583333333)</f>
        <v>42461.64583</v>
      </c>
      <c r="C729" s="2">
        <f>IFERROR(__xludf.DUMMYFUNCTION("""COMPUTED_VALUE"""),523.02)</f>
        <v>523.02</v>
      </c>
    </row>
    <row r="730" ht="15.75" customHeight="1">
      <c r="B730" s="3">
        <f>IFERROR(__xludf.DUMMYFUNCTION("""COMPUTED_VALUE"""),42468.64583333333)</f>
        <v>42468.64583</v>
      </c>
      <c r="C730" s="2">
        <f>IFERROR(__xludf.DUMMYFUNCTION("""COMPUTED_VALUE"""),522.26)</f>
        <v>522.26</v>
      </c>
    </row>
    <row r="731" ht="15.75" customHeight="1">
      <c r="B731" s="3">
        <f>IFERROR(__xludf.DUMMYFUNCTION("""COMPUTED_VALUE"""),42473.64583333333)</f>
        <v>42473.64583</v>
      </c>
      <c r="C731" s="2">
        <f>IFERROR(__xludf.DUMMYFUNCTION("""COMPUTED_VALUE"""),529.91)</f>
        <v>529.91</v>
      </c>
    </row>
    <row r="732" ht="15.75" customHeight="1">
      <c r="B732" s="3">
        <f>IFERROR(__xludf.DUMMYFUNCTION("""COMPUTED_VALUE"""),42482.64583333333)</f>
        <v>42482.64583</v>
      </c>
      <c r="C732" s="2">
        <f>IFERROR(__xludf.DUMMYFUNCTION("""COMPUTED_VALUE"""),529.56)</f>
        <v>529.56</v>
      </c>
    </row>
    <row r="733" ht="15.75" customHeight="1">
      <c r="B733" s="3">
        <f>IFERROR(__xludf.DUMMYFUNCTION("""COMPUTED_VALUE"""),42489.64583333333)</f>
        <v>42489.64583</v>
      </c>
      <c r="C733" s="2">
        <f>IFERROR(__xludf.DUMMYFUNCTION("""COMPUTED_VALUE"""),517.3)</f>
        <v>517.3</v>
      </c>
    </row>
    <row r="734" ht="15.75" customHeight="1">
      <c r="B734" s="3">
        <f>IFERROR(__xludf.DUMMYFUNCTION("""COMPUTED_VALUE"""),42496.64583333333)</f>
        <v>42496.64583</v>
      </c>
      <c r="C734" s="2">
        <f>IFERROR(__xludf.DUMMYFUNCTION("""COMPUTED_VALUE"""),492.79)</f>
        <v>492.79</v>
      </c>
    </row>
    <row r="735" ht="15.75" customHeight="1">
      <c r="B735" s="3">
        <f>IFERROR(__xludf.DUMMYFUNCTION("""COMPUTED_VALUE"""),42503.64583333333)</f>
        <v>42503.64583</v>
      </c>
      <c r="C735" s="2">
        <f>IFERROR(__xludf.DUMMYFUNCTION("""COMPUTED_VALUE"""),492.41)</f>
        <v>492.41</v>
      </c>
    </row>
    <row r="736" ht="15.75" customHeight="1">
      <c r="B736" s="3">
        <f>IFERROR(__xludf.DUMMYFUNCTION("""COMPUTED_VALUE"""),42510.64583333333)</f>
        <v>42510.64583</v>
      </c>
      <c r="C736" s="2">
        <f>IFERROR(__xludf.DUMMYFUNCTION("""COMPUTED_VALUE"""),486.92)</f>
        <v>486.92</v>
      </c>
    </row>
    <row r="737" ht="15.75" customHeight="1">
      <c r="B737" s="3">
        <f>IFERROR(__xludf.DUMMYFUNCTION("""COMPUTED_VALUE"""),42517.64583333333)</f>
        <v>42517.64583</v>
      </c>
      <c r="C737" s="2">
        <f>IFERROR(__xludf.DUMMYFUNCTION("""COMPUTED_VALUE"""),483.85)</f>
        <v>483.85</v>
      </c>
    </row>
    <row r="738" ht="15.75" customHeight="1">
      <c r="B738" s="3">
        <f>IFERROR(__xludf.DUMMYFUNCTION("""COMPUTED_VALUE"""),42524.64583333333)</f>
        <v>42524.64583</v>
      </c>
      <c r="C738" s="2">
        <f>IFERROR(__xludf.DUMMYFUNCTION("""COMPUTED_VALUE"""),486.12)</f>
        <v>486.12</v>
      </c>
    </row>
    <row r="739" ht="15.75" customHeight="1">
      <c r="B739" s="3">
        <f>IFERROR(__xludf.DUMMYFUNCTION("""COMPUTED_VALUE"""),42531.64583333333)</f>
        <v>42531.64583</v>
      </c>
      <c r="C739" s="2">
        <f>IFERROR(__xludf.DUMMYFUNCTION("""COMPUTED_VALUE"""),487.56)</f>
        <v>487.56</v>
      </c>
    </row>
    <row r="740" ht="15.75" customHeight="1">
      <c r="B740" s="3">
        <f>IFERROR(__xludf.DUMMYFUNCTION("""COMPUTED_VALUE"""),42538.64583333333)</f>
        <v>42538.64583</v>
      </c>
      <c r="C740" s="2">
        <f>IFERROR(__xludf.DUMMYFUNCTION("""COMPUTED_VALUE"""),488.6)</f>
        <v>488.6</v>
      </c>
    </row>
    <row r="741" ht="15.75" customHeight="1">
      <c r="B741" s="3">
        <f>IFERROR(__xludf.DUMMYFUNCTION("""COMPUTED_VALUE"""),42545.64583333333)</f>
        <v>42545.64583</v>
      </c>
      <c r="C741" s="2">
        <f>IFERROR(__xludf.DUMMYFUNCTION("""COMPUTED_VALUE"""),492.39)</f>
        <v>492.39</v>
      </c>
    </row>
    <row r="742" ht="15.75" customHeight="1">
      <c r="B742" s="3">
        <f>IFERROR(__xludf.DUMMYFUNCTION("""COMPUTED_VALUE"""),42552.64583333333)</f>
        <v>42552.64583</v>
      </c>
      <c r="C742" s="2">
        <f>IFERROR(__xludf.DUMMYFUNCTION("""COMPUTED_VALUE"""),484.14)</f>
        <v>484.14</v>
      </c>
    </row>
    <row r="743" ht="15.75" customHeight="1">
      <c r="B743" s="3">
        <f>IFERROR(__xludf.DUMMYFUNCTION("""COMPUTED_VALUE"""),42559.64583333333)</f>
        <v>42559.64583</v>
      </c>
      <c r="C743" s="2">
        <f>IFERROR(__xludf.DUMMYFUNCTION("""COMPUTED_VALUE"""),496.72)</f>
        <v>496.72</v>
      </c>
    </row>
    <row r="744" ht="15.75" customHeight="1">
      <c r="B744" s="3">
        <f>IFERROR(__xludf.DUMMYFUNCTION("""COMPUTED_VALUE"""),42566.64583333333)</f>
        <v>42566.64583</v>
      </c>
      <c r="C744" s="2">
        <f>IFERROR(__xludf.DUMMYFUNCTION("""COMPUTED_VALUE"""),505.69)</f>
        <v>505.69</v>
      </c>
    </row>
    <row r="745" ht="15.75" customHeight="1">
      <c r="B745" s="3">
        <f>IFERROR(__xludf.DUMMYFUNCTION("""COMPUTED_VALUE"""),42573.64583333333)</f>
        <v>42573.64583</v>
      </c>
      <c r="C745" s="2">
        <f>IFERROR(__xludf.DUMMYFUNCTION("""COMPUTED_VALUE"""),514.48)</f>
        <v>514.48</v>
      </c>
    </row>
    <row r="746" ht="15.75" customHeight="1">
      <c r="B746" s="3">
        <f>IFERROR(__xludf.DUMMYFUNCTION("""COMPUTED_VALUE"""),42580.64583333333)</f>
        <v>42580.64583</v>
      </c>
      <c r="C746" s="2">
        <f>IFERROR(__xludf.DUMMYFUNCTION("""COMPUTED_VALUE"""),512.52)</f>
        <v>512.52</v>
      </c>
    </row>
    <row r="747" ht="15.75" customHeight="1">
      <c r="B747" s="3">
        <f>IFERROR(__xludf.DUMMYFUNCTION("""COMPUTED_VALUE"""),42587.64583333333)</f>
        <v>42587.64583</v>
      </c>
      <c r="C747" s="2">
        <f>IFERROR(__xludf.DUMMYFUNCTION("""COMPUTED_VALUE"""),505.34)</f>
        <v>505.34</v>
      </c>
    </row>
    <row r="748" ht="15.75" customHeight="1">
      <c r="B748" s="3">
        <f>IFERROR(__xludf.DUMMYFUNCTION("""COMPUTED_VALUE"""),42594.64583333333)</f>
        <v>42594.64583</v>
      </c>
      <c r="C748" s="2">
        <f>IFERROR(__xludf.DUMMYFUNCTION("""COMPUTED_VALUE"""),516.53)</f>
        <v>516.53</v>
      </c>
    </row>
    <row r="749" ht="15.75" customHeight="1">
      <c r="B749" s="3">
        <f>IFERROR(__xludf.DUMMYFUNCTION("""COMPUTED_VALUE"""),42601.64583333333)</f>
        <v>42601.64583</v>
      </c>
      <c r="C749" s="2">
        <f>IFERROR(__xludf.DUMMYFUNCTION("""COMPUTED_VALUE"""),517.48)</f>
        <v>517.48</v>
      </c>
    </row>
    <row r="750" ht="15.75" customHeight="1">
      <c r="B750" s="3">
        <f>IFERROR(__xludf.DUMMYFUNCTION("""COMPUTED_VALUE"""),42608.64583333333)</f>
        <v>42608.64583</v>
      </c>
      <c r="C750" s="2">
        <f>IFERROR(__xludf.DUMMYFUNCTION("""COMPUTED_VALUE"""),510.54)</f>
        <v>510.54</v>
      </c>
    </row>
    <row r="751" ht="15.75" customHeight="1">
      <c r="B751" s="3">
        <f>IFERROR(__xludf.DUMMYFUNCTION("""COMPUTED_VALUE"""),42615.64583333333)</f>
        <v>42615.64583</v>
      </c>
      <c r="C751" s="2">
        <f>IFERROR(__xludf.DUMMYFUNCTION("""COMPUTED_VALUE"""),531.94)</f>
        <v>531.94</v>
      </c>
    </row>
    <row r="752" ht="15.75" customHeight="1">
      <c r="B752" s="3">
        <f>IFERROR(__xludf.DUMMYFUNCTION("""COMPUTED_VALUE"""),42622.64583333333)</f>
        <v>42622.64583</v>
      </c>
      <c r="C752" s="2">
        <f>IFERROR(__xludf.DUMMYFUNCTION("""COMPUTED_VALUE"""),520.0)</f>
        <v>520</v>
      </c>
    </row>
    <row r="753" ht="15.75" customHeight="1">
      <c r="B753" s="3">
        <f>IFERROR(__xludf.DUMMYFUNCTION("""COMPUTED_VALUE"""),42629.64583333333)</f>
        <v>42629.64583</v>
      </c>
      <c r="C753" s="2">
        <f>IFERROR(__xludf.DUMMYFUNCTION("""COMPUTED_VALUE"""),541.77)</f>
        <v>541.77</v>
      </c>
    </row>
    <row r="754" ht="15.75" customHeight="1">
      <c r="B754" s="3">
        <f>IFERROR(__xludf.DUMMYFUNCTION("""COMPUTED_VALUE"""),42636.64583333333)</f>
        <v>42636.64583</v>
      </c>
      <c r="C754" s="2">
        <f>IFERROR(__xludf.DUMMYFUNCTION("""COMPUTED_VALUE"""),549.5)</f>
        <v>549.5</v>
      </c>
    </row>
    <row r="755" ht="15.75" customHeight="1">
      <c r="B755" s="3">
        <f>IFERROR(__xludf.DUMMYFUNCTION("""COMPUTED_VALUE"""),42643.64583333333)</f>
        <v>42643.64583</v>
      </c>
      <c r="C755" s="2">
        <f>IFERROR(__xludf.DUMMYFUNCTION("""COMPUTED_VALUE"""),559.45)</f>
        <v>559.45</v>
      </c>
    </row>
    <row r="756" ht="15.75" customHeight="1">
      <c r="B756" s="3">
        <f>IFERROR(__xludf.DUMMYFUNCTION("""COMPUTED_VALUE"""),42650.64583333333)</f>
        <v>42650.64583</v>
      </c>
      <c r="C756" s="2">
        <f>IFERROR(__xludf.DUMMYFUNCTION("""COMPUTED_VALUE"""),557.82)</f>
        <v>557.82</v>
      </c>
    </row>
    <row r="757" ht="15.75" customHeight="1">
      <c r="B757" s="3">
        <f>IFERROR(__xludf.DUMMYFUNCTION("""COMPUTED_VALUE"""),42657.64583333333)</f>
        <v>42657.64583</v>
      </c>
      <c r="C757" s="2">
        <f>IFERROR(__xludf.DUMMYFUNCTION("""COMPUTED_VALUE"""),555.71)</f>
        <v>555.71</v>
      </c>
    </row>
    <row r="758" ht="15.75" customHeight="1">
      <c r="B758" s="3">
        <f>IFERROR(__xludf.DUMMYFUNCTION("""COMPUTED_VALUE"""),42664.64583333333)</f>
        <v>42664.64583</v>
      </c>
      <c r="C758" s="2">
        <f>IFERROR(__xludf.DUMMYFUNCTION("""COMPUTED_VALUE"""),543.83)</f>
        <v>543.83</v>
      </c>
    </row>
    <row r="759" ht="15.75" customHeight="1">
      <c r="B759" s="3">
        <f>IFERROR(__xludf.DUMMYFUNCTION("""COMPUTED_VALUE"""),42671.64583333333)</f>
        <v>42671.64583</v>
      </c>
      <c r="C759" s="2">
        <f>IFERROR(__xludf.DUMMYFUNCTION("""COMPUTED_VALUE"""),531.94)</f>
        <v>531.94</v>
      </c>
    </row>
    <row r="760" ht="15.75" customHeight="1">
      <c r="B760" s="3">
        <f>IFERROR(__xludf.DUMMYFUNCTION("""COMPUTED_VALUE"""),42678.64583333333)</f>
        <v>42678.64583</v>
      </c>
      <c r="C760" s="2">
        <f>IFERROR(__xludf.DUMMYFUNCTION("""COMPUTED_VALUE"""),524.39)</f>
        <v>524.39</v>
      </c>
    </row>
    <row r="761" ht="15.75" customHeight="1">
      <c r="B761" s="3">
        <f>IFERROR(__xludf.DUMMYFUNCTION("""COMPUTED_VALUE"""),42685.64583333333)</f>
        <v>42685.64583</v>
      </c>
      <c r="C761" s="2">
        <f>IFERROR(__xludf.DUMMYFUNCTION("""COMPUTED_VALUE"""),509.63)</f>
        <v>509.63</v>
      </c>
    </row>
    <row r="762" ht="15.75" customHeight="1">
      <c r="B762" s="3">
        <f>IFERROR(__xludf.DUMMYFUNCTION("""COMPUTED_VALUE"""),42692.64583333333)</f>
        <v>42692.64583</v>
      </c>
      <c r="C762" s="2">
        <f>IFERROR(__xludf.DUMMYFUNCTION("""COMPUTED_VALUE"""),495.29)</f>
        <v>495.29</v>
      </c>
    </row>
    <row r="763" ht="15.75" customHeight="1">
      <c r="B763" s="3">
        <f>IFERROR(__xludf.DUMMYFUNCTION("""COMPUTED_VALUE"""),42699.64583333333)</f>
        <v>42699.64583</v>
      </c>
      <c r="C763" s="2">
        <f>IFERROR(__xludf.DUMMYFUNCTION("""COMPUTED_VALUE"""),500.49)</f>
        <v>500.49</v>
      </c>
    </row>
    <row r="764" ht="15.75" customHeight="1">
      <c r="B764" s="3">
        <f>IFERROR(__xludf.DUMMYFUNCTION("""COMPUTED_VALUE"""),42706.64583333333)</f>
        <v>42706.64583</v>
      </c>
      <c r="C764" s="2">
        <f>IFERROR(__xludf.DUMMYFUNCTION("""COMPUTED_VALUE"""),502.72)</f>
        <v>502.72</v>
      </c>
    </row>
    <row r="765" ht="15.75" customHeight="1">
      <c r="B765" s="3">
        <f>IFERROR(__xludf.DUMMYFUNCTION("""COMPUTED_VALUE"""),42713.64583333333)</f>
        <v>42713.64583</v>
      </c>
      <c r="C765" s="2">
        <f>IFERROR(__xludf.DUMMYFUNCTION("""COMPUTED_VALUE"""),511.06)</f>
        <v>511.06</v>
      </c>
    </row>
    <row r="766" ht="15.75" customHeight="1">
      <c r="B766" s="3">
        <f>IFERROR(__xludf.DUMMYFUNCTION("""COMPUTED_VALUE"""),42720.64583333333)</f>
        <v>42720.64583</v>
      </c>
      <c r="C766" s="2">
        <f>IFERROR(__xludf.DUMMYFUNCTION("""COMPUTED_VALUE"""),528.77)</f>
        <v>528.77</v>
      </c>
    </row>
    <row r="767" ht="15.75" customHeight="1">
      <c r="B767" s="3">
        <f>IFERROR(__xludf.DUMMYFUNCTION("""COMPUTED_VALUE"""),42727.64583333333)</f>
        <v>42727.64583</v>
      </c>
      <c r="C767" s="2">
        <f>IFERROR(__xludf.DUMMYFUNCTION("""COMPUTED_VALUE"""),529.44)</f>
        <v>529.44</v>
      </c>
    </row>
    <row r="768" ht="15.75" customHeight="1">
      <c r="B768" s="3">
        <f>IFERROR(__xludf.DUMMYFUNCTION("""COMPUTED_VALUE"""),42734.64583333333)</f>
        <v>42734.64583</v>
      </c>
      <c r="C768" s="2">
        <f>IFERROR(__xludf.DUMMYFUNCTION("""COMPUTED_VALUE"""),537.39)</f>
        <v>537.39</v>
      </c>
    </row>
    <row r="769" ht="15.75" customHeight="1"/>
    <row r="770" ht="15.75" customHeight="1"/>
    <row r="771" ht="15.75" customHeight="1">
      <c r="B771" s="2" t="str">
        <f>IFERROR(__xludf.DUMMYFUNCTION("GOOGLEFINANCE(""NSE:RELIANCE"", ""high"",DATE(2017,1,1),DATE(2018,1,1),""weekly"")"),"Date")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IFERROR(__xludf.DUMMYFUNCTION("""COMPUTED_VALUE"""),42741.64583333333)</f>
        <v>42741.64583</v>
      </c>
      <c r="C772" s="2">
        <f>IFERROR(__xludf.DUMMYFUNCTION("""COMPUTED_VALUE"""),543.33)</f>
        <v>543.33</v>
      </c>
    </row>
    <row r="773" ht="15.75" customHeight="1">
      <c r="B773" s="3">
        <f>IFERROR(__xludf.DUMMYFUNCTION("""COMPUTED_VALUE"""),42748.64583333333)</f>
        <v>42748.64583</v>
      </c>
      <c r="C773" s="2">
        <f>IFERROR(__xludf.DUMMYFUNCTION("""COMPUTED_VALUE"""),543.58)</f>
        <v>543.58</v>
      </c>
    </row>
    <row r="774" ht="15.75" customHeight="1">
      <c r="B774" s="3">
        <f>IFERROR(__xludf.DUMMYFUNCTION("""COMPUTED_VALUE"""),42755.64583333333)</f>
        <v>42755.64583</v>
      </c>
      <c r="C774" s="2">
        <f>IFERROR(__xludf.DUMMYFUNCTION("""COMPUTED_VALUE"""),541.82)</f>
        <v>541.82</v>
      </c>
    </row>
    <row r="775" ht="15.75" customHeight="1">
      <c r="B775" s="3">
        <f>IFERROR(__xludf.DUMMYFUNCTION("""COMPUTED_VALUE"""),42762.64583333333)</f>
        <v>42762.64583</v>
      </c>
      <c r="C775" s="2">
        <f>IFERROR(__xludf.DUMMYFUNCTION("""COMPUTED_VALUE"""),511.48)</f>
        <v>511.48</v>
      </c>
    </row>
    <row r="776" ht="15.75" customHeight="1">
      <c r="B776" s="3">
        <f>IFERROR(__xludf.DUMMYFUNCTION("""COMPUTED_VALUE"""),42769.64583333333)</f>
        <v>42769.64583</v>
      </c>
      <c r="C776" s="2">
        <f>IFERROR(__xludf.DUMMYFUNCTION("""COMPUTED_VALUE"""),521.93)</f>
        <v>521.93</v>
      </c>
    </row>
    <row r="777" ht="15.75" customHeight="1">
      <c r="B777" s="3">
        <f>IFERROR(__xludf.DUMMYFUNCTION("""COMPUTED_VALUE"""),42776.64583333333)</f>
        <v>42776.64583</v>
      </c>
      <c r="C777" s="2">
        <f>IFERROR(__xludf.DUMMYFUNCTION("""COMPUTED_VALUE"""),517.53)</f>
        <v>517.53</v>
      </c>
    </row>
    <row r="778" ht="15.75" customHeight="1">
      <c r="B778" s="3">
        <f>IFERROR(__xludf.DUMMYFUNCTION("""COMPUTED_VALUE"""),42783.64583333333)</f>
        <v>42783.64583</v>
      </c>
      <c r="C778" s="2">
        <f>IFERROR(__xludf.DUMMYFUNCTION("""COMPUTED_VALUE"""),534.02)</f>
        <v>534.02</v>
      </c>
    </row>
    <row r="779" ht="15.75" customHeight="1">
      <c r="B779" s="3">
        <f>IFERROR(__xludf.DUMMYFUNCTION("""COMPUTED_VALUE"""),42789.64583333333)</f>
        <v>42789.64583</v>
      </c>
      <c r="C779" s="2">
        <f>IFERROR(__xludf.DUMMYFUNCTION("""COMPUTED_VALUE"""),605.24)</f>
        <v>605.24</v>
      </c>
    </row>
    <row r="780" ht="15.75" customHeight="1">
      <c r="B780" s="3">
        <f>IFERROR(__xludf.DUMMYFUNCTION("""COMPUTED_VALUE"""),42797.64583333333)</f>
        <v>42797.64583</v>
      </c>
      <c r="C780" s="2">
        <f>IFERROR(__xludf.DUMMYFUNCTION("""COMPUTED_VALUE"""),637.83)</f>
        <v>637.83</v>
      </c>
    </row>
    <row r="781" ht="15.75" customHeight="1">
      <c r="B781" s="3">
        <f>IFERROR(__xludf.DUMMYFUNCTION("""COMPUTED_VALUE"""),42804.64583333333)</f>
        <v>42804.64583</v>
      </c>
      <c r="C781" s="2">
        <f>IFERROR(__xludf.DUMMYFUNCTION("""COMPUTED_VALUE"""),657.25)</f>
        <v>657.25</v>
      </c>
    </row>
    <row r="782" ht="15.75" customHeight="1">
      <c r="B782" s="3">
        <f>IFERROR(__xludf.DUMMYFUNCTION("""COMPUTED_VALUE"""),42811.64583333333)</f>
        <v>42811.64583</v>
      </c>
      <c r="C782" s="2">
        <f>IFERROR(__xludf.DUMMYFUNCTION("""COMPUTED_VALUE"""),653.75)</f>
        <v>653.75</v>
      </c>
    </row>
    <row r="783" ht="15.75" customHeight="1">
      <c r="B783" s="3">
        <f>IFERROR(__xludf.DUMMYFUNCTION("""COMPUTED_VALUE"""),42818.64583333333)</f>
        <v>42818.64583</v>
      </c>
      <c r="C783" s="2">
        <f>IFERROR(__xludf.DUMMYFUNCTION("""COMPUTED_VALUE"""),646.97)</f>
        <v>646.97</v>
      </c>
    </row>
    <row r="784" ht="15.75" customHeight="1">
      <c r="B784" s="3">
        <f>IFERROR(__xludf.DUMMYFUNCTION("""COMPUTED_VALUE"""),42825.64583333333)</f>
        <v>42825.64583</v>
      </c>
      <c r="C784" s="2">
        <f>IFERROR(__xludf.DUMMYFUNCTION("""COMPUTED_VALUE"""),662.52)</f>
        <v>662.52</v>
      </c>
    </row>
    <row r="785" ht="15.75" customHeight="1">
      <c r="B785" s="3">
        <f>IFERROR(__xludf.DUMMYFUNCTION("""COMPUTED_VALUE"""),42832.64583333333)</f>
        <v>42832.64583</v>
      </c>
      <c r="C785" s="2">
        <f>IFERROR(__xludf.DUMMYFUNCTION("""COMPUTED_VALUE"""),717.62)</f>
        <v>717.62</v>
      </c>
    </row>
    <row r="786" ht="15.75" customHeight="1">
      <c r="B786" s="3">
        <f>IFERROR(__xludf.DUMMYFUNCTION("""COMPUTED_VALUE"""),42838.64583333333)</f>
        <v>42838.64583</v>
      </c>
      <c r="C786" s="2">
        <f>IFERROR(__xludf.DUMMYFUNCTION("""COMPUTED_VALUE"""),705.73)</f>
        <v>705.73</v>
      </c>
    </row>
    <row r="787" ht="15.75" customHeight="1">
      <c r="B787" s="3">
        <f>IFERROR(__xludf.DUMMYFUNCTION("""COMPUTED_VALUE"""),42846.64583333333)</f>
        <v>42846.64583</v>
      </c>
      <c r="C787" s="2">
        <f>IFERROR(__xludf.DUMMYFUNCTION("""COMPUTED_VALUE"""),703.8)</f>
        <v>703.8</v>
      </c>
    </row>
    <row r="788" ht="15.75" customHeight="1">
      <c r="B788" s="3">
        <f>IFERROR(__xludf.DUMMYFUNCTION("""COMPUTED_VALUE"""),42853.64583333333)</f>
        <v>42853.64583</v>
      </c>
      <c r="C788" s="2">
        <f>IFERROR(__xludf.DUMMYFUNCTION("""COMPUTED_VALUE"""),726.96)</f>
        <v>726.96</v>
      </c>
    </row>
    <row r="789" ht="15.75" customHeight="1">
      <c r="B789" s="3">
        <f>IFERROR(__xludf.DUMMYFUNCTION("""COMPUTED_VALUE"""),42860.64583333333)</f>
        <v>42860.64583</v>
      </c>
      <c r="C789" s="2">
        <f>IFERROR(__xludf.DUMMYFUNCTION("""COMPUTED_VALUE"""),694.39)</f>
        <v>694.39</v>
      </c>
    </row>
    <row r="790" ht="15.75" customHeight="1">
      <c r="B790" s="3">
        <f>IFERROR(__xludf.DUMMYFUNCTION("""COMPUTED_VALUE"""),42867.64583333333)</f>
        <v>42867.64583</v>
      </c>
      <c r="C790" s="2">
        <f>IFERROR(__xludf.DUMMYFUNCTION("""COMPUTED_VALUE"""),678.42)</f>
        <v>678.42</v>
      </c>
    </row>
    <row r="791" ht="15.75" customHeight="1">
      <c r="B791" s="3">
        <f>IFERROR(__xludf.DUMMYFUNCTION("""COMPUTED_VALUE"""),42874.64583333333)</f>
        <v>42874.64583</v>
      </c>
      <c r="C791" s="2">
        <f>IFERROR(__xludf.DUMMYFUNCTION("""COMPUTED_VALUE"""),681.96)</f>
        <v>681.96</v>
      </c>
    </row>
    <row r="792" ht="15.75" customHeight="1">
      <c r="B792" s="3">
        <f>IFERROR(__xludf.DUMMYFUNCTION("""COMPUTED_VALUE"""),42881.64583333333)</f>
        <v>42881.64583</v>
      </c>
      <c r="C792" s="2">
        <f>IFERROR(__xludf.DUMMYFUNCTION("""COMPUTED_VALUE"""),665.86)</f>
        <v>665.86</v>
      </c>
    </row>
    <row r="793" ht="15.75" customHeight="1">
      <c r="B793" s="3">
        <f>IFERROR(__xludf.DUMMYFUNCTION("""COMPUTED_VALUE"""),42888.64583333333)</f>
        <v>42888.64583</v>
      </c>
      <c r="C793" s="2">
        <f>IFERROR(__xludf.DUMMYFUNCTION("""COMPUTED_VALUE"""),677.53)</f>
        <v>677.53</v>
      </c>
    </row>
    <row r="794" ht="15.75" customHeight="1">
      <c r="B794" s="3">
        <f>IFERROR(__xludf.DUMMYFUNCTION("""COMPUTED_VALUE"""),42895.64583333333)</f>
        <v>42895.64583</v>
      </c>
      <c r="C794" s="2">
        <f>IFERROR(__xludf.DUMMYFUNCTION("""COMPUTED_VALUE"""),670.1)</f>
        <v>670.1</v>
      </c>
    </row>
    <row r="795" ht="15.75" customHeight="1">
      <c r="B795" s="3">
        <f>IFERROR(__xludf.DUMMYFUNCTION("""COMPUTED_VALUE"""),42902.64583333333)</f>
        <v>42902.64583</v>
      </c>
      <c r="C795" s="2">
        <f>IFERROR(__xludf.DUMMYFUNCTION("""COMPUTED_VALUE"""),691.32)</f>
        <v>691.32</v>
      </c>
    </row>
    <row r="796" ht="15.75" customHeight="1">
      <c r="B796" s="3">
        <f>IFERROR(__xludf.DUMMYFUNCTION("""COMPUTED_VALUE"""),42909.64583333333)</f>
        <v>42909.64583</v>
      </c>
      <c r="C796" s="2">
        <f>IFERROR(__xludf.DUMMYFUNCTION("""COMPUTED_VALUE"""),715.89)</f>
        <v>715.89</v>
      </c>
    </row>
    <row r="797" ht="15.75" customHeight="1">
      <c r="B797" s="3">
        <f>IFERROR(__xludf.DUMMYFUNCTION("""COMPUTED_VALUE"""),42916.64583333333)</f>
        <v>42916.64583</v>
      </c>
      <c r="C797" s="2">
        <f>IFERROR(__xludf.DUMMYFUNCTION("""COMPUTED_VALUE"""),714.7)</f>
        <v>714.7</v>
      </c>
    </row>
    <row r="798" ht="15.75" customHeight="1">
      <c r="B798" s="3">
        <f>IFERROR(__xludf.DUMMYFUNCTION("""COMPUTED_VALUE"""),42923.64583333333)</f>
        <v>42923.64583</v>
      </c>
      <c r="C798" s="2">
        <f>IFERROR(__xludf.DUMMYFUNCTION("""COMPUTED_VALUE"""),741.82)</f>
        <v>741.82</v>
      </c>
    </row>
    <row r="799" ht="15.75" customHeight="1">
      <c r="B799" s="3">
        <f>IFERROR(__xludf.DUMMYFUNCTION("""COMPUTED_VALUE"""),42930.64583333333)</f>
        <v>42930.64583</v>
      </c>
      <c r="C799" s="2">
        <f>IFERROR(__xludf.DUMMYFUNCTION("""COMPUTED_VALUE"""),760.76)</f>
        <v>760.76</v>
      </c>
    </row>
    <row r="800" ht="15.75" customHeight="1">
      <c r="B800" s="3">
        <f>IFERROR(__xludf.DUMMYFUNCTION("""COMPUTED_VALUE"""),42937.64583333333)</f>
        <v>42937.64583</v>
      </c>
      <c r="C800" s="2">
        <f>IFERROR(__xludf.DUMMYFUNCTION("""COMPUTED_VALUE"""),788.35)</f>
        <v>788.35</v>
      </c>
    </row>
    <row r="801" ht="15.75" customHeight="1">
      <c r="B801" s="3">
        <f>IFERROR(__xludf.DUMMYFUNCTION("""COMPUTED_VALUE"""),42944.64583333333)</f>
        <v>42944.64583</v>
      </c>
      <c r="C801" s="2">
        <f>IFERROR(__xludf.DUMMYFUNCTION("""COMPUTED_VALUE"""),808.06)</f>
        <v>808.06</v>
      </c>
    </row>
    <row r="802" ht="15.75" customHeight="1">
      <c r="B802" s="3">
        <f>IFERROR(__xludf.DUMMYFUNCTION("""COMPUTED_VALUE"""),42951.64583333333)</f>
        <v>42951.64583</v>
      </c>
      <c r="C802" s="2">
        <f>IFERROR(__xludf.DUMMYFUNCTION("""COMPUTED_VALUE"""),824.6)</f>
        <v>824.6</v>
      </c>
    </row>
    <row r="803" ht="15.75" customHeight="1">
      <c r="B803" s="3">
        <f>IFERROR(__xludf.DUMMYFUNCTION("""COMPUTED_VALUE"""),42958.64583333333)</f>
        <v>42958.64583</v>
      </c>
      <c r="C803" s="2">
        <f>IFERROR(__xludf.DUMMYFUNCTION("""COMPUTED_VALUE"""),808.11)</f>
        <v>808.11</v>
      </c>
    </row>
    <row r="804" ht="15.75" customHeight="1">
      <c r="B804" s="3">
        <f>IFERROR(__xludf.DUMMYFUNCTION("""COMPUTED_VALUE"""),42965.64583333333)</f>
        <v>42965.64583</v>
      </c>
      <c r="C804" s="2">
        <f>IFERROR(__xludf.DUMMYFUNCTION("""COMPUTED_VALUE"""),791.3)</f>
        <v>791.3</v>
      </c>
    </row>
    <row r="805" ht="15.75" customHeight="1">
      <c r="B805" s="3">
        <f>IFERROR(__xludf.DUMMYFUNCTION("""COMPUTED_VALUE"""),42971.64583333333)</f>
        <v>42971.64583</v>
      </c>
      <c r="C805" s="2">
        <f>IFERROR(__xludf.DUMMYFUNCTION("""COMPUTED_VALUE"""),789.04)</f>
        <v>789.04</v>
      </c>
    </row>
    <row r="806" ht="15.75" customHeight="1">
      <c r="B806" s="3">
        <f>IFERROR(__xludf.DUMMYFUNCTION("""COMPUTED_VALUE"""),42979.64583333333)</f>
        <v>42979.64583</v>
      </c>
      <c r="C806" s="2">
        <f>IFERROR(__xludf.DUMMYFUNCTION("""COMPUTED_VALUE"""),800.68)</f>
        <v>800.68</v>
      </c>
    </row>
    <row r="807" ht="15.75" customHeight="1">
      <c r="B807" s="3">
        <f>IFERROR(__xludf.DUMMYFUNCTION("""COMPUTED_VALUE"""),42986.64583333333)</f>
        <v>42986.64583</v>
      </c>
      <c r="C807" s="2">
        <f>IFERROR(__xludf.DUMMYFUNCTION("""COMPUTED_VALUE"""),824.65)</f>
        <v>824.65</v>
      </c>
    </row>
    <row r="808" ht="15.75" customHeight="1">
      <c r="B808" s="3">
        <f>IFERROR(__xludf.DUMMYFUNCTION("""COMPUTED_VALUE"""),42993.64583333333)</f>
        <v>42993.64583</v>
      </c>
      <c r="C808" s="2">
        <f>IFERROR(__xludf.DUMMYFUNCTION("""COMPUTED_VALUE"""),853.38)</f>
        <v>853.38</v>
      </c>
    </row>
    <row r="809" ht="15.75" customHeight="1">
      <c r="B809" s="3">
        <f>IFERROR(__xludf.DUMMYFUNCTION("""COMPUTED_VALUE"""),43000.64583333333)</f>
        <v>43000.64583</v>
      </c>
      <c r="C809" s="2">
        <f>IFERROR(__xludf.DUMMYFUNCTION("""COMPUTED_VALUE"""),864.28)</f>
        <v>864.28</v>
      </c>
    </row>
    <row r="810" ht="15.75" customHeight="1">
      <c r="B810" s="3">
        <f>IFERROR(__xludf.DUMMYFUNCTION("""COMPUTED_VALUE"""),43007.64583333333)</f>
        <v>43007.64583</v>
      </c>
      <c r="C810" s="2">
        <f>IFERROR(__xludf.DUMMYFUNCTION("""COMPUTED_VALUE"""),820.15)</f>
        <v>820.15</v>
      </c>
    </row>
    <row r="811" ht="15.75" customHeight="1">
      <c r="B811" s="3">
        <f>IFERROR(__xludf.DUMMYFUNCTION("""COMPUTED_VALUE"""),43014.64583333333)</f>
        <v>43014.64583</v>
      </c>
      <c r="C811" s="2">
        <f>IFERROR(__xludf.DUMMYFUNCTION("""COMPUTED_VALUE"""),831.44)</f>
        <v>831.44</v>
      </c>
    </row>
    <row r="812" ht="15.75" customHeight="1">
      <c r="B812" s="3">
        <f>IFERROR(__xludf.DUMMYFUNCTION("""COMPUTED_VALUE"""),43021.64583333333)</f>
        <v>43021.64583</v>
      </c>
      <c r="C812" s="2">
        <f>IFERROR(__xludf.DUMMYFUNCTION("""COMPUTED_VALUE"""),882.3)</f>
        <v>882.3</v>
      </c>
    </row>
    <row r="813" ht="15.75" customHeight="1">
      <c r="B813" s="3">
        <f>IFERROR(__xludf.DUMMYFUNCTION("""COMPUTED_VALUE"""),43027.83333333333)</f>
        <v>43027.83333</v>
      </c>
      <c r="C813" s="2">
        <f>IFERROR(__xludf.DUMMYFUNCTION("""COMPUTED_VALUE"""),913.21)</f>
        <v>913.21</v>
      </c>
    </row>
    <row r="814" ht="15.75" customHeight="1">
      <c r="B814" s="3">
        <f>IFERROR(__xludf.DUMMYFUNCTION("""COMPUTED_VALUE"""),43035.64583333333)</f>
        <v>43035.64583</v>
      </c>
      <c r="C814" s="2">
        <f>IFERROR(__xludf.DUMMYFUNCTION("""COMPUTED_VALUE"""),948.77)</f>
        <v>948.77</v>
      </c>
    </row>
    <row r="815" ht="15.75" customHeight="1">
      <c r="B815" s="3">
        <f>IFERROR(__xludf.DUMMYFUNCTION("""COMPUTED_VALUE"""),43042.64583333333)</f>
        <v>43042.64583</v>
      </c>
      <c r="C815" s="2">
        <f>IFERROR(__xludf.DUMMYFUNCTION("""COMPUTED_VALUE"""),948.77)</f>
        <v>948.77</v>
      </c>
    </row>
    <row r="816" ht="15.75" customHeight="1">
      <c r="B816" s="3">
        <f>IFERROR(__xludf.DUMMYFUNCTION("""COMPUTED_VALUE"""),43049.64583333333)</f>
        <v>43049.64583</v>
      </c>
      <c r="C816" s="2">
        <f>IFERROR(__xludf.DUMMYFUNCTION("""COMPUTED_VALUE"""),933.62)</f>
        <v>933.62</v>
      </c>
    </row>
    <row r="817" ht="15.75" customHeight="1">
      <c r="B817" s="3">
        <f>IFERROR(__xludf.DUMMYFUNCTION("""COMPUTED_VALUE"""),43056.64583333333)</f>
        <v>43056.64583</v>
      </c>
      <c r="C817" s="2">
        <f>IFERROR(__xludf.DUMMYFUNCTION("""COMPUTED_VALUE"""),916.18)</f>
        <v>916.18</v>
      </c>
    </row>
    <row r="818" ht="15.75" customHeight="1">
      <c r="B818" s="3">
        <f>IFERROR(__xludf.DUMMYFUNCTION("""COMPUTED_VALUE"""),43063.64583333333)</f>
        <v>43063.64583</v>
      </c>
      <c r="C818" s="2">
        <f>IFERROR(__xludf.DUMMYFUNCTION("""COMPUTED_VALUE"""),950.46)</f>
        <v>950.46</v>
      </c>
    </row>
    <row r="819" ht="15.75" customHeight="1">
      <c r="B819" s="3">
        <f>IFERROR(__xludf.DUMMYFUNCTION("""COMPUTED_VALUE"""),43070.64583333333)</f>
        <v>43070.64583</v>
      </c>
      <c r="C819" s="2">
        <f>IFERROR(__xludf.DUMMYFUNCTION("""COMPUTED_VALUE"""),948.47)</f>
        <v>948.47</v>
      </c>
    </row>
    <row r="820" ht="15.75" customHeight="1">
      <c r="B820" s="3">
        <f>IFERROR(__xludf.DUMMYFUNCTION("""COMPUTED_VALUE"""),43077.64583333333)</f>
        <v>43077.64583</v>
      </c>
      <c r="C820" s="2">
        <f>IFERROR(__xludf.DUMMYFUNCTION("""COMPUTED_VALUE"""),928.12)</f>
        <v>928.12</v>
      </c>
    </row>
    <row r="821" ht="15.75" customHeight="1">
      <c r="B821" s="3">
        <f>IFERROR(__xludf.DUMMYFUNCTION("""COMPUTED_VALUE"""),43084.64583333333)</f>
        <v>43084.64583</v>
      </c>
      <c r="C821" s="2">
        <f>IFERROR(__xludf.DUMMYFUNCTION("""COMPUTED_VALUE"""),924.16)</f>
        <v>924.16</v>
      </c>
    </row>
    <row r="822" ht="15.75" customHeight="1">
      <c r="B822" s="3">
        <f>IFERROR(__xludf.DUMMYFUNCTION("""COMPUTED_VALUE"""),43091.64583333333)</f>
        <v>43091.64583</v>
      </c>
      <c r="C822" s="2">
        <f>IFERROR(__xludf.DUMMYFUNCTION("""COMPUTED_VALUE"""),923.86)</f>
        <v>923.86</v>
      </c>
    </row>
    <row r="823" ht="15.75" customHeight="1">
      <c r="B823" s="3">
        <f>IFERROR(__xludf.DUMMYFUNCTION("""COMPUTED_VALUE"""),43098.64583333333)</f>
        <v>43098.64583</v>
      </c>
      <c r="C823" s="2">
        <f>IFERROR(__xludf.DUMMYFUNCTION("""COMPUTED_VALUE"""),930.05)</f>
        <v>930.05</v>
      </c>
    </row>
    <row r="824" ht="15.75" customHeight="1"/>
    <row r="825" ht="15.75" customHeight="1"/>
    <row r="826" ht="15.75" customHeight="1">
      <c r="B826" s="2" t="str">
        <f>IFERROR(__xludf.DUMMYFUNCTION("GOOGLEFINANCE(""NSE:RELIANCE"", ""high"",DATE(2018,1,1),DATE(2019,1,1),""weekly"")"),"Date")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IFERROR(__xludf.DUMMYFUNCTION("""COMPUTED_VALUE"""),43105.64583333333)</f>
        <v>43105.64583</v>
      </c>
      <c r="C827" s="2">
        <f>IFERROR(__xludf.DUMMYFUNCTION("""COMPUTED_VALUE"""),918.16)</f>
        <v>918.16</v>
      </c>
    </row>
    <row r="828" ht="15.75" customHeight="1">
      <c r="B828" s="3">
        <f>IFERROR(__xludf.DUMMYFUNCTION("""COMPUTED_VALUE"""),43112.64583333333)</f>
        <v>43112.64583</v>
      </c>
      <c r="C828" s="2">
        <f>IFERROR(__xludf.DUMMYFUNCTION("""COMPUTED_VALUE"""),943.82)</f>
        <v>943.82</v>
      </c>
    </row>
    <row r="829" ht="15.75" customHeight="1">
      <c r="B829" s="3">
        <f>IFERROR(__xludf.DUMMYFUNCTION("""COMPUTED_VALUE"""),43119.64583333333)</f>
        <v>43119.64583</v>
      </c>
      <c r="C829" s="2">
        <f>IFERROR(__xludf.DUMMYFUNCTION("""COMPUTED_VALUE"""),949.46)</f>
        <v>949.46</v>
      </c>
    </row>
    <row r="830" ht="15.75" customHeight="1">
      <c r="B830" s="3">
        <f>IFERROR(__xludf.DUMMYFUNCTION("""COMPUTED_VALUE"""),43125.64583333333)</f>
        <v>43125.64583</v>
      </c>
      <c r="C830" s="2">
        <f>IFERROR(__xludf.DUMMYFUNCTION("""COMPUTED_VALUE"""),981.61)</f>
        <v>981.61</v>
      </c>
    </row>
    <row r="831" ht="15.75" customHeight="1">
      <c r="B831" s="3">
        <f>IFERROR(__xludf.DUMMYFUNCTION("""COMPUTED_VALUE"""),43133.64583333333)</f>
        <v>43133.64583</v>
      </c>
      <c r="C831" s="2">
        <f>IFERROR(__xludf.DUMMYFUNCTION("""COMPUTED_VALUE"""),968.09)</f>
        <v>968.09</v>
      </c>
    </row>
    <row r="832" ht="15.75" customHeight="1">
      <c r="B832" s="3">
        <f>IFERROR(__xludf.DUMMYFUNCTION("""COMPUTED_VALUE"""),43140.64583333333)</f>
        <v>43140.64583</v>
      </c>
      <c r="C832" s="2">
        <f>IFERROR(__xludf.DUMMYFUNCTION("""COMPUTED_VALUE"""),903.9)</f>
        <v>903.9</v>
      </c>
    </row>
    <row r="833" ht="15.75" customHeight="1">
      <c r="B833" s="3">
        <f>IFERROR(__xludf.DUMMYFUNCTION("""COMPUTED_VALUE"""),43147.64583333333)</f>
        <v>43147.64583</v>
      </c>
      <c r="C833" s="2">
        <f>IFERROR(__xludf.DUMMYFUNCTION("""COMPUTED_VALUE"""),936.84)</f>
        <v>936.84</v>
      </c>
    </row>
    <row r="834" ht="15.75" customHeight="1">
      <c r="B834" s="3">
        <f>IFERROR(__xludf.DUMMYFUNCTION("""COMPUTED_VALUE"""),43154.64583333333)</f>
        <v>43154.64583</v>
      </c>
      <c r="C834" s="2">
        <f>IFERROR(__xludf.DUMMYFUNCTION("""COMPUTED_VALUE"""),929.16)</f>
        <v>929.16</v>
      </c>
    </row>
    <row r="835" ht="15.75" customHeight="1">
      <c r="B835" s="3">
        <f>IFERROR(__xludf.DUMMYFUNCTION("""COMPUTED_VALUE"""),43160.64583333333)</f>
        <v>43160.64583</v>
      </c>
      <c r="C835" s="2">
        <f>IFERROR(__xludf.DUMMYFUNCTION("""COMPUTED_VALUE"""),950.85)</f>
        <v>950.85</v>
      </c>
    </row>
    <row r="836" ht="15.75" customHeight="1">
      <c r="B836" s="3">
        <f>IFERROR(__xludf.DUMMYFUNCTION("""COMPUTED_VALUE"""),43168.64583333333)</f>
        <v>43168.64583</v>
      </c>
      <c r="C836" s="2">
        <f>IFERROR(__xludf.DUMMYFUNCTION("""COMPUTED_VALUE"""),941.19)</f>
        <v>941.19</v>
      </c>
    </row>
    <row r="837" ht="15.75" customHeight="1">
      <c r="B837" s="3">
        <f>IFERROR(__xludf.DUMMYFUNCTION("""COMPUTED_VALUE"""),43175.64583333333)</f>
        <v>43175.64583</v>
      </c>
      <c r="C837" s="2">
        <f>IFERROR(__xludf.DUMMYFUNCTION("""COMPUTED_VALUE"""),927.18)</f>
        <v>927.18</v>
      </c>
    </row>
    <row r="838" ht="15.75" customHeight="1">
      <c r="B838" s="3">
        <f>IFERROR(__xludf.DUMMYFUNCTION("""COMPUTED_VALUE"""),43182.64583333333)</f>
        <v>43182.64583</v>
      </c>
      <c r="C838" s="2">
        <f>IFERROR(__xludf.DUMMYFUNCTION("""COMPUTED_VALUE"""),903.35)</f>
        <v>903.35</v>
      </c>
    </row>
    <row r="839" ht="15.75" customHeight="1">
      <c r="B839" s="3">
        <f>IFERROR(__xludf.DUMMYFUNCTION("""COMPUTED_VALUE"""),43187.64583333333)</f>
        <v>43187.64583</v>
      </c>
      <c r="C839" s="2">
        <f>IFERROR(__xludf.DUMMYFUNCTION("""COMPUTED_VALUE"""),902.17)</f>
        <v>902.17</v>
      </c>
    </row>
    <row r="840" ht="15.75" customHeight="1">
      <c r="B840" s="3">
        <f>IFERROR(__xludf.DUMMYFUNCTION("""COMPUTED_VALUE"""),43196.64583333333)</f>
        <v>43196.64583</v>
      </c>
      <c r="C840" s="2">
        <f>IFERROR(__xludf.DUMMYFUNCTION("""COMPUTED_VALUE"""),909.84)</f>
        <v>909.84</v>
      </c>
    </row>
    <row r="841" ht="15.75" customHeight="1">
      <c r="B841" s="3">
        <f>IFERROR(__xludf.DUMMYFUNCTION("""COMPUTED_VALUE"""),43203.64583333333)</f>
        <v>43203.64583</v>
      </c>
      <c r="C841" s="2">
        <f>IFERROR(__xludf.DUMMYFUNCTION("""COMPUTED_VALUE"""),932.82)</f>
        <v>932.82</v>
      </c>
    </row>
    <row r="842" ht="15.75" customHeight="1">
      <c r="B842" s="3">
        <f>IFERROR(__xludf.DUMMYFUNCTION("""COMPUTED_VALUE"""),43210.64583333333)</f>
        <v>43210.64583</v>
      </c>
      <c r="C842" s="2">
        <f>IFERROR(__xludf.DUMMYFUNCTION("""COMPUTED_VALUE"""),939.26)</f>
        <v>939.26</v>
      </c>
    </row>
    <row r="843" ht="15.75" customHeight="1">
      <c r="B843" s="3">
        <f>IFERROR(__xludf.DUMMYFUNCTION("""COMPUTED_VALUE"""),43217.64583333333)</f>
        <v>43217.64583</v>
      </c>
      <c r="C843" s="2">
        <f>IFERROR(__xludf.DUMMYFUNCTION("""COMPUTED_VALUE"""),1001.47)</f>
        <v>1001.47</v>
      </c>
    </row>
    <row r="844" ht="15.75" customHeight="1">
      <c r="B844" s="3">
        <f>IFERROR(__xludf.DUMMYFUNCTION("""COMPUTED_VALUE"""),43224.64583333333)</f>
        <v>43224.64583</v>
      </c>
      <c r="C844" s="2">
        <f>IFERROR(__xludf.DUMMYFUNCTION("""COMPUTED_VALUE"""),983.24)</f>
        <v>983.24</v>
      </c>
    </row>
    <row r="845" ht="15.75" customHeight="1">
      <c r="B845" s="3">
        <f>IFERROR(__xludf.DUMMYFUNCTION("""COMPUTED_VALUE"""),43231.64583333333)</f>
        <v>43231.64583</v>
      </c>
      <c r="C845" s="2">
        <f>IFERROR(__xludf.DUMMYFUNCTION("""COMPUTED_VALUE"""),981.96)</f>
        <v>981.96</v>
      </c>
    </row>
    <row r="846" ht="15.75" customHeight="1">
      <c r="B846" s="3">
        <f>IFERROR(__xludf.DUMMYFUNCTION("""COMPUTED_VALUE"""),43238.64583333333)</f>
        <v>43238.64583</v>
      </c>
      <c r="C846" s="2">
        <f>IFERROR(__xludf.DUMMYFUNCTION("""COMPUTED_VALUE"""),990.57)</f>
        <v>990.57</v>
      </c>
    </row>
    <row r="847" ht="15.75" customHeight="1">
      <c r="B847" s="3">
        <f>IFERROR(__xludf.DUMMYFUNCTION("""COMPUTED_VALUE"""),43245.64583333333)</f>
        <v>43245.64583</v>
      </c>
      <c r="C847" s="2">
        <f>IFERROR(__xludf.DUMMYFUNCTION("""COMPUTED_VALUE"""),926.88)</f>
        <v>926.88</v>
      </c>
    </row>
    <row r="848" ht="15.75" customHeight="1">
      <c r="B848" s="3">
        <f>IFERROR(__xludf.DUMMYFUNCTION("""COMPUTED_VALUE"""),43252.64583333333)</f>
        <v>43252.64583</v>
      </c>
      <c r="C848" s="2">
        <f>IFERROR(__xludf.DUMMYFUNCTION("""COMPUTED_VALUE"""),926.93)</f>
        <v>926.93</v>
      </c>
    </row>
    <row r="849" ht="15.75" customHeight="1">
      <c r="B849" s="3">
        <f>IFERROR(__xludf.DUMMYFUNCTION("""COMPUTED_VALUE"""),43259.64583333333)</f>
        <v>43259.64583</v>
      </c>
      <c r="C849" s="2">
        <f>IFERROR(__xludf.DUMMYFUNCTION("""COMPUTED_VALUE"""),977.25)</f>
        <v>977.25</v>
      </c>
    </row>
    <row r="850" ht="15.75" customHeight="1">
      <c r="B850" s="3">
        <f>IFERROR(__xludf.DUMMYFUNCTION("""COMPUTED_VALUE"""),43266.64583333333)</f>
        <v>43266.64583</v>
      </c>
      <c r="C850" s="2">
        <f>IFERROR(__xludf.DUMMYFUNCTION("""COMPUTED_VALUE"""),1013.85)</f>
        <v>1013.85</v>
      </c>
    </row>
    <row r="851" ht="15.75" customHeight="1">
      <c r="B851" s="3">
        <f>IFERROR(__xludf.DUMMYFUNCTION("""COMPUTED_VALUE"""),43273.64583333333)</f>
        <v>43273.64583</v>
      </c>
      <c r="C851" s="2">
        <f>IFERROR(__xludf.DUMMYFUNCTION("""COMPUTED_VALUE"""),1026.23)</f>
        <v>1026.23</v>
      </c>
    </row>
    <row r="852" ht="15.75" customHeight="1">
      <c r="B852" s="3">
        <f>IFERROR(__xludf.DUMMYFUNCTION("""COMPUTED_VALUE"""),43280.64583333333)</f>
        <v>43280.64583</v>
      </c>
      <c r="C852" s="2">
        <f>IFERROR(__xludf.DUMMYFUNCTION("""COMPUTED_VALUE"""),1006.92)</f>
        <v>1006.92</v>
      </c>
    </row>
    <row r="853" ht="15.75" customHeight="1">
      <c r="B853" s="3">
        <f>IFERROR(__xludf.DUMMYFUNCTION("""COMPUTED_VALUE"""),43287.64583333333)</f>
        <v>43287.64583</v>
      </c>
      <c r="C853" s="2">
        <f>IFERROR(__xludf.DUMMYFUNCTION("""COMPUTED_VALUE"""),998.89)</f>
        <v>998.89</v>
      </c>
    </row>
    <row r="854" ht="15.75" customHeight="1">
      <c r="B854" s="3">
        <f>IFERROR(__xludf.DUMMYFUNCTION("""COMPUTED_VALUE"""),43294.64583333333)</f>
        <v>43294.64583</v>
      </c>
      <c r="C854" s="2">
        <f>IFERROR(__xludf.DUMMYFUNCTION("""COMPUTED_VALUE"""),1098.55)</f>
        <v>1098.55</v>
      </c>
    </row>
    <row r="855" ht="15.75" customHeight="1">
      <c r="B855" s="3">
        <f>IFERROR(__xludf.DUMMYFUNCTION("""COMPUTED_VALUE"""),43301.64583333333)</f>
        <v>43301.64583</v>
      </c>
      <c r="C855" s="2">
        <f>IFERROR(__xludf.DUMMYFUNCTION("""COMPUTED_VALUE"""),1127.77)</f>
        <v>1127.77</v>
      </c>
    </row>
    <row r="856" ht="15.75" customHeight="1">
      <c r="B856" s="3">
        <f>IFERROR(__xludf.DUMMYFUNCTION("""COMPUTED_VALUE"""),43308.64583333333)</f>
        <v>43308.64583</v>
      </c>
      <c r="C856" s="2">
        <f>IFERROR(__xludf.DUMMYFUNCTION("""COMPUTED_VALUE"""),1126.68)</f>
        <v>1126.68</v>
      </c>
    </row>
    <row r="857" ht="15.75" customHeight="1">
      <c r="B857" s="3">
        <f>IFERROR(__xludf.DUMMYFUNCTION("""COMPUTED_VALUE"""),43315.64583333333)</f>
        <v>43315.64583</v>
      </c>
      <c r="C857" s="2">
        <f>IFERROR(__xludf.DUMMYFUNCTION("""COMPUTED_VALUE"""),1191.56)</f>
        <v>1191.56</v>
      </c>
    </row>
    <row r="858" ht="15.75" customHeight="1">
      <c r="B858" s="3">
        <f>IFERROR(__xludf.DUMMYFUNCTION("""COMPUTED_VALUE"""),43322.64583333333)</f>
        <v>43322.64583</v>
      </c>
      <c r="C858" s="2">
        <f>IFERROR(__xludf.DUMMYFUNCTION("""COMPUTED_VALUE"""),1220.09)</f>
        <v>1220.09</v>
      </c>
    </row>
    <row r="859" ht="15.75" customHeight="1">
      <c r="B859" s="3">
        <f>IFERROR(__xludf.DUMMYFUNCTION("""COMPUTED_VALUE"""),43329.64583333333)</f>
        <v>43329.64583</v>
      </c>
      <c r="C859" s="2">
        <f>IFERROR(__xludf.DUMMYFUNCTION("""COMPUTED_VALUE"""),1205.73)</f>
        <v>1205.73</v>
      </c>
    </row>
    <row r="860" ht="15.75" customHeight="1">
      <c r="B860" s="3">
        <f>IFERROR(__xludf.DUMMYFUNCTION("""COMPUTED_VALUE"""),43336.64583333333)</f>
        <v>43336.64583</v>
      </c>
      <c r="C860" s="2">
        <f>IFERROR(__xludf.DUMMYFUNCTION("""COMPUTED_VALUE"""),1267.88)</f>
        <v>1267.88</v>
      </c>
    </row>
    <row r="861" ht="15.75" customHeight="1">
      <c r="B861" s="3">
        <f>IFERROR(__xludf.DUMMYFUNCTION("""COMPUTED_VALUE"""),43343.64583333333)</f>
        <v>43343.64583</v>
      </c>
      <c r="C861" s="2">
        <f>IFERROR(__xludf.DUMMYFUNCTION("""COMPUTED_VALUE"""),1316.47)</f>
        <v>1316.47</v>
      </c>
    </row>
    <row r="862" ht="15.75" customHeight="1">
      <c r="B862" s="3">
        <f>IFERROR(__xludf.DUMMYFUNCTION("""COMPUTED_VALUE"""),43350.64583333333)</f>
        <v>43350.64583</v>
      </c>
      <c r="C862" s="2">
        <f>IFERROR(__xludf.DUMMYFUNCTION("""COMPUTED_VALUE"""),1269.27)</f>
        <v>1269.27</v>
      </c>
    </row>
    <row r="863" ht="15.75" customHeight="1">
      <c r="B863" s="3">
        <f>IFERROR(__xludf.DUMMYFUNCTION("""COMPUTED_VALUE"""),43357.64583333333)</f>
        <v>43357.64583</v>
      </c>
      <c r="C863" s="2">
        <f>IFERROR(__xludf.DUMMYFUNCTION("""COMPUTED_VALUE"""),1264.96)</f>
        <v>1264.96</v>
      </c>
    </row>
    <row r="864" ht="15.75" customHeight="1">
      <c r="B864" s="3">
        <f>IFERROR(__xludf.DUMMYFUNCTION("""COMPUTED_VALUE"""),43364.64583333333)</f>
        <v>43364.64583</v>
      </c>
      <c r="C864" s="2">
        <f>IFERROR(__xludf.DUMMYFUNCTION("""COMPUTED_VALUE"""),1238.96)</f>
        <v>1238.96</v>
      </c>
    </row>
    <row r="865" ht="15.75" customHeight="1">
      <c r="B865" s="3">
        <f>IFERROR(__xludf.DUMMYFUNCTION("""COMPUTED_VALUE"""),43371.64583333333)</f>
        <v>43371.64583</v>
      </c>
      <c r="C865" s="2">
        <f>IFERROR(__xludf.DUMMYFUNCTION("""COMPUTED_VALUE"""),1259.71)</f>
        <v>1259.71</v>
      </c>
    </row>
    <row r="866" ht="15.75" customHeight="1">
      <c r="B866" s="3">
        <f>IFERROR(__xludf.DUMMYFUNCTION("""COMPUTED_VALUE"""),43378.64583333333)</f>
        <v>43378.64583</v>
      </c>
      <c r="C866" s="2">
        <f>IFERROR(__xludf.DUMMYFUNCTION("""COMPUTED_VALUE"""),1245.84)</f>
        <v>1245.84</v>
      </c>
    </row>
    <row r="867" ht="15.75" customHeight="1">
      <c r="B867" s="3">
        <f>IFERROR(__xludf.DUMMYFUNCTION("""COMPUTED_VALUE"""),43385.64583333333)</f>
        <v>43385.64583</v>
      </c>
      <c r="C867" s="2">
        <f>IFERROR(__xludf.DUMMYFUNCTION("""COMPUTED_VALUE"""),1118.36)</f>
        <v>1118.36</v>
      </c>
    </row>
    <row r="868" ht="15.75" customHeight="1">
      <c r="B868" s="3">
        <f>IFERROR(__xludf.DUMMYFUNCTION("""COMPUTED_VALUE"""),43392.64583333333)</f>
        <v>43392.64583</v>
      </c>
      <c r="C868" s="2">
        <f>IFERROR(__xludf.DUMMYFUNCTION("""COMPUTED_VALUE"""),1168.23)</f>
        <v>1168.23</v>
      </c>
    </row>
    <row r="869" ht="15.75" customHeight="1">
      <c r="B869" s="3">
        <f>IFERROR(__xludf.DUMMYFUNCTION("""COMPUTED_VALUE"""),43399.64583333333)</f>
        <v>43399.64583</v>
      </c>
      <c r="C869" s="2">
        <f>IFERROR(__xludf.DUMMYFUNCTION("""COMPUTED_VALUE"""),1104.29)</f>
        <v>1104.29</v>
      </c>
    </row>
    <row r="870" ht="15.75" customHeight="1">
      <c r="B870" s="3">
        <f>IFERROR(__xludf.DUMMYFUNCTION("""COMPUTED_VALUE"""),43406.64583333333)</f>
        <v>43406.64583</v>
      </c>
      <c r="C870" s="2">
        <f>IFERROR(__xludf.DUMMYFUNCTION("""COMPUTED_VALUE"""),1083.54)</f>
        <v>1083.54</v>
      </c>
    </row>
    <row r="871" ht="15.75" customHeight="1">
      <c r="B871" s="3">
        <f>IFERROR(__xludf.DUMMYFUNCTION("""COMPUTED_VALUE"""),43413.64583333333)</f>
        <v>43413.64583</v>
      </c>
      <c r="C871" s="2">
        <f>IFERROR(__xludf.DUMMYFUNCTION("""COMPUTED_VALUE"""),1104.49)</f>
        <v>1104.49</v>
      </c>
    </row>
    <row r="872" ht="15.75" customHeight="1">
      <c r="B872" s="3">
        <f>IFERROR(__xludf.DUMMYFUNCTION("""COMPUTED_VALUE"""),43420.64583333333)</f>
        <v>43420.64583</v>
      </c>
      <c r="C872" s="2">
        <f>IFERROR(__xludf.DUMMYFUNCTION("""COMPUTED_VALUE"""),1119.3)</f>
        <v>1119.3</v>
      </c>
    </row>
    <row r="873" ht="15.75" customHeight="1">
      <c r="B873" s="3">
        <f>IFERROR(__xludf.DUMMYFUNCTION("""COMPUTED_VALUE"""),43426.64583333333)</f>
        <v>43426.64583</v>
      </c>
      <c r="C873" s="2">
        <f>IFERROR(__xludf.DUMMYFUNCTION("""COMPUTED_VALUE"""),1145.0)</f>
        <v>1145</v>
      </c>
    </row>
    <row r="874" ht="15.75" customHeight="1">
      <c r="B874" s="3">
        <f>IFERROR(__xludf.DUMMYFUNCTION("""COMPUTED_VALUE"""),43434.64583333333)</f>
        <v>43434.64583</v>
      </c>
      <c r="C874" s="2">
        <f>IFERROR(__xludf.DUMMYFUNCTION("""COMPUTED_VALUE"""),1174.82)</f>
        <v>1174.82</v>
      </c>
    </row>
    <row r="875" ht="15.75" customHeight="1">
      <c r="B875" s="3">
        <f>IFERROR(__xludf.DUMMYFUNCTION("""COMPUTED_VALUE"""),43441.64583333333)</f>
        <v>43441.64583</v>
      </c>
      <c r="C875" s="2">
        <f>IFERROR(__xludf.DUMMYFUNCTION("""COMPUTED_VALUE"""),1163.83)</f>
        <v>1163.83</v>
      </c>
    </row>
    <row r="876" ht="15.75" customHeight="1">
      <c r="B876" s="3">
        <f>IFERROR(__xludf.DUMMYFUNCTION("""COMPUTED_VALUE"""),43448.64583333333)</f>
        <v>43448.64583</v>
      </c>
      <c r="C876" s="2">
        <f>IFERROR(__xludf.DUMMYFUNCTION("""COMPUTED_VALUE"""),1117.37)</f>
        <v>1117.37</v>
      </c>
    </row>
    <row r="877" ht="15.75" customHeight="1">
      <c r="B877" s="3">
        <f>IFERROR(__xludf.DUMMYFUNCTION("""COMPUTED_VALUE"""),43455.64583333333)</f>
        <v>43455.64583</v>
      </c>
      <c r="C877" s="2">
        <f>IFERROR(__xludf.DUMMYFUNCTION("""COMPUTED_VALUE"""),1136.49)</f>
        <v>1136.49</v>
      </c>
    </row>
    <row r="878" ht="15.75" customHeight="1">
      <c r="B878" s="3">
        <f>IFERROR(__xludf.DUMMYFUNCTION("""COMPUTED_VALUE"""),43462.64583333333)</f>
        <v>43462.64583</v>
      </c>
      <c r="C878" s="2">
        <f>IFERROR(__xludf.DUMMYFUNCTION("""COMPUTED_VALUE"""),1124.55)</f>
        <v>1124.55</v>
      </c>
    </row>
    <row r="879" ht="15.75" customHeight="1"/>
    <row r="880" ht="15.75" customHeight="1"/>
    <row r="881" ht="15.75" customHeight="1">
      <c r="B881" s="2" t="str">
        <f>IFERROR(__xludf.DUMMYFUNCTION("GOOGLEFINANCE(""NSE:RELIANCE"", ""high"",DATE(2019,1,1),DATE(2020,1,1),""weekly"")"),"Date")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IFERROR(__xludf.DUMMYFUNCTION("""COMPUTED_VALUE"""),43469.64583333333)</f>
        <v>43469.64583</v>
      </c>
      <c r="C882" s="2">
        <f>IFERROR(__xludf.DUMMYFUNCTION("""COMPUTED_VALUE"""),1123.16)</f>
        <v>1123.16</v>
      </c>
    </row>
    <row r="883" ht="15.75" customHeight="1">
      <c r="B883" s="3">
        <f>IFERROR(__xludf.DUMMYFUNCTION("""COMPUTED_VALUE"""),43476.64583333333)</f>
        <v>43476.64583</v>
      </c>
      <c r="C883" s="2">
        <f>IFERROR(__xludf.DUMMYFUNCTION("""COMPUTED_VALUE"""),1107.91)</f>
        <v>1107.91</v>
      </c>
    </row>
    <row r="884" ht="15.75" customHeight="1">
      <c r="B884" s="3">
        <f>IFERROR(__xludf.DUMMYFUNCTION("""COMPUTED_VALUE"""),43483.64583333333)</f>
        <v>43483.64583</v>
      </c>
      <c r="C884" s="2">
        <f>IFERROR(__xludf.DUMMYFUNCTION("""COMPUTED_VALUE"""),1178.68)</f>
        <v>1178.68</v>
      </c>
    </row>
    <row r="885" ht="15.75" customHeight="1">
      <c r="B885" s="3">
        <f>IFERROR(__xludf.DUMMYFUNCTION("""COMPUTED_VALUE"""),43490.64583333333)</f>
        <v>43490.64583</v>
      </c>
      <c r="C885" s="2">
        <f>IFERROR(__xludf.DUMMYFUNCTION("""COMPUTED_VALUE"""),1252.78)</f>
        <v>1252.78</v>
      </c>
    </row>
    <row r="886" ht="15.75" customHeight="1">
      <c r="B886" s="3">
        <f>IFERROR(__xludf.DUMMYFUNCTION("""COMPUTED_VALUE"""),43497.64583333333)</f>
        <v>43497.64583</v>
      </c>
      <c r="C886" s="2">
        <f>IFERROR(__xludf.DUMMYFUNCTION("""COMPUTED_VALUE"""),1244.11)</f>
        <v>1244.11</v>
      </c>
    </row>
    <row r="887" ht="15.75" customHeight="1">
      <c r="B887" s="3">
        <f>IFERROR(__xludf.DUMMYFUNCTION("""COMPUTED_VALUE"""),43504.64583333333)</f>
        <v>43504.64583</v>
      </c>
      <c r="C887" s="2">
        <f>IFERROR(__xludf.DUMMYFUNCTION("""COMPUTED_VALUE"""),1308.75)</f>
        <v>1308.75</v>
      </c>
    </row>
    <row r="888" ht="15.75" customHeight="1">
      <c r="B888" s="3">
        <f>IFERROR(__xludf.DUMMYFUNCTION("""COMPUTED_VALUE"""),43511.64583333333)</f>
        <v>43511.64583</v>
      </c>
      <c r="C888" s="2">
        <f>IFERROR(__xludf.DUMMYFUNCTION("""COMPUTED_VALUE"""),1263.97)</f>
        <v>1263.97</v>
      </c>
    </row>
    <row r="889" ht="15.75" customHeight="1">
      <c r="B889" s="3">
        <f>IFERROR(__xludf.DUMMYFUNCTION("""COMPUTED_VALUE"""),43518.64583333333)</f>
        <v>43518.64583</v>
      </c>
      <c r="C889" s="2">
        <f>IFERROR(__xludf.DUMMYFUNCTION("""COMPUTED_VALUE"""),1245.94)</f>
        <v>1245.94</v>
      </c>
    </row>
    <row r="890" ht="15.75" customHeight="1">
      <c r="B890" s="3">
        <f>IFERROR(__xludf.DUMMYFUNCTION("""COMPUTED_VALUE"""),43525.64583333333)</f>
        <v>43525.64583</v>
      </c>
      <c r="C890" s="2">
        <f>IFERROR(__xludf.DUMMYFUNCTION("""COMPUTED_VALUE"""),1233.17)</f>
        <v>1233.17</v>
      </c>
    </row>
    <row r="891" ht="15.75" customHeight="1">
      <c r="B891" s="3">
        <f>IFERROR(__xludf.DUMMYFUNCTION("""COMPUTED_VALUE"""),43532.64583333333)</f>
        <v>43532.64583</v>
      </c>
      <c r="C891" s="2">
        <f>IFERROR(__xludf.DUMMYFUNCTION("""COMPUTED_VALUE"""),1267.74)</f>
        <v>1267.74</v>
      </c>
    </row>
    <row r="892" ht="15.75" customHeight="1">
      <c r="B892" s="3">
        <f>IFERROR(__xludf.DUMMYFUNCTION("""COMPUTED_VALUE"""),43539.64583333333)</f>
        <v>43539.64583</v>
      </c>
      <c r="C892" s="2">
        <f>IFERROR(__xludf.DUMMYFUNCTION("""COMPUTED_VALUE"""),1349.16)</f>
        <v>1349.16</v>
      </c>
    </row>
    <row r="893" ht="15.75" customHeight="1">
      <c r="B893" s="3">
        <f>IFERROR(__xludf.DUMMYFUNCTION("""COMPUTED_VALUE"""),43546.64583333333)</f>
        <v>43546.64583</v>
      </c>
      <c r="C893" s="2">
        <f>IFERROR(__xludf.DUMMYFUNCTION("""COMPUTED_VALUE"""),1374.92)</f>
        <v>1374.92</v>
      </c>
    </row>
    <row r="894" ht="15.75" customHeight="1">
      <c r="B894" s="3">
        <f>IFERROR(__xludf.DUMMYFUNCTION("""COMPUTED_VALUE"""),43553.64583333333)</f>
        <v>43553.64583</v>
      </c>
      <c r="C894" s="2">
        <f>IFERROR(__xludf.DUMMYFUNCTION("""COMPUTED_VALUE"""),1364.96)</f>
        <v>1364.96</v>
      </c>
    </row>
    <row r="895" ht="15.75" customHeight="1">
      <c r="B895" s="3">
        <f>IFERROR(__xludf.DUMMYFUNCTION("""COMPUTED_VALUE"""),43560.64583333333)</f>
        <v>43560.64583</v>
      </c>
      <c r="C895" s="2">
        <f>IFERROR(__xludf.DUMMYFUNCTION("""COMPUTED_VALUE"""),1393.54)</f>
        <v>1393.54</v>
      </c>
    </row>
    <row r="896" ht="15.75" customHeight="1">
      <c r="B896" s="3">
        <f>IFERROR(__xludf.DUMMYFUNCTION("""COMPUTED_VALUE"""),43567.64583333333)</f>
        <v>43567.64583</v>
      </c>
      <c r="C896" s="2">
        <f>IFERROR(__xludf.DUMMYFUNCTION("""COMPUTED_VALUE"""),1344.7)</f>
        <v>1344.7</v>
      </c>
    </row>
    <row r="897" ht="15.75" customHeight="1">
      <c r="B897" s="3">
        <f>IFERROR(__xludf.DUMMYFUNCTION("""COMPUTED_VALUE"""),43573.64583333333)</f>
        <v>43573.64583</v>
      </c>
      <c r="C897" s="2">
        <f>IFERROR(__xludf.DUMMYFUNCTION("""COMPUTED_VALUE"""),1376.65)</f>
        <v>1376.65</v>
      </c>
    </row>
    <row r="898" ht="15.75" customHeight="1">
      <c r="B898" s="3">
        <f>IFERROR(__xludf.DUMMYFUNCTION("""COMPUTED_VALUE"""),43581.64583333333)</f>
        <v>43581.64583</v>
      </c>
      <c r="C898" s="2">
        <f>IFERROR(__xludf.DUMMYFUNCTION("""COMPUTED_VALUE"""),1399.09)</f>
        <v>1399.09</v>
      </c>
    </row>
    <row r="899" ht="15.75" customHeight="1">
      <c r="B899" s="3">
        <f>IFERROR(__xludf.DUMMYFUNCTION("""COMPUTED_VALUE"""),43588.64583333333)</f>
        <v>43588.64583</v>
      </c>
      <c r="C899" s="2">
        <f>IFERROR(__xludf.DUMMYFUNCTION("""COMPUTED_VALUE"""),1404.14)</f>
        <v>1404.14</v>
      </c>
    </row>
    <row r="900" ht="15.75" customHeight="1">
      <c r="B900" s="3">
        <f>IFERROR(__xludf.DUMMYFUNCTION("""COMPUTED_VALUE"""),43595.64583333333)</f>
        <v>43595.64583</v>
      </c>
      <c r="C900" s="2">
        <f>IFERROR(__xludf.DUMMYFUNCTION("""COMPUTED_VALUE"""),1389.58)</f>
        <v>1389.58</v>
      </c>
    </row>
    <row r="901" ht="15.75" customHeight="1">
      <c r="B901" s="3">
        <f>IFERROR(__xludf.DUMMYFUNCTION("""COMPUTED_VALUE"""),43602.64583333333)</f>
        <v>43602.64583</v>
      </c>
      <c r="C901" s="2">
        <f>IFERROR(__xludf.DUMMYFUNCTION("""COMPUTED_VALUE"""),1265.95)</f>
        <v>1265.95</v>
      </c>
    </row>
    <row r="902" ht="15.75" customHeight="1">
      <c r="B902" s="3">
        <f>IFERROR(__xludf.DUMMYFUNCTION("""COMPUTED_VALUE"""),43609.64583333333)</f>
        <v>43609.64583</v>
      </c>
      <c r="C902" s="2">
        <f>IFERROR(__xludf.DUMMYFUNCTION("""COMPUTED_VALUE"""),1378.88)</f>
        <v>1378.88</v>
      </c>
    </row>
    <row r="903" ht="15.75" customHeight="1">
      <c r="B903" s="3">
        <f>IFERROR(__xludf.DUMMYFUNCTION("""COMPUTED_VALUE"""),43616.64583333333)</f>
        <v>43616.64583</v>
      </c>
      <c r="C903" s="2">
        <f>IFERROR(__xludf.DUMMYFUNCTION("""COMPUTED_VALUE"""),1329.35)</f>
        <v>1329.35</v>
      </c>
    </row>
    <row r="904" ht="15.75" customHeight="1">
      <c r="B904" s="3">
        <f>IFERROR(__xludf.DUMMYFUNCTION("""COMPUTED_VALUE"""),43623.64583333333)</f>
        <v>43623.64583</v>
      </c>
      <c r="C904" s="2">
        <f>IFERROR(__xludf.DUMMYFUNCTION("""COMPUTED_VALUE"""),1361.3)</f>
        <v>1361.3</v>
      </c>
    </row>
    <row r="905" ht="15.75" customHeight="1">
      <c r="B905" s="3">
        <f>IFERROR(__xludf.DUMMYFUNCTION("""COMPUTED_VALUE"""),43630.64583333333)</f>
        <v>43630.64583</v>
      </c>
      <c r="C905" s="2">
        <f>IFERROR(__xludf.DUMMYFUNCTION("""COMPUTED_VALUE"""),1325.78)</f>
        <v>1325.78</v>
      </c>
    </row>
    <row r="906" ht="15.75" customHeight="1">
      <c r="B906" s="3">
        <f>IFERROR(__xludf.DUMMYFUNCTION("""COMPUTED_VALUE"""),43637.64583333333)</f>
        <v>43637.64583</v>
      </c>
      <c r="C906" s="2">
        <f>IFERROR(__xludf.DUMMYFUNCTION("""COMPUTED_VALUE"""),1307.56)</f>
        <v>1307.56</v>
      </c>
    </row>
    <row r="907" ht="15.75" customHeight="1">
      <c r="B907" s="3">
        <f>IFERROR(__xludf.DUMMYFUNCTION("""COMPUTED_VALUE"""),43644.64583333333)</f>
        <v>43644.64583</v>
      </c>
      <c r="C907" s="2">
        <f>IFERROR(__xludf.DUMMYFUNCTION("""COMPUTED_VALUE"""),1292.3)</f>
        <v>1292.3</v>
      </c>
    </row>
    <row r="908" ht="15.75" customHeight="1">
      <c r="B908" s="3">
        <f>IFERROR(__xludf.DUMMYFUNCTION("""COMPUTED_VALUE"""),43651.64583333333)</f>
        <v>43651.64583</v>
      </c>
      <c r="C908" s="2">
        <f>IFERROR(__xludf.DUMMYFUNCTION("""COMPUTED_VALUE"""),1278.83)</f>
        <v>1278.83</v>
      </c>
    </row>
    <row r="909" ht="15.75" customHeight="1">
      <c r="B909" s="3">
        <f>IFERROR(__xludf.DUMMYFUNCTION("""COMPUTED_VALUE"""),43658.64583333333)</f>
        <v>43658.64583</v>
      </c>
      <c r="C909" s="2">
        <f>IFERROR(__xludf.DUMMYFUNCTION("""COMPUTED_VALUE"""),1287.75)</f>
        <v>1287.75</v>
      </c>
    </row>
    <row r="910" ht="15.75" customHeight="1">
      <c r="B910" s="3">
        <f>IFERROR(__xludf.DUMMYFUNCTION("""COMPUTED_VALUE"""),43665.64583333333)</f>
        <v>43665.64583</v>
      </c>
      <c r="C910" s="2">
        <f>IFERROR(__xludf.DUMMYFUNCTION("""COMPUTED_VALUE"""),1284.77)</f>
        <v>1284.77</v>
      </c>
    </row>
    <row r="911" ht="15.75" customHeight="1">
      <c r="B911" s="3">
        <f>IFERROR(__xludf.DUMMYFUNCTION("""COMPUTED_VALUE"""),43672.64583333333)</f>
        <v>43672.64583</v>
      </c>
      <c r="C911" s="2">
        <f>IFERROR(__xludf.DUMMYFUNCTION("""COMPUTED_VALUE"""),1281.7)</f>
        <v>1281.7</v>
      </c>
    </row>
    <row r="912" ht="15.75" customHeight="1">
      <c r="B912" s="3">
        <f>IFERROR(__xludf.DUMMYFUNCTION("""COMPUTED_VALUE"""),43679.64583333333)</f>
        <v>43679.64583</v>
      </c>
      <c r="C912" s="2">
        <f>IFERROR(__xludf.DUMMYFUNCTION("""COMPUTED_VALUE"""),1210.48)</f>
        <v>1210.48</v>
      </c>
    </row>
    <row r="913" ht="15.75" customHeight="1">
      <c r="B913" s="3">
        <f>IFERROR(__xludf.DUMMYFUNCTION("""COMPUTED_VALUE"""),43686.64583333333)</f>
        <v>43686.64583</v>
      </c>
      <c r="C913" s="2">
        <f>IFERROR(__xludf.DUMMYFUNCTION("""COMPUTED_VALUE"""),1164.42)</f>
        <v>1164.42</v>
      </c>
    </row>
    <row r="914" ht="15.75" customHeight="1">
      <c r="B914" s="3">
        <f>IFERROR(__xludf.DUMMYFUNCTION("""COMPUTED_VALUE"""),43693.64583333333)</f>
        <v>43693.64583</v>
      </c>
      <c r="C914" s="2">
        <f>IFERROR(__xludf.DUMMYFUNCTION("""COMPUTED_VALUE"""),1292.15)</f>
        <v>1292.15</v>
      </c>
    </row>
    <row r="915" ht="15.75" customHeight="1">
      <c r="B915" s="3">
        <f>IFERROR(__xludf.DUMMYFUNCTION("""COMPUTED_VALUE"""),43700.64583333333)</f>
        <v>43700.64583</v>
      </c>
      <c r="C915" s="2">
        <f>IFERROR(__xludf.DUMMYFUNCTION("""COMPUTED_VALUE"""),1284.58)</f>
        <v>1284.58</v>
      </c>
    </row>
    <row r="916" ht="15.75" customHeight="1">
      <c r="B916" s="3">
        <f>IFERROR(__xludf.DUMMYFUNCTION("""COMPUTED_VALUE"""),43707.64583333333)</f>
        <v>43707.64583</v>
      </c>
      <c r="C916" s="2">
        <f>IFERROR(__xludf.DUMMYFUNCTION("""COMPUTED_VALUE"""),1281.8)</f>
        <v>1281.8</v>
      </c>
    </row>
    <row r="917" ht="15.75" customHeight="1">
      <c r="B917" s="3">
        <f>IFERROR(__xludf.DUMMYFUNCTION("""COMPUTED_VALUE"""),43714.64583333333)</f>
        <v>43714.64583</v>
      </c>
      <c r="C917" s="2">
        <f>IFERROR(__xludf.DUMMYFUNCTION("""COMPUTED_VALUE"""),1231.28)</f>
        <v>1231.28</v>
      </c>
    </row>
    <row r="918" ht="15.75" customHeight="1">
      <c r="B918" s="3">
        <f>IFERROR(__xludf.DUMMYFUNCTION("""COMPUTED_VALUE"""),43721.64583333333)</f>
        <v>43721.64583</v>
      </c>
      <c r="C918" s="2">
        <f>IFERROR(__xludf.DUMMYFUNCTION("""COMPUTED_VALUE"""),1228.76)</f>
        <v>1228.76</v>
      </c>
    </row>
    <row r="919" ht="15.75" customHeight="1">
      <c r="B919" s="3">
        <f>IFERROR(__xludf.DUMMYFUNCTION("""COMPUTED_VALUE"""),43728.64583333333)</f>
        <v>43728.64583</v>
      </c>
      <c r="C919" s="2">
        <f>IFERROR(__xludf.DUMMYFUNCTION("""COMPUTED_VALUE"""),1257.93)</f>
        <v>1257.93</v>
      </c>
    </row>
    <row r="920" ht="15.75" customHeight="1">
      <c r="B920" s="3">
        <f>IFERROR(__xludf.DUMMYFUNCTION("""COMPUTED_VALUE"""),43735.64583333333)</f>
        <v>43735.64583</v>
      </c>
      <c r="C920" s="2">
        <f>IFERROR(__xludf.DUMMYFUNCTION("""COMPUTED_VALUE"""),1302.6)</f>
        <v>1302.6</v>
      </c>
    </row>
    <row r="921" ht="15.75" customHeight="1">
      <c r="B921" s="3">
        <f>IFERROR(__xludf.DUMMYFUNCTION("""COMPUTED_VALUE"""),43742.64583333333)</f>
        <v>43742.64583</v>
      </c>
      <c r="C921" s="2">
        <f>IFERROR(__xludf.DUMMYFUNCTION("""COMPUTED_VALUE"""),1329.35)</f>
        <v>1329.35</v>
      </c>
    </row>
    <row r="922" ht="15.75" customHeight="1">
      <c r="B922" s="3">
        <f>IFERROR(__xludf.DUMMYFUNCTION("""COMPUTED_VALUE"""),43749.64583333333)</f>
        <v>43749.64583</v>
      </c>
      <c r="C922" s="2">
        <f>IFERROR(__xludf.DUMMYFUNCTION("""COMPUTED_VALUE"""),1356.1)</f>
        <v>1356.1</v>
      </c>
    </row>
    <row r="923" ht="15.75" customHeight="1">
      <c r="B923" s="3">
        <f>IFERROR(__xludf.DUMMYFUNCTION("""COMPUTED_VALUE"""),43756.64583333333)</f>
        <v>43756.64583</v>
      </c>
      <c r="C923" s="2">
        <f>IFERROR(__xludf.DUMMYFUNCTION("""COMPUTED_VALUE"""),1414.44)</f>
        <v>1414.44</v>
      </c>
    </row>
    <row r="924" ht="15.75" customHeight="1">
      <c r="B924" s="3">
        <f>IFERROR(__xludf.DUMMYFUNCTION("""COMPUTED_VALUE"""),43763.79166666667)</f>
        <v>43763.79167</v>
      </c>
      <c r="C924" s="2">
        <f>IFERROR(__xludf.DUMMYFUNCTION("""COMPUTED_VALUE"""),1427.86)</f>
        <v>1427.86</v>
      </c>
    </row>
    <row r="925" ht="15.75" customHeight="1">
      <c r="B925" s="3">
        <f>IFERROR(__xludf.DUMMYFUNCTION("""COMPUTED_VALUE"""),43770.64583333333)</f>
        <v>43770.64583</v>
      </c>
      <c r="C925" s="2">
        <f>IFERROR(__xludf.DUMMYFUNCTION("""COMPUTED_VALUE"""),1475.61)</f>
        <v>1475.61</v>
      </c>
    </row>
    <row r="926" ht="15.75" customHeight="1">
      <c r="B926" s="3">
        <f>IFERROR(__xludf.DUMMYFUNCTION("""COMPUTED_VALUE"""),43777.64583333333)</f>
        <v>43777.64583</v>
      </c>
      <c r="C926" s="2">
        <f>IFERROR(__xludf.DUMMYFUNCTION("""COMPUTED_VALUE"""),1457.13)</f>
        <v>1457.13</v>
      </c>
    </row>
    <row r="927" ht="15.75" customHeight="1">
      <c r="B927" s="3">
        <f>IFERROR(__xludf.DUMMYFUNCTION("""COMPUTED_VALUE"""),43784.64583333333)</f>
        <v>43784.64583</v>
      </c>
      <c r="C927" s="2">
        <f>IFERROR(__xludf.DUMMYFUNCTION("""COMPUTED_VALUE"""),1472.79)</f>
        <v>1472.79</v>
      </c>
    </row>
    <row r="928" ht="15.75" customHeight="1">
      <c r="B928" s="3">
        <f>IFERROR(__xludf.DUMMYFUNCTION("""COMPUTED_VALUE"""),43791.64583333333)</f>
        <v>43791.64583</v>
      </c>
      <c r="C928" s="2">
        <f>IFERROR(__xludf.DUMMYFUNCTION("""COMPUTED_VALUE"""),1557.58)</f>
        <v>1557.58</v>
      </c>
    </row>
    <row r="929" ht="15.75" customHeight="1">
      <c r="B929" s="3">
        <f>IFERROR(__xludf.DUMMYFUNCTION("""COMPUTED_VALUE"""),43798.64583333333)</f>
        <v>43798.64583</v>
      </c>
      <c r="C929" s="2">
        <f>IFERROR(__xludf.DUMMYFUNCTION("""COMPUTED_VALUE"""),1569.22)</f>
        <v>1569.22</v>
      </c>
    </row>
    <row r="930" ht="15.75" customHeight="1">
      <c r="B930" s="3">
        <f>IFERROR(__xludf.DUMMYFUNCTION("""COMPUTED_VALUE"""),43805.64583333333)</f>
        <v>43805.64583</v>
      </c>
      <c r="C930" s="2">
        <f>IFERROR(__xludf.DUMMYFUNCTION("""COMPUTED_VALUE"""),1578.97)</f>
        <v>1578.97</v>
      </c>
    </row>
    <row r="931" ht="15.75" customHeight="1">
      <c r="B931" s="3">
        <f>IFERROR(__xludf.DUMMYFUNCTION("""COMPUTED_VALUE"""),43812.64583333333)</f>
        <v>43812.64583</v>
      </c>
      <c r="C931" s="2">
        <f>IFERROR(__xludf.DUMMYFUNCTION("""COMPUTED_VALUE"""),1575.01)</f>
        <v>1575.01</v>
      </c>
    </row>
    <row r="932" ht="15.75" customHeight="1">
      <c r="B932" s="3">
        <f>IFERROR(__xludf.DUMMYFUNCTION("""COMPUTED_VALUE"""),43819.64583333333)</f>
        <v>43819.64583</v>
      </c>
      <c r="C932" s="2">
        <f>IFERROR(__xludf.DUMMYFUNCTION("""COMPUTED_VALUE"""),1602.3)</f>
        <v>1602.3</v>
      </c>
    </row>
    <row r="933" ht="15.75" customHeight="1">
      <c r="B933" s="3">
        <f>IFERROR(__xludf.DUMMYFUNCTION("""COMPUTED_VALUE"""),43826.64583333333)</f>
        <v>43826.64583</v>
      </c>
      <c r="C933" s="2">
        <f>IFERROR(__xludf.DUMMYFUNCTION("""COMPUTED_VALUE"""),1562.68)</f>
        <v>1562.68</v>
      </c>
    </row>
    <row r="934" ht="15.75" customHeight="1"/>
    <row r="935" ht="15.75" customHeight="1"/>
    <row r="936" ht="15.75" customHeight="1">
      <c r="B936" s="2" t="str">
        <f>IFERROR(__xludf.DUMMYFUNCTION("GOOGLEFINANCE(""NSE:RELIANCE"", ""high"",DATE(2020,1,1),DATE(2021,1,1),""weekly"")"),"Date")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IFERROR(__xludf.DUMMYFUNCTION("""COMPUTED_VALUE"""),43833.64583333333)</f>
        <v>43833.64583</v>
      </c>
      <c r="C937" s="2">
        <f>IFERROR(__xludf.DUMMYFUNCTION("""COMPUTED_VALUE"""),1533.06)</f>
        <v>1533.06</v>
      </c>
    </row>
    <row r="938" ht="15.75" customHeight="1">
      <c r="B938" s="3">
        <f>IFERROR(__xludf.DUMMYFUNCTION("""COMPUTED_VALUE"""),43840.64583333333)</f>
        <v>43840.64583</v>
      </c>
      <c r="C938" s="2">
        <f>IFERROR(__xludf.DUMMYFUNCTION("""COMPUTED_VALUE"""),1543.26)</f>
        <v>1543.26</v>
      </c>
    </row>
    <row r="939" ht="15.75" customHeight="1">
      <c r="B939" s="3">
        <f>IFERROR(__xludf.DUMMYFUNCTION("""COMPUTED_VALUE"""),43847.64583333333)</f>
        <v>43847.64583</v>
      </c>
      <c r="C939" s="2">
        <f>IFERROR(__xludf.DUMMYFUNCTION("""COMPUTED_VALUE"""),1570.01)</f>
        <v>1570.01</v>
      </c>
    </row>
    <row r="940" ht="15.75" customHeight="1">
      <c r="B940" s="3">
        <f>IFERROR(__xludf.DUMMYFUNCTION("""COMPUTED_VALUE"""),43854.64583333333)</f>
        <v>43854.64583</v>
      </c>
      <c r="C940" s="2">
        <f>IFERROR(__xludf.DUMMYFUNCTION("""COMPUTED_VALUE"""),1593.83)</f>
        <v>1593.83</v>
      </c>
    </row>
    <row r="941" ht="15.75" customHeight="1">
      <c r="B941" s="3">
        <f>IFERROR(__xludf.DUMMYFUNCTION("""COMPUTED_VALUE"""),43862.70833333333)</f>
        <v>43862.70833</v>
      </c>
      <c r="C941" s="2">
        <f>IFERROR(__xludf.DUMMYFUNCTION("""COMPUTED_VALUE"""),1510.08)</f>
        <v>1510.08</v>
      </c>
    </row>
    <row r="942" ht="15.75" customHeight="1">
      <c r="B942" s="3">
        <f>IFERROR(__xludf.DUMMYFUNCTION("""COMPUTED_VALUE"""),43868.64583333333)</f>
        <v>43868.64583</v>
      </c>
      <c r="C942" s="2">
        <f>IFERROR(__xludf.DUMMYFUNCTION("""COMPUTED_VALUE"""),1453.17)</f>
        <v>1453.17</v>
      </c>
    </row>
    <row r="943" ht="15.75" customHeight="1">
      <c r="B943" s="3">
        <f>IFERROR(__xludf.DUMMYFUNCTION("""COMPUTED_VALUE"""),43875.64583333333)</f>
        <v>43875.64583</v>
      </c>
      <c r="C943" s="2">
        <f>IFERROR(__xludf.DUMMYFUNCTION("""COMPUTED_VALUE"""),1487.3)</f>
        <v>1487.3</v>
      </c>
    </row>
    <row r="944" ht="15.75" customHeight="1">
      <c r="B944" s="3">
        <f>IFERROR(__xludf.DUMMYFUNCTION("""COMPUTED_VALUE"""),43881.64583333333)</f>
        <v>43881.64583</v>
      </c>
      <c r="C944" s="2">
        <f>IFERROR(__xludf.DUMMYFUNCTION("""COMPUTED_VALUE"""),1493.79)</f>
        <v>1493.79</v>
      </c>
    </row>
    <row r="945" ht="15.75" customHeight="1">
      <c r="B945" s="3">
        <f>IFERROR(__xludf.DUMMYFUNCTION("""COMPUTED_VALUE"""),43889.64583333333)</f>
        <v>43889.64583</v>
      </c>
      <c r="C945" s="2">
        <f>IFERROR(__xludf.DUMMYFUNCTION("""COMPUTED_VALUE"""),1463.08)</f>
        <v>1463.08</v>
      </c>
    </row>
    <row r="946" ht="15.75" customHeight="1">
      <c r="B946" s="3">
        <f>IFERROR(__xludf.DUMMYFUNCTION("""COMPUTED_VALUE"""),43896.64583333333)</f>
        <v>43896.64583</v>
      </c>
      <c r="C946" s="2">
        <f>IFERROR(__xludf.DUMMYFUNCTION("""COMPUTED_VALUE"""),1356.1)</f>
        <v>1356.1</v>
      </c>
    </row>
    <row r="947" ht="15.75" customHeight="1">
      <c r="B947" s="3">
        <f>IFERROR(__xludf.DUMMYFUNCTION("""COMPUTED_VALUE"""),43903.64583333333)</f>
        <v>43903.64583</v>
      </c>
      <c r="C947" s="2">
        <f>IFERROR(__xludf.DUMMYFUNCTION("""COMPUTED_VALUE"""),1229.3)</f>
        <v>1229.3</v>
      </c>
    </row>
    <row r="948" ht="15.75" customHeight="1">
      <c r="B948" s="3">
        <f>IFERROR(__xludf.DUMMYFUNCTION("""COMPUTED_VALUE"""),43910.64583333333)</f>
        <v>43910.64583</v>
      </c>
      <c r="C948" s="2">
        <f>IFERROR(__xludf.DUMMYFUNCTION("""COMPUTED_VALUE"""),1069.52)</f>
        <v>1069.52</v>
      </c>
    </row>
    <row r="949" ht="15.75" customHeight="1">
      <c r="B949" s="3">
        <f>IFERROR(__xludf.DUMMYFUNCTION("""COMPUTED_VALUE"""),43917.64583333333)</f>
        <v>43917.64583</v>
      </c>
      <c r="C949" s="2">
        <f>IFERROR(__xludf.DUMMYFUNCTION("""COMPUTED_VALUE"""),1140.7)</f>
        <v>1140.7</v>
      </c>
    </row>
    <row r="950" ht="15.75" customHeight="1">
      <c r="B950" s="3">
        <f>IFERROR(__xludf.DUMMYFUNCTION("""COMPUTED_VALUE"""),43924.64583333333)</f>
        <v>43924.64583</v>
      </c>
      <c r="C950" s="2">
        <f>IFERROR(__xludf.DUMMYFUNCTION("""COMPUTED_VALUE"""),1123.76)</f>
        <v>1123.76</v>
      </c>
    </row>
    <row r="951" ht="15.75" customHeight="1">
      <c r="B951" s="3">
        <f>IFERROR(__xludf.DUMMYFUNCTION("""COMPUTED_VALUE"""),43930.64583333333)</f>
        <v>43930.64583</v>
      </c>
      <c r="C951" s="2">
        <f>IFERROR(__xludf.DUMMYFUNCTION("""COMPUTED_VALUE"""),1221.18)</f>
        <v>1221.18</v>
      </c>
    </row>
    <row r="952" ht="15.75" customHeight="1">
      <c r="B952" s="3">
        <f>IFERROR(__xludf.DUMMYFUNCTION("""COMPUTED_VALUE"""),43938.64583333333)</f>
        <v>43938.64583</v>
      </c>
      <c r="C952" s="2">
        <f>IFERROR(__xludf.DUMMYFUNCTION("""COMPUTED_VALUE"""),1224.35)</f>
        <v>1224.35</v>
      </c>
    </row>
    <row r="953" ht="15.75" customHeight="1">
      <c r="B953" s="3">
        <f>IFERROR(__xludf.DUMMYFUNCTION("""COMPUTED_VALUE"""),43945.64583333333)</f>
        <v>43945.64583</v>
      </c>
      <c r="C953" s="2">
        <f>IFERROR(__xludf.DUMMYFUNCTION("""COMPUTED_VALUE"""),1480.86)</f>
        <v>1480.86</v>
      </c>
    </row>
    <row r="954" ht="15.75" customHeight="1">
      <c r="B954" s="3">
        <f>IFERROR(__xludf.DUMMYFUNCTION("""COMPUTED_VALUE"""),43951.64583333333)</f>
        <v>43951.64583</v>
      </c>
      <c r="C954" s="2">
        <f>IFERROR(__xludf.DUMMYFUNCTION("""COMPUTED_VALUE"""),1480.86)</f>
        <v>1480.86</v>
      </c>
    </row>
    <row r="955" ht="15.75" customHeight="1">
      <c r="B955" s="3">
        <f>IFERROR(__xludf.DUMMYFUNCTION("""COMPUTED_VALUE"""),43959.64583333333)</f>
        <v>43959.64583</v>
      </c>
      <c r="C955" s="2">
        <f>IFERROR(__xludf.DUMMYFUNCTION("""COMPUTED_VALUE"""),1565.01)</f>
        <v>1565.01</v>
      </c>
    </row>
    <row r="956" ht="15.75" customHeight="1">
      <c r="B956" s="3">
        <f>IFERROR(__xludf.DUMMYFUNCTION("""COMPUTED_VALUE"""),43966.64583333333)</f>
        <v>43966.64583</v>
      </c>
      <c r="C956" s="2">
        <f>IFERROR(__xludf.DUMMYFUNCTION("""COMPUTED_VALUE"""),1599.78)</f>
        <v>1599.78</v>
      </c>
    </row>
    <row r="957" ht="15.75" customHeight="1">
      <c r="B957" s="3">
        <f>IFERROR(__xludf.DUMMYFUNCTION("""COMPUTED_VALUE"""),43973.64583333333)</f>
        <v>43973.64583</v>
      </c>
      <c r="C957" s="2">
        <f>IFERROR(__xludf.DUMMYFUNCTION("""COMPUTED_VALUE"""),1482.0)</f>
        <v>1482</v>
      </c>
    </row>
    <row r="958" ht="15.75" customHeight="1">
      <c r="B958" s="3">
        <f>IFERROR(__xludf.DUMMYFUNCTION("""COMPUTED_VALUE"""),43980.64583333333)</f>
        <v>43980.64583</v>
      </c>
      <c r="C958" s="2">
        <f>IFERROR(__xludf.DUMMYFUNCTION("""COMPUTED_VALUE"""),1479.75)</f>
        <v>1479.75</v>
      </c>
    </row>
    <row r="959" ht="15.75" customHeight="1">
      <c r="B959" s="3">
        <f>IFERROR(__xludf.DUMMYFUNCTION("""COMPUTED_VALUE"""),43987.64583333333)</f>
        <v>43987.64583</v>
      </c>
      <c r="C959" s="2">
        <f>IFERROR(__xludf.DUMMYFUNCTION("""COMPUTED_VALUE"""),1618.0)</f>
        <v>1618</v>
      </c>
    </row>
    <row r="960" ht="15.75" customHeight="1">
      <c r="B960" s="3">
        <f>IFERROR(__xludf.DUMMYFUNCTION("""COMPUTED_VALUE"""),43994.64583333333)</f>
        <v>43994.64583</v>
      </c>
      <c r="C960" s="2">
        <f>IFERROR(__xludf.DUMMYFUNCTION("""COMPUTED_VALUE"""),1618.4)</f>
        <v>1618.4</v>
      </c>
    </row>
    <row r="961" ht="15.75" customHeight="1">
      <c r="B961" s="3">
        <f>IFERROR(__xludf.DUMMYFUNCTION("""COMPUTED_VALUE"""),44001.64583333333)</f>
        <v>44001.64583</v>
      </c>
      <c r="C961" s="2">
        <f>IFERROR(__xludf.DUMMYFUNCTION("""COMPUTED_VALUE"""),1788.8)</f>
        <v>1788.8</v>
      </c>
    </row>
    <row r="962" ht="15.75" customHeight="1">
      <c r="B962" s="3">
        <f>IFERROR(__xludf.DUMMYFUNCTION("""COMPUTED_VALUE"""),44008.64583333333)</f>
        <v>44008.64583</v>
      </c>
      <c r="C962" s="2">
        <f>IFERROR(__xludf.DUMMYFUNCTION("""COMPUTED_VALUE"""),1804.2)</f>
        <v>1804.2</v>
      </c>
    </row>
    <row r="963" ht="15.75" customHeight="1">
      <c r="B963" s="3">
        <f>IFERROR(__xludf.DUMMYFUNCTION("""COMPUTED_VALUE"""),44015.64583333333)</f>
        <v>44015.64583</v>
      </c>
      <c r="C963" s="2">
        <f>IFERROR(__xludf.DUMMYFUNCTION("""COMPUTED_VALUE"""),1793.0)</f>
        <v>1793</v>
      </c>
    </row>
    <row r="964" ht="15.75" customHeight="1">
      <c r="B964" s="3">
        <f>IFERROR(__xludf.DUMMYFUNCTION("""COMPUTED_VALUE"""),44022.64583333333)</f>
        <v>44022.64583</v>
      </c>
      <c r="C964" s="2">
        <f>IFERROR(__xludf.DUMMYFUNCTION("""COMPUTED_VALUE"""),1884.6)</f>
        <v>1884.6</v>
      </c>
    </row>
    <row r="965" ht="15.75" customHeight="1">
      <c r="B965" s="3">
        <f>IFERROR(__xludf.DUMMYFUNCTION("""COMPUTED_VALUE"""),44029.64583333333)</f>
        <v>44029.64583</v>
      </c>
      <c r="C965" s="2">
        <f>IFERROR(__xludf.DUMMYFUNCTION("""COMPUTED_VALUE"""),1978.8)</f>
        <v>1978.8</v>
      </c>
    </row>
    <row r="966" ht="15.75" customHeight="1">
      <c r="B966" s="3">
        <f>IFERROR(__xludf.DUMMYFUNCTION("""COMPUTED_VALUE"""),44036.64583333333)</f>
        <v>44036.64583</v>
      </c>
      <c r="C966" s="2">
        <f>IFERROR(__xludf.DUMMYFUNCTION("""COMPUTED_VALUE"""),2163.0)</f>
        <v>2163</v>
      </c>
    </row>
    <row r="967" ht="15.75" customHeight="1">
      <c r="B967" s="3">
        <f>IFERROR(__xludf.DUMMYFUNCTION("""COMPUTED_VALUE"""),44043.64583333333)</f>
        <v>44043.64583</v>
      </c>
      <c r="C967" s="2">
        <f>IFERROR(__xludf.DUMMYFUNCTION("""COMPUTED_VALUE"""),2198.8)</f>
        <v>2198.8</v>
      </c>
    </row>
    <row r="968" ht="15.75" customHeight="1">
      <c r="B968" s="3">
        <f>IFERROR(__xludf.DUMMYFUNCTION("""COMPUTED_VALUE"""),44050.64583333333)</f>
        <v>44050.64583</v>
      </c>
      <c r="C968" s="2">
        <f>IFERROR(__xludf.DUMMYFUNCTION("""COMPUTED_VALUE"""),2196.0)</f>
        <v>2196</v>
      </c>
    </row>
    <row r="969" ht="15.75" customHeight="1">
      <c r="B969" s="3">
        <f>IFERROR(__xludf.DUMMYFUNCTION("""COMPUTED_VALUE"""),44057.64583333333)</f>
        <v>44057.64583</v>
      </c>
      <c r="C969" s="2">
        <f>IFERROR(__xludf.DUMMYFUNCTION("""COMPUTED_VALUE"""),2165.0)</f>
        <v>2165</v>
      </c>
    </row>
    <row r="970" ht="15.75" customHeight="1">
      <c r="B970" s="3">
        <f>IFERROR(__xludf.DUMMYFUNCTION("""COMPUTED_VALUE"""),44064.64583333333)</f>
        <v>44064.64583</v>
      </c>
      <c r="C970" s="2">
        <f>IFERROR(__xludf.DUMMYFUNCTION("""COMPUTED_VALUE"""),2154.0)</f>
        <v>2154</v>
      </c>
    </row>
    <row r="971" ht="15.75" customHeight="1">
      <c r="B971" s="3">
        <f>IFERROR(__xludf.DUMMYFUNCTION("""COMPUTED_VALUE"""),44071.64583333333)</f>
        <v>44071.64583</v>
      </c>
      <c r="C971" s="2">
        <f>IFERROR(__xludf.DUMMYFUNCTION("""COMPUTED_VALUE"""),2150.0)</f>
        <v>2150</v>
      </c>
    </row>
    <row r="972" ht="15.75" customHeight="1">
      <c r="B972" s="3">
        <f>IFERROR(__xludf.DUMMYFUNCTION("""COMPUTED_VALUE"""),44078.64583333333)</f>
        <v>44078.64583</v>
      </c>
      <c r="C972" s="2">
        <f>IFERROR(__xludf.DUMMYFUNCTION("""COMPUTED_VALUE"""),2174.0)</f>
        <v>2174</v>
      </c>
    </row>
    <row r="973" ht="15.75" customHeight="1">
      <c r="B973" s="3">
        <f>IFERROR(__xludf.DUMMYFUNCTION("""COMPUTED_VALUE"""),44085.64583333333)</f>
        <v>44085.64583</v>
      </c>
      <c r="C973" s="2">
        <f>IFERROR(__xludf.DUMMYFUNCTION("""COMPUTED_VALUE"""),2344.95)</f>
        <v>2344.95</v>
      </c>
    </row>
    <row r="974" ht="15.75" customHeight="1">
      <c r="B974" s="3">
        <f>IFERROR(__xludf.DUMMYFUNCTION("""COMPUTED_VALUE"""),44092.64583333333)</f>
        <v>44092.64583</v>
      </c>
      <c r="C974" s="2">
        <f>IFERROR(__xludf.DUMMYFUNCTION("""COMPUTED_VALUE"""),2369.35)</f>
        <v>2369.35</v>
      </c>
    </row>
    <row r="975" ht="15.75" customHeight="1">
      <c r="B975" s="3">
        <f>IFERROR(__xludf.DUMMYFUNCTION("""COMPUTED_VALUE"""),44099.64583333333)</f>
        <v>44099.64583</v>
      </c>
      <c r="C975" s="2">
        <f>IFERROR(__xludf.DUMMYFUNCTION("""COMPUTED_VALUE"""),2336.0)</f>
        <v>2336</v>
      </c>
    </row>
    <row r="976" ht="15.75" customHeight="1">
      <c r="B976" s="3">
        <f>IFERROR(__xludf.DUMMYFUNCTION("""COMPUTED_VALUE"""),44105.64583333333)</f>
        <v>44105.64583</v>
      </c>
      <c r="C976" s="2">
        <f>IFERROR(__xludf.DUMMYFUNCTION("""COMPUTED_VALUE"""),2267.0)</f>
        <v>2267</v>
      </c>
    </row>
    <row r="977" ht="15.75" customHeight="1">
      <c r="B977" s="3">
        <f>IFERROR(__xludf.DUMMYFUNCTION("""COMPUTED_VALUE"""),44113.64583333333)</f>
        <v>44113.64583</v>
      </c>
      <c r="C977" s="2">
        <f>IFERROR(__xludf.DUMMYFUNCTION("""COMPUTED_VALUE"""),2309.0)</f>
        <v>2309</v>
      </c>
    </row>
    <row r="978" ht="15.75" customHeight="1">
      <c r="B978" s="3">
        <f>IFERROR(__xludf.DUMMYFUNCTION("""COMPUTED_VALUE"""),44120.64583333333)</f>
        <v>44120.64583</v>
      </c>
      <c r="C978" s="2">
        <f>IFERROR(__xludf.DUMMYFUNCTION("""COMPUTED_VALUE"""),2304.0)</f>
        <v>2304</v>
      </c>
    </row>
    <row r="979" ht="15.75" customHeight="1">
      <c r="B979" s="3">
        <f>IFERROR(__xludf.DUMMYFUNCTION("""COMPUTED_VALUE"""),44127.64583333333)</f>
        <v>44127.64583</v>
      </c>
      <c r="C979" s="2">
        <f>IFERROR(__xludf.DUMMYFUNCTION("""COMPUTED_VALUE"""),2228.7)</f>
        <v>2228.7</v>
      </c>
    </row>
    <row r="980" ht="15.75" customHeight="1">
      <c r="B980" s="3">
        <f>IFERROR(__xludf.DUMMYFUNCTION("""COMPUTED_VALUE"""),44134.64583333333)</f>
        <v>44134.64583</v>
      </c>
      <c r="C980" s="2">
        <f>IFERROR(__xludf.DUMMYFUNCTION("""COMPUTED_VALUE"""),2101.95)</f>
        <v>2101.95</v>
      </c>
    </row>
    <row r="981" ht="15.75" customHeight="1">
      <c r="B981" s="3">
        <f>IFERROR(__xludf.DUMMYFUNCTION("""COMPUTED_VALUE"""),44141.64583333333)</f>
        <v>44141.64583</v>
      </c>
      <c r="C981" s="2">
        <f>IFERROR(__xludf.DUMMYFUNCTION("""COMPUTED_VALUE"""),2040.0)</f>
        <v>2040</v>
      </c>
    </row>
    <row r="982" ht="15.75" customHeight="1">
      <c r="B982" s="3">
        <f>IFERROR(__xludf.DUMMYFUNCTION("""COMPUTED_VALUE"""),44155.64583333333)</f>
        <v>44155.64583</v>
      </c>
      <c r="C982" s="2">
        <f>IFERROR(__xludf.DUMMYFUNCTION("""COMPUTED_VALUE"""),2085.0)</f>
        <v>2085</v>
      </c>
    </row>
    <row r="983" ht="15.75" customHeight="1">
      <c r="B983" s="3">
        <f>IFERROR(__xludf.DUMMYFUNCTION("""COMPUTED_VALUE"""),44162.64583333333)</f>
        <v>44162.64583</v>
      </c>
      <c r="C983" s="2">
        <f>IFERROR(__xludf.DUMMYFUNCTION("""COMPUTED_VALUE"""),1992.95)</f>
        <v>1992.95</v>
      </c>
    </row>
    <row r="984" ht="15.75" customHeight="1">
      <c r="B984" s="3">
        <f>IFERROR(__xludf.DUMMYFUNCTION("""COMPUTED_VALUE"""),44169.64583333333)</f>
        <v>44169.64583</v>
      </c>
      <c r="C984" s="2">
        <f>IFERROR(__xludf.DUMMYFUNCTION("""COMPUTED_VALUE"""),1981.1)</f>
        <v>1981.1</v>
      </c>
    </row>
    <row r="985" ht="15.75" customHeight="1">
      <c r="B985" s="3">
        <f>IFERROR(__xludf.DUMMYFUNCTION("""COMPUTED_VALUE"""),44176.64583333333)</f>
        <v>44176.64583</v>
      </c>
      <c r="C985" s="2">
        <f>IFERROR(__xludf.DUMMYFUNCTION("""COMPUTED_VALUE"""),2038.0)</f>
        <v>2038</v>
      </c>
    </row>
    <row r="986" ht="15.75" customHeight="1">
      <c r="B986" s="3">
        <f>IFERROR(__xludf.DUMMYFUNCTION("""COMPUTED_VALUE"""),44183.64583333333)</f>
        <v>44183.64583</v>
      </c>
      <c r="C986" s="2">
        <f>IFERROR(__xludf.DUMMYFUNCTION("""COMPUTED_VALUE"""),2015.0)</f>
        <v>2015</v>
      </c>
    </row>
    <row r="987" ht="15.75" customHeight="1">
      <c r="B987" s="3">
        <f>IFERROR(__xludf.DUMMYFUNCTION("""COMPUTED_VALUE"""),44189.64583333333)</f>
        <v>44189.64583</v>
      </c>
      <c r="C987" s="2">
        <f>IFERROR(__xludf.DUMMYFUNCTION("""COMPUTED_VALUE"""),2022.0)</f>
        <v>2022</v>
      </c>
    </row>
    <row r="988" ht="15.75" customHeight="1">
      <c r="B988" s="3">
        <f>IFERROR(__xludf.DUMMYFUNCTION("""COMPUTED_VALUE"""),44197.64583333333)</f>
        <v>44197.64583</v>
      </c>
      <c r="C988" s="2">
        <f>IFERROR(__xludf.DUMMYFUNCTION("""COMPUTED_VALUE"""),2018.0)</f>
        <v>2018</v>
      </c>
    </row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IFERROR(__xludf.DUMMYFUNCTION("GOOGLEFINANCE(""NSE:SBIN"",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IFERROR(__xludf.DUMMYFUNCTION("""COMPUTED_VALUE"""),19.28)</f>
        <v>19.28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IFERROR(__xludf.DUMMYFUNCTION("""COMPUTED_VALUE"""),19.55)</f>
        <v>19.55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IFERROR(__xludf.DUMMYFUNCTION("""COMPUTED_VALUE"""),21.18)</f>
        <v>21.18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IFERROR(__xludf.DUMMYFUNCTION("""COMPUTED_VALUE"""),21.04)</f>
        <v>21.04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IFERROR(__xludf.DUMMYFUNCTION("""COMPUTED_VALUE"""),20.75)</f>
        <v>20.75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IFERROR(__xludf.DUMMYFUNCTION("""COMPUTED_VALUE"""),24.78)</f>
        <v>24.78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IFERROR(__xludf.DUMMYFUNCTION("""COMPUTED_VALUE"""),24.24)</f>
        <v>24.24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IFERROR(__xludf.DUMMYFUNCTION("""COMPUTED_VALUE"""),23.87)</f>
        <v>23.87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IFERROR(__xludf.DUMMYFUNCTION("""COMPUTED_VALUE"""),24.97)</f>
        <v>24.97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IFERROR(__xludf.DUMMYFUNCTION("""COMPUTED_VALUE"""),22.74)</f>
        <v>22.74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IFERROR(__xludf.DUMMYFUNCTION("""COMPUTED_VALUE"""),22.25)</f>
        <v>22.25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IFERROR(__xludf.DUMMYFUNCTION("""COMPUTED_VALUE"""),22.55)</f>
        <v>22.55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IFERROR(__xludf.DUMMYFUNCTION("""COMPUTED_VALUE"""),21.56)</f>
        <v>21.56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IFERROR(__xludf.DUMMYFUNCTION("""COMPUTED_VALUE"""),22.72)</f>
        <v>22.72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IFERROR(__xludf.DUMMYFUNCTION("""COMPUTED_VALUE"""),23.38)</f>
        <v>23.38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IFERROR(__xludf.DUMMYFUNCTION("""COMPUTED_VALUE"""),23.19)</f>
        <v>23.19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IFERROR(__xludf.DUMMYFUNCTION("""COMPUTED_VALUE"""),22.96)</f>
        <v>22.96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IFERROR(__xludf.DUMMYFUNCTION("""COMPUTED_VALUE"""),22.74)</f>
        <v>22.74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IFERROR(__xludf.DUMMYFUNCTION("""COMPUTED_VALUE"""),22.63)</f>
        <v>22.63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IFERROR(__xludf.DUMMYFUNCTION("""COMPUTED_VALUE"""),22.02)</f>
        <v>22.02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IFERROR(__xludf.DUMMYFUNCTION("""COMPUTED_VALUE"""),21.4)</f>
        <v>21.4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IFERROR(__xludf.DUMMYFUNCTION("""COMPUTED_VALUE"""),21.34)</f>
        <v>21.34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IFERROR(__xludf.DUMMYFUNCTION("""COMPUTED_VALUE"""),22.12)</f>
        <v>22.12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IFERROR(__xludf.DUMMYFUNCTION("""COMPUTED_VALUE"""),23.72)</f>
        <v>23.72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IFERROR(__xludf.DUMMYFUNCTION("""COMPUTED_VALUE"""),24.1)</f>
        <v>24.1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IFERROR(__xludf.DUMMYFUNCTION("""COMPUTED_VALUE"""),22.87)</f>
        <v>22.87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IFERROR(__xludf.DUMMYFUNCTION("""COMPUTED_VALUE"""),23.06)</f>
        <v>23.06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IFERROR(__xludf.DUMMYFUNCTION("""COMPUTED_VALUE"""),23.02)</f>
        <v>23.02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IFERROR(__xludf.DUMMYFUNCTION("""COMPUTED_VALUE"""),22.22)</f>
        <v>22.22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IFERROR(__xludf.DUMMYFUNCTION("""COMPUTED_VALUE"""),21.78)</f>
        <v>21.78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IFERROR(__xludf.DUMMYFUNCTION("""COMPUTED_VALUE"""),22.17)</f>
        <v>22.17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IFERROR(__xludf.DUMMYFUNCTION("""COMPUTED_VALUE"""),22.06)</f>
        <v>22.06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IFERROR(__xludf.DUMMYFUNCTION("""COMPUTED_VALUE"""),22.11)</f>
        <v>22.11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IFERROR(__xludf.DUMMYFUNCTION("""COMPUTED_VALUE"""),22.08)</f>
        <v>22.08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IFERROR(__xludf.DUMMYFUNCTION("""COMPUTED_VALUE"""),22.94)</f>
        <v>22.94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IFERROR(__xludf.DUMMYFUNCTION("""COMPUTED_VALUE"""),23.23)</f>
        <v>23.23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IFERROR(__xludf.DUMMYFUNCTION("""COMPUTED_VALUE"""),22.5)</f>
        <v>22.5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IFERROR(__xludf.DUMMYFUNCTION("""COMPUTED_VALUE"""),22.15)</f>
        <v>22.15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IFERROR(__xludf.DUMMYFUNCTION("""COMPUTED_VALUE"""),21.98)</f>
        <v>21.98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IFERROR(__xludf.DUMMYFUNCTION("""COMPUTED_VALUE"""),21.81)</f>
        <v>21.81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IFERROR(__xludf.DUMMYFUNCTION("""COMPUTED_VALUE"""),22.07)</f>
        <v>22.07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IFERROR(__xludf.DUMMYFUNCTION("""COMPUTED_VALUE"""),21.96)</f>
        <v>21.96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IFERROR(__xludf.DUMMYFUNCTION("""COMPUTED_VALUE"""),22.4)</f>
        <v>22.4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IFERROR(__xludf.DUMMYFUNCTION("""COMPUTED_VALUE"""),23.09)</f>
        <v>23.09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IFERROR(__xludf.DUMMYFUNCTION("""COMPUTED_VALUE"""),23.26)</f>
        <v>23.26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IFERROR(__xludf.DUMMYFUNCTION("""COMPUTED_VALUE"""),22.5)</f>
        <v>22.5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IFERROR(__xludf.DUMMYFUNCTION("""COMPUTED_VALUE"""),24.04)</f>
        <v>24.04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IFERROR(__xludf.DUMMYFUNCTION("""COMPUTED_VALUE"""),25.06)</f>
        <v>25.06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IFERROR(__xludf.DUMMYFUNCTION("""COMPUTED_VALUE"""),25.98)</f>
        <v>25.98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IFERROR(__xludf.DUMMYFUNCTION("""COMPUTED_VALUE"""),26.69)</f>
        <v>26.69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IFERROR(__xludf.DUMMYFUNCTION("""COMPUTED_VALUE"""),30.09)</f>
        <v>30.09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IFERROR(__xludf.DUMMYFUNCTION("""COMPUTED_VALUE"""),27.09)</f>
        <v>27.09</v>
      </c>
    </row>
    <row r="54" ht="15.75" customHeight="1"/>
    <row r="55" ht="15.75" customHeight="1"/>
    <row r="56" ht="15.75" customHeight="1">
      <c r="B56" s="2" t="str">
        <f>IFERROR(__xludf.DUMMYFUNCTION("GOOGLEFINANCE(""NSE:SBIN"",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IFERROR(__xludf.DUMMYFUNCTION("""COMPUTED_VALUE"""),27.8)</f>
        <v>27.8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IFERROR(__xludf.DUMMYFUNCTION("""COMPUTED_VALUE"""),27.45)</f>
        <v>27.45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IFERROR(__xludf.DUMMYFUNCTION("""COMPUTED_VALUE"""),27.77)</f>
        <v>27.77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IFERROR(__xludf.DUMMYFUNCTION("""COMPUTED_VALUE"""),28.77)</f>
        <v>28.77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IFERROR(__xludf.DUMMYFUNCTION("""COMPUTED_VALUE"""),27.74)</f>
        <v>27.74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IFERROR(__xludf.DUMMYFUNCTION("""COMPUTED_VALUE"""),29.1)</f>
        <v>29.1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IFERROR(__xludf.DUMMYFUNCTION("""COMPUTED_VALUE"""),28.68)</f>
        <v>28.68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IFERROR(__xludf.DUMMYFUNCTION("""COMPUTED_VALUE"""),29.71)</f>
        <v>29.71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IFERROR(__xludf.DUMMYFUNCTION("""COMPUTED_VALUE"""),29.87)</f>
        <v>29.87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IFERROR(__xludf.DUMMYFUNCTION("""COMPUTED_VALUE"""),27.78)</f>
        <v>27.78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IFERROR(__xludf.DUMMYFUNCTION("""COMPUTED_VALUE"""),26.54)</f>
        <v>26.54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IFERROR(__xludf.DUMMYFUNCTION("""COMPUTED_VALUE"""),26.88)</f>
        <v>26.88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IFERROR(__xludf.DUMMYFUNCTION("""COMPUTED_VALUE"""),26.84)</f>
        <v>26.84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IFERROR(__xludf.DUMMYFUNCTION("""COMPUTED_VALUE"""),27.97)</f>
        <v>27.97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IFERROR(__xludf.DUMMYFUNCTION("""COMPUTED_VALUE"""),27.97)</f>
        <v>27.97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IFERROR(__xludf.DUMMYFUNCTION("""COMPUTED_VALUE"""),27.64)</f>
        <v>27.64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IFERROR(__xludf.DUMMYFUNCTION("""COMPUTED_VALUE"""),28.3)</f>
        <v>28.3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IFERROR(__xludf.DUMMYFUNCTION("""COMPUTED_VALUE"""),27.38)</f>
        <v>27.38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IFERROR(__xludf.DUMMYFUNCTION("""COMPUTED_VALUE"""),29.98)</f>
        <v>29.98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IFERROR(__xludf.DUMMYFUNCTION("""COMPUTED_VALUE"""),32.39)</f>
        <v>32.39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IFERROR(__xludf.DUMMYFUNCTION("""COMPUTED_VALUE"""),34.12)</f>
        <v>34.12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IFERROR(__xludf.DUMMYFUNCTION("""COMPUTED_VALUE"""),34.72)</f>
        <v>34.72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IFERROR(__xludf.DUMMYFUNCTION("""COMPUTED_VALUE"""),34.72)</f>
        <v>34.72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IFERROR(__xludf.DUMMYFUNCTION("""COMPUTED_VALUE"""),34.33)</f>
        <v>34.33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IFERROR(__xludf.DUMMYFUNCTION("""COMPUTED_VALUE"""),35.71)</f>
        <v>35.71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IFERROR(__xludf.DUMMYFUNCTION("""COMPUTED_VALUE"""),37.74)</f>
        <v>37.74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IFERROR(__xludf.DUMMYFUNCTION("""COMPUTED_VALUE"""),37.31)</f>
        <v>37.31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IFERROR(__xludf.DUMMYFUNCTION("""COMPUTED_VALUE"""),40.66)</f>
        <v>40.66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IFERROR(__xludf.DUMMYFUNCTION("""COMPUTED_VALUE"""),40.37)</f>
        <v>40.37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IFERROR(__xludf.DUMMYFUNCTION("""COMPUTED_VALUE"""),41.42)</f>
        <v>41.42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IFERROR(__xludf.DUMMYFUNCTION("""COMPUTED_VALUE"""),40.56)</f>
        <v>40.56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IFERROR(__xludf.DUMMYFUNCTION("""COMPUTED_VALUE"""),41.58)</f>
        <v>41.58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IFERROR(__xludf.DUMMYFUNCTION("""COMPUTED_VALUE"""),41.93)</f>
        <v>41.93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IFERROR(__xludf.DUMMYFUNCTION("""COMPUTED_VALUE"""),43.4)</f>
        <v>43.4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IFERROR(__xludf.DUMMYFUNCTION("""COMPUTED_VALUE"""),42.43)</f>
        <v>42.43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IFERROR(__xludf.DUMMYFUNCTION("""COMPUTED_VALUE"""),43.2)</f>
        <v>43.2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IFERROR(__xludf.DUMMYFUNCTION("""COMPUTED_VALUE"""),41.82)</f>
        <v>41.82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IFERROR(__xludf.DUMMYFUNCTION("""COMPUTED_VALUE"""),41.13)</f>
        <v>41.13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IFERROR(__xludf.DUMMYFUNCTION("""COMPUTED_VALUE"""),43.06)</f>
        <v>43.06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IFERROR(__xludf.DUMMYFUNCTION("""COMPUTED_VALUE"""),45.88)</f>
        <v>45.88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IFERROR(__xludf.DUMMYFUNCTION("""COMPUTED_VALUE"""),47.5)</f>
        <v>47.5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IFERROR(__xludf.DUMMYFUNCTION("""COMPUTED_VALUE"""),46.98)</f>
        <v>46.98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IFERROR(__xludf.DUMMYFUNCTION("""COMPUTED_VALUE"""),46.61)</f>
        <v>46.61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IFERROR(__xludf.DUMMYFUNCTION("""COMPUTED_VALUE"""),44.8)</f>
        <v>44.8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IFERROR(__xludf.DUMMYFUNCTION("""COMPUTED_VALUE"""),44.61)</f>
        <v>44.61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IFERROR(__xludf.DUMMYFUNCTION("""COMPUTED_VALUE"""),45.56)</f>
        <v>45.56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IFERROR(__xludf.DUMMYFUNCTION("""COMPUTED_VALUE"""),45.38)</f>
        <v>45.38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IFERROR(__xludf.DUMMYFUNCTION("""COMPUTED_VALUE"""),46.46)</f>
        <v>46.46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IFERROR(__xludf.DUMMYFUNCTION("""COMPUTED_VALUE"""),49.52)</f>
        <v>49.52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IFERROR(__xludf.DUMMYFUNCTION("GOOGLEFINANCE(""NSE:SBIN"",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IFERROR(__xludf.DUMMYFUNCTION("""COMPUTED_VALUE"""),53.87)</f>
        <v>53.87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IFERROR(__xludf.DUMMYFUNCTION("""COMPUTED_VALUE"""),61.42)</f>
        <v>61.42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IFERROR(__xludf.DUMMYFUNCTION("""COMPUTED_VALUE"""),65.09)</f>
        <v>65.09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IFERROR(__xludf.DUMMYFUNCTION("""COMPUTED_VALUE"""),62.91)</f>
        <v>62.91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IFERROR(__xludf.DUMMYFUNCTION("""COMPUTED_VALUE"""),62.64)</f>
        <v>62.64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IFERROR(__xludf.DUMMYFUNCTION("""COMPUTED_VALUE"""),57.12)</f>
        <v>57.12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IFERROR(__xludf.DUMMYFUNCTION("""COMPUTED_VALUE"""),59.62)</f>
        <v>59.62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IFERROR(__xludf.DUMMYFUNCTION("""COMPUTED_VALUE"""),60.47)</f>
        <v>60.47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IFERROR(__xludf.DUMMYFUNCTION("""COMPUTED_VALUE"""),61.33)</f>
        <v>61.33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IFERROR(__xludf.DUMMYFUNCTION("""COMPUTED_VALUE"""),58.3)</f>
        <v>58.3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IFERROR(__xludf.DUMMYFUNCTION("""COMPUTED_VALUE"""),60.13)</f>
        <v>60.13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IFERROR(__xludf.DUMMYFUNCTION("""COMPUTED_VALUE"""),57.31)</f>
        <v>57.31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IFERROR(__xludf.DUMMYFUNCTION("""COMPUTED_VALUE"""),56.31)</f>
        <v>56.31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IFERROR(__xludf.DUMMYFUNCTION("""COMPUTED_VALUE"""),58.9)</f>
        <v>58.9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IFERROR(__xludf.DUMMYFUNCTION("""COMPUTED_VALUE"""),60.13)</f>
        <v>60.13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IFERROR(__xludf.DUMMYFUNCTION("""COMPUTED_VALUE"""),62.83)</f>
        <v>62.83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IFERROR(__xludf.DUMMYFUNCTION("""COMPUTED_VALUE"""),61.3)</f>
        <v>61.3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IFERROR(__xludf.DUMMYFUNCTION("""COMPUTED_VALUE"""),62.04)</f>
        <v>62.04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IFERROR(__xludf.DUMMYFUNCTION("""COMPUTED_VALUE"""),60.76)</f>
        <v>60.76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IFERROR(__xludf.DUMMYFUNCTION("""COMPUTED_VALUE"""),50.26)</f>
        <v>50.26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IFERROR(__xludf.DUMMYFUNCTION("""COMPUTED_VALUE"""),51.5)</f>
        <v>51.5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IFERROR(__xludf.DUMMYFUNCTION("""COMPUTED_VALUE"""),46.59)</f>
        <v>46.59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IFERROR(__xludf.DUMMYFUNCTION("""COMPUTED_VALUE"""),47.05)</f>
        <v>47.05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IFERROR(__xludf.DUMMYFUNCTION("""COMPUTED_VALUE"""),43.96)</f>
        <v>43.96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IFERROR(__xludf.DUMMYFUNCTION("""COMPUTED_VALUE"""),40.93)</f>
        <v>40.93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IFERROR(__xludf.DUMMYFUNCTION("""COMPUTED_VALUE"""),42.49)</f>
        <v>42.49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IFERROR(__xludf.DUMMYFUNCTION("""COMPUTED_VALUE"""),42.07)</f>
        <v>42.07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IFERROR(__xludf.DUMMYFUNCTION("""COMPUTED_VALUE"""),41.98)</f>
        <v>41.98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IFERROR(__xludf.DUMMYFUNCTION("""COMPUTED_VALUE"""),44.13)</f>
        <v>44.13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IFERROR(__xludf.DUMMYFUNCTION("""COMPUTED_VALUE"""),50.69)</f>
        <v>50.69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IFERROR(__xludf.DUMMYFUNCTION("""COMPUTED_VALUE"""),43.1)</f>
        <v>43.1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IFERROR(__xludf.DUMMYFUNCTION("""COMPUTED_VALUE"""),43.76)</f>
        <v>43.76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IFERROR(__xludf.DUMMYFUNCTION("""COMPUTED_VALUE"""),42.24)</f>
        <v>42.24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IFERROR(__xludf.DUMMYFUNCTION("""COMPUTED_VALUE"""),41.49)</f>
        <v>41.49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IFERROR(__xludf.DUMMYFUNCTION("""COMPUTED_VALUE"""),43.73)</f>
        <v>43.73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IFERROR(__xludf.DUMMYFUNCTION("""COMPUTED_VALUE"""),44.23)</f>
        <v>44.23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IFERROR(__xludf.DUMMYFUNCTION("""COMPUTED_VALUE"""),45.51)</f>
        <v>45.51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IFERROR(__xludf.DUMMYFUNCTION("""COMPUTED_VALUE"""),46.93)</f>
        <v>46.93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IFERROR(__xludf.DUMMYFUNCTION("""COMPUTED_VALUE"""),45.4)</f>
        <v>45.4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IFERROR(__xludf.DUMMYFUNCTION("""COMPUTED_VALUE"""),46.33)</f>
        <v>46.33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IFERROR(__xludf.DUMMYFUNCTION("""COMPUTED_VALUE"""),44.86)</f>
        <v>44.86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IFERROR(__xludf.DUMMYFUNCTION("""COMPUTED_VALUE"""),43.68)</f>
        <v>43.68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IFERROR(__xludf.DUMMYFUNCTION("""COMPUTED_VALUE"""),47.17)</f>
        <v>47.17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IFERROR(__xludf.DUMMYFUNCTION("""COMPUTED_VALUE"""),51.7)</f>
        <v>51.7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IFERROR(__xludf.DUMMYFUNCTION("""COMPUTED_VALUE"""),49.58)</f>
        <v>49.58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IFERROR(__xludf.DUMMYFUNCTION("""COMPUTED_VALUE"""),49.29)</f>
        <v>49.29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IFERROR(__xludf.DUMMYFUNCTION("""COMPUTED_VALUE"""),55.66)</f>
        <v>55.66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IFERROR(__xludf.DUMMYFUNCTION("""COMPUTED_VALUE"""),63.02)</f>
        <v>63.02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IFERROR(__xludf.DUMMYFUNCTION("""COMPUTED_VALUE"""),60.85)</f>
        <v>60.85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IFERROR(__xludf.DUMMYFUNCTION("""COMPUTED_VALUE"""),58.2)</f>
        <v>58.2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IFERROR(__xludf.DUMMYFUNCTION("""COMPUTED_VALUE"""),61.75)</f>
        <v>61.75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IFERROR(__xludf.DUMMYFUNCTION("GOOGLEFINANCE(""NSE:SBIN"",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IFERROR(__xludf.DUMMYFUNCTION("""COMPUTED_VALUE"""),62.54)</f>
        <v>62.54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IFERROR(__xludf.DUMMYFUNCTION("""COMPUTED_VALUE"""),59.91)</f>
        <v>59.91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IFERROR(__xludf.DUMMYFUNCTION("""COMPUTED_VALUE"""),56.55)</f>
        <v>56.55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IFERROR(__xludf.DUMMYFUNCTION("""COMPUTED_VALUE"""),59.15)</f>
        <v>59.15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IFERROR(__xludf.DUMMYFUNCTION("""COMPUTED_VALUE"""),63.11)</f>
        <v>63.11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IFERROR(__xludf.DUMMYFUNCTION("""COMPUTED_VALUE"""),62.25)</f>
        <v>62.25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IFERROR(__xludf.DUMMYFUNCTION("""COMPUTED_VALUE"""),63.94)</f>
        <v>63.94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IFERROR(__xludf.DUMMYFUNCTION("""COMPUTED_VALUE"""),65.61)</f>
        <v>65.61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IFERROR(__xludf.DUMMYFUNCTION("""COMPUTED_VALUE"""),68.49)</f>
        <v>68.49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IFERROR(__xludf.DUMMYFUNCTION("""COMPUTED_VALUE"""),70.85)</f>
        <v>70.85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IFERROR(__xludf.DUMMYFUNCTION("""COMPUTED_VALUE"""),70.12)</f>
        <v>70.12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IFERROR(__xludf.DUMMYFUNCTION("""COMPUTED_VALUE"""),69.0)</f>
        <v>69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IFERROR(__xludf.DUMMYFUNCTION("""COMPUTED_VALUE"""),64.06)</f>
        <v>64.06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IFERROR(__xludf.DUMMYFUNCTION("""COMPUTED_VALUE"""),64.72)</f>
        <v>64.72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IFERROR(__xludf.DUMMYFUNCTION("""COMPUTED_VALUE"""),62.17)</f>
        <v>62.17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IFERROR(__xludf.DUMMYFUNCTION("""COMPUTED_VALUE"""),59.89)</f>
        <v>59.89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IFERROR(__xludf.DUMMYFUNCTION("""COMPUTED_VALUE"""),59.6)</f>
        <v>59.6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IFERROR(__xludf.DUMMYFUNCTION("""COMPUTED_VALUE"""),58.85)</f>
        <v>58.85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IFERROR(__xludf.DUMMYFUNCTION("""COMPUTED_VALUE"""),59.13)</f>
        <v>59.13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IFERROR(__xludf.DUMMYFUNCTION("""COMPUTED_VALUE"""),61.5)</f>
        <v>61.5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IFERROR(__xludf.DUMMYFUNCTION("""COMPUTED_VALUE"""),64.79)</f>
        <v>64.79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IFERROR(__xludf.DUMMYFUNCTION("""COMPUTED_VALUE"""),65.63)</f>
        <v>65.63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IFERROR(__xludf.DUMMYFUNCTION("""COMPUTED_VALUE"""),65.37)</f>
        <v>65.37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IFERROR(__xludf.DUMMYFUNCTION("""COMPUTED_VALUE"""),65.0)</f>
        <v>65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IFERROR(__xludf.DUMMYFUNCTION("""COMPUTED_VALUE"""),66.88)</f>
        <v>66.88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IFERROR(__xludf.DUMMYFUNCTION("""COMPUTED_VALUE"""),68.66)</f>
        <v>68.66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IFERROR(__xludf.DUMMYFUNCTION("""COMPUTED_VALUE"""),69.34)</f>
        <v>69.34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IFERROR(__xludf.DUMMYFUNCTION("""COMPUTED_VALUE"""),69.31)</f>
        <v>69.31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IFERROR(__xludf.DUMMYFUNCTION("""COMPUTED_VALUE"""),76.36)</f>
        <v>76.36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IFERROR(__xludf.DUMMYFUNCTION("""COMPUTED_VALUE"""),77.45)</f>
        <v>77.45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IFERROR(__xludf.DUMMYFUNCTION("""COMPUTED_VALUE"""),77.73)</f>
        <v>77.73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IFERROR(__xludf.DUMMYFUNCTION("""COMPUTED_VALUE"""),78.11)</f>
        <v>78.11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IFERROR(__xludf.DUMMYFUNCTION("""COMPUTED_VALUE"""),76.56)</f>
        <v>76.56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IFERROR(__xludf.DUMMYFUNCTION("""COMPUTED_VALUE"""),76.37)</f>
        <v>76.37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IFERROR(__xludf.DUMMYFUNCTION("""COMPUTED_VALUE"""),81.32)</f>
        <v>81.32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IFERROR(__xludf.DUMMYFUNCTION("""COMPUTED_VALUE"""),87.72)</f>
        <v>87.72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IFERROR(__xludf.DUMMYFUNCTION("""COMPUTED_VALUE"""),87.55)</f>
        <v>87.55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IFERROR(__xludf.DUMMYFUNCTION("""COMPUTED_VALUE"""),90.57)</f>
        <v>90.57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IFERROR(__xludf.DUMMYFUNCTION("""COMPUTED_VALUE"""),90.57)</f>
        <v>90.57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IFERROR(__xludf.DUMMYFUNCTION("""COMPUTED_VALUE"""),89.34)</f>
        <v>89.34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IFERROR(__xludf.DUMMYFUNCTION("""COMPUTED_VALUE"""),87.97)</f>
        <v>87.97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IFERROR(__xludf.DUMMYFUNCTION("""COMPUTED_VALUE"""),84.31)</f>
        <v>84.31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IFERROR(__xludf.DUMMYFUNCTION("""COMPUTED_VALUE"""),82.05)</f>
        <v>82.05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IFERROR(__xludf.DUMMYFUNCTION("""COMPUTED_VALUE"""),82.33)</f>
        <v>82.33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IFERROR(__xludf.DUMMYFUNCTION("""COMPUTED_VALUE"""),86.97)</f>
        <v>86.97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IFERROR(__xludf.DUMMYFUNCTION("""COMPUTED_VALUE"""),88.68)</f>
        <v>88.68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IFERROR(__xludf.DUMMYFUNCTION("""COMPUTED_VALUE"""),86.59)</f>
        <v>86.59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IFERROR(__xludf.DUMMYFUNCTION("""COMPUTED_VALUE"""),88.61)</f>
        <v>88.61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IFERROR(__xludf.DUMMYFUNCTION("""COMPUTED_VALUE"""),89.33)</f>
        <v>89.33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IFERROR(__xludf.DUMMYFUNCTION("""COMPUTED_VALUE"""),86.09)</f>
        <v>86.09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IFERROR(__xludf.DUMMYFUNCTION("GOOGLEFINANCE(""NSE:SBIN"",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IFERROR(__xludf.DUMMYFUNCTION("""COMPUTED_VALUE"""),89.62)</f>
        <v>89.62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IFERROR(__xludf.DUMMYFUNCTION("""COMPUTED_VALUE"""),89.41)</f>
        <v>89.41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IFERROR(__xludf.DUMMYFUNCTION("""COMPUTED_VALUE"""),87.68)</f>
        <v>87.68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IFERROR(__xludf.DUMMYFUNCTION("""COMPUTED_VALUE"""),86.7)</f>
        <v>86.7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IFERROR(__xludf.DUMMYFUNCTION("""COMPUTED_VALUE"""),86.02)</f>
        <v>86.02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IFERROR(__xludf.DUMMYFUNCTION("""COMPUTED_VALUE"""),83.9)</f>
        <v>83.9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IFERROR(__xludf.DUMMYFUNCTION("""COMPUTED_VALUE"""),83.91)</f>
        <v>83.91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IFERROR(__xludf.DUMMYFUNCTION("""COMPUTED_VALUE"""),82.9)</f>
        <v>82.9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IFERROR(__xludf.DUMMYFUNCTION("""COMPUTED_VALUE"""),85.67)</f>
        <v>85.67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IFERROR(__xludf.DUMMYFUNCTION("""COMPUTED_VALUE"""),87.66)</f>
        <v>87.66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IFERROR(__xludf.DUMMYFUNCTION("""COMPUTED_VALUE"""),92.27)</f>
        <v>92.27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IFERROR(__xludf.DUMMYFUNCTION("""COMPUTED_VALUE"""),93.55)</f>
        <v>93.55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IFERROR(__xludf.DUMMYFUNCTION("""COMPUTED_VALUE"""),94.19)</f>
        <v>94.19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IFERROR(__xludf.DUMMYFUNCTION("""COMPUTED_VALUE"""),95.76)</f>
        <v>95.76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IFERROR(__xludf.DUMMYFUNCTION("""COMPUTED_VALUE"""),93.39)</f>
        <v>93.39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IFERROR(__xludf.DUMMYFUNCTION("""COMPUTED_VALUE"""),92.47)</f>
        <v>92.47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IFERROR(__xludf.DUMMYFUNCTION("""COMPUTED_VALUE"""),91.61)</f>
        <v>91.61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IFERROR(__xludf.DUMMYFUNCTION("""COMPUTED_VALUE"""),95.07)</f>
        <v>95.07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IFERROR(__xludf.DUMMYFUNCTION("""COMPUTED_VALUE"""),94.66)</f>
        <v>94.66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IFERROR(__xludf.DUMMYFUNCTION("""COMPUTED_VALUE"""),86.33)</f>
        <v>86.33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IFERROR(__xludf.DUMMYFUNCTION("""COMPUTED_VALUE"""),83.73)</f>
        <v>83.73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IFERROR(__xludf.DUMMYFUNCTION("""COMPUTED_VALUE"""),81.75)</f>
        <v>81.75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IFERROR(__xludf.DUMMYFUNCTION("""COMPUTED_VALUE"""),75.92)</f>
        <v>75.92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IFERROR(__xludf.DUMMYFUNCTION("""COMPUTED_VALUE"""),73.46)</f>
        <v>73.46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IFERROR(__xludf.DUMMYFUNCTION("""COMPUTED_VALUE"""),72.65)</f>
        <v>72.65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IFERROR(__xludf.DUMMYFUNCTION("""COMPUTED_VALUE"""),85.38)</f>
        <v>85.38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IFERROR(__xludf.DUMMYFUNCTION("""COMPUTED_VALUE"""),70.18)</f>
        <v>70.18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IFERROR(__xludf.DUMMYFUNCTION("""COMPUTED_VALUE"""),69.44)</f>
        <v>69.44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IFERROR(__xludf.DUMMYFUNCTION("""COMPUTED_VALUE"""),75.47)</f>
        <v>75.47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IFERROR(__xludf.DUMMYFUNCTION("""COMPUTED_VALUE"""),79.33)</f>
        <v>79.33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IFERROR(__xludf.DUMMYFUNCTION("""COMPUTED_VALUE"""),82.55)</f>
        <v>82.55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IFERROR(__xludf.DUMMYFUNCTION("""COMPUTED_VALUE"""),84.44)</f>
        <v>84.44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IFERROR(__xludf.DUMMYFUNCTION("""COMPUTED_VALUE"""),87.21)</f>
        <v>87.21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IFERROR(__xludf.DUMMYFUNCTION("""COMPUTED_VALUE"""),89.03)</f>
        <v>89.03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IFERROR(__xludf.DUMMYFUNCTION("""COMPUTED_VALUE"""),93.3)</f>
        <v>93.3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IFERROR(__xludf.DUMMYFUNCTION("""COMPUTED_VALUE"""),92.64)</f>
        <v>92.64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IFERROR(__xludf.DUMMYFUNCTION("""COMPUTED_VALUE"""),93.96)</f>
        <v>93.96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IFERROR(__xludf.DUMMYFUNCTION("""COMPUTED_VALUE"""),98.49)</f>
        <v>98.49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IFERROR(__xludf.DUMMYFUNCTION("""COMPUTED_VALUE"""),98.66)</f>
        <v>98.66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IFERROR(__xludf.DUMMYFUNCTION("""COMPUTED_VALUE"""),98.25)</f>
        <v>98.25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IFERROR(__xludf.DUMMYFUNCTION("""COMPUTED_VALUE"""),103.48)</f>
        <v>103.48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IFERROR(__xludf.DUMMYFUNCTION("""COMPUTED_VALUE"""),118.52)</f>
        <v>118.52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IFERROR(__xludf.DUMMYFUNCTION("""COMPUTED_VALUE"""),108.3)</f>
        <v>108.3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IFERROR(__xludf.DUMMYFUNCTION("""COMPUTED_VALUE"""),117.08)</f>
        <v>117.08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IFERROR(__xludf.DUMMYFUNCTION("""COMPUTED_VALUE"""),119.17)</f>
        <v>119.17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IFERROR(__xludf.DUMMYFUNCTION("""COMPUTED_VALUE"""),129.25)</f>
        <v>129.25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IFERROR(__xludf.DUMMYFUNCTION("""COMPUTED_VALUE"""),152.59)</f>
        <v>152.59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IFERROR(__xludf.DUMMYFUNCTION("""COMPUTED_VALUE"""),125.0)</f>
        <v>125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IFERROR(__xludf.DUMMYFUNCTION("""COMPUTED_VALUE"""),120.92)</f>
        <v>120.92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IFERROR(__xludf.DUMMYFUNCTION("""COMPUTED_VALUE"""),127.36)</f>
        <v>127.36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IFERROR(__xludf.DUMMYFUNCTION("GOOGLEFINANCE(""NSE:SBIN"",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IFERROR(__xludf.DUMMYFUNCTION("""COMPUTED_VALUE"""),120.76)</f>
        <v>120.76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IFERROR(__xludf.DUMMYFUNCTION("""COMPUTED_VALUE"""),117.81)</f>
        <v>117.81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IFERROR(__xludf.DUMMYFUNCTION("""COMPUTED_VALUE"""),120.97)</f>
        <v>120.97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IFERROR(__xludf.DUMMYFUNCTION("""COMPUTED_VALUE"""),116.23)</f>
        <v>116.23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IFERROR(__xludf.DUMMYFUNCTION("""COMPUTED_VALUE"""),116.04)</f>
        <v>116.04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IFERROR(__xludf.DUMMYFUNCTION("""COMPUTED_VALUE"""),114.99)</f>
        <v>114.99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IFERROR(__xludf.DUMMYFUNCTION("""COMPUTED_VALUE"""),113.57)</f>
        <v>113.57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IFERROR(__xludf.DUMMYFUNCTION("""COMPUTED_VALUE"""),108.0)</f>
        <v>108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IFERROR(__xludf.DUMMYFUNCTION("""COMPUTED_VALUE"""),108.4)</f>
        <v>108.4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IFERROR(__xludf.DUMMYFUNCTION("""COMPUTED_VALUE"""),96.61)</f>
        <v>96.61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IFERROR(__xludf.DUMMYFUNCTION("""COMPUTED_VALUE"""),94.44)</f>
        <v>94.44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IFERROR(__xludf.DUMMYFUNCTION("""COMPUTED_VALUE"""),98.38)</f>
        <v>98.38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IFERROR(__xludf.DUMMYFUNCTION("""COMPUTED_VALUE"""),98.1)</f>
        <v>98.1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IFERROR(__xludf.DUMMYFUNCTION("""COMPUTED_VALUE"""),92.4)</f>
        <v>92.4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IFERROR(__xludf.DUMMYFUNCTION("""COMPUTED_VALUE"""),95.64)</f>
        <v>95.64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IFERROR(__xludf.DUMMYFUNCTION("""COMPUTED_VALUE"""),102.27)</f>
        <v>102.27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IFERROR(__xludf.DUMMYFUNCTION("""COMPUTED_VALUE"""),109.98)</f>
        <v>109.98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IFERROR(__xludf.DUMMYFUNCTION("""COMPUTED_VALUE"""),109.59)</f>
        <v>109.59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IFERROR(__xludf.DUMMYFUNCTION("""COMPUTED_VALUE"""),113.02)</f>
        <v>113.02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IFERROR(__xludf.DUMMYFUNCTION("""COMPUTED_VALUE"""),126.42)</f>
        <v>126.42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IFERROR(__xludf.DUMMYFUNCTION("""COMPUTED_VALUE"""),128.68)</f>
        <v>128.68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IFERROR(__xludf.DUMMYFUNCTION("""COMPUTED_VALUE"""),130.66)</f>
        <v>130.66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IFERROR(__xludf.DUMMYFUNCTION("""COMPUTED_VALUE"""),137.17)</f>
        <v>137.17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IFERROR(__xludf.DUMMYFUNCTION("""COMPUTED_VALUE"""),130.09)</f>
        <v>130.09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IFERROR(__xludf.DUMMYFUNCTION("""COMPUTED_VALUE"""),139.44)</f>
        <v>139.44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IFERROR(__xludf.DUMMYFUNCTION("""COMPUTED_VALUE"""),144.5)</f>
        <v>144.5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IFERROR(__xludf.DUMMYFUNCTION("""COMPUTED_VALUE"""),169.72)</f>
        <v>169.72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IFERROR(__xludf.DUMMYFUNCTION("""COMPUTED_VALUE"""),149.43)</f>
        <v>149.43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IFERROR(__xludf.DUMMYFUNCTION("""COMPUTED_VALUE"""),153.28)</f>
        <v>153.28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IFERROR(__xludf.DUMMYFUNCTION("""COMPUTED_VALUE"""),151.7)</f>
        <v>151.7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IFERROR(__xludf.DUMMYFUNCTION("""COMPUTED_VALUE"""),155.76)</f>
        <v>155.76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IFERROR(__xludf.DUMMYFUNCTION("""COMPUTED_VALUE"""),163.66)</f>
        <v>163.66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IFERROR(__xludf.DUMMYFUNCTION("""COMPUTED_VALUE"""),154.34)</f>
        <v>154.34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IFERROR(__xludf.DUMMYFUNCTION("""COMPUTED_VALUE"""),150.0)</f>
        <v>150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IFERROR(__xludf.DUMMYFUNCTION("""COMPUTED_VALUE"""),152.64)</f>
        <v>152.64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IFERROR(__xludf.DUMMYFUNCTION("""COMPUTED_VALUE"""),155.95)</f>
        <v>155.95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IFERROR(__xludf.DUMMYFUNCTION("""COMPUTED_VALUE"""),161.09)</f>
        <v>161.09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IFERROR(__xludf.DUMMYFUNCTION("""COMPUTED_VALUE"""),173.58)</f>
        <v>173.58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IFERROR(__xludf.DUMMYFUNCTION("""COMPUTED_VALUE"""),185.09)</f>
        <v>185.09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IFERROR(__xludf.DUMMYFUNCTION("""COMPUTED_VALUE"""),185.38)</f>
        <v>185.38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IFERROR(__xludf.DUMMYFUNCTION("""COMPUTED_VALUE"""),184.78)</f>
        <v>184.78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IFERROR(__xludf.DUMMYFUNCTION("""COMPUTED_VALUE"""),187.83)</f>
        <v>187.83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IFERROR(__xludf.DUMMYFUNCTION("""COMPUTED_VALUE"""),198.59)</f>
        <v>198.59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IFERROR(__xludf.DUMMYFUNCTION("""COMPUTED_VALUE"""),214.53)</f>
        <v>214.53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IFERROR(__xludf.DUMMYFUNCTION("""COMPUTED_VALUE"""),231.14)</f>
        <v>231.14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IFERROR(__xludf.DUMMYFUNCTION("""COMPUTED_VALUE"""),223.56)</f>
        <v>223.56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IFERROR(__xludf.DUMMYFUNCTION("""COMPUTED_VALUE"""),220.66)</f>
        <v>220.66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IFERROR(__xludf.DUMMYFUNCTION("""COMPUTED_VALUE"""),231.86)</f>
        <v>231.86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IFERROR(__xludf.DUMMYFUNCTION("""COMPUTED_VALUE"""),233.59)</f>
        <v>233.59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IFERROR(__xludf.DUMMYFUNCTION("""COMPUTED_VALUE"""),227.36)</f>
        <v>227.36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IFERROR(__xludf.DUMMYFUNCTION("""COMPUTED_VALUE"""),230.07)</f>
        <v>230.07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IFERROR(__xludf.DUMMYFUNCTION("GOOGLEFINANCE(""NSE:SBIN"",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IFERROR(__xludf.DUMMYFUNCTION("""COMPUTED_VALUE"""),242.83)</f>
        <v>242.83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IFERROR(__xludf.DUMMYFUNCTION("""COMPUTED_VALUE"""),236.51)</f>
        <v>236.51</v>
      </c>
    </row>
    <row r="334" ht="15.75" customHeight="1">
      <c r="B334" s="3">
        <f>IFERROR(__xludf.DUMMYFUNCTION("""COMPUTED_VALUE"""),39465.645833333336)</f>
        <v>39465.64583</v>
      </c>
      <c r="C334" s="2">
        <f>IFERROR(__xludf.DUMMYFUNCTION("""COMPUTED_VALUE"""),239.28)</f>
        <v>239.28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IFERROR(__xludf.DUMMYFUNCTION("""COMPUTED_VALUE"""),231.97)</f>
        <v>231.97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IFERROR(__xludf.DUMMYFUNCTION("""COMPUTED_VALUE"""),235.9)</f>
        <v>235.9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IFERROR(__xludf.DUMMYFUNCTION("""COMPUTED_VALUE"""),230.74)</f>
        <v>230.74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IFERROR(__xludf.DUMMYFUNCTION("""COMPUTED_VALUE"""),230.4)</f>
        <v>230.4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IFERROR(__xludf.DUMMYFUNCTION("""COMPUTED_VALUE"""),233.97)</f>
        <v>233.97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IFERROR(__xludf.DUMMYFUNCTION("""COMPUTED_VALUE"""),215.5)</f>
        <v>215.5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IFERROR(__xludf.DUMMYFUNCTION("""COMPUTED_VALUE"""),205.24)</f>
        <v>205.24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IFERROR(__xludf.DUMMYFUNCTION("""COMPUTED_VALUE"""),196.0)</f>
        <v>196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IFERROR(__xludf.DUMMYFUNCTION("""COMPUTED_VALUE"""),169.94)</f>
        <v>169.94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IFERROR(__xludf.DUMMYFUNCTION("""COMPUTED_VALUE"""),179.4)</f>
        <v>179.4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IFERROR(__xludf.DUMMYFUNCTION("""COMPUTED_VALUE"""),171.1)</f>
        <v>171.1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IFERROR(__xludf.DUMMYFUNCTION("""COMPUTED_VALUE"""),172.2)</f>
        <v>172.2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IFERROR(__xludf.DUMMYFUNCTION("""COMPUTED_VALUE"""),172.1)</f>
        <v>172.1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IFERROR(__xludf.DUMMYFUNCTION("""COMPUTED_VALUE"""),175.38)</f>
        <v>175.38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IFERROR(__xludf.DUMMYFUNCTION("""COMPUTED_VALUE"""),184.0)</f>
        <v>184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IFERROR(__xludf.DUMMYFUNCTION("""COMPUTED_VALUE"""),183.84)</f>
        <v>183.84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IFERROR(__xludf.DUMMYFUNCTION("""COMPUTED_VALUE"""),171.4)</f>
        <v>171.4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IFERROR(__xludf.DUMMYFUNCTION("""COMPUTED_VALUE"""),170.2)</f>
        <v>170.2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IFERROR(__xludf.DUMMYFUNCTION("""COMPUTED_VALUE"""),157.47)</f>
        <v>157.47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IFERROR(__xludf.DUMMYFUNCTION("""COMPUTED_VALUE"""),149.8)</f>
        <v>149.8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IFERROR(__xludf.DUMMYFUNCTION("""COMPUTED_VALUE"""),136.0)</f>
        <v>136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IFERROR(__xludf.DUMMYFUNCTION("""COMPUTED_VALUE"""),139.87)</f>
        <v>139.87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IFERROR(__xludf.DUMMYFUNCTION("""COMPUTED_VALUE"""),124.97)</f>
        <v>124.97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IFERROR(__xludf.DUMMYFUNCTION("""COMPUTED_VALUE"""),119.5)</f>
        <v>119.5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IFERROR(__xludf.DUMMYFUNCTION("""COMPUTED_VALUE"""),126.5)</f>
        <v>126.5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IFERROR(__xludf.DUMMYFUNCTION("""COMPUTED_VALUE"""),130.97)</f>
        <v>130.97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IFERROR(__xludf.DUMMYFUNCTION("""COMPUTED_VALUE"""),157.4)</f>
        <v>157.4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IFERROR(__xludf.DUMMYFUNCTION("""COMPUTED_VALUE"""),152.0)</f>
        <v>152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IFERROR(__xludf.DUMMYFUNCTION("""COMPUTED_VALUE"""),163.9)</f>
        <v>163.9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IFERROR(__xludf.DUMMYFUNCTION("""COMPUTED_VALUE"""),162.48)</f>
        <v>162.48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IFERROR(__xludf.DUMMYFUNCTION("""COMPUTED_VALUE"""),147.8)</f>
        <v>147.8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IFERROR(__xludf.DUMMYFUNCTION("""COMPUTED_VALUE"""),140.98)</f>
        <v>140.98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IFERROR(__xludf.DUMMYFUNCTION("""COMPUTED_VALUE"""),154.8)</f>
        <v>154.8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IFERROR(__xludf.DUMMYFUNCTION("""COMPUTED_VALUE"""),161.0)</f>
        <v>161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IFERROR(__xludf.DUMMYFUNCTION("""COMPUTED_VALUE"""),162.0)</f>
        <v>162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IFERROR(__xludf.DUMMYFUNCTION("""COMPUTED_VALUE"""),159.49)</f>
        <v>159.49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IFERROR(__xludf.DUMMYFUNCTION("""COMPUTED_VALUE"""),152.7)</f>
        <v>152.7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IFERROR(__xludf.DUMMYFUNCTION("""COMPUTED_VALUE"""),150.5)</f>
        <v>150.5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IFERROR(__xludf.DUMMYFUNCTION("""COMPUTED_VALUE"""),158.98)</f>
        <v>158.98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IFERROR(__xludf.DUMMYFUNCTION("""COMPUTED_VALUE"""),151.0)</f>
        <v>151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IFERROR(__xludf.DUMMYFUNCTION("""COMPUTED_VALUE"""),118.97)</f>
        <v>118.97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IFERROR(__xludf.DUMMYFUNCTION("""COMPUTED_VALUE"""),138.0)</f>
        <v>138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IFERROR(__xludf.DUMMYFUNCTION("""COMPUTED_VALUE"""),131.5)</f>
        <v>131.5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IFERROR(__xludf.DUMMYFUNCTION("""COMPUTED_VALUE"""),121.0)</f>
        <v>121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IFERROR(__xludf.DUMMYFUNCTION("""COMPUTED_VALUE"""),122.23)</f>
        <v>122.23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IFERROR(__xludf.DUMMYFUNCTION("""COMPUTED_VALUE"""),120.9)</f>
        <v>120.9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IFERROR(__xludf.DUMMYFUNCTION("""COMPUTED_VALUE"""),123.2)</f>
        <v>123.2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IFERROR(__xludf.DUMMYFUNCTION("""COMPUTED_VALUE"""),132.4)</f>
        <v>132.4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IFERROR(__xludf.DUMMYFUNCTION("""COMPUTED_VALUE"""),132.29)</f>
        <v>132.29</v>
      </c>
    </row>
    <row r="384" ht="15.75" customHeight="1"/>
    <row r="385" ht="15.75" customHeight="1"/>
    <row r="386" ht="15.75" customHeight="1">
      <c r="B386" s="2" t="str">
        <f>IFERROR(__xludf.DUMMYFUNCTION("GOOGLEFINANCE(""NSE:SBIN"",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IFERROR(__xludf.DUMMYFUNCTION("""COMPUTED_VALUE"""),135.0)</f>
        <v>135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IFERROR(__xludf.DUMMYFUNCTION("""COMPUTED_VALUE"""),138.87)</f>
        <v>138.87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IFERROR(__xludf.DUMMYFUNCTION("""COMPUTED_VALUE"""),122.32)</f>
        <v>122.32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IFERROR(__xludf.DUMMYFUNCTION("""COMPUTED_VALUE"""),118.3)</f>
        <v>118.3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IFERROR(__xludf.DUMMYFUNCTION("""COMPUTED_VALUE"""),116.4)</f>
        <v>116.4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IFERROR(__xludf.DUMMYFUNCTION("""COMPUTED_VALUE"""),113.9)</f>
        <v>113.9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IFERROR(__xludf.DUMMYFUNCTION("""COMPUTED_VALUE"""),120.6)</f>
        <v>120.6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IFERROR(__xludf.DUMMYFUNCTION("""COMPUTED_VALUE"""),119.19)</f>
        <v>119.19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IFERROR(__xludf.DUMMYFUNCTION("""COMPUTED_VALUE"""),105.9)</f>
        <v>105.9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IFERROR(__xludf.DUMMYFUNCTION("""COMPUTED_VALUE"""),101.5)</f>
        <v>101.5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IFERROR(__xludf.DUMMYFUNCTION("""COMPUTED_VALUE"""),95.57)</f>
        <v>95.57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IFERROR(__xludf.DUMMYFUNCTION("""COMPUTED_VALUE"""),99.79)</f>
        <v>99.79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IFERROR(__xludf.DUMMYFUNCTION("""COMPUTED_VALUE"""),113.4)</f>
        <v>113.4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IFERROR(__xludf.DUMMYFUNCTION("""COMPUTED_VALUE"""),117.0)</f>
        <v>117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IFERROR(__xludf.DUMMYFUNCTION("""COMPUTED_VALUE"""),119.4)</f>
        <v>119.4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IFERROR(__xludf.DUMMYFUNCTION("""COMPUTED_VALUE"""),135.5)</f>
        <v>135.5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IFERROR(__xludf.DUMMYFUNCTION("""COMPUTED_VALUE"""),134.2)</f>
        <v>134.2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IFERROR(__xludf.DUMMYFUNCTION("""COMPUTED_VALUE"""),133.0)</f>
        <v>133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IFERROR(__xludf.DUMMYFUNCTION("""COMPUTED_VALUE"""),138.6)</f>
        <v>138.6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IFERROR(__xludf.DUMMYFUNCTION("""COMPUTED_VALUE"""),137.4)</f>
        <v>137.4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IFERROR(__xludf.DUMMYFUNCTION("""COMPUTED_VALUE"""),184.38)</f>
        <v>184.38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IFERROR(__xludf.DUMMYFUNCTION("""COMPUTED_VALUE"""),189.22)</f>
        <v>189.22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IFERROR(__xludf.DUMMYFUNCTION("""COMPUTED_VALUE"""),203.97)</f>
        <v>203.97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IFERROR(__xludf.DUMMYFUNCTION("""COMPUTED_VALUE"""),183.0)</f>
        <v>183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IFERROR(__xludf.DUMMYFUNCTION("""COMPUTED_VALUE"""),174.5)</f>
        <v>174.5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IFERROR(__xludf.DUMMYFUNCTION("""COMPUTED_VALUE"""),176.0)</f>
        <v>176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IFERROR(__xludf.DUMMYFUNCTION("""COMPUTED_VALUE"""),182.2)</f>
        <v>182.2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IFERROR(__xludf.DUMMYFUNCTION("""COMPUTED_VALUE"""),183.99)</f>
        <v>183.99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IFERROR(__xludf.DUMMYFUNCTION("""COMPUTED_VALUE"""),168.3)</f>
        <v>168.3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IFERROR(__xludf.DUMMYFUNCTION("""COMPUTED_VALUE"""),174.7)</f>
        <v>174.7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IFERROR(__xludf.DUMMYFUNCTION("""COMPUTED_VALUE"""),182.23)</f>
        <v>182.23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IFERROR(__xludf.DUMMYFUNCTION("""COMPUTED_VALUE"""),188.8)</f>
        <v>188.8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IFERROR(__xludf.DUMMYFUNCTION("""COMPUTED_VALUE"""),181.49)</f>
        <v>181.49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IFERROR(__xludf.DUMMYFUNCTION("""COMPUTED_VALUE"""),178.31)</f>
        <v>178.31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IFERROR(__xludf.DUMMYFUNCTION("""COMPUTED_VALUE"""),181.5)</f>
        <v>181.5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IFERROR(__xludf.DUMMYFUNCTION("""COMPUTED_VALUE"""),178.1)</f>
        <v>178.1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IFERROR(__xludf.DUMMYFUNCTION("""COMPUTED_VALUE"""),194.77)</f>
        <v>194.77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IFERROR(__xludf.DUMMYFUNCTION("""COMPUTED_VALUE"""),216.2)</f>
        <v>216.2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IFERROR(__xludf.DUMMYFUNCTION("""COMPUTED_VALUE"""),218.76)</f>
        <v>218.76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IFERROR(__xludf.DUMMYFUNCTION("""COMPUTED_VALUE"""),223.5)</f>
        <v>223.5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IFERROR(__xludf.DUMMYFUNCTION("""COMPUTED_VALUE"""),221.5)</f>
        <v>221.5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IFERROR(__xludf.DUMMYFUNCTION("""COMPUTED_VALUE"""),249.9)</f>
        <v>249.9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IFERROR(__xludf.DUMMYFUNCTION("""COMPUTED_VALUE"""),237.39)</f>
        <v>237.39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IFERROR(__xludf.DUMMYFUNCTION("""COMPUTED_VALUE"""),222.6)</f>
        <v>222.6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IFERROR(__xludf.DUMMYFUNCTION("""COMPUTED_VALUE"""),238.45)</f>
        <v>238.45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IFERROR(__xludf.DUMMYFUNCTION("""COMPUTED_VALUE"""),237.26)</f>
        <v>237.26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IFERROR(__xludf.DUMMYFUNCTION("""COMPUTED_VALUE"""),235.0)</f>
        <v>235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IFERROR(__xludf.DUMMYFUNCTION("""COMPUTED_VALUE"""),237.5)</f>
        <v>237.5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IFERROR(__xludf.DUMMYFUNCTION("""COMPUTED_VALUE"""),234.98)</f>
        <v>234.98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IFERROR(__xludf.DUMMYFUNCTION("""COMPUTED_VALUE"""),228.5)</f>
        <v>228.5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IFERROR(__xludf.DUMMYFUNCTION("""COMPUTED_VALUE"""),223.5)</f>
        <v>223.5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IFERROR(__xludf.DUMMYFUNCTION("""COMPUTED_VALUE"""),228.37)</f>
        <v>228.37</v>
      </c>
    </row>
    <row r="439" ht="15.75" customHeight="1"/>
    <row r="440" ht="15.75" customHeight="1"/>
    <row r="441" ht="15.75" customHeight="1">
      <c r="B441" s="2" t="str">
        <f>IFERROR(__xludf.DUMMYFUNCTION("GOOGLEFINANCE(""NSE:SBIN"",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IFERROR(__xludf.DUMMYFUNCTION("""COMPUTED_VALUE"""),231.5)</f>
        <v>231.5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IFERROR(__xludf.DUMMYFUNCTION("""COMPUTED_VALUE"""),231.27)</f>
        <v>231.27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IFERROR(__xludf.DUMMYFUNCTION("""COMPUTED_VALUE"""),218.7)</f>
        <v>218.7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IFERROR(__xludf.DUMMYFUNCTION("""COMPUTED_VALUE"""),213.7)</f>
        <v>213.7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IFERROR(__xludf.DUMMYFUNCTION("""COMPUTED_VALUE"""),197.0)</f>
        <v>197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IFERROR(__xludf.DUMMYFUNCTION("""COMPUTED_VALUE"""),196.25)</f>
        <v>196.25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IFERROR(__xludf.DUMMYFUNCTION("""COMPUTED_VALUE"""),203.2)</f>
        <v>203.2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IFERROR(__xludf.DUMMYFUNCTION("""COMPUTED_VALUE"""),205.9)</f>
        <v>205.9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IFERROR(__xludf.DUMMYFUNCTION("""COMPUTED_VALUE"""),211.25)</f>
        <v>211.25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IFERROR(__xludf.DUMMYFUNCTION("""COMPUTED_VALUE"""),206.59)</f>
        <v>206.59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IFERROR(__xludf.DUMMYFUNCTION("""COMPUTED_VALUE"""),207.8)</f>
        <v>207.8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IFERROR(__xludf.DUMMYFUNCTION("""COMPUTED_VALUE"""),212.2)</f>
        <v>212.2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IFERROR(__xludf.DUMMYFUNCTION("""COMPUTED_VALUE"""),214.78)</f>
        <v>214.78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IFERROR(__xludf.DUMMYFUNCTION("""COMPUTED_VALUE"""),211.5)</f>
        <v>211.5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IFERROR(__xludf.DUMMYFUNCTION("""COMPUTED_VALUE"""),229.4)</f>
        <v>229.4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IFERROR(__xludf.DUMMYFUNCTION("""COMPUTED_VALUE"""),231.89)</f>
        <v>231.89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IFERROR(__xludf.DUMMYFUNCTION("""COMPUTED_VALUE"""),232.0)</f>
        <v>232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IFERROR(__xludf.DUMMYFUNCTION("""COMPUTED_VALUE"""),234.9)</f>
        <v>234.9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IFERROR(__xludf.DUMMYFUNCTION("""COMPUTED_VALUE"""),229.8)</f>
        <v>229.8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IFERROR(__xludf.DUMMYFUNCTION("""COMPUTED_VALUE"""),231.1)</f>
        <v>231.1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IFERROR(__xludf.DUMMYFUNCTION("""COMPUTED_VALUE"""),234.8)</f>
        <v>234.8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IFERROR(__xludf.DUMMYFUNCTION("""COMPUTED_VALUE"""),263.01)</f>
        <v>263.01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IFERROR(__xludf.DUMMYFUNCTION("""COMPUTED_VALUE"""),241.7)</f>
        <v>241.7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IFERROR(__xludf.DUMMYFUNCTION("""COMPUTED_VALUE"""),240.28)</f>
        <v>240.28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IFERROR(__xludf.DUMMYFUNCTION("""COMPUTED_VALUE"""),232.89)</f>
        <v>232.89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IFERROR(__xludf.DUMMYFUNCTION("""COMPUTED_VALUE"""),237.86)</f>
        <v>237.86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IFERROR(__xludf.DUMMYFUNCTION("""COMPUTED_VALUE"""),247.9)</f>
        <v>247.9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IFERROR(__xludf.DUMMYFUNCTION("""COMPUTED_VALUE"""),250.38)</f>
        <v>250.38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IFERROR(__xludf.DUMMYFUNCTION("""COMPUTED_VALUE"""),252.2)</f>
        <v>252.2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IFERROR(__xludf.DUMMYFUNCTION("""COMPUTED_VALUE"""),266.27)</f>
        <v>266.27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IFERROR(__xludf.DUMMYFUNCTION("""COMPUTED_VALUE"""),287.97)</f>
        <v>287.97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IFERROR(__xludf.DUMMYFUNCTION("""COMPUTED_VALUE"""),285.61)</f>
        <v>285.61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IFERROR(__xludf.DUMMYFUNCTION("""COMPUTED_VALUE"""),288.48)</f>
        <v>288.48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IFERROR(__xludf.DUMMYFUNCTION("""COMPUTED_VALUE"""),283.05)</f>
        <v>283.05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IFERROR(__xludf.DUMMYFUNCTION("""COMPUTED_VALUE"""),299.47)</f>
        <v>299.47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IFERROR(__xludf.DUMMYFUNCTION("""COMPUTED_VALUE"""),316.6)</f>
        <v>316.6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IFERROR(__xludf.DUMMYFUNCTION("""COMPUTED_VALUE"""),316.5)</f>
        <v>316.5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IFERROR(__xludf.DUMMYFUNCTION("""COMPUTED_VALUE"""),328.8)</f>
        <v>328.8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IFERROR(__xludf.DUMMYFUNCTION("""COMPUTED_VALUE"""),330.0)</f>
        <v>330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IFERROR(__xludf.DUMMYFUNCTION("""COMPUTED_VALUE"""),332.49)</f>
        <v>332.49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IFERROR(__xludf.DUMMYFUNCTION("""COMPUTED_VALUE"""),322.2)</f>
        <v>322.2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IFERROR(__xludf.DUMMYFUNCTION("""COMPUTED_VALUE"""),325.24)</f>
        <v>325.24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IFERROR(__xludf.DUMMYFUNCTION("""COMPUTED_VALUE"""),350.0)</f>
        <v>350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IFERROR(__xludf.DUMMYFUNCTION("""COMPUTED_VALUE"""),351.5)</f>
        <v>351.5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IFERROR(__xludf.DUMMYFUNCTION("""COMPUTED_VALUE"""),318.8)</f>
        <v>318.8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IFERROR(__xludf.DUMMYFUNCTION("""COMPUTED_VALUE"""),305.0)</f>
        <v>305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IFERROR(__xludf.DUMMYFUNCTION("""COMPUTED_VALUE"""),317.36)</f>
        <v>317.36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IFERROR(__xludf.DUMMYFUNCTION("""COMPUTED_VALUE"""),309.0)</f>
        <v>309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IFERROR(__xludf.DUMMYFUNCTION("""COMPUTED_VALUE"""),280.5)</f>
        <v>280.5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IFERROR(__xludf.DUMMYFUNCTION("""COMPUTED_VALUE"""),278.8)</f>
        <v>278.8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IFERROR(__xludf.DUMMYFUNCTION("""COMPUTED_VALUE"""),282.75)</f>
        <v>282.75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IFERROR(__xludf.DUMMYFUNCTION("GOOGLEFINANCE(""NSE:SBIN"",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IFERROR(__xludf.DUMMYFUNCTION("""COMPUTED_VALUE"""),285.2)</f>
        <v>285.2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IFERROR(__xludf.DUMMYFUNCTION("""COMPUTED_VALUE"""),268.9)</f>
        <v>268.9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IFERROR(__xludf.DUMMYFUNCTION("""COMPUTED_VALUE"""),260.7)</f>
        <v>260.7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IFERROR(__xludf.DUMMYFUNCTION("""COMPUTED_VALUE"""),273.74)</f>
        <v>273.74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IFERROR(__xludf.DUMMYFUNCTION("""COMPUTED_VALUE"""),269.5)</f>
        <v>269.5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IFERROR(__xludf.DUMMYFUNCTION("""COMPUTED_VALUE"""),268.78)</f>
        <v>268.78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IFERROR(__xludf.DUMMYFUNCTION("""COMPUTED_VALUE"""),281.48)</f>
        <v>281.48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IFERROR(__xludf.DUMMYFUNCTION("""COMPUTED_VALUE"""),279.9)</f>
        <v>279.9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IFERROR(__xludf.DUMMYFUNCTION("""COMPUTED_VALUE"""),272.8)</f>
        <v>272.8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IFERROR(__xludf.DUMMYFUNCTION("""COMPUTED_VALUE"""),268.44)</f>
        <v>268.44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IFERROR(__xludf.DUMMYFUNCTION("""COMPUTED_VALUE"""),267.0)</f>
        <v>267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IFERROR(__xludf.DUMMYFUNCTION("""COMPUTED_VALUE"""),271.9)</f>
        <v>271.9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IFERROR(__xludf.DUMMYFUNCTION("""COMPUTED_VALUE"""),288.85)</f>
        <v>288.85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IFERROR(__xludf.DUMMYFUNCTION("""COMPUTED_VALUE"""),283.5)</f>
        <v>283.5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IFERROR(__xludf.DUMMYFUNCTION("""COMPUTED_VALUE"""),284.9)</f>
        <v>284.9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IFERROR(__xludf.DUMMYFUNCTION("""COMPUTED_VALUE"""),287.5)</f>
        <v>287.5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IFERROR(__xludf.DUMMYFUNCTION("""COMPUTED_VALUE"""),296.01)</f>
        <v>296.01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IFERROR(__xludf.DUMMYFUNCTION("""COMPUTED_VALUE"""),281.9)</f>
        <v>281.9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IFERROR(__xludf.DUMMYFUNCTION("""COMPUTED_VALUE"""),268.87)</f>
        <v>268.87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IFERROR(__xludf.DUMMYFUNCTION("""COMPUTED_VALUE"""),265.72)</f>
        <v>265.72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IFERROR(__xludf.DUMMYFUNCTION("""COMPUTED_VALUE"""),231.4)</f>
        <v>231.4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IFERROR(__xludf.DUMMYFUNCTION("""COMPUTED_VALUE"""),235.6)</f>
        <v>235.6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IFERROR(__xludf.DUMMYFUNCTION("""COMPUTED_VALUE"""),233.67)</f>
        <v>233.67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IFERROR(__xludf.DUMMYFUNCTION("""COMPUTED_VALUE"""),224.65)</f>
        <v>224.65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IFERROR(__xludf.DUMMYFUNCTION("""COMPUTED_VALUE"""),229.81)</f>
        <v>229.81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IFERROR(__xludf.DUMMYFUNCTION("""COMPUTED_VALUE"""),243.3)</f>
        <v>243.3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IFERROR(__xludf.DUMMYFUNCTION("""COMPUTED_VALUE"""),251.5)</f>
        <v>251.5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IFERROR(__xludf.DUMMYFUNCTION("""COMPUTED_VALUE"""),249.9)</f>
        <v>249.9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IFERROR(__xludf.DUMMYFUNCTION("""COMPUTED_VALUE"""),252.87)</f>
        <v>252.87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IFERROR(__xludf.DUMMYFUNCTION("""COMPUTED_VALUE"""),252.97)</f>
        <v>252.97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IFERROR(__xludf.DUMMYFUNCTION("""COMPUTED_VALUE"""),238.3)</f>
        <v>238.3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IFERROR(__xludf.DUMMYFUNCTION("""COMPUTED_VALUE"""),228.9)</f>
        <v>228.9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IFERROR(__xludf.DUMMYFUNCTION("""COMPUTED_VALUE"""),224.75)</f>
        <v>224.75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IFERROR(__xludf.DUMMYFUNCTION("""COMPUTED_VALUE"""),208.2)</f>
        <v>208.2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IFERROR(__xludf.DUMMYFUNCTION("""COMPUTED_VALUE"""),202.1)</f>
        <v>202.1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IFERROR(__xludf.DUMMYFUNCTION("""COMPUTED_VALUE"""),204.8)</f>
        <v>204.8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IFERROR(__xludf.DUMMYFUNCTION("""COMPUTED_VALUE"""),195.9)</f>
        <v>195.9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IFERROR(__xludf.DUMMYFUNCTION("""COMPUTED_VALUE"""),202.4)</f>
        <v>202.4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IFERROR(__xludf.DUMMYFUNCTION("""COMPUTED_VALUE"""),201.27)</f>
        <v>201.27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IFERROR(__xludf.DUMMYFUNCTION("""COMPUTED_VALUE"""),188.5)</f>
        <v>188.5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IFERROR(__xludf.DUMMYFUNCTION("""COMPUTED_VALUE"""),193.4)</f>
        <v>193.4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IFERROR(__xludf.DUMMYFUNCTION("""COMPUTED_VALUE"""),196.74)</f>
        <v>196.74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IFERROR(__xludf.DUMMYFUNCTION("""COMPUTED_VALUE"""),198.9)</f>
        <v>198.9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IFERROR(__xludf.DUMMYFUNCTION("""COMPUTED_VALUE"""),198.09)</f>
        <v>198.09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IFERROR(__xludf.DUMMYFUNCTION("""COMPUTED_VALUE"""),201.75)</f>
        <v>201.75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IFERROR(__xludf.DUMMYFUNCTION("""COMPUTED_VALUE"""),182.7)</f>
        <v>182.7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IFERROR(__xludf.DUMMYFUNCTION("""COMPUTED_VALUE"""),172.45)</f>
        <v>172.45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IFERROR(__xludf.DUMMYFUNCTION("""COMPUTED_VALUE"""),189.9)</f>
        <v>189.9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IFERROR(__xludf.DUMMYFUNCTION("""COMPUTED_VALUE"""),195.99)</f>
        <v>195.99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IFERROR(__xludf.DUMMYFUNCTION("""COMPUTED_VALUE"""),189.67)</f>
        <v>189.67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IFERROR(__xludf.DUMMYFUNCTION("""COMPUTED_VALUE"""),169.18)</f>
        <v>169.18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IFERROR(__xludf.DUMMYFUNCTION("""COMPUTED_VALUE"""),167.5)</f>
        <v>167.5</v>
      </c>
    </row>
    <row r="549" ht="15.75" customHeight="1"/>
    <row r="550" ht="15.75" customHeight="1"/>
    <row r="551" ht="15.75" customHeight="1">
      <c r="B551" s="2" t="str">
        <f>IFERROR(__xludf.DUMMYFUNCTION("GOOGLEFINANCE(""NSE:SBIN"",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IFERROR(__xludf.DUMMYFUNCTION("""COMPUTED_VALUE"""),179.99)</f>
        <v>179.99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IFERROR(__xludf.DUMMYFUNCTION("""COMPUTED_VALUE"""),194.4)</f>
        <v>194.4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IFERROR(__xludf.DUMMYFUNCTION("""COMPUTED_VALUE"""),208.6)</f>
        <v>208.6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IFERROR(__xludf.DUMMYFUNCTION("""COMPUTED_VALUE"""),211.76)</f>
        <v>211.76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IFERROR(__xludf.DUMMYFUNCTION("""COMPUTED_VALUE"""),220.9)</f>
        <v>220.9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IFERROR(__xludf.DUMMYFUNCTION("""COMPUTED_VALUE"""),247.16)</f>
        <v>247.16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IFERROR(__xludf.DUMMYFUNCTION("""COMPUTED_VALUE"""),247.5)</f>
        <v>247.5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IFERROR(__xludf.DUMMYFUNCTION("""COMPUTED_VALUE"""),226.3)</f>
        <v>226.3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IFERROR(__xludf.DUMMYFUNCTION("""COMPUTED_VALUE"""),237.44)</f>
        <v>237.44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IFERROR(__xludf.DUMMYFUNCTION("""COMPUTED_VALUE"""),225.56)</f>
        <v>225.56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IFERROR(__xludf.DUMMYFUNCTION("""COMPUTED_VALUE"""),217.19)</f>
        <v>217.19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IFERROR(__xludf.DUMMYFUNCTION("""COMPUTED_VALUE"""),218.32)</f>
        <v>218.32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IFERROR(__xludf.DUMMYFUNCTION("""COMPUTED_VALUE"""),228.36)</f>
        <v>228.36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IFERROR(__xludf.DUMMYFUNCTION("""COMPUTED_VALUE"""),234.97)</f>
        <v>234.97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IFERROR(__xludf.DUMMYFUNCTION("""COMPUTED_VALUE"""),216.99)</f>
        <v>216.99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IFERROR(__xludf.DUMMYFUNCTION("""COMPUTED_VALUE"""),204.89)</f>
        <v>204.89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IFERROR(__xludf.DUMMYFUNCTION("""COMPUTED_VALUE"""),195.7)</f>
        <v>195.7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IFERROR(__xludf.DUMMYFUNCTION("""COMPUTED_VALUE"""),204.0)</f>
        <v>204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IFERROR(__xludf.DUMMYFUNCTION("""COMPUTED_VALUE"""),214.99)</f>
        <v>214.99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IFERROR(__xludf.DUMMYFUNCTION("""COMPUTED_VALUE"""),219.16)</f>
        <v>219.16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IFERROR(__xludf.DUMMYFUNCTION("""COMPUTED_VALUE"""),224.4)</f>
        <v>224.4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IFERROR(__xludf.DUMMYFUNCTION("""COMPUTED_VALUE"""),223.19)</f>
        <v>223.19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IFERROR(__xludf.DUMMYFUNCTION("""COMPUTED_VALUE"""),220.0)</f>
        <v>220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IFERROR(__xludf.DUMMYFUNCTION("""COMPUTED_VALUE"""),223.96)</f>
        <v>223.96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IFERROR(__xludf.DUMMYFUNCTION("""COMPUTED_VALUE"""),225.26)</f>
        <v>225.26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IFERROR(__xludf.DUMMYFUNCTION("""COMPUTED_VALUE"""),222.34)</f>
        <v>222.34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IFERROR(__xludf.DUMMYFUNCTION("""COMPUTED_VALUE"""),212.38)</f>
        <v>212.38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IFERROR(__xludf.DUMMYFUNCTION("""COMPUTED_VALUE"""),204.5)</f>
        <v>204.5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IFERROR(__xludf.DUMMYFUNCTION("""COMPUTED_VALUE"""),208.9)</f>
        <v>208.9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IFERROR(__xludf.DUMMYFUNCTION("""COMPUTED_VALUE"""),193.0)</f>
        <v>193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IFERROR(__xludf.DUMMYFUNCTION("""COMPUTED_VALUE"""),193.3)</f>
        <v>193.3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IFERROR(__xludf.DUMMYFUNCTION("""COMPUTED_VALUE"""),189.94)</f>
        <v>189.94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IFERROR(__xludf.DUMMYFUNCTION("""COMPUTED_VALUE"""),197.5)</f>
        <v>197.5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IFERROR(__xludf.DUMMYFUNCTION("""COMPUTED_VALUE"""),224.25)</f>
        <v>224.25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IFERROR(__xludf.DUMMYFUNCTION("""COMPUTED_VALUE"""),227.8)</f>
        <v>227.8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IFERROR(__xludf.DUMMYFUNCTION("""COMPUTED_VALUE"""),236.26)</f>
        <v>236.26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IFERROR(__xludf.DUMMYFUNCTION("""COMPUTED_VALUE"""),234.05)</f>
        <v>234.05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IFERROR(__xludf.DUMMYFUNCTION("""COMPUTED_VALUE"""),228.5)</f>
        <v>228.5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IFERROR(__xludf.DUMMYFUNCTION("""COMPUTED_VALUE"""),226.8)</f>
        <v>226.8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IFERROR(__xludf.DUMMYFUNCTION("""COMPUTED_VALUE"""),220.45)</f>
        <v>220.45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IFERROR(__xludf.DUMMYFUNCTION("""COMPUTED_VALUE"""),226.94)</f>
        <v>226.94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IFERROR(__xludf.DUMMYFUNCTION("""COMPUTED_VALUE"""),219.49)</f>
        <v>219.49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IFERROR(__xludf.DUMMYFUNCTION("""COMPUTED_VALUE"""),212.4)</f>
        <v>212.4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IFERROR(__xludf.DUMMYFUNCTION("""COMPUTED_VALUE"""),218.7)</f>
        <v>218.7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IFERROR(__xludf.DUMMYFUNCTION("""COMPUTED_VALUE"""),233.96)</f>
        <v>233.96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IFERROR(__xludf.DUMMYFUNCTION("""COMPUTED_VALUE"""),233.86)</f>
        <v>233.86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IFERROR(__xludf.DUMMYFUNCTION("""COMPUTED_VALUE"""),240.81)</f>
        <v>240.81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IFERROR(__xludf.DUMMYFUNCTION("""COMPUTED_VALUE"""),239.75)</f>
        <v>239.75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IFERROR(__xludf.DUMMYFUNCTION("GOOGLEFINANCE(""NSE:SBIN"",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IFERROR(__xludf.DUMMYFUNCTION("""COMPUTED_VALUE"""),249.3)</f>
        <v>249.3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IFERROR(__xludf.DUMMYFUNCTION("""COMPUTED_VALUE"""),255.17)</f>
        <v>255.17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IFERROR(__xludf.DUMMYFUNCTION("""COMPUTED_VALUE"""),252.0)</f>
        <v>252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IFERROR(__xludf.DUMMYFUNCTION("""COMPUTED_VALUE"""),252.48)</f>
        <v>252.48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IFERROR(__xludf.DUMMYFUNCTION("""COMPUTED_VALUE"""),253.5)</f>
        <v>253.5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IFERROR(__xludf.DUMMYFUNCTION("""COMPUTED_VALUE"""),242.93)</f>
        <v>242.93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IFERROR(__xludf.DUMMYFUNCTION("""COMPUTED_VALUE"""),232.33)</f>
        <v>232.33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IFERROR(__xludf.DUMMYFUNCTION("""COMPUTED_VALUE"""),228.71)</f>
        <v>228.71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IFERROR(__xludf.DUMMYFUNCTION("""COMPUTED_VALUE"""),223.9)</f>
        <v>223.9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IFERROR(__xludf.DUMMYFUNCTION("""COMPUTED_VALUE"""),221.9)</f>
        <v>221.9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IFERROR(__xludf.DUMMYFUNCTION("""COMPUTED_VALUE"""),227.38)</f>
        <v>227.38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IFERROR(__xludf.DUMMYFUNCTION("""COMPUTED_VALUE"""),226.97)</f>
        <v>226.97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IFERROR(__xludf.DUMMYFUNCTION("""COMPUTED_VALUE"""),212.51)</f>
        <v>212.51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IFERROR(__xludf.DUMMYFUNCTION("""COMPUTED_VALUE"""),215.7)</f>
        <v>215.7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IFERROR(__xludf.DUMMYFUNCTION("""COMPUTED_VALUE"""),209.7)</f>
        <v>209.7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IFERROR(__xludf.DUMMYFUNCTION("""COMPUTED_VALUE"""),231.26)</f>
        <v>231.26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IFERROR(__xludf.DUMMYFUNCTION("""COMPUTED_VALUE"""),236.0)</f>
        <v>236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IFERROR(__xludf.DUMMYFUNCTION("""COMPUTED_VALUE"""),232.69)</f>
        <v>232.69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IFERROR(__xludf.DUMMYFUNCTION("""COMPUTED_VALUE"""),243.91)</f>
        <v>243.91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IFERROR(__xludf.DUMMYFUNCTION("""COMPUTED_VALUE"""),247.2)</f>
        <v>247.2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IFERROR(__xludf.DUMMYFUNCTION("""COMPUTED_VALUE"""),218.33)</f>
        <v>218.33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IFERROR(__xludf.DUMMYFUNCTION("""COMPUTED_VALUE"""),208.4)</f>
        <v>208.4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IFERROR(__xludf.DUMMYFUNCTION("""COMPUTED_VALUE"""),205.9)</f>
        <v>205.9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IFERROR(__xludf.DUMMYFUNCTION("""COMPUTED_VALUE"""),207.5)</f>
        <v>207.5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IFERROR(__xludf.DUMMYFUNCTION("""COMPUTED_VALUE"""),198.71)</f>
        <v>198.71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IFERROR(__xludf.DUMMYFUNCTION("""COMPUTED_VALUE"""),202.9)</f>
        <v>202.9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IFERROR(__xludf.DUMMYFUNCTION("""COMPUTED_VALUE"""),192.8)</f>
        <v>192.8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IFERROR(__xludf.DUMMYFUNCTION("""COMPUTED_VALUE"""),191.72)</f>
        <v>191.72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IFERROR(__xludf.DUMMYFUNCTION("""COMPUTED_VALUE"""),186.98)</f>
        <v>186.98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IFERROR(__xludf.DUMMYFUNCTION("""COMPUTED_VALUE"""),177.4)</f>
        <v>177.4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IFERROR(__xludf.DUMMYFUNCTION("""COMPUTED_VALUE"""),172.9)</f>
        <v>172.9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IFERROR(__xludf.DUMMYFUNCTION("""COMPUTED_VALUE"""),166.97)</f>
        <v>166.97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IFERROR(__xludf.DUMMYFUNCTION("""COMPUTED_VALUE"""),165.09)</f>
        <v>165.09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IFERROR(__xludf.DUMMYFUNCTION("""COMPUTED_VALUE"""),158.49)</f>
        <v>158.49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IFERROR(__xludf.DUMMYFUNCTION("""COMPUTED_VALUE"""),164.8)</f>
        <v>164.8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IFERROR(__xludf.DUMMYFUNCTION("""COMPUTED_VALUE"""),170.77)</f>
        <v>170.77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IFERROR(__xludf.DUMMYFUNCTION("""COMPUTED_VALUE"""),184.45)</f>
        <v>184.45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IFERROR(__xludf.DUMMYFUNCTION("""COMPUTED_VALUE"""),171.4)</f>
        <v>171.4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IFERROR(__xludf.DUMMYFUNCTION("""COMPUTED_VALUE"""),167.8)</f>
        <v>167.8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IFERROR(__xludf.DUMMYFUNCTION("""COMPUTED_VALUE"""),167.95)</f>
        <v>167.95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IFERROR(__xludf.DUMMYFUNCTION("""COMPUTED_VALUE"""),169.35)</f>
        <v>169.35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IFERROR(__xludf.DUMMYFUNCTION("""COMPUTED_VALUE"""),174.49)</f>
        <v>174.49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IFERROR(__xludf.DUMMYFUNCTION("""COMPUTED_VALUE"""),189.0)</f>
        <v>189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IFERROR(__xludf.DUMMYFUNCTION("""COMPUTED_VALUE"""),190.79)</f>
        <v>190.79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IFERROR(__xludf.DUMMYFUNCTION("""COMPUTED_VALUE"""),175.3)</f>
        <v>175.3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IFERROR(__xludf.DUMMYFUNCTION("""COMPUTED_VALUE"""),183.47)</f>
        <v>183.47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IFERROR(__xludf.DUMMYFUNCTION("""COMPUTED_VALUE"""),182.7)</f>
        <v>182.7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IFERROR(__xludf.DUMMYFUNCTION("""COMPUTED_VALUE"""),188.27)</f>
        <v>188.27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IFERROR(__xludf.DUMMYFUNCTION("""COMPUTED_VALUE"""),192.4)</f>
        <v>192.4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IFERROR(__xludf.DUMMYFUNCTION("""COMPUTED_VALUE"""),177.89)</f>
        <v>177.89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IFERROR(__xludf.DUMMYFUNCTION("""COMPUTED_VALUE"""),178.14)</f>
        <v>178.14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IFERROR(__xludf.DUMMYFUNCTION("GOOGLEFINANCE(""NSE:SBIN"",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IFERROR(__xludf.DUMMYFUNCTION("""COMPUTED_VALUE"""),180.6)</f>
        <v>180.6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IFERROR(__xludf.DUMMYFUNCTION("""COMPUTED_VALUE"""),172.4)</f>
        <v>172.4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IFERROR(__xludf.DUMMYFUNCTION("""COMPUTED_VALUE"""),165.8)</f>
        <v>165.8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IFERROR(__xludf.DUMMYFUNCTION("""COMPUTED_VALUE"""),167.27)</f>
        <v>167.27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IFERROR(__xludf.DUMMYFUNCTION("""COMPUTED_VALUE"""),162.8)</f>
        <v>162.8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IFERROR(__xludf.DUMMYFUNCTION("""COMPUTED_VALUE"""),153.79)</f>
        <v>153.79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IFERROR(__xludf.DUMMYFUNCTION("""COMPUTED_VALUE"""),154.0)</f>
        <v>154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IFERROR(__xludf.DUMMYFUNCTION("""COMPUTED_VALUE"""),150.98)</f>
        <v>150.98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IFERROR(__xludf.DUMMYFUNCTION("""COMPUTED_VALUE"""),153.94)</f>
        <v>153.94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IFERROR(__xludf.DUMMYFUNCTION("""COMPUTED_VALUE"""),166.45)</f>
        <v>166.45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IFERROR(__xludf.DUMMYFUNCTION("""COMPUTED_VALUE"""),172.21)</f>
        <v>172.21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IFERROR(__xludf.DUMMYFUNCTION("""COMPUTED_VALUE"""),191.6)</f>
        <v>191.6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IFERROR(__xludf.DUMMYFUNCTION("""COMPUTED_VALUE"""),194.0)</f>
        <v>194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IFERROR(__xludf.DUMMYFUNCTION("""COMPUTED_VALUE"""),204.0)</f>
        <v>204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IFERROR(__xludf.DUMMYFUNCTION("""COMPUTED_VALUE"""),202.2)</f>
        <v>202.2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IFERROR(__xludf.DUMMYFUNCTION("""COMPUTED_VALUE"""),211.16)</f>
        <v>211.16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IFERROR(__xludf.DUMMYFUNCTION("""COMPUTED_VALUE"""),212.49)</f>
        <v>212.49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IFERROR(__xludf.DUMMYFUNCTION("""COMPUTED_VALUE"""),218.52)</f>
        <v>218.52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IFERROR(__xludf.DUMMYFUNCTION("""COMPUTED_VALUE"""),250.7)</f>
        <v>250.7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IFERROR(__xludf.DUMMYFUNCTION("""COMPUTED_VALUE"""),277.7)</f>
        <v>277.7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IFERROR(__xludf.DUMMYFUNCTION("""COMPUTED_VALUE"""),283.49)</f>
        <v>283.49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IFERROR(__xludf.DUMMYFUNCTION("""COMPUTED_VALUE"""),275.47)</f>
        <v>275.47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IFERROR(__xludf.DUMMYFUNCTION("""COMPUTED_VALUE"""),276.15)</f>
        <v>276.15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IFERROR(__xludf.DUMMYFUNCTION("""COMPUTED_VALUE"""),268.43)</f>
        <v>268.43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IFERROR(__xludf.DUMMYFUNCTION("""COMPUTED_VALUE"""),271.76)</f>
        <v>271.76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IFERROR(__xludf.DUMMYFUNCTION("""COMPUTED_VALUE"""),272.9)</f>
        <v>272.9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IFERROR(__xludf.DUMMYFUNCTION("""COMPUTED_VALUE"""),271.38)</f>
        <v>271.38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IFERROR(__xludf.DUMMYFUNCTION("""COMPUTED_VALUE"""),262.29)</f>
        <v>262.29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IFERROR(__xludf.DUMMYFUNCTION("""COMPUTED_VALUE"""),258.2)</f>
        <v>258.2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IFERROR(__xludf.DUMMYFUNCTION("""COMPUTED_VALUE"""),253.2)</f>
        <v>253.2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IFERROR(__xludf.DUMMYFUNCTION("""COMPUTED_VALUE"""),248.4)</f>
        <v>248.4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IFERROR(__xludf.DUMMYFUNCTION("""COMPUTED_VALUE"""),244.0)</f>
        <v>244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IFERROR(__xludf.DUMMYFUNCTION("""COMPUTED_VALUE"""),254.9)</f>
        <v>254.9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IFERROR(__xludf.DUMMYFUNCTION("""COMPUTED_VALUE"""),257.74)</f>
        <v>257.74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IFERROR(__xludf.DUMMYFUNCTION("""COMPUTED_VALUE"""),253.4)</f>
        <v>253.4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IFERROR(__xludf.DUMMYFUNCTION("""COMPUTED_VALUE"""),264.1)</f>
        <v>264.1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IFERROR(__xludf.DUMMYFUNCTION("""COMPUTED_VALUE"""),264.4)</f>
        <v>264.4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IFERROR(__xludf.DUMMYFUNCTION("""COMPUTED_VALUE"""),262.5)</f>
        <v>262.5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IFERROR(__xludf.DUMMYFUNCTION("""COMPUTED_VALUE"""),247.8)</f>
        <v>247.8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IFERROR(__xludf.DUMMYFUNCTION("""COMPUTED_VALUE"""),249.85)</f>
        <v>249.85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IFERROR(__xludf.DUMMYFUNCTION("""COMPUTED_VALUE"""),255.48)</f>
        <v>255.48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IFERROR(__xludf.DUMMYFUNCTION("""COMPUTED_VALUE"""),261.36)</f>
        <v>261.36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IFERROR(__xludf.DUMMYFUNCTION("""COMPUTED_VALUE"""),270.98)</f>
        <v>270.98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IFERROR(__xludf.DUMMYFUNCTION("""COMPUTED_VALUE"""),279.98)</f>
        <v>279.98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IFERROR(__xludf.DUMMYFUNCTION("""COMPUTED_VALUE"""),280.69)</f>
        <v>280.69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IFERROR(__xludf.DUMMYFUNCTION("""COMPUTED_VALUE"""),307.0)</f>
        <v>307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IFERROR(__xludf.DUMMYFUNCTION("""COMPUTED_VALUE"""),322.5)</f>
        <v>322.5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IFERROR(__xludf.DUMMYFUNCTION("""COMPUTED_VALUE"""),326.95)</f>
        <v>326.95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IFERROR(__xludf.DUMMYFUNCTION("""COMPUTED_VALUE"""),318.6)</f>
        <v>318.6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IFERROR(__xludf.DUMMYFUNCTION("""COMPUTED_VALUE"""),316.0)</f>
        <v>316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IFERROR(__xludf.DUMMYFUNCTION("""COMPUTED_VALUE"""),312.5)</f>
        <v>312.5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IFERROR(__xludf.DUMMYFUNCTION("GOOGLEFINANCE(""NSE:SBIN"",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IFERROR(__xludf.DUMMYFUNCTION("""COMPUTED_VALUE"""),318.3)</f>
        <v>318.3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IFERROR(__xludf.DUMMYFUNCTION("""COMPUTED_VALUE"""),316.8)</f>
        <v>316.8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IFERROR(__xludf.DUMMYFUNCTION("""COMPUTED_VALUE"""),323.7)</f>
        <v>323.7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IFERROR(__xludf.DUMMYFUNCTION("""COMPUTED_VALUE"""),332.55)</f>
        <v>332.55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IFERROR(__xludf.DUMMYFUNCTION("""COMPUTED_VALUE"""),336.0)</f>
        <v>336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IFERROR(__xludf.DUMMYFUNCTION("""COMPUTED_VALUE"""),312.0)</f>
        <v>312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IFERROR(__xludf.DUMMYFUNCTION("""COMPUTED_VALUE"""),307.95)</f>
        <v>307.95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IFERROR(__xludf.DUMMYFUNCTION("""COMPUTED_VALUE"""),313.15)</f>
        <v>313.15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IFERROR(__xludf.DUMMYFUNCTION("""COMPUTED_VALUE"""),315.0)</f>
        <v>315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IFERROR(__xludf.DUMMYFUNCTION("""COMPUTED_VALUE"""),294.0)</f>
        <v>294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IFERROR(__xludf.DUMMYFUNCTION("""COMPUTED_VALUE"""),290.3)</f>
        <v>290.3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IFERROR(__xludf.DUMMYFUNCTION("""COMPUTED_VALUE"""),280.0)</f>
        <v>280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IFERROR(__xludf.DUMMYFUNCTION("""COMPUTED_VALUE"""),274.65)</f>
        <v>274.65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IFERROR(__xludf.DUMMYFUNCTION("""COMPUTED_VALUE"""),287.35)</f>
        <v>287.35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IFERROR(__xludf.DUMMYFUNCTION("""COMPUTED_VALUE"""),294.9)</f>
        <v>294.9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IFERROR(__xludf.DUMMYFUNCTION("""COMPUTED_VALUE"""),293.35)</f>
        <v>293.35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IFERROR(__xludf.DUMMYFUNCTION("""COMPUTED_VALUE"""),276.55)</f>
        <v>276.55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IFERROR(__xludf.DUMMYFUNCTION("""COMPUTED_VALUE"""),278.0)</f>
        <v>278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IFERROR(__xludf.DUMMYFUNCTION("""COMPUTED_VALUE"""),288.35)</f>
        <v>288.35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IFERROR(__xludf.DUMMYFUNCTION("""COMPUTED_VALUE"""),305.0)</f>
        <v>305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IFERROR(__xludf.DUMMYFUNCTION("""COMPUTED_VALUE"""),284.3)</f>
        <v>284.3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IFERROR(__xludf.DUMMYFUNCTION("""COMPUTED_VALUE"""),282.0)</f>
        <v>282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IFERROR(__xludf.DUMMYFUNCTION("""COMPUTED_VALUE"""),262.95)</f>
        <v>262.95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IFERROR(__xludf.DUMMYFUNCTION("""COMPUTED_VALUE"""),263.1)</f>
        <v>263.1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IFERROR(__xludf.DUMMYFUNCTION("""COMPUTED_VALUE"""),271.2)</f>
        <v>271.2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IFERROR(__xludf.DUMMYFUNCTION("""COMPUTED_VALUE"""),271.25)</f>
        <v>271.25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IFERROR(__xludf.DUMMYFUNCTION("""COMPUTED_VALUE"""),274.65)</f>
        <v>274.65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IFERROR(__xludf.DUMMYFUNCTION("""COMPUTED_VALUE"""),274.35)</f>
        <v>274.35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IFERROR(__xludf.DUMMYFUNCTION("""COMPUTED_VALUE"""),272.0)</f>
        <v>272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IFERROR(__xludf.DUMMYFUNCTION("""COMPUTED_VALUE"""),273.75)</f>
        <v>273.75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IFERROR(__xludf.DUMMYFUNCTION("""COMPUTED_VALUE"""),291.8)</f>
        <v>291.8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IFERROR(__xludf.DUMMYFUNCTION("""COMPUTED_VALUE"""),289.45)</f>
        <v>289.45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IFERROR(__xludf.DUMMYFUNCTION("""COMPUTED_VALUE"""),288.0)</f>
        <v>288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IFERROR(__xludf.DUMMYFUNCTION("""COMPUTED_VALUE"""),257.7)</f>
        <v>257.7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IFERROR(__xludf.DUMMYFUNCTION("""COMPUTED_VALUE"""),251.35)</f>
        <v>251.35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IFERROR(__xludf.DUMMYFUNCTION("""COMPUTED_VALUE"""),234.5)</f>
        <v>234.5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IFERROR(__xludf.DUMMYFUNCTION("""COMPUTED_VALUE"""),246.45)</f>
        <v>246.45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IFERROR(__xludf.DUMMYFUNCTION("""COMPUTED_VALUE"""),248.45)</f>
        <v>248.45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IFERROR(__xludf.DUMMYFUNCTION("""COMPUTED_VALUE"""),245.4)</f>
        <v>245.4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IFERROR(__xludf.DUMMYFUNCTION("""COMPUTED_VALUE"""),247.8)</f>
        <v>247.8</v>
      </c>
    </row>
    <row r="757" ht="15.75" customHeight="1">
      <c r="B757" s="3">
        <f>IFERROR(__xludf.DUMMYFUNCTION("""COMPUTED_VALUE"""),42293.64583333333)</f>
        <v>42293.64583</v>
      </c>
      <c r="C757" s="2">
        <f>IFERROR(__xludf.DUMMYFUNCTION("""COMPUTED_VALUE"""),257.15)</f>
        <v>257.15</v>
      </c>
    </row>
    <row r="758" ht="15.75" customHeight="1">
      <c r="B758" s="3">
        <f>IFERROR(__xludf.DUMMYFUNCTION("""COMPUTED_VALUE"""),42300.64583333333)</f>
        <v>42300.64583</v>
      </c>
      <c r="C758" s="2">
        <f>IFERROR(__xludf.DUMMYFUNCTION("""COMPUTED_VALUE"""),257.1)</f>
        <v>257.1</v>
      </c>
    </row>
    <row r="759" ht="15.75" customHeight="1">
      <c r="B759" s="3">
        <f>IFERROR(__xludf.DUMMYFUNCTION("""COMPUTED_VALUE"""),42307.64583333333)</f>
        <v>42307.64583</v>
      </c>
      <c r="C759" s="2">
        <f>IFERROR(__xludf.DUMMYFUNCTION("""COMPUTED_VALUE"""),256.0)</f>
        <v>256</v>
      </c>
    </row>
    <row r="760" ht="15.75" customHeight="1">
      <c r="B760" s="3">
        <f>IFERROR(__xludf.DUMMYFUNCTION("""COMPUTED_VALUE"""),42314.64583333333)</f>
        <v>42314.64583</v>
      </c>
      <c r="C760" s="2">
        <f>IFERROR(__xludf.DUMMYFUNCTION("""COMPUTED_VALUE"""),244.8)</f>
        <v>244.8</v>
      </c>
    </row>
    <row r="761" ht="15.75" customHeight="1">
      <c r="B761" s="3">
        <f>IFERROR(__xludf.DUMMYFUNCTION("""COMPUTED_VALUE"""),42321.64583333333)</f>
        <v>42321.64583</v>
      </c>
      <c r="C761" s="2">
        <f>IFERROR(__xludf.DUMMYFUNCTION("""COMPUTED_VALUE"""),248.3)</f>
        <v>248.3</v>
      </c>
    </row>
    <row r="762" ht="15.75" customHeight="1">
      <c r="B762" s="3">
        <f>IFERROR(__xludf.DUMMYFUNCTION("""COMPUTED_VALUE"""),42328.64583333333)</f>
        <v>42328.64583</v>
      </c>
      <c r="C762" s="2">
        <f>IFERROR(__xludf.DUMMYFUNCTION("""COMPUTED_VALUE"""),251.65)</f>
        <v>251.65</v>
      </c>
    </row>
    <row r="763" ht="15.75" customHeight="1">
      <c r="B763" s="3">
        <f>IFERROR(__xludf.DUMMYFUNCTION("""COMPUTED_VALUE"""),42335.64583333333)</f>
        <v>42335.64583</v>
      </c>
      <c r="C763" s="2">
        <f>IFERROR(__xludf.DUMMYFUNCTION("""COMPUTED_VALUE"""),250.5)</f>
        <v>250.5</v>
      </c>
    </row>
    <row r="764" ht="15.75" customHeight="1">
      <c r="B764" s="3">
        <f>IFERROR(__xludf.DUMMYFUNCTION("""COMPUTED_VALUE"""),42342.64583333333)</f>
        <v>42342.64583</v>
      </c>
      <c r="C764" s="2">
        <f>IFERROR(__xludf.DUMMYFUNCTION("""COMPUTED_VALUE"""),253.0)</f>
        <v>253</v>
      </c>
    </row>
    <row r="765" ht="15.75" customHeight="1">
      <c r="B765" s="3">
        <f>IFERROR(__xludf.DUMMYFUNCTION("""COMPUTED_VALUE"""),42349.64583333333)</f>
        <v>42349.64583</v>
      </c>
      <c r="C765" s="2">
        <f>IFERROR(__xludf.DUMMYFUNCTION("""COMPUTED_VALUE"""),242.95)</f>
        <v>242.95</v>
      </c>
    </row>
    <row r="766" ht="15.75" customHeight="1">
      <c r="B766" s="3">
        <f>IFERROR(__xludf.DUMMYFUNCTION("""COMPUTED_VALUE"""),42356.64583333333)</f>
        <v>42356.64583</v>
      </c>
      <c r="C766" s="2">
        <f>IFERROR(__xludf.DUMMYFUNCTION("""COMPUTED_VALUE"""),232.4)</f>
        <v>232.4</v>
      </c>
    </row>
    <row r="767" ht="15.75" customHeight="1">
      <c r="B767" s="3">
        <f>IFERROR(__xludf.DUMMYFUNCTION("""COMPUTED_VALUE"""),42362.64583333333)</f>
        <v>42362.64583</v>
      </c>
      <c r="C767" s="2">
        <f>IFERROR(__xludf.DUMMYFUNCTION("""COMPUTED_VALUE"""),232.25)</f>
        <v>232.25</v>
      </c>
    </row>
    <row r="768" ht="15.75" customHeight="1">
      <c r="B768" s="3">
        <f>IFERROR(__xludf.DUMMYFUNCTION("""COMPUTED_VALUE"""),42370.64583333333)</f>
        <v>42370.64583</v>
      </c>
      <c r="C768" s="2">
        <f>IFERROR(__xludf.DUMMYFUNCTION("""COMPUTED_VALUE"""),229.95)</f>
        <v>229.95</v>
      </c>
    </row>
    <row r="769" ht="15.75" customHeight="1"/>
    <row r="770" ht="15.75" customHeight="1"/>
    <row r="771" ht="15.75" customHeight="1">
      <c r="B771" s="2" t="str">
        <f>IFERROR(__xludf.DUMMYFUNCTION("GOOGLEFINANCE(""NSE:SBIN"",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IFERROR(__xludf.DUMMYFUNCTION("""COMPUTED_VALUE"""),226.95)</f>
        <v>226.95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IFERROR(__xludf.DUMMYFUNCTION("""COMPUTED_VALUE"""),207.5)</f>
        <v>207.5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IFERROR(__xludf.DUMMYFUNCTION("""COMPUTED_VALUE"""),188.15)</f>
        <v>188.15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IFERROR(__xludf.DUMMYFUNCTION("""COMPUTED_VALUE"""),188.8)</f>
        <v>188.8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IFERROR(__xludf.DUMMYFUNCTION("""COMPUTED_VALUE"""),181.95)</f>
        <v>181.95</v>
      </c>
    </row>
    <row r="777" ht="15.75" customHeight="1">
      <c r="B777" s="3">
        <f>IFERROR(__xludf.DUMMYFUNCTION("""COMPUTED_VALUE"""),42412.64583333333)</f>
        <v>42412.64583</v>
      </c>
      <c r="C777" s="2">
        <f>IFERROR(__xludf.DUMMYFUNCTION("""COMPUTED_VALUE"""),176.9)</f>
        <v>176.9</v>
      </c>
    </row>
    <row r="778" ht="15.75" customHeight="1">
      <c r="B778" s="3">
        <f>IFERROR(__xludf.DUMMYFUNCTION("""COMPUTED_VALUE"""),42419.64583333333)</f>
        <v>42419.64583</v>
      </c>
      <c r="C778" s="2">
        <f>IFERROR(__xludf.DUMMYFUNCTION("""COMPUTED_VALUE"""),170.75)</f>
        <v>170.75</v>
      </c>
    </row>
    <row r="779" ht="15.75" customHeight="1">
      <c r="B779" s="3">
        <f>IFERROR(__xludf.DUMMYFUNCTION("""COMPUTED_VALUE"""),42426.64583333333)</f>
        <v>42426.64583</v>
      </c>
      <c r="C779" s="2">
        <f>IFERROR(__xludf.DUMMYFUNCTION("""COMPUTED_VALUE"""),166.8)</f>
        <v>166.8</v>
      </c>
    </row>
    <row r="780" ht="15.75" customHeight="1">
      <c r="B780" s="3">
        <f>IFERROR(__xludf.DUMMYFUNCTION("""COMPUTED_VALUE"""),42433.64583333333)</f>
        <v>42433.64583</v>
      </c>
      <c r="C780" s="2">
        <f>IFERROR(__xludf.DUMMYFUNCTION("""COMPUTED_VALUE"""),189.85)</f>
        <v>189.85</v>
      </c>
    </row>
    <row r="781" ht="15.75" customHeight="1">
      <c r="B781" s="3">
        <f>IFERROR(__xludf.DUMMYFUNCTION("""COMPUTED_VALUE"""),42440.64583333333)</f>
        <v>42440.64583</v>
      </c>
      <c r="C781" s="2">
        <f>IFERROR(__xludf.DUMMYFUNCTION("""COMPUTED_VALUE"""),186.95)</f>
        <v>186.95</v>
      </c>
    </row>
    <row r="782" ht="15.75" customHeight="1">
      <c r="B782" s="3">
        <f>IFERROR(__xludf.DUMMYFUNCTION("""COMPUTED_VALUE"""),42447.64583333333)</f>
        <v>42447.64583</v>
      </c>
      <c r="C782" s="2">
        <f>IFERROR(__xludf.DUMMYFUNCTION("""COMPUTED_VALUE"""),192.0)</f>
        <v>192</v>
      </c>
    </row>
    <row r="783" ht="15.75" customHeight="1">
      <c r="B783" s="3">
        <f>IFERROR(__xludf.DUMMYFUNCTION("""COMPUTED_VALUE"""),42452.64583333333)</f>
        <v>42452.64583</v>
      </c>
      <c r="C783" s="2">
        <f>IFERROR(__xludf.DUMMYFUNCTION("""COMPUTED_VALUE"""),198.25)</f>
        <v>198.25</v>
      </c>
    </row>
    <row r="784" ht="15.75" customHeight="1">
      <c r="B784" s="3">
        <f>IFERROR(__xludf.DUMMYFUNCTION("""COMPUTED_VALUE"""),42461.64583333333)</f>
        <v>42461.64583</v>
      </c>
      <c r="C784" s="2">
        <f>IFERROR(__xludf.DUMMYFUNCTION("""COMPUTED_VALUE"""),198.75)</f>
        <v>198.75</v>
      </c>
    </row>
    <row r="785" ht="15.75" customHeight="1">
      <c r="B785" s="3">
        <f>IFERROR(__xludf.DUMMYFUNCTION("""COMPUTED_VALUE"""),42468.64583333333)</f>
        <v>42468.64583</v>
      </c>
      <c r="C785" s="2">
        <f>IFERROR(__xludf.DUMMYFUNCTION("""COMPUTED_VALUE"""),197.45)</f>
        <v>197.45</v>
      </c>
    </row>
    <row r="786" ht="15.75" customHeight="1">
      <c r="B786" s="3">
        <f>IFERROR(__xludf.DUMMYFUNCTION("""COMPUTED_VALUE"""),42473.64583333333)</f>
        <v>42473.64583</v>
      </c>
      <c r="C786" s="2">
        <f>IFERROR(__xludf.DUMMYFUNCTION("""COMPUTED_VALUE"""),193.8)</f>
        <v>193.8</v>
      </c>
    </row>
    <row r="787" ht="15.75" customHeight="1">
      <c r="B787" s="3">
        <f>IFERROR(__xludf.DUMMYFUNCTION("""COMPUTED_VALUE"""),42482.64583333333)</f>
        <v>42482.64583</v>
      </c>
      <c r="C787" s="2">
        <f>IFERROR(__xludf.DUMMYFUNCTION("""COMPUTED_VALUE"""),201.5)</f>
        <v>201.5</v>
      </c>
    </row>
    <row r="788" ht="15.75" customHeight="1">
      <c r="B788" s="3">
        <f>IFERROR(__xludf.DUMMYFUNCTION("""COMPUTED_VALUE"""),42489.64583333333)</f>
        <v>42489.64583</v>
      </c>
      <c r="C788" s="2">
        <f>IFERROR(__xludf.DUMMYFUNCTION("""COMPUTED_VALUE"""),202.55)</f>
        <v>202.55</v>
      </c>
    </row>
    <row r="789" ht="15.75" customHeight="1">
      <c r="B789" s="3">
        <f>IFERROR(__xludf.DUMMYFUNCTION("""COMPUTED_VALUE"""),42496.64583333333)</f>
        <v>42496.64583</v>
      </c>
      <c r="C789" s="2">
        <f>IFERROR(__xludf.DUMMYFUNCTION("""COMPUTED_VALUE"""),189.35)</f>
        <v>189.35</v>
      </c>
    </row>
    <row r="790" ht="15.75" customHeight="1">
      <c r="B790" s="3">
        <f>IFERROR(__xludf.DUMMYFUNCTION("""COMPUTED_VALUE"""),42503.64583333333)</f>
        <v>42503.64583</v>
      </c>
      <c r="C790" s="2">
        <f>IFERROR(__xludf.DUMMYFUNCTION("""COMPUTED_VALUE"""),190.3)</f>
        <v>190.3</v>
      </c>
    </row>
    <row r="791" ht="15.75" customHeight="1">
      <c r="B791" s="3">
        <f>IFERROR(__xludf.DUMMYFUNCTION("""COMPUTED_VALUE"""),42510.64583333333)</f>
        <v>42510.64583</v>
      </c>
      <c r="C791" s="2">
        <f>IFERROR(__xludf.DUMMYFUNCTION("""COMPUTED_VALUE"""),185.0)</f>
        <v>185</v>
      </c>
    </row>
    <row r="792" ht="15.75" customHeight="1">
      <c r="B792" s="3">
        <f>IFERROR(__xludf.DUMMYFUNCTION("""COMPUTED_VALUE"""),42517.64583333333)</f>
        <v>42517.64583</v>
      </c>
      <c r="C792" s="2">
        <f>IFERROR(__xludf.DUMMYFUNCTION("""COMPUTED_VALUE"""),202.4)</f>
        <v>202.4</v>
      </c>
    </row>
    <row r="793" ht="15.75" customHeight="1">
      <c r="B793" s="3">
        <f>IFERROR(__xludf.DUMMYFUNCTION("""COMPUTED_VALUE"""),42524.64583333333)</f>
        <v>42524.64583</v>
      </c>
      <c r="C793" s="2">
        <f>IFERROR(__xludf.DUMMYFUNCTION("""COMPUTED_VALUE"""),208.3)</f>
        <v>208.3</v>
      </c>
    </row>
    <row r="794" ht="15.75" customHeight="1">
      <c r="B794" s="3">
        <f>IFERROR(__xludf.DUMMYFUNCTION("""COMPUTED_VALUE"""),42531.64583333333)</f>
        <v>42531.64583</v>
      </c>
      <c r="C794" s="2">
        <f>IFERROR(__xludf.DUMMYFUNCTION("""COMPUTED_VALUE"""),212.8)</f>
        <v>212.8</v>
      </c>
    </row>
    <row r="795" ht="15.75" customHeight="1">
      <c r="B795" s="3">
        <f>IFERROR(__xludf.DUMMYFUNCTION("""COMPUTED_VALUE"""),42538.64583333333)</f>
        <v>42538.64583</v>
      </c>
      <c r="C795" s="2">
        <f>IFERROR(__xludf.DUMMYFUNCTION("""COMPUTED_VALUE"""),218.5)</f>
        <v>218.5</v>
      </c>
    </row>
    <row r="796" ht="15.75" customHeight="1">
      <c r="B796" s="3">
        <f>IFERROR(__xludf.DUMMYFUNCTION("""COMPUTED_VALUE"""),42545.64583333333)</f>
        <v>42545.64583</v>
      </c>
      <c r="C796" s="2">
        <f>IFERROR(__xludf.DUMMYFUNCTION("""COMPUTED_VALUE"""),218.0)</f>
        <v>218</v>
      </c>
    </row>
    <row r="797" ht="15.75" customHeight="1">
      <c r="B797" s="3">
        <f>IFERROR(__xludf.DUMMYFUNCTION("""COMPUTED_VALUE"""),42552.64583333333)</f>
        <v>42552.64583</v>
      </c>
      <c r="C797" s="2">
        <f>IFERROR(__xludf.DUMMYFUNCTION("""COMPUTED_VALUE"""),221.9)</f>
        <v>221.9</v>
      </c>
    </row>
    <row r="798" ht="15.75" customHeight="1">
      <c r="B798" s="3">
        <f>IFERROR(__xludf.DUMMYFUNCTION("""COMPUTED_VALUE"""),42559.64583333333)</f>
        <v>42559.64583</v>
      </c>
      <c r="C798" s="2">
        <f>IFERROR(__xludf.DUMMYFUNCTION("""COMPUTED_VALUE"""),225.15)</f>
        <v>225.15</v>
      </c>
    </row>
    <row r="799" ht="15.75" customHeight="1">
      <c r="B799" s="3">
        <f>IFERROR(__xludf.DUMMYFUNCTION("""COMPUTED_VALUE"""),42566.64583333333)</f>
        <v>42566.64583</v>
      </c>
      <c r="C799" s="2">
        <f>IFERROR(__xludf.DUMMYFUNCTION("""COMPUTED_VALUE"""),234.4)</f>
        <v>234.4</v>
      </c>
    </row>
    <row r="800" ht="15.75" customHeight="1">
      <c r="B800" s="3">
        <f>IFERROR(__xludf.DUMMYFUNCTION("""COMPUTED_VALUE"""),42573.64583333333)</f>
        <v>42573.64583</v>
      </c>
      <c r="C800" s="2">
        <f>IFERROR(__xludf.DUMMYFUNCTION("""COMPUTED_VALUE"""),233.85)</f>
        <v>233.85</v>
      </c>
    </row>
    <row r="801" ht="15.75" customHeight="1">
      <c r="B801" s="3">
        <f>IFERROR(__xludf.DUMMYFUNCTION("""COMPUTED_VALUE"""),42580.64583333333)</f>
        <v>42580.64583</v>
      </c>
      <c r="C801" s="2">
        <f>IFERROR(__xludf.DUMMYFUNCTION("""COMPUTED_VALUE"""),235.15)</f>
        <v>235.15</v>
      </c>
    </row>
    <row r="802" ht="15.75" customHeight="1">
      <c r="B802" s="3">
        <f>IFERROR(__xludf.DUMMYFUNCTION("""COMPUTED_VALUE"""),42587.64583333333)</f>
        <v>42587.64583</v>
      </c>
      <c r="C802" s="2">
        <f>IFERROR(__xludf.DUMMYFUNCTION("""COMPUTED_VALUE"""),233.9)</f>
        <v>233.9</v>
      </c>
    </row>
    <row r="803" ht="15.75" customHeight="1">
      <c r="B803" s="3">
        <f>IFERROR(__xludf.DUMMYFUNCTION("""COMPUTED_VALUE"""),42594.64583333333)</f>
        <v>42594.64583</v>
      </c>
      <c r="C803" s="2">
        <f>IFERROR(__xludf.DUMMYFUNCTION("""COMPUTED_VALUE"""),247.95)</f>
        <v>247.95</v>
      </c>
    </row>
    <row r="804" ht="15.75" customHeight="1">
      <c r="B804" s="3">
        <f>IFERROR(__xludf.DUMMYFUNCTION("""COMPUTED_VALUE"""),42601.64583333333)</f>
        <v>42601.64583</v>
      </c>
      <c r="C804" s="2">
        <f>IFERROR(__xludf.DUMMYFUNCTION("""COMPUTED_VALUE"""),260.0)</f>
        <v>260</v>
      </c>
    </row>
    <row r="805" ht="15.75" customHeight="1">
      <c r="B805" s="3">
        <f>IFERROR(__xludf.DUMMYFUNCTION("""COMPUTED_VALUE"""),42608.64583333333)</f>
        <v>42608.64583</v>
      </c>
      <c r="C805" s="2">
        <f>IFERROR(__xludf.DUMMYFUNCTION("""COMPUTED_VALUE"""),260.4)</f>
        <v>260.4</v>
      </c>
    </row>
    <row r="806" ht="15.75" customHeight="1">
      <c r="B806" s="3">
        <f>IFERROR(__xludf.DUMMYFUNCTION("""COMPUTED_VALUE"""),42615.64583333333)</f>
        <v>42615.64583</v>
      </c>
      <c r="C806" s="2">
        <f>IFERROR(__xludf.DUMMYFUNCTION("""COMPUTED_VALUE"""),255.8)</f>
        <v>255.8</v>
      </c>
    </row>
    <row r="807" ht="15.75" customHeight="1">
      <c r="B807" s="3">
        <f>IFERROR(__xludf.DUMMYFUNCTION("""COMPUTED_VALUE"""),42622.64583333333)</f>
        <v>42622.64583</v>
      </c>
      <c r="C807" s="2">
        <f>IFERROR(__xludf.DUMMYFUNCTION("""COMPUTED_VALUE"""),271.6)</f>
        <v>271.6</v>
      </c>
    </row>
    <row r="808" ht="15.75" customHeight="1">
      <c r="B808" s="3">
        <f>IFERROR(__xludf.DUMMYFUNCTION("""COMPUTED_VALUE"""),42629.64583333333)</f>
        <v>42629.64583</v>
      </c>
      <c r="C808" s="2">
        <f>IFERROR(__xludf.DUMMYFUNCTION("""COMPUTED_VALUE"""),262.0)</f>
        <v>262</v>
      </c>
    </row>
    <row r="809" ht="15.75" customHeight="1">
      <c r="B809" s="3">
        <f>IFERROR(__xludf.DUMMYFUNCTION("""COMPUTED_VALUE"""),42636.64583333333)</f>
        <v>42636.64583</v>
      </c>
      <c r="C809" s="2">
        <f>IFERROR(__xludf.DUMMYFUNCTION("""COMPUTED_VALUE"""),258.8)</f>
        <v>258.8</v>
      </c>
    </row>
    <row r="810" ht="15.75" customHeight="1">
      <c r="B810" s="3">
        <f>IFERROR(__xludf.DUMMYFUNCTION("""COMPUTED_VALUE"""),42643.64583333333)</f>
        <v>42643.64583</v>
      </c>
      <c r="C810" s="2">
        <f>IFERROR(__xludf.DUMMYFUNCTION("""COMPUTED_VALUE"""),256.75)</f>
        <v>256.75</v>
      </c>
    </row>
    <row r="811" ht="15.75" customHeight="1">
      <c r="B811" s="3">
        <f>IFERROR(__xludf.DUMMYFUNCTION("""COMPUTED_VALUE"""),42650.64583333333)</f>
        <v>42650.64583</v>
      </c>
      <c r="C811" s="2">
        <f>IFERROR(__xludf.DUMMYFUNCTION("""COMPUTED_VALUE"""),264.9)</f>
        <v>264.9</v>
      </c>
    </row>
    <row r="812" ht="15.75" customHeight="1">
      <c r="B812" s="3">
        <f>IFERROR(__xludf.DUMMYFUNCTION("""COMPUTED_VALUE"""),42657.64583333333)</f>
        <v>42657.64583</v>
      </c>
      <c r="C812" s="2">
        <f>IFERROR(__xludf.DUMMYFUNCTION("""COMPUTED_VALUE"""),260.3)</f>
        <v>260.3</v>
      </c>
    </row>
    <row r="813" ht="15.75" customHeight="1">
      <c r="B813" s="3">
        <f>IFERROR(__xludf.DUMMYFUNCTION("""COMPUTED_VALUE"""),42664.64583333333)</f>
        <v>42664.64583</v>
      </c>
      <c r="C813" s="2">
        <f>IFERROR(__xludf.DUMMYFUNCTION("""COMPUTED_VALUE"""),260.9)</f>
        <v>260.9</v>
      </c>
    </row>
    <row r="814" ht="15.75" customHeight="1">
      <c r="B814" s="3">
        <f>IFERROR(__xludf.DUMMYFUNCTION("""COMPUTED_VALUE"""),42671.64583333333)</f>
        <v>42671.64583</v>
      </c>
      <c r="C814" s="2">
        <f>IFERROR(__xludf.DUMMYFUNCTION("""COMPUTED_VALUE"""),264.9)</f>
        <v>264.9</v>
      </c>
    </row>
    <row r="815" ht="15.75" customHeight="1">
      <c r="B815" s="3">
        <f>IFERROR(__xludf.DUMMYFUNCTION("""COMPUTED_VALUE"""),42678.64583333333)</f>
        <v>42678.64583</v>
      </c>
      <c r="C815" s="2">
        <f>IFERROR(__xludf.DUMMYFUNCTION("""COMPUTED_VALUE"""),260.9)</f>
        <v>260.9</v>
      </c>
    </row>
    <row r="816" ht="15.75" customHeight="1">
      <c r="B816" s="3">
        <f>IFERROR(__xludf.DUMMYFUNCTION("""COMPUTED_VALUE"""),42685.64583333333)</f>
        <v>42685.64583</v>
      </c>
      <c r="C816" s="2">
        <f>IFERROR(__xludf.DUMMYFUNCTION("""COMPUTED_VALUE"""),288.8)</f>
        <v>288.8</v>
      </c>
    </row>
    <row r="817" ht="15.75" customHeight="1">
      <c r="B817" s="3">
        <f>IFERROR(__xludf.DUMMYFUNCTION("""COMPUTED_VALUE"""),42692.64583333333)</f>
        <v>42692.64583</v>
      </c>
      <c r="C817" s="2">
        <f>IFERROR(__xludf.DUMMYFUNCTION("""COMPUTED_VALUE"""),284.8)</f>
        <v>284.8</v>
      </c>
    </row>
    <row r="818" ht="15.75" customHeight="1">
      <c r="B818" s="3">
        <f>IFERROR(__xludf.DUMMYFUNCTION("""COMPUTED_VALUE"""),42699.64583333333)</f>
        <v>42699.64583</v>
      </c>
      <c r="C818" s="2">
        <f>IFERROR(__xludf.DUMMYFUNCTION("""COMPUTED_VALUE"""),277.6)</f>
        <v>277.6</v>
      </c>
    </row>
    <row r="819" ht="15.75" customHeight="1">
      <c r="B819" s="3">
        <f>IFERROR(__xludf.DUMMYFUNCTION("""COMPUTED_VALUE"""),42706.64583333333)</f>
        <v>42706.64583</v>
      </c>
      <c r="C819" s="2">
        <f>IFERROR(__xludf.DUMMYFUNCTION("""COMPUTED_VALUE"""),261.4)</f>
        <v>261.4</v>
      </c>
    </row>
    <row r="820" ht="15.75" customHeight="1">
      <c r="B820" s="3">
        <f>IFERROR(__xludf.DUMMYFUNCTION("""COMPUTED_VALUE"""),42713.64583333333)</f>
        <v>42713.64583</v>
      </c>
      <c r="C820" s="2">
        <f>IFERROR(__xludf.DUMMYFUNCTION("""COMPUTED_VALUE"""),267.2)</f>
        <v>267.2</v>
      </c>
    </row>
    <row r="821" ht="15.75" customHeight="1">
      <c r="B821" s="3">
        <f>IFERROR(__xludf.DUMMYFUNCTION("""COMPUTED_VALUE"""),42720.64583333333)</f>
        <v>42720.64583</v>
      </c>
      <c r="C821" s="2">
        <f>IFERROR(__xludf.DUMMYFUNCTION("""COMPUTED_VALUE"""),269.35)</f>
        <v>269.35</v>
      </c>
    </row>
    <row r="822" ht="15.75" customHeight="1">
      <c r="B822" s="3">
        <f>IFERROR(__xludf.DUMMYFUNCTION("""COMPUTED_VALUE"""),42727.64583333333)</f>
        <v>42727.64583</v>
      </c>
      <c r="C822" s="2">
        <f>IFERROR(__xludf.DUMMYFUNCTION("""COMPUTED_VALUE"""),264.5)</f>
        <v>264.5</v>
      </c>
    </row>
    <row r="823" ht="15.75" customHeight="1">
      <c r="B823" s="3">
        <f>IFERROR(__xludf.DUMMYFUNCTION("""COMPUTED_VALUE"""),42734.64583333333)</f>
        <v>42734.64583</v>
      </c>
      <c r="C823" s="2">
        <f>IFERROR(__xludf.DUMMYFUNCTION("""COMPUTED_VALUE"""),252.5)</f>
        <v>252.5</v>
      </c>
    </row>
    <row r="824" ht="15.75" customHeight="1"/>
    <row r="825" ht="15.75" customHeight="1"/>
    <row r="826" ht="15.75" customHeight="1">
      <c r="B826" s="2" t="str">
        <f>IFERROR(__xludf.DUMMYFUNCTION("GOOGLEFINANCE(""NSE:SBIN"",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IFERROR(__xludf.DUMMYFUNCTION("""COMPUTED_VALUE"""),253.65)</f>
        <v>253.65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IFERROR(__xludf.DUMMYFUNCTION("""COMPUTED_VALUE"""),254.45)</f>
        <v>254.45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IFERROR(__xludf.DUMMYFUNCTION("""COMPUTED_VALUE"""),262.0)</f>
        <v>262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IFERROR(__xludf.DUMMYFUNCTION("""COMPUTED_VALUE"""),268.2)</f>
        <v>268.2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IFERROR(__xludf.DUMMYFUNCTION("""COMPUTED_VALUE"""),278.55)</f>
        <v>278.55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IFERROR(__xludf.DUMMYFUNCTION("""COMPUTED_VALUE"""),282.8)</f>
        <v>282.8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IFERROR(__xludf.DUMMYFUNCTION("""COMPUTED_VALUE"""),278.25)</f>
        <v>278.25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IFERROR(__xludf.DUMMYFUNCTION("""COMPUTED_VALUE"""),274.7)</f>
        <v>274.7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IFERROR(__xludf.DUMMYFUNCTION("""COMPUTED_VALUE"""),274.7)</f>
        <v>274.7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IFERROR(__xludf.DUMMYFUNCTION("""COMPUTED_VALUE"""),275.55)</f>
        <v>275.55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IFERROR(__xludf.DUMMYFUNCTION("""COMPUTED_VALUE"""),280.5)</f>
        <v>280.5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IFERROR(__xludf.DUMMYFUNCTION("""COMPUTED_VALUE"""),278.95)</f>
        <v>278.95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IFERROR(__xludf.DUMMYFUNCTION("""COMPUTED_VALUE"""),295.0)</f>
        <v>295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IFERROR(__xludf.DUMMYFUNCTION("""COMPUTED_VALUE"""),298.75)</f>
        <v>298.75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IFERROR(__xludf.DUMMYFUNCTION("""COMPUTED_VALUE"""),295.45)</f>
        <v>295.45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IFERROR(__xludf.DUMMYFUNCTION("""COMPUTED_VALUE"""),296.9)</f>
        <v>296.9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IFERROR(__xludf.DUMMYFUNCTION("""COMPUTED_VALUE"""),290.75)</f>
        <v>290.75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IFERROR(__xludf.DUMMYFUNCTION("""COMPUTED_VALUE"""),304.9)</f>
        <v>304.9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IFERROR(__xludf.DUMMYFUNCTION("""COMPUTED_VALUE"""),302.6)</f>
        <v>302.6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IFERROR(__xludf.DUMMYFUNCTION("""COMPUTED_VALUE"""),315.3)</f>
        <v>315.3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IFERROR(__xludf.DUMMYFUNCTION("""COMPUTED_VALUE"""),309.4)</f>
        <v>309.4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IFERROR(__xludf.DUMMYFUNCTION("""COMPUTED_VALUE"""),291.5)</f>
        <v>291.5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IFERROR(__xludf.DUMMYFUNCTION("""COMPUTED_VALUE"""),292.95)</f>
        <v>292.95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IFERROR(__xludf.DUMMYFUNCTION("""COMPUTED_VALUE"""),287.0)</f>
        <v>287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IFERROR(__xludf.DUMMYFUNCTION("""COMPUTED_VALUE"""),295.9)</f>
        <v>295.9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IFERROR(__xludf.DUMMYFUNCTION("""COMPUTED_VALUE"""),289.45)</f>
        <v>289.45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IFERROR(__xludf.DUMMYFUNCTION("""COMPUTED_VALUE"""),282.7)</f>
        <v>282.7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IFERROR(__xludf.DUMMYFUNCTION("""COMPUTED_VALUE"""),293.6)</f>
        <v>293.6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IFERROR(__xludf.DUMMYFUNCTION("""COMPUTED_VALUE"""),296.4)</f>
        <v>296.4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IFERROR(__xludf.DUMMYFUNCTION("""COMPUTED_VALUE"""),300.75)</f>
        <v>300.75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IFERROR(__xludf.DUMMYFUNCTION("""COMPUTED_VALUE"""),314.8)</f>
        <v>314.8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IFERROR(__xludf.DUMMYFUNCTION("""COMPUTED_VALUE"""),311.8)</f>
        <v>311.8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IFERROR(__xludf.DUMMYFUNCTION("""COMPUTED_VALUE"""),284.7)</f>
        <v>284.7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IFERROR(__xludf.DUMMYFUNCTION("""COMPUTED_VALUE"""),281.45)</f>
        <v>281.45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IFERROR(__xludf.DUMMYFUNCTION("""COMPUTED_VALUE"""),282.1)</f>
        <v>282.1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IFERROR(__xludf.DUMMYFUNCTION("""COMPUTED_VALUE"""),279.6)</f>
        <v>279.6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IFERROR(__xludf.DUMMYFUNCTION("""COMPUTED_VALUE"""),276.6)</f>
        <v>276.6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IFERROR(__xludf.DUMMYFUNCTION("""COMPUTED_VALUE"""),274.0)</f>
        <v>274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IFERROR(__xludf.DUMMYFUNCTION("""COMPUTED_VALUE"""),261.8)</f>
        <v>261.8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IFERROR(__xludf.DUMMYFUNCTION("""COMPUTED_VALUE"""),257.9)</f>
        <v>257.9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IFERROR(__xludf.DUMMYFUNCTION("""COMPUTED_VALUE"""),258.6)</f>
        <v>258.6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IFERROR(__xludf.DUMMYFUNCTION("""COMPUTED_VALUE"""),254.7)</f>
        <v>254.7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IFERROR(__xludf.DUMMYFUNCTION("""COMPUTED_VALUE"""),351.3)</f>
        <v>351.3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IFERROR(__xludf.DUMMYFUNCTION("""COMPUTED_VALUE"""),327.5)</f>
        <v>327.5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IFERROR(__xludf.DUMMYFUNCTION("""COMPUTED_VALUE"""),338.5)</f>
        <v>338.5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IFERROR(__xludf.DUMMYFUNCTION("""COMPUTED_VALUE"""),346.7)</f>
        <v>346.7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IFERROR(__xludf.DUMMYFUNCTION("""COMPUTED_VALUE"""),339.65)</f>
        <v>339.65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IFERROR(__xludf.DUMMYFUNCTION("""COMPUTED_VALUE"""),337.0)</f>
        <v>337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IFERROR(__xludf.DUMMYFUNCTION("""COMPUTED_VALUE"""),320.7)</f>
        <v>320.7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IFERROR(__xludf.DUMMYFUNCTION("""COMPUTED_VALUE"""),320.5)</f>
        <v>320.5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IFERROR(__xludf.DUMMYFUNCTION("""COMPUTED_VALUE"""),323.85)</f>
        <v>323.85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IFERROR(__xludf.DUMMYFUNCTION("""COMPUTED_VALUE"""),320.3)</f>
        <v>320.3</v>
      </c>
    </row>
    <row r="879" ht="15.75" customHeight="1"/>
    <row r="880" ht="15.75" customHeight="1"/>
    <row r="881" ht="15.75" customHeight="1">
      <c r="B881" s="2" t="str">
        <f>IFERROR(__xludf.DUMMYFUNCTION("GOOGLEFINANCE(""NSE:SBIN"",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IFERROR(__xludf.DUMMYFUNCTION("""COMPUTED_VALUE"""),312.75)</f>
        <v>312.75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IFERROR(__xludf.DUMMYFUNCTION("""COMPUTED_VALUE"""),309.5)</f>
        <v>309.5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IFERROR(__xludf.DUMMYFUNCTION("""COMPUTED_VALUE"""),317.8)</f>
        <v>317.8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IFERROR(__xludf.DUMMYFUNCTION("""COMPUTED_VALUE"""),332.75)</f>
        <v>332.75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IFERROR(__xludf.DUMMYFUNCTION("""COMPUTED_VALUE"""),318.85)</f>
        <v>318.85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IFERROR(__xludf.DUMMYFUNCTION("""COMPUTED_VALUE"""),303.3)</f>
        <v>303.3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IFERROR(__xludf.DUMMYFUNCTION("""COMPUTED_VALUE"""),292.4)</f>
        <v>292.4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IFERROR(__xludf.DUMMYFUNCTION("""COMPUTED_VALUE"""),277.2)</f>
        <v>277.2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IFERROR(__xludf.DUMMYFUNCTION("""COMPUTED_VALUE"""),280.0)</f>
        <v>280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IFERROR(__xludf.DUMMYFUNCTION("""COMPUTED_VALUE"""),266.0)</f>
        <v>266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IFERROR(__xludf.DUMMYFUNCTION("""COMPUTED_VALUE"""),262.4)</f>
        <v>262.4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IFERROR(__xludf.DUMMYFUNCTION("""COMPUTED_VALUE"""),254.3)</f>
        <v>254.3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IFERROR(__xludf.DUMMYFUNCTION("""COMPUTED_VALUE"""),256.2)</f>
        <v>256.2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IFERROR(__xludf.DUMMYFUNCTION("""COMPUTED_VALUE"""),261.9)</f>
        <v>261.9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IFERROR(__xludf.DUMMYFUNCTION("""COMPUTED_VALUE"""),265.0)</f>
        <v>265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IFERROR(__xludf.DUMMYFUNCTION("""COMPUTED_VALUE"""),252.5)</f>
        <v>252.5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IFERROR(__xludf.DUMMYFUNCTION("""COMPUTED_VALUE"""),245.8)</f>
        <v>245.8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IFERROR(__xludf.DUMMYFUNCTION("""COMPUTED_VALUE"""),249.7)</f>
        <v>249.7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IFERROR(__xludf.DUMMYFUNCTION("""COMPUTED_VALUE"""),252.6)</f>
        <v>252.6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IFERROR(__xludf.DUMMYFUNCTION("""COMPUTED_VALUE"""),257.45)</f>
        <v>257.45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IFERROR(__xludf.DUMMYFUNCTION("""COMPUTED_VALUE"""),269.75)</f>
        <v>269.75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IFERROR(__xludf.DUMMYFUNCTION("""COMPUTED_VALUE"""),274.8)</f>
        <v>274.8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IFERROR(__xludf.DUMMYFUNCTION("""COMPUTED_VALUE"""),273.9)</f>
        <v>273.9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IFERROR(__xludf.DUMMYFUNCTION("""COMPUTED_VALUE"""),289.65)</f>
        <v>289.65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IFERROR(__xludf.DUMMYFUNCTION("""COMPUTED_VALUE"""),279.75)</f>
        <v>279.75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IFERROR(__xludf.DUMMYFUNCTION("""COMPUTED_VALUE"""),273.15)</f>
        <v>273.15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IFERROR(__xludf.DUMMYFUNCTION("""COMPUTED_VALUE"""),261.75)</f>
        <v>261.75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IFERROR(__xludf.DUMMYFUNCTION("""COMPUTED_VALUE"""),265.75)</f>
        <v>265.75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IFERROR(__xludf.DUMMYFUNCTION("""COMPUTED_VALUE"""),263.5)</f>
        <v>263.5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IFERROR(__xludf.DUMMYFUNCTION("""COMPUTED_VALUE"""),297.0)</f>
        <v>297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IFERROR(__xludf.DUMMYFUNCTION("""COMPUTED_VALUE"""),302.4)</f>
        <v>302.4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IFERROR(__xludf.DUMMYFUNCTION("""COMPUTED_VALUE"""),326.4)</f>
        <v>326.4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IFERROR(__xludf.DUMMYFUNCTION("""COMPUTED_VALUE"""),302.8)</f>
        <v>302.8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IFERROR(__xludf.DUMMYFUNCTION("""COMPUTED_VALUE"""),308.85)</f>
        <v>308.85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IFERROR(__xludf.DUMMYFUNCTION("""COMPUTED_VALUE"""),312.0)</f>
        <v>312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IFERROR(__xludf.DUMMYFUNCTION("""COMPUTED_VALUE"""),312.5)</f>
        <v>312.5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IFERROR(__xludf.DUMMYFUNCTION("""COMPUTED_VALUE"""),293.25)</f>
        <v>293.25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IFERROR(__xludf.DUMMYFUNCTION("""COMPUTED_VALUE"""),288.5)</f>
        <v>288.5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IFERROR(__xludf.DUMMYFUNCTION("""COMPUTED_VALUE"""),274.0)</f>
        <v>274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IFERROR(__xludf.DUMMYFUNCTION("""COMPUTED_VALUE"""),278.7)</f>
        <v>278.7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IFERROR(__xludf.DUMMYFUNCTION("""COMPUTED_VALUE"""),280.45)</f>
        <v>280.45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IFERROR(__xludf.DUMMYFUNCTION("""COMPUTED_VALUE"""),275.0)</f>
        <v>275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IFERROR(__xludf.DUMMYFUNCTION("""COMPUTED_VALUE"""),266.0)</f>
        <v>266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IFERROR(__xludf.DUMMYFUNCTION("""COMPUTED_VALUE"""),292.8)</f>
        <v>292.8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IFERROR(__xludf.DUMMYFUNCTION("""COMPUTED_VALUE"""),300.0)</f>
        <v>300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IFERROR(__xludf.DUMMYFUNCTION("""COMPUTED_VALUE"""),291.8)</f>
        <v>291.8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IFERROR(__xludf.DUMMYFUNCTION("""COMPUTED_VALUE"""),293.5)</f>
        <v>293.5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IFERROR(__xludf.DUMMYFUNCTION("""COMPUTED_VALUE"""),292.45)</f>
        <v>292.45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IFERROR(__xludf.DUMMYFUNCTION("""COMPUTED_VALUE"""),287.95)</f>
        <v>287.95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IFERROR(__xludf.DUMMYFUNCTION("""COMPUTED_VALUE"""),294.0)</f>
        <v>294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IFERROR(__xludf.DUMMYFUNCTION("""COMPUTED_VALUE"""),302.0)</f>
        <v>302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IFERROR(__xludf.DUMMYFUNCTION("""COMPUTED_VALUE"""),297.6)</f>
        <v>297.6</v>
      </c>
    </row>
    <row r="934" ht="15.75" customHeight="1"/>
    <row r="935" ht="15.75" customHeight="1"/>
    <row r="936" ht="15.75" customHeight="1">
      <c r="B936" s="2" t="str">
        <f>IFERROR(__xludf.DUMMYFUNCTION("GOOGLEFINANCE(""NSE:SBIN"",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IFERROR(__xludf.DUMMYFUNCTION("""COMPUTED_VALUE"""),302.5)</f>
        <v>302.5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IFERROR(__xludf.DUMMYFUNCTION("""COMPUTED_VALUE"""),307.5)</f>
        <v>307.5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IFERROR(__xludf.DUMMYFUNCTION("""COMPUTED_VALUE"""),306.65)</f>
        <v>306.65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IFERROR(__xludf.DUMMYFUNCTION("""COMPUTED_VALUE"""),296.75)</f>
        <v>296.75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IFERROR(__xludf.DUMMYFUNCTION("""COMPUTED_VALUE"""),302.7)</f>
        <v>302.7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IFERROR(__xludf.DUMMYFUNCTION("""COMPUTED_VALUE"""),294.0)</f>
        <v>294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IFERROR(__xludf.DUMMYFUNCTION("""COMPUTED_VALUE"""),285.95)</f>
        <v>285.95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IFERROR(__xludf.DUMMYFUNCTION("""COMPUTED_VALUE"""),271.9)</f>
        <v>271.9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IFERROR(__xludf.DUMMYFUNCTION("""COMPUTED_VALUE"""),274.6)</f>
        <v>274.6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IFERROR(__xludf.DUMMYFUNCTION("""COMPUTED_VALUE"""),284.25)</f>
        <v>284.25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IFERROR(__xludf.DUMMYFUNCTION("""COMPUTED_VALUE"""),301.3)</f>
        <v>301.3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IFERROR(__xludf.DUMMYFUNCTION("""COMPUTED_VALUE"""),306.6)</f>
        <v>306.6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IFERROR(__xludf.DUMMYFUNCTION("""COMPUTED_VALUE"""),339.65)</f>
        <v>339.65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IFERROR(__xludf.DUMMYFUNCTION("""COMPUTED_VALUE"""),332.45)</f>
        <v>332.45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IFERROR(__xludf.DUMMYFUNCTION("""COMPUTED_VALUE"""),319.25)</f>
        <v>319.25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IFERROR(__xludf.DUMMYFUNCTION("""COMPUTED_VALUE"""),319.4)</f>
        <v>319.4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IFERROR(__xludf.DUMMYFUNCTION("""COMPUTED_VALUE"""),313.75)</f>
        <v>313.75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IFERROR(__xludf.DUMMYFUNCTION("""COMPUTED_VALUE"""),312.0)</f>
        <v>312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IFERROR(__xludf.DUMMYFUNCTION("""COMPUTED_VALUE"""),313.4)</f>
        <v>313.4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IFERROR(__xludf.DUMMYFUNCTION("""COMPUTED_VALUE"""),321.95)</f>
        <v>321.95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IFERROR(__xludf.DUMMYFUNCTION("""COMPUTED_VALUE"""),364.0)</f>
        <v>364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IFERROR(__xludf.DUMMYFUNCTION("""COMPUTED_VALUE"""),362.5)</f>
        <v>362.5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IFERROR(__xludf.DUMMYFUNCTION("""COMPUTED_VALUE"""),357.2)</f>
        <v>357.2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IFERROR(__xludf.DUMMYFUNCTION("""COMPUTED_VALUE"""),348.3)</f>
        <v>348.3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IFERROR(__xludf.DUMMYFUNCTION("""COMPUTED_VALUE"""),350.7)</f>
        <v>350.7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IFERROR(__xludf.DUMMYFUNCTION("""COMPUTED_VALUE"""),365.0)</f>
        <v>365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IFERROR(__xludf.DUMMYFUNCTION("""COMPUTED_VALUE"""),373.6)</f>
        <v>373.6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IFERROR(__xludf.DUMMYFUNCTION("""COMPUTED_VALUE"""),368.45)</f>
        <v>368.45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IFERROR(__xludf.DUMMYFUNCTION("""COMPUTED_VALUE"""),373.8)</f>
        <v>373.8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IFERROR(__xludf.DUMMYFUNCTION("""COMPUTED_VALUE"""),359.55)</f>
        <v>359.55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IFERROR(__xludf.DUMMYFUNCTION("""COMPUTED_VALUE"""),346.7)</f>
        <v>346.7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IFERROR(__xludf.DUMMYFUNCTION("""COMPUTED_VALUE"""),304.25)</f>
        <v>304.25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IFERROR(__xludf.DUMMYFUNCTION("""COMPUTED_VALUE"""),292.8)</f>
        <v>292.8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IFERROR(__xludf.DUMMYFUNCTION("""COMPUTED_VALUE"""),292.4)</f>
        <v>292.4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IFERROR(__xludf.DUMMYFUNCTION("""COMPUTED_VALUE"""),288.0)</f>
        <v>288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IFERROR(__xludf.DUMMYFUNCTION("""COMPUTED_VALUE"""),277.0)</f>
        <v>277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IFERROR(__xludf.DUMMYFUNCTION("""COMPUTED_VALUE"""),292.5)</f>
        <v>292.5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IFERROR(__xludf.DUMMYFUNCTION("""COMPUTED_VALUE"""),307.65)</f>
        <v>307.65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IFERROR(__xludf.DUMMYFUNCTION("""COMPUTED_VALUE"""),316.0)</f>
        <v>316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IFERROR(__xludf.DUMMYFUNCTION("""COMPUTED_VALUE"""),281.85)</f>
        <v>281.85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IFERROR(__xludf.DUMMYFUNCTION("""COMPUTED_VALUE"""),262.0)</f>
        <v>262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IFERROR(__xludf.DUMMYFUNCTION("""COMPUTED_VALUE"""),271.35)</f>
        <v>271.35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IFERROR(__xludf.DUMMYFUNCTION("""COMPUTED_VALUE"""),284.15)</f>
        <v>284.15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IFERROR(__xludf.DUMMYFUNCTION("""COMPUTED_VALUE"""),317.8)</f>
        <v>317.8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IFERROR(__xludf.DUMMYFUNCTION("""COMPUTED_VALUE"""),323.3)</f>
        <v>323.3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IFERROR(__xludf.DUMMYFUNCTION("""COMPUTED_VALUE"""),323.7)</f>
        <v>323.7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IFERROR(__xludf.DUMMYFUNCTION("""COMPUTED_VALUE"""),333.8)</f>
        <v>333.8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IFERROR(__xludf.DUMMYFUNCTION("""COMPUTED_VALUE"""),351.0)</f>
        <v>351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IFERROR(__xludf.DUMMYFUNCTION("""COMPUTED_VALUE"""),344.6)</f>
        <v>344.6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IFERROR(__xludf.DUMMYFUNCTION("""COMPUTED_VALUE"""),333.45)</f>
        <v>333.45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IFERROR(__xludf.DUMMYFUNCTION("""COMPUTED_VALUE"""),339.5)</f>
        <v>339.5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IFERROR(__xludf.DUMMYFUNCTION("""COMPUTED_VALUE"""),338.85)</f>
        <v>338.85</v>
      </c>
    </row>
    <row r="989" ht="15.75" customHeight="1"/>
    <row r="990" ht="15.75" customHeight="1"/>
    <row r="991" ht="15.75" customHeight="1">
      <c r="B991" s="2" t="str">
        <f>IFERROR(__xludf.DUMMYFUNCTION("GOOGLEFINANCE(""NSE:SBIN"",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IFERROR(__xludf.DUMMYFUNCTION("""COMPUTED_VALUE"""),339.85)</f>
        <v>339.85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IFERROR(__xludf.DUMMYFUNCTION("""COMPUTED_VALUE"""),337.95)</f>
        <v>337.95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IFERROR(__xludf.DUMMYFUNCTION("""COMPUTED_VALUE"""),335.45)</f>
        <v>335.45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IFERROR(__xludf.DUMMYFUNCTION("""COMPUTED_VALUE"""),327.3)</f>
        <v>327.3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IFERROR(__xludf.DUMMYFUNCTION("""COMPUTED_VALUE"""),322.65)</f>
        <v>322.65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IFERROR(__xludf.DUMMYFUNCTION("""COMPUTED_VALUE"""),325.0)</f>
        <v>325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IFERROR(__xludf.DUMMYFUNCTION("""COMPUTED_VALUE"""),331.9)</f>
        <v>331.9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IFERROR(__xludf.DUMMYFUNCTION("""COMPUTED_VALUE"""),329.2)</f>
        <v>329.2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IFERROR(__xludf.DUMMYFUNCTION("""COMPUTED_VALUE"""),331.3)</f>
        <v>331.3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IFERROR(__xludf.DUMMYFUNCTION("""COMPUTED_VALUE"""),312.0)</f>
        <v>312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IFERROR(__xludf.DUMMYFUNCTION("""COMPUTED_VALUE"""),262.75)</f>
        <v>262.75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IFERROR(__xludf.DUMMYFUNCTION("""COMPUTED_VALUE"""),231.4)</f>
        <v>231.4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IFERROR(__xludf.DUMMYFUNCTION("""COMPUTED_VALUE"""),211.9)</f>
        <v>211.9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IFERROR(__xludf.DUMMYFUNCTION("""COMPUTED_VALUE"""),198.5)</f>
        <v>198.5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IFERROR(__xludf.DUMMYFUNCTION("""COMPUTED_VALUE"""),194.4)</f>
        <v>194.4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IFERROR(__xludf.DUMMYFUNCTION("""COMPUTED_VALUE"""),198.0)</f>
        <v>198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IFERROR(__xludf.DUMMYFUNCTION("""COMPUTED_VALUE"""),197.35)</f>
        <v>197.35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IFERROR(__xludf.DUMMYFUNCTION("""COMPUTED_VALUE"""),195.9)</f>
        <v>195.9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IFERROR(__xludf.DUMMYFUNCTION("""COMPUTED_VALUE"""),183.5)</f>
        <v>183.5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IFERROR(__xludf.DUMMYFUNCTION("""COMPUTED_VALUE"""),178.55)</f>
        <v>178.55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IFERROR(__xludf.DUMMYFUNCTION("""COMPUTED_VALUE"""),166.4)</f>
        <v>166.4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IFERROR(__xludf.DUMMYFUNCTION("""COMPUTED_VALUE"""),162.4)</f>
        <v>162.4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IFERROR(__xludf.DUMMYFUNCTION("""COMPUTED_VALUE"""),189.8)</f>
        <v>189.8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IFERROR(__xludf.DUMMYFUNCTION("""COMPUTED_VALUE"""),197.5)</f>
        <v>197.5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IFERROR(__xludf.DUMMYFUNCTION("""COMPUTED_VALUE"""),184.95)</f>
        <v>184.95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IFERROR(__xludf.DUMMYFUNCTION("""COMPUTED_VALUE"""),194.9)</f>
        <v>194.9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IFERROR(__xludf.DUMMYFUNCTION("""COMPUTED_VALUE"""),188.0)</f>
        <v>188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IFERROR(__xludf.DUMMYFUNCTION("""COMPUTED_VALUE"""),202.5)</f>
        <v>202.5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IFERROR(__xludf.DUMMYFUNCTION("""COMPUTED_VALUE"""),199.8)</f>
        <v>199.8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IFERROR(__xludf.DUMMYFUNCTION("""COMPUTED_VALUE"""),199.1)</f>
        <v>199.1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IFERROR(__xludf.DUMMYFUNCTION("""COMPUTED_VALUE"""),195.25)</f>
        <v>195.25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IFERROR(__xludf.DUMMYFUNCTION("""COMPUTED_VALUE"""),196.85)</f>
        <v>196.85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IFERROR(__xludf.DUMMYFUNCTION("""COMPUTED_VALUE"""),207.3)</f>
        <v>207.3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IFERROR(__xludf.DUMMYFUNCTION("""COMPUTED_VALUE"""),201.5)</f>
        <v>201.5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IFERROR(__xludf.DUMMYFUNCTION("""COMPUTED_VALUE"""),225.9)</f>
        <v>225.9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IFERROR(__xludf.DUMMYFUNCTION("""COMPUTED_VALUE"""),231.55)</f>
        <v>231.55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IFERROR(__xludf.DUMMYFUNCTION("""COMPUTED_VALUE"""),209.65)</f>
        <v>209.65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IFERROR(__xludf.DUMMYFUNCTION("""COMPUTED_VALUE"""),206.2)</f>
        <v>206.2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IFERROR(__xludf.DUMMYFUNCTION("""COMPUTED_VALUE"""),193.5)</f>
        <v>193.5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IFERROR(__xludf.DUMMYFUNCTION("""COMPUTED_VALUE"""),191.2)</f>
        <v>191.2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IFERROR(__xludf.DUMMYFUNCTION("""COMPUTED_VALUE"""),198.8)</f>
        <v>198.8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IFERROR(__xludf.DUMMYFUNCTION("""COMPUTED_VALUE"""),205.95)</f>
        <v>205.95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IFERROR(__xludf.DUMMYFUNCTION("""COMPUTED_VALUE"""),207.3)</f>
        <v>207.3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IFERROR(__xludf.DUMMYFUNCTION("""COMPUTED_VALUE"""),204.0)</f>
        <v>204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IFERROR(__xludf.DUMMYFUNCTION("""COMPUTED_VALUE"""),221.85)</f>
        <v>221.85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IFERROR(__xludf.DUMMYFUNCTION("""COMPUTED_VALUE"""),253.0)</f>
        <v>253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IFERROR(__xludf.DUMMYFUNCTION("""COMPUTED_VALUE"""),249.9)</f>
        <v>249.9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IFERROR(__xludf.DUMMYFUNCTION("""COMPUTED_VALUE"""),264.35)</f>
        <v>264.35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IFERROR(__xludf.DUMMYFUNCTION("""COMPUTED_VALUE"""),276.25)</f>
        <v>276.25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IFERROR(__xludf.DUMMYFUNCTION("""COMPUTED_VALUE"""),276.15)</f>
        <v>276.15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IFERROR(__xludf.DUMMYFUNCTION("""COMPUTED_VALUE"""),269.0)</f>
        <v>269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IFERROR(__xludf.DUMMYFUNCTION("""COMPUTED_VALUE"""),280.0)</f>
        <v>280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IFERROR(__xludf.DUMMYFUNCTION("GOOGLEFINANCE(""NSE:TATACONSUM"", ""high"",DATE(2003,1,1),DATE(2004,1,1),""weekly"")"),"Date")</f>
        <v>Date</v>
      </c>
      <c r="C1" s="2" t="str">
        <f>IFERROR(__xludf.DUMMYFUNCTION("""COMPUTED_VALUE"""),"High")</f>
        <v>High</v>
      </c>
    </row>
    <row r="2">
      <c r="A2" s="2" t="s">
        <v>2</v>
      </c>
      <c r="B2" s="3">
        <f>IFERROR(__xludf.DUMMYFUNCTION("""COMPUTED_VALUE"""),37624.645833333336)</f>
        <v>37624.64583</v>
      </c>
      <c r="C2" s="2">
        <f>IFERROR(__xludf.DUMMYFUNCTION("""COMPUTED_VALUE"""),17.61)</f>
        <v>17.61</v>
      </c>
    </row>
    <row r="3">
      <c r="A3" s="2" t="s">
        <v>3</v>
      </c>
      <c r="B3" s="3">
        <f>IFERROR(__xludf.DUMMYFUNCTION("""COMPUTED_VALUE"""),37631.645833333336)</f>
        <v>37631.64583</v>
      </c>
      <c r="C3" s="2">
        <f>IFERROR(__xludf.DUMMYFUNCTION("""COMPUTED_VALUE"""),17.5)</f>
        <v>17.5</v>
      </c>
    </row>
    <row r="4">
      <c r="A4" s="2" t="s">
        <v>4</v>
      </c>
      <c r="B4" s="3">
        <f>IFERROR(__xludf.DUMMYFUNCTION("""COMPUTED_VALUE"""),37638.645833333336)</f>
        <v>37638.64583</v>
      </c>
      <c r="C4" s="2">
        <f>IFERROR(__xludf.DUMMYFUNCTION("""COMPUTED_VALUE"""),17.18)</f>
        <v>17.18</v>
      </c>
    </row>
    <row r="5">
      <c r="B5" s="3">
        <f>IFERROR(__xludf.DUMMYFUNCTION("""COMPUTED_VALUE"""),37645.645833333336)</f>
        <v>37645.64583</v>
      </c>
      <c r="C5" s="2">
        <f>IFERROR(__xludf.DUMMYFUNCTION("""COMPUTED_VALUE"""),17.65)</f>
        <v>17.65</v>
      </c>
    </row>
    <row r="6">
      <c r="B6" s="3">
        <f>IFERROR(__xludf.DUMMYFUNCTION("""COMPUTED_VALUE"""),37652.645833333336)</f>
        <v>37652.64583</v>
      </c>
      <c r="C6" s="2">
        <f>IFERROR(__xludf.DUMMYFUNCTION("""COMPUTED_VALUE"""),16.9)</f>
        <v>16.9</v>
      </c>
    </row>
    <row r="7">
      <c r="B7" s="3">
        <f>IFERROR(__xludf.DUMMYFUNCTION("""COMPUTED_VALUE"""),37659.645833333336)</f>
        <v>37659.64583</v>
      </c>
      <c r="C7" s="2">
        <f>IFERROR(__xludf.DUMMYFUNCTION("""COMPUTED_VALUE"""),17.0)</f>
        <v>17</v>
      </c>
    </row>
    <row r="8">
      <c r="B8" s="3">
        <f>IFERROR(__xludf.DUMMYFUNCTION("""COMPUTED_VALUE"""),37666.645833333336)</f>
        <v>37666.64583</v>
      </c>
      <c r="C8" s="2">
        <f>IFERROR(__xludf.DUMMYFUNCTION("""COMPUTED_VALUE"""),16.75)</f>
        <v>16.75</v>
      </c>
    </row>
    <row r="9">
      <c r="B9" s="3">
        <f>IFERROR(__xludf.DUMMYFUNCTION("""COMPUTED_VALUE"""),37673.645833333336)</f>
        <v>37673.64583</v>
      </c>
      <c r="C9" s="2">
        <f>IFERROR(__xludf.DUMMYFUNCTION("""COMPUTED_VALUE"""),17.75)</f>
        <v>17.75</v>
      </c>
    </row>
    <row r="10">
      <c r="B10" s="3">
        <f>IFERROR(__xludf.DUMMYFUNCTION("""COMPUTED_VALUE"""),37680.645833333336)</f>
        <v>37680.64583</v>
      </c>
      <c r="C10" s="2">
        <f>IFERROR(__xludf.DUMMYFUNCTION("""COMPUTED_VALUE"""),18.28)</f>
        <v>18.28</v>
      </c>
    </row>
    <row r="11">
      <c r="B11" s="3">
        <f>IFERROR(__xludf.DUMMYFUNCTION("""COMPUTED_VALUE"""),37687.645833333336)</f>
        <v>37687.64583</v>
      </c>
      <c r="C11" s="2">
        <f>IFERROR(__xludf.DUMMYFUNCTION("""COMPUTED_VALUE"""),18.65)</f>
        <v>18.65</v>
      </c>
    </row>
    <row r="12">
      <c r="B12" s="3">
        <f>IFERROR(__xludf.DUMMYFUNCTION("""COMPUTED_VALUE"""),37693.645833333336)</f>
        <v>37693.64583</v>
      </c>
      <c r="C12" s="2">
        <f>IFERROR(__xludf.DUMMYFUNCTION("""COMPUTED_VALUE"""),18.0)</f>
        <v>18</v>
      </c>
    </row>
    <row r="13">
      <c r="B13" s="3">
        <f>IFERROR(__xludf.DUMMYFUNCTION("""COMPUTED_VALUE"""),37708.645833333336)</f>
        <v>37708.64583</v>
      </c>
      <c r="C13" s="2">
        <f>IFERROR(__xludf.DUMMYFUNCTION("""COMPUTED_VALUE"""),19.5)</f>
        <v>19.5</v>
      </c>
    </row>
    <row r="14">
      <c r="B14" s="3">
        <f>IFERROR(__xludf.DUMMYFUNCTION("""COMPUTED_VALUE"""),37715.645833333336)</f>
        <v>37715.64583</v>
      </c>
      <c r="C14" s="2">
        <f>IFERROR(__xludf.DUMMYFUNCTION("""COMPUTED_VALUE"""),19.77)</f>
        <v>19.77</v>
      </c>
    </row>
    <row r="15">
      <c r="B15" s="3">
        <f>IFERROR(__xludf.DUMMYFUNCTION("""COMPUTED_VALUE"""),37722.645833333336)</f>
        <v>37722.64583</v>
      </c>
      <c r="C15" s="2">
        <f>IFERROR(__xludf.DUMMYFUNCTION("""COMPUTED_VALUE"""),19.5)</f>
        <v>19.5</v>
      </c>
    </row>
    <row r="16">
      <c r="B16" s="3">
        <f>IFERROR(__xludf.DUMMYFUNCTION("""COMPUTED_VALUE"""),37728.645833333336)</f>
        <v>37728.64583</v>
      </c>
      <c r="C16" s="2">
        <f>IFERROR(__xludf.DUMMYFUNCTION("""COMPUTED_VALUE"""),20.44)</f>
        <v>20.44</v>
      </c>
    </row>
    <row r="17">
      <c r="B17" s="3">
        <f>IFERROR(__xludf.DUMMYFUNCTION("""COMPUTED_VALUE"""),37736.645833333336)</f>
        <v>37736.64583</v>
      </c>
      <c r="C17" s="2">
        <f>IFERROR(__xludf.DUMMYFUNCTION("""COMPUTED_VALUE"""),21.88)</f>
        <v>21.88</v>
      </c>
    </row>
    <row r="18">
      <c r="B18" s="3">
        <f>IFERROR(__xludf.DUMMYFUNCTION("""COMPUTED_VALUE"""),37743.645833333336)</f>
        <v>37743.64583</v>
      </c>
      <c r="C18" s="2">
        <f>IFERROR(__xludf.DUMMYFUNCTION("""COMPUTED_VALUE"""),20.4)</f>
        <v>20.4</v>
      </c>
    </row>
    <row r="19">
      <c r="B19" s="3">
        <f>IFERROR(__xludf.DUMMYFUNCTION("""COMPUTED_VALUE"""),37750.645833333336)</f>
        <v>37750.64583</v>
      </c>
      <c r="C19" s="2">
        <f>IFERROR(__xludf.DUMMYFUNCTION("""COMPUTED_VALUE"""),21.18)</f>
        <v>21.18</v>
      </c>
    </row>
    <row r="20">
      <c r="B20" s="3">
        <f>IFERROR(__xludf.DUMMYFUNCTION("""COMPUTED_VALUE"""),37757.645833333336)</f>
        <v>37757.64583</v>
      </c>
      <c r="C20" s="2">
        <f>IFERROR(__xludf.DUMMYFUNCTION("""COMPUTED_VALUE"""),21.8)</f>
        <v>21.8</v>
      </c>
    </row>
    <row r="21" ht="15.75" customHeight="1">
      <c r="B21" s="3">
        <f>IFERROR(__xludf.DUMMYFUNCTION("""COMPUTED_VALUE"""),37764.645833333336)</f>
        <v>37764.64583</v>
      </c>
      <c r="C21" s="2">
        <f>IFERROR(__xludf.DUMMYFUNCTION("""COMPUTED_VALUE"""),22.45)</f>
        <v>22.45</v>
      </c>
    </row>
    <row r="22" ht="15.75" customHeight="1">
      <c r="B22" s="3">
        <f>IFERROR(__xludf.DUMMYFUNCTION("""COMPUTED_VALUE"""),37771.645833333336)</f>
        <v>37771.64583</v>
      </c>
      <c r="C22" s="2">
        <f>IFERROR(__xludf.DUMMYFUNCTION("""COMPUTED_VALUE"""),22.92)</f>
        <v>22.92</v>
      </c>
    </row>
    <row r="23" ht="15.75" customHeight="1">
      <c r="B23" s="3">
        <f>IFERROR(__xludf.DUMMYFUNCTION("""COMPUTED_VALUE"""),37778.645833333336)</f>
        <v>37778.64583</v>
      </c>
      <c r="C23" s="2">
        <f>IFERROR(__xludf.DUMMYFUNCTION("""COMPUTED_VALUE"""),23.1)</f>
        <v>23.1</v>
      </c>
    </row>
    <row r="24" ht="15.75" customHeight="1">
      <c r="B24" s="3">
        <f>IFERROR(__xludf.DUMMYFUNCTION("""COMPUTED_VALUE"""),37785.645833333336)</f>
        <v>37785.64583</v>
      </c>
      <c r="C24" s="2">
        <f>IFERROR(__xludf.DUMMYFUNCTION("""COMPUTED_VALUE"""),26.2)</f>
        <v>26.2</v>
      </c>
    </row>
    <row r="25" ht="15.75" customHeight="1">
      <c r="B25" s="3">
        <f>IFERROR(__xludf.DUMMYFUNCTION("""COMPUTED_VALUE"""),37792.645833333336)</f>
        <v>37792.64583</v>
      </c>
      <c r="C25" s="2">
        <f>IFERROR(__xludf.DUMMYFUNCTION("""COMPUTED_VALUE"""),24.7)</f>
        <v>24.7</v>
      </c>
    </row>
    <row r="26" ht="15.75" customHeight="1">
      <c r="B26" s="3">
        <f>IFERROR(__xludf.DUMMYFUNCTION("""COMPUTED_VALUE"""),37799.645833333336)</f>
        <v>37799.64583</v>
      </c>
      <c r="C26" s="2">
        <f>IFERROR(__xludf.DUMMYFUNCTION("""COMPUTED_VALUE"""),24.7)</f>
        <v>24.7</v>
      </c>
    </row>
    <row r="27" ht="15.75" customHeight="1">
      <c r="B27" s="3">
        <f>IFERROR(__xludf.DUMMYFUNCTION("""COMPUTED_VALUE"""),37806.645833333336)</f>
        <v>37806.64583</v>
      </c>
      <c r="C27" s="2">
        <f>IFERROR(__xludf.DUMMYFUNCTION("""COMPUTED_VALUE"""),23.0)</f>
        <v>23</v>
      </c>
    </row>
    <row r="28" ht="15.75" customHeight="1">
      <c r="B28" s="3">
        <f>IFERROR(__xludf.DUMMYFUNCTION("""COMPUTED_VALUE"""),37813.645833333336)</f>
        <v>37813.64583</v>
      </c>
      <c r="C28" s="2">
        <f>IFERROR(__xludf.DUMMYFUNCTION("""COMPUTED_VALUE"""),23.0)</f>
        <v>23</v>
      </c>
    </row>
    <row r="29" ht="15.75" customHeight="1">
      <c r="B29" s="3">
        <f>IFERROR(__xludf.DUMMYFUNCTION("""COMPUTED_VALUE"""),37820.645833333336)</f>
        <v>37820.64583</v>
      </c>
      <c r="C29" s="2">
        <f>IFERROR(__xludf.DUMMYFUNCTION("""COMPUTED_VALUE"""),22.29)</f>
        <v>22.29</v>
      </c>
    </row>
    <row r="30" ht="15.75" customHeight="1">
      <c r="B30" s="3">
        <f>IFERROR(__xludf.DUMMYFUNCTION("""COMPUTED_VALUE"""),37827.645833333336)</f>
        <v>37827.64583</v>
      </c>
      <c r="C30" s="2">
        <f>IFERROR(__xludf.DUMMYFUNCTION("""COMPUTED_VALUE"""),21.69)</f>
        <v>21.69</v>
      </c>
    </row>
    <row r="31" ht="15.75" customHeight="1">
      <c r="B31" s="3">
        <f>IFERROR(__xludf.DUMMYFUNCTION("""COMPUTED_VALUE"""),37834.645833333336)</f>
        <v>37834.64583</v>
      </c>
      <c r="C31" s="2">
        <f>IFERROR(__xludf.DUMMYFUNCTION("""COMPUTED_VALUE"""),22.35)</f>
        <v>22.35</v>
      </c>
    </row>
    <row r="32" ht="15.75" customHeight="1">
      <c r="B32" s="3">
        <f>IFERROR(__xludf.DUMMYFUNCTION("""COMPUTED_VALUE"""),37841.645833333336)</f>
        <v>37841.64583</v>
      </c>
      <c r="C32" s="2">
        <f>IFERROR(__xludf.DUMMYFUNCTION("""COMPUTED_VALUE"""),23.67)</f>
        <v>23.67</v>
      </c>
    </row>
    <row r="33" ht="15.75" customHeight="1">
      <c r="B33" s="3">
        <f>IFERROR(__xludf.DUMMYFUNCTION("""COMPUTED_VALUE"""),37847.645833333336)</f>
        <v>37847.64583</v>
      </c>
      <c r="C33" s="2">
        <f>IFERROR(__xludf.DUMMYFUNCTION("""COMPUTED_VALUE"""),23.65)</f>
        <v>23.65</v>
      </c>
    </row>
    <row r="34" ht="15.75" customHeight="1">
      <c r="B34" s="3">
        <f>IFERROR(__xludf.DUMMYFUNCTION("""COMPUTED_VALUE"""),37855.645833333336)</f>
        <v>37855.64583</v>
      </c>
      <c r="C34" s="2">
        <f>IFERROR(__xludf.DUMMYFUNCTION("""COMPUTED_VALUE"""),22.65)</f>
        <v>22.65</v>
      </c>
    </row>
    <row r="35" ht="15.75" customHeight="1">
      <c r="B35" s="3">
        <f>IFERROR(__xludf.DUMMYFUNCTION("""COMPUTED_VALUE"""),37862.645833333336)</f>
        <v>37862.64583</v>
      </c>
      <c r="C35" s="2">
        <f>IFERROR(__xludf.DUMMYFUNCTION("""COMPUTED_VALUE"""),25.0)</f>
        <v>25</v>
      </c>
    </row>
    <row r="36" ht="15.75" customHeight="1">
      <c r="B36" s="3">
        <f>IFERROR(__xludf.DUMMYFUNCTION("""COMPUTED_VALUE"""),37869.645833333336)</f>
        <v>37869.64583</v>
      </c>
      <c r="C36" s="2">
        <f>IFERROR(__xludf.DUMMYFUNCTION("""COMPUTED_VALUE"""),25.98)</f>
        <v>25.98</v>
      </c>
    </row>
    <row r="37" ht="15.75" customHeight="1">
      <c r="B37" s="3">
        <f>IFERROR(__xludf.DUMMYFUNCTION("""COMPUTED_VALUE"""),37876.645833333336)</f>
        <v>37876.64583</v>
      </c>
      <c r="C37" s="2">
        <f>IFERROR(__xludf.DUMMYFUNCTION("""COMPUTED_VALUE"""),25.7)</f>
        <v>25.7</v>
      </c>
    </row>
    <row r="38" ht="15.75" customHeight="1">
      <c r="B38" s="3">
        <f>IFERROR(__xludf.DUMMYFUNCTION("""COMPUTED_VALUE"""),37883.645833333336)</f>
        <v>37883.64583</v>
      </c>
      <c r="C38" s="2">
        <f>IFERROR(__xludf.DUMMYFUNCTION("""COMPUTED_VALUE"""),24.99)</f>
        <v>24.99</v>
      </c>
    </row>
    <row r="39" ht="15.75" customHeight="1">
      <c r="B39" s="3">
        <f>IFERROR(__xludf.DUMMYFUNCTION("""COMPUTED_VALUE"""),37890.645833333336)</f>
        <v>37890.64583</v>
      </c>
      <c r="C39" s="2">
        <f>IFERROR(__xludf.DUMMYFUNCTION("""COMPUTED_VALUE"""),24.2)</f>
        <v>24.2</v>
      </c>
    </row>
    <row r="40" ht="15.75" customHeight="1">
      <c r="B40" s="3">
        <f>IFERROR(__xludf.DUMMYFUNCTION("""COMPUTED_VALUE"""),37897.645833333336)</f>
        <v>37897.64583</v>
      </c>
      <c r="C40" s="2">
        <f>IFERROR(__xludf.DUMMYFUNCTION("""COMPUTED_VALUE"""),25.14)</f>
        <v>25.14</v>
      </c>
    </row>
    <row r="41" ht="15.75" customHeight="1">
      <c r="B41" s="3">
        <f>IFERROR(__xludf.DUMMYFUNCTION("""COMPUTED_VALUE"""),37904.645833333336)</f>
        <v>37904.64583</v>
      </c>
      <c r="C41" s="2">
        <f>IFERROR(__xludf.DUMMYFUNCTION("""COMPUTED_VALUE"""),28.3)</f>
        <v>28.3</v>
      </c>
    </row>
    <row r="42" ht="15.75" customHeight="1">
      <c r="B42" s="3">
        <f>IFERROR(__xludf.DUMMYFUNCTION("""COMPUTED_VALUE"""),37911.645833333336)</f>
        <v>37911.64583</v>
      </c>
      <c r="C42" s="2">
        <f>IFERROR(__xludf.DUMMYFUNCTION("""COMPUTED_VALUE"""),30.0)</f>
        <v>30</v>
      </c>
    </row>
    <row r="43" ht="15.75" customHeight="1">
      <c r="B43" s="3">
        <f>IFERROR(__xludf.DUMMYFUNCTION("""COMPUTED_VALUE"""),37925.645833333336)</f>
        <v>37925.64583</v>
      </c>
      <c r="C43" s="2">
        <f>IFERROR(__xludf.DUMMYFUNCTION("""COMPUTED_VALUE"""),26.8)</f>
        <v>26.8</v>
      </c>
    </row>
    <row r="44" ht="15.75" customHeight="1">
      <c r="B44" s="3">
        <f>IFERROR(__xludf.DUMMYFUNCTION("""COMPUTED_VALUE"""),37932.645833333336)</f>
        <v>37932.64583</v>
      </c>
      <c r="C44" s="2">
        <f>IFERROR(__xludf.DUMMYFUNCTION("""COMPUTED_VALUE"""),27.6)</f>
        <v>27.6</v>
      </c>
    </row>
    <row r="45" ht="15.75" customHeight="1">
      <c r="B45" s="3">
        <f>IFERROR(__xludf.DUMMYFUNCTION("""COMPUTED_VALUE"""),37946.645833333336)</f>
        <v>37946.64583</v>
      </c>
      <c r="C45" s="2">
        <f>IFERROR(__xludf.DUMMYFUNCTION("""COMPUTED_VALUE"""),27.45)</f>
        <v>27.45</v>
      </c>
    </row>
    <row r="46" ht="15.75" customHeight="1">
      <c r="B46" s="3">
        <f>IFERROR(__xludf.DUMMYFUNCTION("""COMPUTED_VALUE"""),37953.645833333336)</f>
        <v>37953.64583</v>
      </c>
      <c r="C46" s="2">
        <f>IFERROR(__xludf.DUMMYFUNCTION("""COMPUTED_VALUE"""),26.25)</f>
        <v>26.25</v>
      </c>
    </row>
    <row r="47" ht="15.75" customHeight="1">
      <c r="B47" s="3">
        <f>IFERROR(__xludf.DUMMYFUNCTION("""COMPUTED_VALUE"""),37960.645833333336)</f>
        <v>37960.64583</v>
      </c>
      <c r="C47" s="2">
        <f>IFERROR(__xludf.DUMMYFUNCTION("""COMPUTED_VALUE"""),31.23)</f>
        <v>31.23</v>
      </c>
    </row>
    <row r="48" ht="15.75" customHeight="1">
      <c r="B48" s="3">
        <f>IFERROR(__xludf.DUMMYFUNCTION("""COMPUTED_VALUE"""),37967.645833333336)</f>
        <v>37967.64583</v>
      </c>
      <c r="C48" s="2">
        <f>IFERROR(__xludf.DUMMYFUNCTION("""COMPUTED_VALUE"""),32.07)</f>
        <v>32.07</v>
      </c>
    </row>
    <row r="49" ht="15.75" customHeight="1">
      <c r="B49" s="3">
        <f>IFERROR(__xludf.DUMMYFUNCTION("""COMPUTED_VALUE"""),37974.645833333336)</f>
        <v>37974.64583</v>
      </c>
      <c r="C49" s="2">
        <f>IFERROR(__xludf.DUMMYFUNCTION("""COMPUTED_VALUE"""),33.5)</f>
        <v>33.5</v>
      </c>
    </row>
    <row r="50" ht="15.75" customHeight="1">
      <c r="B50" s="3">
        <f>IFERROR(__xludf.DUMMYFUNCTION("""COMPUTED_VALUE"""),37981.645833333336)</f>
        <v>37981.64583</v>
      </c>
      <c r="C50" s="2">
        <f>IFERROR(__xludf.DUMMYFUNCTION("""COMPUTED_VALUE"""),33.4)</f>
        <v>33.4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2" t="str">
        <f>IFERROR(__xludf.DUMMYFUNCTION("GOOGLEFINANCE(""NSE:TATACONSUM"", ""high"",DATE(2004,1,1),DATE(2005,1,1),""weekly"")"),"Date")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IFERROR(__xludf.DUMMYFUNCTION("""COMPUTED_VALUE"""),37988.645833333336)</f>
        <v>37988.64583</v>
      </c>
      <c r="C57" s="2">
        <f>IFERROR(__xludf.DUMMYFUNCTION("""COMPUTED_VALUE"""),37.77)</f>
        <v>37.77</v>
      </c>
    </row>
    <row r="58" ht="15.75" customHeight="1">
      <c r="B58" s="3">
        <f>IFERROR(__xludf.DUMMYFUNCTION("""COMPUTED_VALUE"""),37995.645833333336)</f>
        <v>37995.64583</v>
      </c>
      <c r="C58" s="2">
        <f>IFERROR(__xludf.DUMMYFUNCTION("""COMPUTED_VALUE"""),41.2)</f>
        <v>41.2</v>
      </c>
    </row>
    <row r="59" ht="15.75" customHeight="1">
      <c r="B59" s="3">
        <f>IFERROR(__xludf.DUMMYFUNCTION("""COMPUTED_VALUE"""),38002.645833333336)</f>
        <v>38002.64583</v>
      </c>
      <c r="C59" s="2">
        <f>IFERROR(__xludf.DUMMYFUNCTION("""COMPUTED_VALUE"""),41.95)</f>
        <v>41.95</v>
      </c>
    </row>
    <row r="60" ht="15.75" customHeight="1">
      <c r="B60" s="3">
        <f>IFERROR(__xludf.DUMMYFUNCTION("""COMPUTED_VALUE"""),38009.645833333336)</f>
        <v>38009.64583</v>
      </c>
      <c r="C60" s="2">
        <f>IFERROR(__xludf.DUMMYFUNCTION("""COMPUTED_VALUE"""),40.48)</f>
        <v>40.48</v>
      </c>
    </row>
    <row r="61" ht="15.75" customHeight="1">
      <c r="B61" s="3">
        <f>IFERROR(__xludf.DUMMYFUNCTION("""COMPUTED_VALUE"""),38016.645833333336)</f>
        <v>38016.64583</v>
      </c>
      <c r="C61" s="2">
        <f>IFERROR(__xludf.DUMMYFUNCTION("""COMPUTED_VALUE"""),40.8)</f>
        <v>40.8</v>
      </c>
    </row>
    <row r="62" ht="15.75" customHeight="1">
      <c r="B62" s="3">
        <f>IFERROR(__xludf.DUMMYFUNCTION("""COMPUTED_VALUE"""),38023.645833333336)</f>
        <v>38023.64583</v>
      </c>
      <c r="C62" s="2">
        <f>IFERROR(__xludf.DUMMYFUNCTION("""COMPUTED_VALUE"""),37.7)</f>
        <v>37.7</v>
      </c>
    </row>
    <row r="63" ht="15.75" customHeight="1">
      <c r="B63" s="3">
        <f>IFERROR(__xludf.DUMMYFUNCTION("""COMPUTED_VALUE"""),38030.645833333336)</f>
        <v>38030.64583</v>
      </c>
      <c r="C63" s="2">
        <f>IFERROR(__xludf.DUMMYFUNCTION("""COMPUTED_VALUE"""),38.5)</f>
        <v>38.5</v>
      </c>
    </row>
    <row r="64" ht="15.75" customHeight="1">
      <c r="B64" s="3">
        <f>IFERROR(__xludf.DUMMYFUNCTION("""COMPUTED_VALUE"""),38037.645833333336)</f>
        <v>38037.64583</v>
      </c>
      <c r="C64" s="2">
        <f>IFERROR(__xludf.DUMMYFUNCTION("""COMPUTED_VALUE"""),39.89)</f>
        <v>39.89</v>
      </c>
    </row>
    <row r="65" ht="15.75" customHeight="1">
      <c r="B65" s="3">
        <f>IFERROR(__xludf.DUMMYFUNCTION("""COMPUTED_VALUE"""),38044.645833333336)</f>
        <v>38044.64583</v>
      </c>
      <c r="C65" s="2">
        <f>IFERROR(__xludf.DUMMYFUNCTION("""COMPUTED_VALUE"""),38.39)</f>
        <v>38.39</v>
      </c>
    </row>
    <row r="66" ht="15.75" customHeight="1">
      <c r="B66" s="3">
        <f>IFERROR(__xludf.DUMMYFUNCTION("""COMPUTED_VALUE"""),38051.645833333336)</f>
        <v>38051.64583</v>
      </c>
      <c r="C66" s="2">
        <f>IFERROR(__xludf.DUMMYFUNCTION("""COMPUTED_VALUE"""),37.6)</f>
        <v>37.6</v>
      </c>
    </row>
    <row r="67" ht="15.75" customHeight="1">
      <c r="B67" s="3">
        <f>IFERROR(__xludf.DUMMYFUNCTION("""COMPUTED_VALUE"""),38058.645833333336)</f>
        <v>38058.64583</v>
      </c>
      <c r="C67" s="2">
        <f>IFERROR(__xludf.DUMMYFUNCTION("""COMPUTED_VALUE"""),38.26)</f>
        <v>38.26</v>
      </c>
    </row>
    <row r="68" ht="15.75" customHeight="1">
      <c r="B68" s="3">
        <f>IFERROR(__xludf.DUMMYFUNCTION("""COMPUTED_VALUE"""),38065.645833333336)</f>
        <v>38065.64583</v>
      </c>
      <c r="C68" s="2">
        <f>IFERROR(__xludf.DUMMYFUNCTION("""COMPUTED_VALUE"""),36.6)</f>
        <v>36.6</v>
      </c>
    </row>
    <row r="69" ht="15.75" customHeight="1">
      <c r="B69" s="3">
        <f>IFERROR(__xludf.DUMMYFUNCTION("""COMPUTED_VALUE"""),38072.645833333336)</f>
        <v>38072.64583</v>
      </c>
      <c r="C69" s="2">
        <f>IFERROR(__xludf.DUMMYFUNCTION("""COMPUTED_VALUE"""),32.9)</f>
        <v>32.9</v>
      </c>
    </row>
    <row r="70" ht="15.75" customHeight="1">
      <c r="B70" s="3">
        <f>IFERROR(__xludf.DUMMYFUNCTION("""COMPUTED_VALUE"""),38079.645833333336)</f>
        <v>38079.64583</v>
      </c>
      <c r="C70" s="2">
        <f>IFERROR(__xludf.DUMMYFUNCTION("""COMPUTED_VALUE"""),34.7)</f>
        <v>34.7</v>
      </c>
    </row>
    <row r="71" ht="15.75" customHeight="1">
      <c r="B71" s="3">
        <f>IFERROR(__xludf.DUMMYFUNCTION("""COMPUTED_VALUE"""),38085.645833333336)</f>
        <v>38085.64583</v>
      </c>
      <c r="C71" s="2">
        <f>IFERROR(__xludf.DUMMYFUNCTION("""COMPUTED_VALUE"""),34.58)</f>
        <v>34.58</v>
      </c>
    </row>
    <row r="72" ht="15.75" customHeight="1">
      <c r="B72" s="3">
        <f>IFERROR(__xludf.DUMMYFUNCTION("""COMPUTED_VALUE"""),38100.645833333336)</f>
        <v>38100.64583</v>
      </c>
      <c r="C72" s="2">
        <f>IFERROR(__xludf.DUMMYFUNCTION("""COMPUTED_VALUE"""),37.94)</f>
        <v>37.94</v>
      </c>
    </row>
    <row r="73" ht="15.75" customHeight="1">
      <c r="B73" s="3">
        <f>IFERROR(__xludf.DUMMYFUNCTION("""COMPUTED_VALUE"""),38107.645833333336)</f>
        <v>38107.64583</v>
      </c>
      <c r="C73" s="2">
        <f>IFERROR(__xludf.DUMMYFUNCTION("""COMPUTED_VALUE"""),38.9)</f>
        <v>38.9</v>
      </c>
    </row>
    <row r="74" ht="15.75" customHeight="1">
      <c r="B74" s="3">
        <f>IFERROR(__xludf.DUMMYFUNCTION("""COMPUTED_VALUE"""),38114.645833333336)</f>
        <v>38114.64583</v>
      </c>
      <c r="C74" s="2">
        <f>IFERROR(__xludf.DUMMYFUNCTION("""COMPUTED_VALUE"""),39.1)</f>
        <v>39.1</v>
      </c>
    </row>
    <row r="75" ht="15.75" customHeight="1">
      <c r="B75" s="3">
        <f>IFERROR(__xludf.DUMMYFUNCTION("""COMPUTED_VALUE"""),38121.645833333336)</f>
        <v>38121.64583</v>
      </c>
      <c r="C75" s="2">
        <f>IFERROR(__xludf.DUMMYFUNCTION("""COMPUTED_VALUE"""),39.43)</f>
        <v>39.43</v>
      </c>
    </row>
    <row r="76" ht="15.75" customHeight="1">
      <c r="B76" s="3">
        <f>IFERROR(__xludf.DUMMYFUNCTION("""COMPUTED_VALUE"""),38128.645833333336)</f>
        <v>38128.64583</v>
      </c>
      <c r="C76" s="2">
        <f>IFERROR(__xludf.DUMMYFUNCTION("""COMPUTED_VALUE"""),36.39)</f>
        <v>36.39</v>
      </c>
    </row>
    <row r="77" ht="15.75" customHeight="1">
      <c r="B77" s="3">
        <f>IFERROR(__xludf.DUMMYFUNCTION("""COMPUTED_VALUE"""),38135.645833333336)</f>
        <v>38135.64583</v>
      </c>
      <c r="C77" s="2">
        <f>IFERROR(__xludf.DUMMYFUNCTION("""COMPUTED_VALUE"""),36.5)</f>
        <v>36.5</v>
      </c>
    </row>
    <row r="78" ht="15.75" customHeight="1">
      <c r="B78" s="3">
        <f>IFERROR(__xludf.DUMMYFUNCTION("""COMPUTED_VALUE"""),38142.645833333336)</f>
        <v>38142.64583</v>
      </c>
      <c r="C78" s="2">
        <f>IFERROR(__xludf.DUMMYFUNCTION("""COMPUTED_VALUE"""),34.88)</f>
        <v>34.88</v>
      </c>
    </row>
    <row r="79" ht="15.75" customHeight="1">
      <c r="B79" s="3">
        <f>IFERROR(__xludf.DUMMYFUNCTION("""COMPUTED_VALUE"""),38149.645833333336)</f>
        <v>38149.64583</v>
      </c>
      <c r="C79" s="2">
        <f>IFERROR(__xludf.DUMMYFUNCTION("""COMPUTED_VALUE"""),35.14)</f>
        <v>35.14</v>
      </c>
    </row>
    <row r="80" ht="15.75" customHeight="1">
      <c r="B80" s="3">
        <f>IFERROR(__xludf.DUMMYFUNCTION("""COMPUTED_VALUE"""),38156.645833333336)</f>
        <v>38156.64583</v>
      </c>
      <c r="C80" s="2">
        <f>IFERROR(__xludf.DUMMYFUNCTION("""COMPUTED_VALUE"""),34.8)</f>
        <v>34.8</v>
      </c>
    </row>
    <row r="81" ht="15.75" customHeight="1">
      <c r="B81" s="3">
        <f>IFERROR(__xludf.DUMMYFUNCTION("""COMPUTED_VALUE"""),38163.645833333336)</f>
        <v>38163.64583</v>
      </c>
      <c r="C81" s="2">
        <f>IFERROR(__xludf.DUMMYFUNCTION("""COMPUTED_VALUE"""),35.47)</f>
        <v>35.47</v>
      </c>
    </row>
    <row r="82" ht="15.75" customHeight="1">
      <c r="B82" s="3">
        <f>IFERROR(__xludf.DUMMYFUNCTION("""COMPUTED_VALUE"""),38170.645833333336)</f>
        <v>38170.64583</v>
      </c>
      <c r="C82" s="2">
        <f>IFERROR(__xludf.DUMMYFUNCTION("""COMPUTED_VALUE"""),38.45)</f>
        <v>38.45</v>
      </c>
    </row>
    <row r="83" ht="15.75" customHeight="1">
      <c r="B83" s="3">
        <f>IFERROR(__xludf.DUMMYFUNCTION("""COMPUTED_VALUE"""),38177.645833333336)</f>
        <v>38177.64583</v>
      </c>
      <c r="C83" s="2">
        <f>IFERROR(__xludf.DUMMYFUNCTION("""COMPUTED_VALUE"""),40.57)</f>
        <v>40.57</v>
      </c>
    </row>
    <row r="84" ht="15.75" customHeight="1">
      <c r="B84" s="3">
        <f>IFERROR(__xludf.DUMMYFUNCTION("""COMPUTED_VALUE"""),38184.645833333336)</f>
        <v>38184.64583</v>
      </c>
      <c r="C84" s="2">
        <f>IFERROR(__xludf.DUMMYFUNCTION("""COMPUTED_VALUE"""),39.75)</f>
        <v>39.75</v>
      </c>
    </row>
    <row r="85" ht="15.75" customHeight="1">
      <c r="B85" s="3">
        <f>IFERROR(__xludf.DUMMYFUNCTION("""COMPUTED_VALUE"""),38191.645833333336)</f>
        <v>38191.64583</v>
      </c>
      <c r="C85" s="2">
        <f>IFERROR(__xludf.DUMMYFUNCTION("""COMPUTED_VALUE"""),41.2)</f>
        <v>41.2</v>
      </c>
    </row>
    <row r="86" ht="15.75" customHeight="1">
      <c r="B86" s="3">
        <f>IFERROR(__xludf.DUMMYFUNCTION("""COMPUTED_VALUE"""),38198.645833333336)</f>
        <v>38198.64583</v>
      </c>
      <c r="C86" s="2">
        <f>IFERROR(__xludf.DUMMYFUNCTION("""COMPUTED_VALUE"""),42.63)</f>
        <v>42.63</v>
      </c>
    </row>
    <row r="87" ht="15.75" customHeight="1">
      <c r="B87" s="3">
        <f>IFERROR(__xludf.DUMMYFUNCTION("""COMPUTED_VALUE"""),38205.645833333336)</f>
        <v>38205.64583</v>
      </c>
      <c r="C87" s="2">
        <f>IFERROR(__xludf.DUMMYFUNCTION("""COMPUTED_VALUE"""),42.9)</f>
        <v>42.9</v>
      </c>
    </row>
    <row r="88" ht="15.75" customHeight="1">
      <c r="B88" s="3">
        <f>IFERROR(__xludf.DUMMYFUNCTION("""COMPUTED_VALUE"""),38212.645833333336)</f>
        <v>38212.64583</v>
      </c>
      <c r="C88" s="2">
        <f>IFERROR(__xludf.DUMMYFUNCTION("""COMPUTED_VALUE"""),41.85)</f>
        <v>41.85</v>
      </c>
    </row>
    <row r="89" ht="15.75" customHeight="1">
      <c r="B89" s="3">
        <f>IFERROR(__xludf.DUMMYFUNCTION("""COMPUTED_VALUE"""),38219.645833333336)</f>
        <v>38219.64583</v>
      </c>
      <c r="C89" s="2">
        <f>IFERROR(__xludf.DUMMYFUNCTION("""COMPUTED_VALUE"""),40.3)</f>
        <v>40.3</v>
      </c>
    </row>
    <row r="90" ht="15.75" customHeight="1">
      <c r="B90" s="3">
        <f>IFERROR(__xludf.DUMMYFUNCTION("""COMPUTED_VALUE"""),38226.645833333336)</f>
        <v>38226.64583</v>
      </c>
      <c r="C90" s="2">
        <f>IFERROR(__xludf.DUMMYFUNCTION("""COMPUTED_VALUE"""),40.6)</f>
        <v>40.6</v>
      </c>
    </row>
    <row r="91" ht="15.75" customHeight="1">
      <c r="B91" s="3">
        <f>IFERROR(__xludf.DUMMYFUNCTION("""COMPUTED_VALUE"""),38233.645833333336)</f>
        <v>38233.64583</v>
      </c>
      <c r="C91" s="2">
        <f>IFERROR(__xludf.DUMMYFUNCTION("""COMPUTED_VALUE"""),43.2)</f>
        <v>43.2</v>
      </c>
    </row>
    <row r="92" ht="15.75" customHeight="1">
      <c r="B92" s="3">
        <f>IFERROR(__xludf.DUMMYFUNCTION("""COMPUTED_VALUE"""),38240.645833333336)</f>
        <v>38240.64583</v>
      </c>
      <c r="C92" s="2">
        <f>IFERROR(__xludf.DUMMYFUNCTION("""COMPUTED_VALUE"""),43.68)</f>
        <v>43.68</v>
      </c>
    </row>
    <row r="93" ht="15.75" customHeight="1">
      <c r="B93" s="3">
        <f>IFERROR(__xludf.DUMMYFUNCTION("""COMPUTED_VALUE"""),38247.645833333336)</f>
        <v>38247.64583</v>
      </c>
      <c r="C93" s="2">
        <f>IFERROR(__xludf.DUMMYFUNCTION("""COMPUTED_VALUE"""),44.4)</f>
        <v>44.4</v>
      </c>
    </row>
    <row r="94" ht="15.75" customHeight="1">
      <c r="B94" s="3">
        <f>IFERROR(__xludf.DUMMYFUNCTION("""COMPUTED_VALUE"""),38254.645833333336)</f>
        <v>38254.64583</v>
      </c>
      <c r="C94" s="2">
        <f>IFERROR(__xludf.DUMMYFUNCTION("""COMPUTED_VALUE"""),45.0)</f>
        <v>45</v>
      </c>
    </row>
    <row r="95" ht="15.75" customHeight="1">
      <c r="B95" s="3">
        <f>IFERROR(__xludf.DUMMYFUNCTION("""COMPUTED_VALUE"""),38261.645833333336)</f>
        <v>38261.64583</v>
      </c>
      <c r="C95" s="2">
        <f>IFERROR(__xludf.DUMMYFUNCTION("""COMPUTED_VALUE"""),43.6)</f>
        <v>43.6</v>
      </c>
    </row>
    <row r="96" ht="15.75" customHeight="1">
      <c r="B96" s="3">
        <f>IFERROR(__xludf.DUMMYFUNCTION("""COMPUTED_VALUE"""),38275.645833333336)</f>
        <v>38275.64583</v>
      </c>
      <c r="C96" s="2">
        <f>IFERROR(__xludf.DUMMYFUNCTION("""COMPUTED_VALUE"""),43.49)</f>
        <v>43.49</v>
      </c>
    </row>
    <row r="97" ht="15.75" customHeight="1">
      <c r="B97" s="3">
        <f>IFERROR(__xludf.DUMMYFUNCTION("""COMPUTED_VALUE"""),38281.645833333336)</f>
        <v>38281.64583</v>
      </c>
      <c r="C97" s="2">
        <f>IFERROR(__xludf.DUMMYFUNCTION("""COMPUTED_VALUE"""),42.79)</f>
        <v>42.79</v>
      </c>
    </row>
    <row r="98" ht="15.75" customHeight="1">
      <c r="B98" s="3">
        <f>IFERROR(__xludf.DUMMYFUNCTION("""COMPUTED_VALUE"""),38289.645833333336)</f>
        <v>38289.64583</v>
      </c>
      <c r="C98" s="2">
        <f>IFERROR(__xludf.DUMMYFUNCTION("""COMPUTED_VALUE"""),41.98)</f>
        <v>41.98</v>
      </c>
    </row>
    <row r="99" ht="15.75" customHeight="1">
      <c r="B99" s="3">
        <f>IFERROR(__xludf.DUMMYFUNCTION("""COMPUTED_VALUE"""),38296.645833333336)</f>
        <v>38296.64583</v>
      </c>
      <c r="C99" s="2">
        <f>IFERROR(__xludf.DUMMYFUNCTION("""COMPUTED_VALUE"""),42.99)</f>
        <v>42.99</v>
      </c>
    </row>
    <row r="100" ht="15.75" customHeight="1">
      <c r="B100" s="3">
        <f>IFERROR(__xludf.DUMMYFUNCTION("""COMPUTED_VALUE"""),38303.645833333336)</f>
        <v>38303.64583</v>
      </c>
      <c r="C100" s="2">
        <f>IFERROR(__xludf.DUMMYFUNCTION("""COMPUTED_VALUE"""),42.88)</f>
        <v>42.88</v>
      </c>
    </row>
    <row r="101" ht="15.75" customHeight="1">
      <c r="B101" s="3">
        <f>IFERROR(__xludf.DUMMYFUNCTION("""COMPUTED_VALUE"""),38310.645833333336)</f>
        <v>38310.64583</v>
      </c>
      <c r="C101" s="2">
        <f>IFERROR(__xludf.DUMMYFUNCTION("""COMPUTED_VALUE"""),43.4)</f>
        <v>43.4</v>
      </c>
    </row>
    <row r="102" ht="15.75" customHeight="1">
      <c r="B102" s="3">
        <f>IFERROR(__xludf.DUMMYFUNCTION("""COMPUTED_VALUE"""),38316.645833333336)</f>
        <v>38316.64583</v>
      </c>
      <c r="C102" s="2">
        <f>IFERROR(__xludf.DUMMYFUNCTION("""COMPUTED_VALUE"""),45.15)</f>
        <v>45.15</v>
      </c>
    </row>
    <row r="103" ht="15.75" customHeight="1">
      <c r="B103" s="3">
        <f>IFERROR(__xludf.DUMMYFUNCTION("""COMPUTED_VALUE"""),38324.645833333336)</f>
        <v>38324.64583</v>
      </c>
      <c r="C103" s="2">
        <f>IFERROR(__xludf.DUMMYFUNCTION("""COMPUTED_VALUE"""),47.0)</f>
        <v>47</v>
      </c>
    </row>
    <row r="104" ht="15.75" customHeight="1">
      <c r="B104" s="3">
        <f>IFERROR(__xludf.DUMMYFUNCTION("""COMPUTED_VALUE"""),38331.645833333336)</f>
        <v>38331.64583</v>
      </c>
      <c r="C104" s="2">
        <f>IFERROR(__xludf.DUMMYFUNCTION("""COMPUTED_VALUE"""),47.0)</f>
        <v>47</v>
      </c>
    </row>
    <row r="105" ht="15.75" customHeight="1">
      <c r="B105" s="3">
        <f>IFERROR(__xludf.DUMMYFUNCTION("""COMPUTED_VALUE"""),38338.645833333336)</f>
        <v>38338.64583</v>
      </c>
      <c r="C105" s="2">
        <f>IFERROR(__xludf.DUMMYFUNCTION("""COMPUTED_VALUE"""),47.2)</f>
        <v>47.2</v>
      </c>
    </row>
    <row r="106" ht="15.75" customHeight="1">
      <c r="B106" s="3">
        <f>IFERROR(__xludf.DUMMYFUNCTION("""COMPUTED_VALUE"""),38345.645833333336)</f>
        <v>38345.64583</v>
      </c>
      <c r="C106" s="2">
        <f>IFERROR(__xludf.DUMMYFUNCTION("""COMPUTED_VALUE"""),48.85)</f>
        <v>48.85</v>
      </c>
    </row>
    <row r="107" ht="15.75" customHeight="1">
      <c r="B107" s="3">
        <f>IFERROR(__xludf.DUMMYFUNCTION("""COMPUTED_VALUE"""),38352.645833333336)</f>
        <v>38352.64583</v>
      </c>
      <c r="C107" s="2">
        <f>IFERROR(__xludf.DUMMYFUNCTION("""COMPUTED_VALUE"""),48.5)</f>
        <v>48.5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IFERROR(__xludf.DUMMYFUNCTION("GOOGLEFINANCE(""NSE:TATACONSUM"", ""high"",DATE(2005,1,1),DATE(2006,1,1),""weekly"")"),"Date")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IFERROR(__xludf.DUMMYFUNCTION("""COMPUTED_VALUE"""),38359.645833333336)</f>
        <v>38359.64583</v>
      </c>
      <c r="C112" s="2">
        <f>IFERROR(__xludf.DUMMYFUNCTION("""COMPUTED_VALUE"""),52.2)</f>
        <v>52.2</v>
      </c>
    </row>
    <row r="113" ht="15.75" customHeight="1">
      <c r="B113" s="3">
        <f>IFERROR(__xludf.DUMMYFUNCTION("""COMPUTED_VALUE"""),38366.645833333336)</f>
        <v>38366.64583</v>
      </c>
      <c r="C113" s="2">
        <f>IFERROR(__xludf.DUMMYFUNCTION("""COMPUTED_VALUE"""),52.74)</f>
        <v>52.74</v>
      </c>
    </row>
    <row r="114" ht="15.75" customHeight="1">
      <c r="B114" s="3">
        <f>IFERROR(__xludf.DUMMYFUNCTION("""COMPUTED_VALUE"""),38372.645833333336)</f>
        <v>38372.64583</v>
      </c>
      <c r="C114" s="2">
        <f>IFERROR(__xludf.DUMMYFUNCTION("""COMPUTED_VALUE"""),47.3)</f>
        <v>47.3</v>
      </c>
    </row>
    <row r="115" ht="15.75" customHeight="1">
      <c r="B115" s="3">
        <f>IFERROR(__xludf.DUMMYFUNCTION("""COMPUTED_VALUE"""),38380.645833333336)</f>
        <v>38380.64583</v>
      </c>
      <c r="C115" s="2">
        <f>IFERROR(__xludf.DUMMYFUNCTION("""COMPUTED_VALUE"""),49.5)</f>
        <v>49.5</v>
      </c>
    </row>
    <row r="116" ht="15.75" customHeight="1">
      <c r="B116" s="3">
        <f>IFERROR(__xludf.DUMMYFUNCTION("""COMPUTED_VALUE"""),38387.645833333336)</f>
        <v>38387.64583</v>
      </c>
      <c r="C116" s="2">
        <f>IFERROR(__xludf.DUMMYFUNCTION("""COMPUTED_VALUE"""),51.0)</f>
        <v>51</v>
      </c>
    </row>
    <row r="117" ht="15.75" customHeight="1">
      <c r="B117" s="3">
        <f>IFERROR(__xludf.DUMMYFUNCTION("""COMPUTED_VALUE"""),38394.645833333336)</f>
        <v>38394.64583</v>
      </c>
      <c r="C117" s="2">
        <f>IFERROR(__xludf.DUMMYFUNCTION("""COMPUTED_VALUE"""),55.96)</f>
        <v>55.96</v>
      </c>
    </row>
    <row r="118" ht="15.75" customHeight="1">
      <c r="B118" s="3">
        <f>IFERROR(__xludf.DUMMYFUNCTION("""COMPUTED_VALUE"""),38401.645833333336)</f>
        <v>38401.64583</v>
      </c>
      <c r="C118" s="2">
        <f>IFERROR(__xludf.DUMMYFUNCTION("""COMPUTED_VALUE"""),56.6)</f>
        <v>56.6</v>
      </c>
    </row>
    <row r="119" ht="15.75" customHeight="1">
      <c r="B119" s="3">
        <f>IFERROR(__xludf.DUMMYFUNCTION("""COMPUTED_VALUE"""),38408.645833333336)</f>
        <v>38408.64583</v>
      </c>
      <c r="C119" s="2">
        <f>IFERROR(__xludf.DUMMYFUNCTION("""COMPUTED_VALUE"""),54.5)</f>
        <v>54.5</v>
      </c>
    </row>
    <row r="120" ht="15.75" customHeight="1">
      <c r="B120" s="3">
        <f>IFERROR(__xludf.DUMMYFUNCTION("""COMPUTED_VALUE"""),38415.645833333336)</f>
        <v>38415.64583</v>
      </c>
      <c r="C120" s="2">
        <f>IFERROR(__xludf.DUMMYFUNCTION("""COMPUTED_VALUE"""),56.29)</f>
        <v>56.29</v>
      </c>
    </row>
    <row r="121" ht="15.75" customHeight="1">
      <c r="B121" s="3">
        <f>IFERROR(__xludf.DUMMYFUNCTION("""COMPUTED_VALUE"""),38422.645833333336)</f>
        <v>38422.64583</v>
      </c>
      <c r="C121" s="2">
        <f>IFERROR(__xludf.DUMMYFUNCTION("""COMPUTED_VALUE"""),56.74)</f>
        <v>56.74</v>
      </c>
    </row>
    <row r="122" ht="15.75" customHeight="1">
      <c r="B122" s="3">
        <f>IFERROR(__xludf.DUMMYFUNCTION("""COMPUTED_VALUE"""),38429.645833333336)</f>
        <v>38429.64583</v>
      </c>
      <c r="C122" s="2">
        <f>IFERROR(__xludf.DUMMYFUNCTION("""COMPUTED_VALUE"""),54.9)</f>
        <v>54.9</v>
      </c>
    </row>
    <row r="123" ht="15.75" customHeight="1">
      <c r="B123" s="3">
        <f>IFERROR(__xludf.DUMMYFUNCTION("""COMPUTED_VALUE"""),38435.645833333336)</f>
        <v>38435.64583</v>
      </c>
      <c r="C123" s="2">
        <f>IFERROR(__xludf.DUMMYFUNCTION("""COMPUTED_VALUE"""),52.64)</f>
        <v>52.64</v>
      </c>
    </row>
    <row r="124" ht="15.75" customHeight="1">
      <c r="B124" s="3">
        <f>IFERROR(__xludf.DUMMYFUNCTION("""COMPUTED_VALUE"""),38443.645833333336)</f>
        <v>38443.64583</v>
      </c>
      <c r="C124" s="2">
        <f>IFERROR(__xludf.DUMMYFUNCTION("""COMPUTED_VALUE"""),54.0)</f>
        <v>54</v>
      </c>
    </row>
    <row r="125" ht="15.75" customHeight="1">
      <c r="B125" s="3">
        <f>IFERROR(__xludf.DUMMYFUNCTION("""COMPUTED_VALUE"""),38450.645833333336)</f>
        <v>38450.64583</v>
      </c>
      <c r="C125" s="2">
        <f>IFERROR(__xludf.DUMMYFUNCTION("""COMPUTED_VALUE"""),53.9)</f>
        <v>53.9</v>
      </c>
    </row>
    <row r="126" ht="15.75" customHeight="1">
      <c r="B126" s="3">
        <f>IFERROR(__xludf.DUMMYFUNCTION("""COMPUTED_VALUE"""),38457.645833333336)</f>
        <v>38457.64583</v>
      </c>
      <c r="C126" s="2">
        <f>IFERROR(__xludf.DUMMYFUNCTION("""COMPUTED_VALUE"""),52.9)</f>
        <v>52.9</v>
      </c>
    </row>
    <row r="127" ht="15.75" customHeight="1">
      <c r="B127" s="3">
        <f>IFERROR(__xludf.DUMMYFUNCTION("""COMPUTED_VALUE"""),38464.645833333336)</f>
        <v>38464.64583</v>
      </c>
      <c r="C127" s="2">
        <f>IFERROR(__xludf.DUMMYFUNCTION("""COMPUTED_VALUE"""),53.2)</f>
        <v>53.2</v>
      </c>
    </row>
    <row r="128" ht="15.75" customHeight="1">
      <c r="B128" s="3">
        <f>IFERROR(__xludf.DUMMYFUNCTION("""COMPUTED_VALUE"""),38471.645833333336)</f>
        <v>38471.64583</v>
      </c>
      <c r="C128" s="2">
        <f>IFERROR(__xludf.DUMMYFUNCTION("""COMPUTED_VALUE"""),54.6)</f>
        <v>54.6</v>
      </c>
    </row>
    <row r="129" ht="15.75" customHeight="1">
      <c r="B129" s="3">
        <f>IFERROR(__xludf.DUMMYFUNCTION("""COMPUTED_VALUE"""),38478.645833333336)</f>
        <v>38478.64583</v>
      </c>
      <c r="C129" s="2">
        <f>IFERROR(__xludf.DUMMYFUNCTION("""COMPUTED_VALUE"""),54.9)</f>
        <v>54.9</v>
      </c>
    </row>
    <row r="130" ht="15.75" customHeight="1">
      <c r="B130" s="3">
        <f>IFERROR(__xludf.DUMMYFUNCTION("""COMPUTED_VALUE"""),38485.645833333336)</f>
        <v>38485.64583</v>
      </c>
      <c r="C130" s="2">
        <f>IFERROR(__xludf.DUMMYFUNCTION("""COMPUTED_VALUE"""),55.75)</f>
        <v>55.75</v>
      </c>
    </row>
    <row r="131" ht="15.75" customHeight="1">
      <c r="B131" s="3">
        <f>IFERROR(__xludf.DUMMYFUNCTION("""COMPUTED_VALUE"""),38492.645833333336)</f>
        <v>38492.64583</v>
      </c>
      <c r="C131" s="2">
        <f>IFERROR(__xludf.DUMMYFUNCTION("""COMPUTED_VALUE"""),54.98)</f>
        <v>54.98</v>
      </c>
    </row>
    <row r="132" ht="15.75" customHeight="1">
      <c r="B132" s="3">
        <f>IFERROR(__xludf.DUMMYFUNCTION("""COMPUTED_VALUE"""),38499.645833333336)</f>
        <v>38499.64583</v>
      </c>
      <c r="C132" s="2">
        <f>IFERROR(__xludf.DUMMYFUNCTION("""COMPUTED_VALUE"""),56.54)</f>
        <v>56.54</v>
      </c>
    </row>
    <row r="133" ht="15.75" customHeight="1">
      <c r="B133" s="3">
        <f>IFERROR(__xludf.DUMMYFUNCTION("""COMPUTED_VALUE"""),38513.645833333336)</f>
        <v>38513.64583</v>
      </c>
      <c r="C133" s="2">
        <f>IFERROR(__xludf.DUMMYFUNCTION("""COMPUTED_VALUE"""),61.0)</f>
        <v>61</v>
      </c>
    </row>
    <row r="134" ht="15.75" customHeight="1">
      <c r="B134" s="3">
        <f>IFERROR(__xludf.DUMMYFUNCTION("""COMPUTED_VALUE"""),38520.645833333336)</f>
        <v>38520.64583</v>
      </c>
      <c r="C134" s="2">
        <f>IFERROR(__xludf.DUMMYFUNCTION("""COMPUTED_VALUE"""),59.4)</f>
        <v>59.4</v>
      </c>
    </row>
    <row r="135" ht="15.75" customHeight="1">
      <c r="B135" s="3">
        <f>IFERROR(__xludf.DUMMYFUNCTION("""COMPUTED_VALUE"""),38527.645833333336)</f>
        <v>38527.64583</v>
      </c>
      <c r="C135" s="2">
        <f>IFERROR(__xludf.DUMMYFUNCTION("""COMPUTED_VALUE"""),62.98)</f>
        <v>62.98</v>
      </c>
    </row>
    <row r="136" ht="15.75" customHeight="1">
      <c r="B136" s="3">
        <f>IFERROR(__xludf.DUMMYFUNCTION("""COMPUTED_VALUE"""),38534.645833333336)</f>
        <v>38534.64583</v>
      </c>
      <c r="C136" s="2">
        <f>IFERROR(__xludf.DUMMYFUNCTION("""COMPUTED_VALUE"""),64.34)</f>
        <v>64.34</v>
      </c>
    </row>
    <row r="137" ht="15.75" customHeight="1">
      <c r="B137" s="3">
        <f>IFERROR(__xludf.DUMMYFUNCTION("""COMPUTED_VALUE"""),38541.645833333336)</f>
        <v>38541.64583</v>
      </c>
      <c r="C137" s="2">
        <f>IFERROR(__xludf.DUMMYFUNCTION("""COMPUTED_VALUE"""),64.47)</f>
        <v>64.47</v>
      </c>
    </row>
    <row r="138" ht="15.75" customHeight="1">
      <c r="B138" s="3">
        <f>IFERROR(__xludf.DUMMYFUNCTION("""COMPUTED_VALUE"""),38548.645833333336)</f>
        <v>38548.64583</v>
      </c>
      <c r="C138" s="2">
        <f>IFERROR(__xludf.DUMMYFUNCTION("""COMPUTED_VALUE"""),66.0)</f>
        <v>66</v>
      </c>
    </row>
    <row r="139" ht="15.75" customHeight="1">
      <c r="B139" s="3">
        <f>IFERROR(__xludf.DUMMYFUNCTION("""COMPUTED_VALUE"""),38555.645833333336)</f>
        <v>38555.64583</v>
      </c>
      <c r="C139" s="2">
        <f>IFERROR(__xludf.DUMMYFUNCTION("""COMPUTED_VALUE"""),68.3)</f>
        <v>68.3</v>
      </c>
    </row>
    <row r="140" ht="15.75" customHeight="1">
      <c r="B140" s="3">
        <f>IFERROR(__xludf.DUMMYFUNCTION("""COMPUTED_VALUE"""),38562.645833333336)</f>
        <v>38562.64583</v>
      </c>
      <c r="C140" s="2">
        <f>IFERROR(__xludf.DUMMYFUNCTION("""COMPUTED_VALUE"""),69.9)</f>
        <v>69.9</v>
      </c>
    </row>
    <row r="141" ht="15.75" customHeight="1">
      <c r="B141" s="3">
        <f>IFERROR(__xludf.DUMMYFUNCTION("""COMPUTED_VALUE"""),38569.645833333336)</f>
        <v>38569.64583</v>
      </c>
      <c r="C141" s="2">
        <f>IFERROR(__xludf.DUMMYFUNCTION("""COMPUTED_VALUE"""),72.15)</f>
        <v>72.15</v>
      </c>
    </row>
    <row r="142" ht="15.75" customHeight="1">
      <c r="B142" s="3">
        <f>IFERROR(__xludf.DUMMYFUNCTION("""COMPUTED_VALUE"""),38576.645833333336)</f>
        <v>38576.64583</v>
      </c>
      <c r="C142" s="2">
        <f>IFERROR(__xludf.DUMMYFUNCTION("""COMPUTED_VALUE"""),82.17)</f>
        <v>82.17</v>
      </c>
    </row>
    <row r="143" ht="15.75" customHeight="1">
      <c r="B143" s="3">
        <f>IFERROR(__xludf.DUMMYFUNCTION("""COMPUTED_VALUE"""),38583.645833333336)</f>
        <v>38583.64583</v>
      </c>
      <c r="C143" s="2">
        <f>IFERROR(__xludf.DUMMYFUNCTION("""COMPUTED_VALUE"""),86.0)</f>
        <v>86</v>
      </c>
    </row>
    <row r="144" ht="15.75" customHeight="1">
      <c r="B144" s="3">
        <f>IFERROR(__xludf.DUMMYFUNCTION("""COMPUTED_VALUE"""),38590.645833333336)</f>
        <v>38590.64583</v>
      </c>
      <c r="C144" s="2">
        <f>IFERROR(__xludf.DUMMYFUNCTION("""COMPUTED_VALUE"""),84.0)</f>
        <v>84</v>
      </c>
    </row>
    <row r="145" ht="15.75" customHeight="1">
      <c r="B145" s="3">
        <f>IFERROR(__xludf.DUMMYFUNCTION("""COMPUTED_VALUE"""),38597.645833333336)</f>
        <v>38597.64583</v>
      </c>
      <c r="C145" s="2">
        <f>IFERROR(__xludf.DUMMYFUNCTION("""COMPUTED_VALUE"""),83.68)</f>
        <v>83.68</v>
      </c>
    </row>
    <row r="146" ht="15.75" customHeight="1">
      <c r="B146" s="3">
        <f>IFERROR(__xludf.DUMMYFUNCTION("""COMPUTED_VALUE"""),38604.645833333336)</f>
        <v>38604.64583</v>
      </c>
      <c r="C146" s="2">
        <f>IFERROR(__xludf.DUMMYFUNCTION("""COMPUTED_VALUE"""),85.03)</f>
        <v>85.03</v>
      </c>
    </row>
    <row r="147" ht="15.75" customHeight="1">
      <c r="B147" s="3">
        <f>IFERROR(__xludf.DUMMYFUNCTION("""COMPUTED_VALUE"""),38611.645833333336)</f>
        <v>38611.64583</v>
      </c>
      <c r="C147" s="2">
        <f>IFERROR(__xludf.DUMMYFUNCTION("""COMPUTED_VALUE"""),87.99)</f>
        <v>87.99</v>
      </c>
    </row>
    <row r="148" ht="15.75" customHeight="1">
      <c r="B148" s="3">
        <f>IFERROR(__xludf.DUMMYFUNCTION("""COMPUTED_VALUE"""),38618.645833333336)</f>
        <v>38618.64583</v>
      </c>
      <c r="C148" s="2">
        <f>IFERROR(__xludf.DUMMYFUNCTION("""COMPUTED_VALUE"""),87.9)</f>
        <v>87.9</v>
      </c>
    </row>
    <row r="149" ht="15.75" customHeight="1">
      <c r="B149" s="3">
        <f>IFERROR(__xludf.DUMMYFUNCTION("""COMPUTED_VALUE"""),38625.645833333336)</f>
        <v>38625.64583</v>
      </c>
      <c r="C149" s="2">
        <f>IFERROR(__xludf.DUMMYFUNCTION("""COMPUTED_VALUE"""),87.2)</f>
        <v>87.2</v>
      </c>
    </row>
    <row r="150" ht="15.75" customHeight="1">
      <c r="B150" s="3">
        <f>IFERROR(__xludf.DUMMYFUNCTION("""COMPUTED_VALUE"""),38632.645833333336)</f>
        <v>38632.64583</v>
      </c>
      <c r="C150" s="2">
        <f>IFERROR(__xludf.DUMMYFUNCTION("""COMPUTED_VALUE"""),86.5)</f>
        <v>86.5</v>
      </c>
    </row>
    <row r="151" ht="15.75" customHeight="1">
      <c r="B151" s="3">
        <f>IFERROR(__xludf.DUMMYFUNCTION("""COMPUTED_VALUE"""),38639.645833333336)</f>
        <v>38639.64583</v>
      </c>
      <c r="C151" s="2">
        <f>IFERROR(__xludf.DUMMYFUNCTION("""COMPUTED_VALUE"""),83.97)</f>
        <v>83.97</v>
      </c>
    </row>
    <row r="152" ht="15.75" customHeight="1">
      <c r="B152" s="3">
        <f>IFERROR(__xludf.DUMMYFUNCTION("""COMPUTED_VALUE"""),38646.645833333336)</f>
        <v>38646.64583</v>
      </c>
      <c r="C152" s="2">
        <f>IFERROR(__xludf.DUMMYFUNCTION("""COMPUTED_VALUE"""),80.8)</f>
        <v>80.8</v>
      </c>
    </row>
    <row r="153" ht="15.75" customHeight="1">
      <c r="B153" s="3">
        <f>IFERROR(__xludf.DUMMYFUNCTION("""COMPUTED_VALUE"""),38653.645833333336)</f>
        <v>38653.64583</v>
      </c>
      <c r="C153" s="2">
        <f>IFERROR(__xludf.DUMMYFUNCTION("""COMPUTED_VALUE"""),80.5)</f>
        <v>80.5</v>
      </c>
    </row>
    <row r="154" ht="15.75" customHeight="1">
      <c r="B154" s="3">
        <f>IFERROR(__xludf.DUMMYFUNCTION("""COMPUTED_VALUE"""),38658.645833333336)</f>
        <v>38658.64583</v>
      </c>
      <c r="C154" s="2">
        <f>IFERROR(__xludf.DUMMYFUNCTION("""COMPUTED_VALUE"""),78.3)</f>
        <v>78.3</v>
      </c>
    </row>
    <row r="155" ht="15.75" customHeight="1">
      <c r="B155" s="3">
        <f>IFERROR(__xludf.DUMMYFUNCTION("""COMPUTED_VALUE"""),38667.645833333336)</f>
        <v>38667.64583</v>
      </c>
      <c r="C155" s="2">
        <f>IFERROR(__xludf.DUMMYFUNCTION("""COMPUTED_VALUE"""),82.39)</f>
        <v>82.39</v>
      </c>
    </row>
    <row r="156" ht="15.75" customHeight="1">
      <c r="B156" s="3">
        <f>IFERROR(__xludf.DUMMYFUNCTION("""COMPUTED_VALUE"""),38674.645833333336)</f>
        <v>38674.64583</v>
      </c>
      <c r="C156" s="2">
        <f>IFERROR(__xludf.DUMMYFUNCTION("""COMPUTED_VALUE"""),84.1)</f>
        <v>84.1</v>
      </c>
    </row>
    <row r="157" ht="15.75" customHeight="1">
      <c r="B157" s="3">
        <f>IFERROR(__xludf.DUMMYFUNCTION("""COMPUTED_VALUE"""),38688.645833333336)</f>
        <v>38688.64583</v>
      </c>
      <c r="C157" s="2">
        <f>IFERROR(__xludf.DUMMYFUNCTION("""COMPUTED_VALUE"""),90.5)</f>
        <v>90.5</v>
      </c>
    </row>
    <row r="158" ht="15.75" customHeight="1">
      <c r="B158" s="3">
        <f>IFERROR(__xludf.DUMMYFUNCTION("""COMPUTED_VALUE"""),38695.645833333336)</f>
        <v>38695.64583</v>
      </c>
      <c r="C158" s="2">
        <f>IFERROR(__xludf.DUMMYFUNCTION("""COMPUTED_VALUE"""),93.13)</f>
        <v>93.13</v>
      </c>
    </row>
    <row r="159" ht="15.75" customHeight="1">
      <c r="B159" s="3">
        <f>IFERROR(__xludf.DUMMYFUNCTION("""COMPUTED_VALUE"""),38702.645833333336)</f>
        <v>38702.64583</v>
      </c>
      <c r="C159" s="2">
        <f>IFERROR(__xludf.DUMMYFUNCTION("""COMPUTED_VALUE"""),95.1)</f>
        <v>95.1</v>
      </c>
    </row>
    <row r="160" ht="15.75" customHeight="1">
      <c r="B160" s="3">
        <f>IFERROR(__xludf.DUMMYFUNCTION("""COMPUTED_VALUE"""),38709.645833333336)</f>
        <v>38709.64583</v>
      </c>
      <c r="C160" s="2">
        <f>IFERROR(__xludf.DUMMYFUNCTION("""COMPUTED_VALUE"""),96.88)</f>
        <v>96.88</v>
      </c>
    </row>
    <row r="161" ht="15.75" customHeight="1">
      <c r="B161" s="3">
        <f>IFERROR(__xludf.DUMMYFUNCTION("""COMPUTED_VALUE"""),38716.645833333336)</f>
        <v>38716.64583</v>
      </c>
      <c r="C161" s="2">
        <f>IFERROR(__xludf.DUMMYFUNCTION("""COMPUTED_VALUE"""),95.5)</f>
        <v>95.5</v>
      </c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IFERROR(__xludf.DUMMYFUNCTION("GOOGLEFINANCE(""NSE:GAIL"", ""high"",DATE(2003,1,1),DATE(2004,1,1),""weekly"")"),"Date")</f>
        <v>Date</v>
      </c>
      <c r="C1" s="2" t="str">
        <f>IFERROR(__xludf.DUMMYFUNCTION("""COMPUTED_VALUE"""),"High")</f>
        <v>High</v>
      </c>
    </row>
    <row r="2">
      <c r="A2" s="2" t="s">
        <v>2</v>
      </c>
      <c r="B2" s="3">
        <f>IFERROR(__xludf.DUMMYFUNCTION("""COMPUTED_VALUE"""),37624.645833333336)</f>
        <v>37624.64583</v>
      </c>
      <c r="C2" s="2">
        <f>IFERROR(__xludf.DUMMYFUNCTION("""COMPUTED_VALUE"""),13.69)</f>
        <v>13.69</v>
      </c>
    </row>
    <row r="3">
      <c r="A3" s="2" t="s">
        <v>3</v>
      </c>
      <c r="B3" s="3">
        <f>IFERROR(__xludf.DUMMYFUNCTION("""COMPUTED_VALUE"""),37631.645833333336)</f>
        <v>37631.64583</v>
      </c>
      <c r="C3" s="2">
        <f>IFERROR(__xludf.DUMMYFUNCTION("""COMPUTED_VALUE"""),14.01)</f>
        <v>14.01</v>
      </c>
    </row>
    <row r="4">
      <c r="A4" s="2" t="s">
        <v>4</v>
      </c>
      <c r="B4" s="3">
        <f>IFERROR(__xludf.DUMMYFUNCTION("""COMPUTED_VALUE"""),37638.645833333336)</f>
        <v>37638.64583</v>
      </c>
      <c r="C4" s="2">
        <f>IFERROR(__xludf.DUMMYFUNCTION("""COMPUTED_VALUE"""),13.78)</f>
        <v>13.78</v>
      </c>
    </row>
    <row r="5">
      <c r="A5" s="2" t="s">
        <v>5</v>
      </c>
      <c r="B5" s="3">
        <f>IFERROR(__xludf.DUMMYFUNCTION("""COMPUTED_VALUE"""),37645.645833333336)</f>
        <v>37645.64583</v>
      </c>
      <c r="C5" s="2">
        <f>IFERROR(__xludf.DUMMYFUNCTION("""COMPUTED_VALUE"""),14.05)</f>
        <v>14.05</v>
      </c>
    </row>
    <row r="6">
      <c r="A6" s="2" t="s">
        <v>6</v>
      </c>
      <c r="B6" s="3">
        <f>IFERROR(__xludf.DUMMYFUNCTION("""COMPUTED_VALUE"""),37652.645833333336)</f>
        <v>37652.64583</v>
      </c>
      <c r="C6" s="2">
        <f>IFERROR(__xludf.DUMMYFUNCTION("""COMPUTED_VALUE"""),13.6)</f>
        <v>13.6</v>
      </c>
    </row>
    <row r="7">
      <c r="A7" s="2" t="s">
        <v>7</v>
      </c>
      <c r="B7" s="3">
        <f>IFERROR(__xludf.DUMMYFUNCTION("""COMPUTED_VALUE"""),37659.645833333336)</f>
        <v>37659.64583</v>
      </c>
      <c r="C7" s="2">
        <f>IFERROR(__xludf.DUMMYFUNCTION("""COMPUTED_VALUE"""),13.41)</f>
        <v>13.41</v>
      </c>
    </row>
    <row r="8">
      <c r="A8" s="2" t="s">
        <v>8</v>
      </c>
      <c r="B8" s="3">
        <f>IFERROR(__xludf.DUMMYFUNCTION("""COMPUTED_VALUE"""),37666.645833333336)</f>
        <v>37666.64583</v>
      </c>
      <c r="C8" s="2">
        <f>IFERROR(__xludf.DUMMYFUNCTION("""COMPUTED_VALUE"""),13.36)</f>
        <v>13.36</v>
      </c>
    </row>
    <row r="9">
      <c r="A9" s="2" t="s">
        <v>9</v>
      </c>
      <c r="B9" s="3">
        <f>IFERROR(__xludf.DUMMYFUNCTION("""COMPUTED_VALUE"""),37673.645833333336)</f>
        <v>37673.64583</v>
      </c>
      <c r="C9" s="2">
        <f>IFERROR(__xludf.DUMMYFUNCTION("""COMPUTED_VALUE"""),13.88)</f>
        <v>13.88</v>
      </c>
    </row>
    <row r="10">
      <c r="A10" s="2" t="s">
        <v>10</v>
      </c>
      <c r="B10" s="3">
        <f>IFERROR(__xludf.DUMMYFUNCTION("""COMPUTED_VALUE"""),37680.645833333336)</f>
        <v>37680.64583</v>
      </c>
      <c r="C10" s="2">
        <f>IFERROR(__xludf.DUMMYFUNCTION("""COMPUTED_VALUE"""),15.05)</f>
        <v>15.05</v>
      </c>
    </row>
    <row r="11">
      <c r="A11" s="2" t="s">
        <v>11</v>
      </c>
      <c r="B11" s="3">
        <f>IFERROR(__xludf.DUMMYFUNCTION("""COMPUTED_VALUE"""),37687.645833333336)</f>
        <v>37687.64583</v>
      </c>
      <c r="C11" s="2">
        <f>IFERROR(__xludf.DUMMYFUNCTION("""COMPUTED_VALUE"""),15.0)</f>
        <v>15</v>
      </c>
    </row>
    <row r="12">
      <c r="A12" s="2" t="s">
        <v>12</v>
      </c>
      <c r="B12" s="3">
        <f>IFERROR(__xludf.DUMMYFUNCTION("""COMPUTED_VALUE"""),37693.645833333336)</f>
        <v>37693.64583</v>
      </c>
      <c r="C12" s="2">
        <f>IFERROR(__xludf.DUMMYFUNCTION("""COMPUTED_VALUE"""),14.14)</f>
        <v>14.14</v>
      </c>
    </row>
    <row r="13">
      <c r="A13" s="2" t="s">
        <v>13</v>
      </c>
      <c r="B13" s="3">
        <f>IFERROR(__xludf.DUMMYFUNCTION("""COMPUTED_VALUE"""),37708.645833333336)</f>
        <v>37708.64583</v>
      </c>
      <c r="C13" s="2">
        <f>IFERROR(__xludf.DUMMYFUNCTION("""COMPUTED_VALUE"""),14.4)</f>
        <v>14.4</v>
      </c>
    </row>
    <row r="14">
      <c r="A14" s="2" t="s">
        <v>14</v>
      </c>
      <c r="B14" s="3">
        <f>IFERROR(__xludf.DUMMYFUNCTION("""COMPUTED_VALUE"""),37715.645833333336)</f>
        <v>37715.64583</v>
      </c>
      <c r="C14" s="2">
        <f>IFERROR(__xludf.DUMMYFUNCTION("""COMPUTED_VALUE"""),14.81)</f>
        <v>14.81</v>
      </c>
    </row>
    <row r="15">
      <c r="A15" s="2" t="s">
        <v>15</v>
      </c>
      <c r="B15" s="3">
        <f>IFERROR(__xludf.DUMMYFUNCTION("""COMPUTED_VALUE"""),37722.645833333336)</f>
        <v>37722.64583</v>
      </c>
      <c r="C15" s="2">
        <f>IFERROR(__xludf.DUMMYFUNCTION("""COMPUTED_VALUE"""),14.77)</f>
        <v>14.77</v>
      </c>
    </row>
    <row r="16">
      <c r="A16" s="2" t="s">
        <v>16</v>
      </c>
      <c r="B16" s="3">
        <f>IFERROR(__xludf.DUMMYFUNCTION("""COMPUTED_VALUE"""),37728.645833333336)</f>
        <v>37728.64583</v>
      </c>
      <c r="C16" s="2">
        <f>IFERROR(__xludf.DUMMYFUNCTION("""COMPUTED_VALUE"""),14.66)</f>
        <v>14.66</v>
      </c>
    </row>
    <row r="17">
      <c r="A17" s="2" t="s">
        <v>17</v>
      </c>
      <c r="B17" s="3">
        <f>IFERROR(__xludf.DUMMYFUNCTION("""COMPUTED_VALUE"""),37736.645833333336)</f>
        <v>37736.64583</v>
      </c>
      <c r="C17" s="2">
        <f>IFERROR(__xludf.DUMMYFUNCTION("""COMPUTED_VALUE"""),15.0)</f>
        <v>15</v>
      </c>
    </row>
    <row r="18">
      <c r="A18" s="2" t="s">
        <v>18</v>
      </c>
      <c r="B18" s="3">
        <f>IFERROR(__xludf.DUMMYFUNCTION("""COMPUTED_VALUE"""),37743.645833333336)</f>
        <v>37743.64583</v>
      </c>
      <c r="C18" s="2">
        <f>IFERROR(__xludf.DUMMYFUNCTION("""COMPUTED_VALUE"""),15.94)</f>
        <v>15.94</v>
      </c>
    </row>
    <row r="19">
      <c r="A19" s="2" t="s">
        <v>19</v>
      </c>
      <c r="B19" s="3">
        <f>IFERROR(__xludf.DUMMYFUNCTION("""COMPUTED_VALUE"""),37750.645833333336)</f>
        <v>37750.64583</v>
      </c>
      <c r="C19" s="2">
        <f>IFERROR(__xludf.DUMMYFUNCTION("""COMPUTED_VALUE"""),15.66)</f>
        <v>15.66</v>
      </c>
    </row>
    <row r="20">
      <c r="B20" s="3">
        <f>IFERROR(__xludf.DUMMYFUNCTION("""COMPUTED_VALUE"""),37757.645833333336)</f>
        <v>37757.64583</v>
      </c>
      <c r="C20" s="2">
        <f>IFERROR(__xludf.DUMMYFUNCTION("""COMPUTED_VALUE"""),16.13)</f>
        <v>16.13</v>
      </c>
    </row>
    <row r="21" ht="15.75" customHeight="1">
      <c r="B21" s="3">
        <f>IFERROR(__xludf.DUMMYFUNCTION("""COMPUTED_VALUE"""),37764.645833333336)</f>
        <v>37764.64583</v>
      </c>
      <c r="C21" s="2">
        <f>IFERROR(__xludf.DUMMYFUNCTION("""COMPUTED_VALUE"""),17.53)</f>
        <v>17.53</v>
      </c>
    </row>
    <row r="22" ht="15.75" customHeight="1">
      <c r="B22" s="3">
        <f>IFERROR(__xludf.DUMMYFUNCTION("""COMPUTED_VALUE"""),37771.645833333336)</f>
        <v>37771.64583</v>
      </c>
      <c r="C22" s="2">
        <f>IFERROR(__xludf.DUMMYFUNCTION("""COMPUTED_VALUE"""),20.06)</f>
        <v>20.06</v>
      </c>
    </row>
    <row r="23" ht="15.75" customHeight="1">
      <c r="B23" s="3">
        <f>IFERROR(__xludf.DUMMYFUNCTION("""COMPUTED_VALUE"""),37778.645833333336)</f>
        <v>37778.64583</v>
      </c>
      <c r="C23" s="2">
        <f>IFERROR(__xludf.DUMMYFUNCTION("""COMPUTED_VALUE"""),20.53)</f>
        <v>20.53</v>
      </c>
    </row>
    <row r="24" ht="15.75" customHeight="1">
      <c r="B24" s="3">
        <f>IFERROR(__xludf.DUMMYFUNCTION("""COMPUTED_VALUE"""),37785.645833333336)</f>
        <v>37785.64583</v>
      </c>
      <c r="C24" s="2">
        <f>IFERROR(__xludf.DUMMYFUNCTION("""COMPUTED_VALUE"""),20.63)</f>
        <v>20.63</v>
      </c>
    </row>
    <row r="25" ht="15.75" customHeight="1">
      <c r="B25" s="3">
        <f>IFERROR(__xludf.DUMMYFUNCTION("""COMPUTED_VALUE"""),37792.645833333336)</f>
        <v>37792.64583</v>
      </c>
      <c r="C25" s="2">
        <f>IFERROR(__xludf.DUMMYFUNCTION("""COMPUTED_VALUE"""),22.2)</f>
        <v>22.2</v>
      </c>
    </row>
    <row r="26" ht="15.75" customHeight="1">
      <c r="B26" s="3">
        <f>IFERROR(__xludf.DUMMYFUNCTION("""COMPUTED_VALUE"""),37799.645833333336)</f>
        <v>37799.64583</v>
      </c>
      <c r="C26" s="2">
        <f>IFERROR(__xludf.DUMMYFUNCTION("""COMPUTED_VALUE"""),21.74)</f>
        <v>21.74</v>
      </c>
    </row>
    <row r="27" ht="15.75" customHeight="1">
      <c r="B27" s="3">
        <f>IFERROR(__xludf.DUMMYFUNCTION("""COMPUTED_VALUE"""),37806.645833333336)</f>
        <v>37806.64583</v>
      </c>
      <c r="C27" s="2">
        <f>IFERROR(__xludf.DUMMYFUNCTION("""COMPUTED_VALUE"""),21.62)</f>
        <v>21.62</v>
      </c>
    </row>
    <row r="28" ht="15.75" customHeight="1">
      <c r="B28" s="3">
        <f>IFERROR(__xludf.DUMMYFUNCTION("""COMPUTED_VALUE"""),37813.645833333336)</f>
        <v>37813.64583</v>
      </c>
      <c r="C28" s="2">
        <f>IFERROR(__xludf.DUMMYFUNCTION("""COMPUTED_VALUE"""),21.73)</f>
        <v>21.73</v>
      </c>
    </row>
    <row r="29" ht="15.75" customHeight="1">
      <c r="B29" s="3">
        <f>IFERROR(__xludf.DUMMYFUNCTION("""COMPUTED_VALUE"""),37820.645833333336)</f>
        <v>37820.64583</v>
      </c>
      <c r="C29" s="2">
        <f>IFERROR(__xludf.DUMMYFUNCTION("""COMPUTED_VALUE"""),21.38)</f>
        <v>21.38</v>
      </c>
    </row>
    <row r="30" ht="15.75" customHeight="1">
      <c r="B30" s="3">
        <f>IFERROR(__xludf.DUMMYFUNCTION("""COMPUTED_VALUE"""),37827.645833333336)</f>
        <v>37827.64583</v>
      </c>
      <c r="C30" s="2">
        <f>IFERROR(__xludf.DUMMYFUNCTION("""COMPUTED_VALUE"""),21.31)</f>
        <v>21.31</v>
      </c>
    </row>
    <row r="31" ht="15.75" customHeight="1">
      <c r="B31" s="3">
        <f>IFERROR(__xludf.DUMMYFUNCTION("""COMPUTED_VALUE"""),37834.645833333336)</f>
        <v>37834.64583</v>
      </c>
      <c r="C31" s="2">
        <f>IFERROR(__xludf.DUMMYFUNCTION("""COMPUTED_VALUE"""),23.33)</f>
        <v>23.33</v>
      </c>
    </row>
    <row r="32" ht="15.75" customHeight="1">
      <c r="B32" s="3">
        <f>IFERROR(__xludf.DUMMYFUNCTION("""COMPUTED_VALUE"""),37841.645833333336)</f>
        <v>37841.64583</v>
      </c>
      <c r="C32" s="2">
        <f>IFERROR(__xludf.DUMMYFUNCTION("""COMPUTED_VALUE"""),24.45)</f>
        <v>24.45</v>
      </c>
    </row>
    <row r="33" ht="15.75" customHeight="1">
      <c r="B33" s="3">
        <f>IFERROR(__xludf.DUMMYFUNCTION("""COMPUTED_VALUE"""),37847.645833333336)</f>
        <v>37847.64583</v>
      </c>
      <c r="C33" s="2">
        <f>IFERROR(__xludf.DUMMYFUNCTION("""COMPUTED_VALUE"""),25.38)</f>
        <v>25.38</v>
      </c>
    </row>
    <row r="34" ht="15.75" customHeight="1">
      <c r="B34" s="3">
        <f>IFERROR(__xludf.DUMMYFUNCTION("""COMPUTED_VALUE"""),37855.645833333336)</f>
        <v>37855.64583</v>
      </c>
      <c r="C34" s="2">
        <f>IFERROR(__xludf.DUMMYFUNCTION("""COMPUTED_VALUE"""),26.14)</f>
        <v>26.14</v>
      </c>
    </row>
    <row r="35" ht="15.75" customHeight="1">
      <c r="B35" s="3">
        <f>IFERROR(__xludf.DUMMYFUNCTION("""COMPUTED_VALUE"""),37862.645833333336)</f>
        <v>37862.64583</v>
      </c>
      <c r="C35" s="2">
        <f>IFERROR(__xludf.DUMMYFUNCTION("""COMPUTED_VALUE"""),25.89)</f>
        <v>25.89</v>
      </c>
    </row>
    <row r="36" ht="15.75" customHeight="1">
      <c r="B36" s="3">
        <f>IFERROR(__xludf.DUMMYFUNCTION("""COMPUTED_VALUE"""),37869.645833333336)</f>
        <v>37869.64583</v>
      </c>
      <c r="C36" s="2">
        <f>IFERROR(__xludf.DUMMYFUNCTION("""COMPUTED_VALUE"""),27.17)</f>
        <v>27.17</v>
      </c>
    </row>
    <row r="37" ht="15.75" customHeight="1">
      <c r="B37" s="3">
        <f>IFERROR(__xludf.DUMMYFUNCTION("""COMPUTED_VALUE"""),37876.645833333336)</f>
        <v>37876.64583</v>
      </c>
      <c r="C37" s="2">
        <f>IFERROR(__xludf.DUMMYFUNCTION("""COMPUTED_VALUE"""),27.56)</f>
        <v>27.56</v>
      </c>
    </row>
    <row r="38" ht="15.75" customHeight="1">
      <c r="B38" s="3">
        <f>IFERROR(__xludf.DUMMYFUNCTION("""COMPUTED_VALUE"""),37883.645833333336)</f>
        <v>37883.64583</v>
      </c>
      <c r="C38" s="2">
        <f>IFERROR(__xludf.DUMMYFUNCTION("""COMPUTED_VALUE"""),26.25)</f>
        <v>26.25</v>
      </c>
    </row>
    <row r="39" ht="15.75" customHeight="1">
      <c r="B39" s="3">
        <f>IFERROR(__xludf.DUMMYFUNCTION("""COMPUTED_VALUE"""),37890.645833333336)</f>
        <v>37890.64583</v>
      </c>
      <c r="C39" s="2">
        <f>IFERROR(__xludf.DUMMYFUNCTION("""COMPUTED_VALUE"""),26.21)</f>
        <v>26.21</v>
      </c>
    </row>
    <row r="40" ht="15.75" customHeight="1">
      <c r="B40" s="3">
        <f>IFERROR(__xludf.DUMMYFUNCTION("""COMPUTED_VALUE"""),37897.645833333336)</f>
        <v>37897.64583</v>
      </c>
      <c r="C40" s="2">
        <f>IFERROR(__xludf.DUMMYFUNCTION("""COMPUTED_VALUE"""),30.71)</f>
        <v>30.71</v>
      </c>
    </row>
    <row r="41" ht="15.75" customHeight="1">
      <c r="B41" s="3">
        <f>IFERROR(__xludf.DUMMYFUNCTION("""COMPUTED_VALUE"""),37904.645833333336)</f>
        <v>37904.64583</v>
      </c>
      <c r="C41" s="2">
        <f>IFERROR(__xludf.DUMMYFUNCTION("""COMPUTED_VALUE"""),32.72)</f>
        <v>32.72</v>
      </c>
    </row>
    <row r="42" ht="15.75" customHeight="1">
      <c r="B42" s="3">
        <f>IFERROR(__xludf.DUMMYFUNCTION("""COMPUTED_VALUE"""),37911.645833333336)</f>
        <v>37911.64583</v>
      </c>
      <c r="C42" s="2">
        <f>IFERROR(__xludf.DUMMYFUNCTION("""COMPUTED_VALUE"""),32.81)</f>
        <v>32.81</v>
      </c>
    </row>
    <row r="43" ht="15.75" customHeight="1">
      <c r="B43" s="3">
        <f>IFERROR(__xludf.DUMMYFUNCTION("""COMPUTED_VALUE"""),37925.645833333336)</f>
        <v>37925.64583</v>
      </c>
      <c r="C43" s="2">
        <f>IFERROR(__xludf.DUMMYFUNCTION("""COMPUTED_VALUE"""),30.9)</f>
        <v>30.9</v>
      </c>
    </row>
    <row r="44" ht="15.75" customHeight="1">
      <c r="B44" s="3">
        <f>IFERROR(__xludf.DUMMYFUNCTION("""COMPUTED_VALUE"""),37932.645833333336)</f>
        <v>37932.64583</v>
      </c>
      <c r="C44" s="2">
        <f>IFERROR(__xludf.DUMMYFUNCTION("""COMPUTED_VALUE"""),33.82)</f>
        <v>33.82</v>
      </c>
    </row>
    <row r="45" ht="15.75" customHeight="1">
      <c r="B45" s="3">
        <f>IFERROR(__xludf.DUMMYFUNCTION("""COMPUTED_VALUE"""),37946.645833333336)</f>
        <v>37946.64583</v>
      </c>
      <c r="C45" s="2">
        <f>IFERROR(__xludf.DUMMYFUNCTION("""COMPUTED_VALUE"""),34.13)</f>
        <v>34.13</v>
      </c>
    </row>
    <row r="46" ht="15.75" customHeight="1">
      <c r="B46" s="3">
        <f>IFERROR(__xludf.DUMMYFUNCTION("""COMPUTED_VALUE"""),37953.645833333336)</f>
        <v>37953.64583</v>
      </c>
      <c r="C46" s="2">
        <f>IFERROR(__xludf.DUMMYFUNCTION("""COMPUTED_VALUE"""),33.09)</f>
        <v>33.09</v>
      </c>
    </row>
    <row r="47" ht="15.75" customHeight="1">
      <c r="B47" s="3">
        <f>IFERROR(__xludf.DUMMYFUNCTION("""COMPUTED_VALUE"""),37960.645833333336)</f>
        <v>37960.64583</v>
      </c>
      <c r="C47" s="2">
        <f>IFERROR(__xludf.DUMMYFUNCTION("""COMPUTED_VALUE"""),36.42)</f>
        <v>36.42</v>
      </c>
    </row>
    <row r="48" ht="15.75" customHeight="1">
      <c r="B48" s="3">
        <f>IFERROR(__xludf.DUMMYFUNCTION("""COMPUTED_VALUE"""),37967.645833333336)</f>
        <v>37967.64583</v>
      </c>
      <c r="C48" s="2">
        <f>IFERROR(__xludf.DUMMYFUNCTION("""COMPUTED_VALUE"""),37.61)</f>
        <v>37.61</v>
      </c>
    </row>
    <row r="49" ht="15.75" customHeight="1">
      <c r="B49" s="3">
        <f>IFERROR(__xludf.DUMMYFUNCTION("""COMPUTED_VALUE"""),37974.645833333336)</f>
        <v>37974.64583</v>
      </c>
      <c r="C49" s="2">
        <f>IFERROR(__xludf.DUMMYFUNCTION("""COMPUTED_VALUE"""),40.88)</f>
        <v>40.88</v>
      </c>
    </row>
    <row r="50" ht="15.75" customHeight="1">
      <c r="B50" s="3">
        <f>IFERROR(__xludf.DUMMYFUNCTION("""COMPUTED_VALUE"""),37981.645833333336)</f>
        <v>37981.64583</v>
      </c>
      <c r="C50" s="2">
        <f>IFERROR(__xludf.DUMMYFUNCTION("""COMPUTED_VALUE"""),42.66)</f>
        <v>42.66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2" t="str">
        <f>IFERROR(__xludf.DUMMYFUNCTION("GOOGLEFINANCE(""NSE:GAIL"", ""high"",DATE(2004,1,1),DATE(2005,1,1),""weekly"")"),"Date")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IFERROR(__xludf.DUMMYFUNCTION("""COMPUTED_VALUE"""),37988.645833333336)</f>
        <v>37988.64583</v>
      </c>
      <c r="C57" s="2">
        <f>IFERROR(__xludf.DUMMYFUNCTION("""COMPUTED_VALUE"""),54.33)</f>
        <v>54.33</v>
      </c>
    </row>
    <row r="58" ht="15.75" customHeight="1">
      <c r="B58" s="3">
        <f>IFERROR(__xludf.DUMMYFUNCTION("""COMPUTED_VALUE"""),37995.645833333336)</f>
        <v>37995.64583</v>
      </c>
      <c r="C58" s="2">
        <f>IFERROR(__xludf.DUMMYFUNCTION("""COMPUTED_VALUE"""),58.5)</f>
        <v>58.5</v>
      </c>
    </row>
    <row r="59" ht="15.75" customHeight="1">
      <c r="B59" s="3">
        <f>IFERROR(__xludf.DUMMYFUNCTION("""COMPUTED_VALUE"""),38002.645833333336)</f>
        <v>38002.64583</v>
      </c>
      <c r="C59" s="2">
        <f>IFERROR(__xludf.DUMMYFUNCTION("""COMPUTED_VALUE"""),51.47)</f>
        <v>51.47</v>
      </c>
    </row>
    <row r="60" ht="15.75" customHeight="1">
      <c r="B60" s="3">
        <f>IFERROR(__xludf.DUMMYFUNCTION("""COMPUTED_VALUE"""),38009.645833333336)</f>
        <v>38009.64583</v>
      </c>
      <c r="C60" s="2">
        <f>IFERROR(__xludf.DUMMYFUNCTION("""COMPUTED_VALUE"""),44.33)</f>
        <v>44.33</v>
      </c>
    </row>
    <row r="61" ht="15.75" customHeight="1">
      <c r="B61" s="3">
        <f>IFERROR(__xludf.DUMMYFUNCTION("""COMPUTED_VALUE"""),38016.645833333336)</f>
        <v>38016.64583</v>
      </c>
      <c r="C61" s="2">
        <f>IFERROR(__xludf.DUMMYFUNCTION("""COMPUTED_VALUE"""),43.31)</f>
        <v>43.31</v>
      </c>
    </row>
    <row r="62" ht="15.75" customHeight="1">
      <c r="B62" s="3">
        <f>IFERROR(__xludf.DUMMYFUNCTION("""COMPUTED_VALUE"""),38023.645833333336)</f>
        <v>38023.64583</v>
      </c>
      <c r="C62" s="2">
        <f>IFERROR(__xludf.DUMMYFUNCTION("""COMPUTED_VALUE"""),42.11)</f>
        <v>42.11</v>
      </c>
    </row>
    <row r="63" ht="15.75" customHeight="1">
      <c r="B63" s="3">
        <f>IFERROR(__xludf.DUMMYFUNCTION("""COMPUTED_VALUE"""),38030.645833333336)</f>
        <v>38030.64583</v>
      </c>
      <c r="C63" s="2">
        <f>IFERROR(__xludf.DUMMYFUNCTION("""COMPUTED_VALUE"""),44.9)</f>
        <v>44.9</v>
      </c>
    </row>
    <row r="64" ht="15.75" customHeight="1">
      <c r="B64" s="3">
        <f>IFERROR(__xludf.DUMMYFUNCTION("""COMPUTED_VALUE"""),38037.645833333336)</f>
        <v>38037.64583</v>
      </c>
      <c r="C64" s="2">
        <f>IFERROR(__xludf.DUMMYFUNCTION("""COMPUTED_VALUE"""),43.57)</f>
        <v>43.57</v>
      </c>
    </row>
    <row r="65" ht="15.75" customHeight="1">
      <c r="B65" s="3">
        <f>IFERROR(__xludf.DUMMYFUNCTION("""COMPUTED_VALUE"""),38044.645833333336)</f>
        <v>38044.64583</v>
      </c>
      <c r="C65" s="2">
        <f>IFERROR(__xludf.DUMMYFUNCTION("""COMPUTED_VALUE"""),42.42)</f>
        <v>42.42</v>
      </c>
    </row>
    <row r="66" ht="15.75" customHeight="1">
      <c r="B66" s="3">
        <f>IFERROR(__xludf.DUMMYFUNCTION("""COMPUTED_VALUE"""),38051.645833333336)</f>
        <v>38051.64583</v>
      </c>
      <c r="C66" s="2">
        <f>IFERROR(__xludf.DUMMYFUNCTION("""COMPUTED_VALUE"""),40.73)</f>
        <v>40.73</v>
      </c>
    </row>
    <row r="67" ht="15.75" customHeight="1">
      <c r="B67" s="3">
        <f>IFERROR(__xludf.DUMMYFUNCTION("""COMPUTED_VALUE"""),38058.645833333336)</f>
        <v>38058.64583</v>
      </c>
      <c r="C67" s="2">
        <f>IFERROR(__xludf.DUMMYFUNCTION("""COMPUTED_VALUE"""),44.98)</f>
        <v>44.98</v>
      </c>
    </row>
    <row r="68" ht="15.75" customHeight="1">
      <c r="B68" s="3">
        <f>IFERROR(__xludf.DUMMYFUNCTION("""COMPUTED_VALUE"""),38065.645833333336)</f>
        <v>38065.64583</v>
      </c>
      <c r="C68" s="2">
        <f>IFERROR(__xludf.DUMMYFUNCTION("""COMPUTED_VALUE"""),42.53)</f>
        <v>42.53</v>
      </c>
    </row>
    <row r="69" ht="15.75" customHeight="1">
      <c r="B69" s="3">
        <f>IFERROR(__xludf.DUMMYFUNCTION("""COMPUTED_VALUE"""),38072.645833333336)</f>
        <v>38072.64583</v>
      </c>
      <c r="C69" s="2">
        <f>IFERROR(__xludf.DUMMYFUNCTION("""COMPUTED_VALUE"""),40.09)</f>
        <v>40.09</v>
      </c>
    </row>
    <row r="70" ht="15.75" customHeight="1">
      <c r="B70" s="3">
        <f>IFERROR(__xludf.DUMMYFUNCTION("""COMPUTED_VALUE"""),38079.645833333336)</f>
        <v>38079.64583</v>
      </c>
      <c r="C70" s="2">
        <f>IFERROR(__xludf.DUMMYFUNCTION("""COMPUTED_VALUE"""),44.06)</f>
        <v>44.06</v>
      </c>
    </row>
    <row r="71" ht="15.75" customHeight="1">
      <c r="B71" s="3">
        <f>IFERROR(__xludf.DUMMYFUNCTION("""COMPUTED_VALUE"""),38085.645833333336)</f>
        <v>38085.64583</v>
      </c>
      <c r="C71" s="2">
        <f>IFERROR(__xludf.DUMMYFUNCTION("""COMPUTED_VALUE"""),45.23)</f>
        <v>45.23</v>
      </c>
    </row>
    <row r="72" ht="15.75" customHeight="1">
      <c r="B72" s="3">
        <f>IFERROR(__xludf.DUMMYFUNCTION("""COMPUTED_VALUE"""),38100.645833333336)</f>
        <v>38100.64583</v>
      </c>
      <c r="C72" s="2">
        <f>IFERROR(__xludf.DUMMYFUNCTION("""COMPUTED_VALUE"""),46.01)</f>
        <v>46.01</v>
      </c>
    </row>
    <row r="73" ht="15.75" customHeight="1">
      <c r="B73" s="3">
        <f>IFERROR(__xludf.DUMMYFUNCTION("""COMPUTED_VALUE"""),38107.645833333336)</f>
        <v>38107.64583</v>
      </c>
      <c r="C73" s="2">
        <f>IFERROR(__xludf.DUMMYFUNCTION("""COMPUTED_VALUE"""),45.54)</f>
        <v>45.54</v>
      </c>
    </row>
    <row r="74" ht="15.75" customHeight="1">
      <c r="B74" s="3">
        <f>IFERROR(__xludf.DUMMYFUNCTION("""COMPUTED_VALUE"""),38114.645833333336)</f>
        <v>38114.64583</v>
      </c>
      <c r="C74" s="2">
        <f>IFERROR(__xludf.DUMMYFUNCTION("""COMPUTED_VALUE"""),44.25)</f>
        <v>44.25</v>
      </c>
    </row>
    <row r="75" ht="15.75" customHeight="1">
      <c r="B75" s="3">
        <f>IFERROR(__xludf.DUMMYFUNCTION("""COMPUTED_VALUE"""),38121.645833333336)</f>
        <v>38121.64583</v>
      </c>
      <c r="C75" s="2">
        <f>IFERROR(__xludf.DUMMYFUNCTION("""COMPUTED_VALUE"""),42.17)</f>
        <v>42.17</v>
      </c>
    </row>
    <row r="76" ht="15.75" customHeight="1">
      <c r="B76" s="3">
        <f>IFERROR(__xludf.DUMMYFUNCTION("""COMPUTED_VALUE"""),38128.645833333336)</f>
        <v>38128.64583</v>
      </c>
      <c r="C76" s="2">
        <f>IFERROR(__xludf.DUMMYFUNCTION("""COMPUTED_VALUE"""),33.67)</f>
        <v>33.67</v>
      </c>
    </row>
    <row r="77" ht="15.75" customHeight="1">
      <c r="B77" s="3">
        <f>IFERROR(__xludf.DUMMYFUNCTION("""COMPUTED_VALUE"""),38135.645833333336)</f>
        <v>38135.64583</v>
      </c>
      <c r="C77" s="2">
        <f>IFERROR(__xludf.DUMMYFUNCTION("""COMPUTED_VALUE"""),33.51)</f>
        <v>33.51</v>
      </c>
    </row>
    <row r="78" ht="15.75" customHeight="1">
      <c r="B78" s="3">
        <f>IFERROR(__xludf.DUMMYFUNCTION("""COMPUTED_VALUE"""),38142.645833333336)</f>
        <v>38142.64583</v>
      </c>
      <c r="C78" s="2">
        <f>IFERROR(__xludf.DUMMYFUNCTION("""COMPUTED_VALUE"""),32.92)</f>
        <v>32.92</v>
      </c>
    </row>
    <row r="79" ht="15.75" customHeight="1">
      <c r="B79" s="3">
        <f>IFERROR(__xludf.DUMMYFUNCTION("""COMPUTED_VALUE"""),38149.645833333336)</f>
        <v>38149.64583</v>
      </c>
      <c r="C79" s="2">
        <f>IFERROR(__xludf.DUMMYFUNCTION("""COMPUTED_VALUE"""),33.38)</f>
        <v>33.38</v>
      </c>
    </row>
    <row r="80" ht="15.75" customHeight="1">
      <c r="B80" s="3">
        <f>IFERROR(__xludf.DUMMYFUNCTION("""COMPUTED_VALUE"""),38156.645833333336)</f>
        <v>38156.64583</v>
      </c>
      <c r="C80" s="2">
        <f>IFERROR(__xludf.DUMMYFUNCTION("""COMPUTED_VALUE"""),32.77)</f>
        <v>32.77</v>
      </c>
    </row>
    <row r="81" ht="15.75" customHeight="1">
      <c r="B81" s="3">
        <f>IFERROR(__xludf.DUMMYFUNCTION("""COMPUTED_VALUE"""),38163.645833333336)</f>
        <v>38163.64583</v>
      </c>
      <c r="C81" s="2">
        <f>IFERROR(__xludf.DUMMYFUNCTION("""COMPUTED_VALUE"""),31.88)</f>
        <v>31.88</v>
      </c>
    </row>
    <row r="82" ht="15.75" customHeight="1">
      <c r="B82" s="3">
        <f>IFERROR(__xludf.DUMMYFUNCTION("""COMPUTED_VALUE"""),38170.645833333336)</f>
        <v>38170.64583</v>
      </c>
      <c r="C82" s="2">
        <f>IFERROR(__xludf.DUMMYFUNCTION("""COMPUTED_VALUE"""),34.0)</f>
        <v>34</v>
      </c>
    </row>
    <row r="83" ht="15.75" customHeight="1">
      <c r="B83" s="3">
        <f>IFERROR(__xludf.DUMMYFUNCTION("""COMPUTED_VALUE"""),38177.645833333336)</f>
        <v>38177.64583</v>
      </c>
      <c r="C83" s="2">
        <f>IFERROR(__xludf.DUMMYFUNCTION("""COMPUTED_VALUE"""),35.47)</f>
        <v>35.47</v>
      </c>
    </row>
    <row r="84" ht="15.75" customHeight="1">
      <c r="B84" s="3">
        <f>IFERROR(__xludf.DUMMYFUNCTION("""COMPUTED_VALUE"""),38184.645833333336)</f>
        <v>38184.64583</v>
      </c>
      <c r="C84" s="2">
        <f>IFERROR(__xludf.DUMMYFUNCTION("""COMPUTED_VALUE"""),35.56)</f>
        <v>35.56</v>
      </c>
    </row>
    <row r="85" ht="15.75" customHeight="1">
      <c r="B85" s="3">
        <f>IFERROR(__xludf.DUMMYFUNCTION("""COMPUTED_VALUE"""),38191.645833333336)</f>
        <v>38191.64583</v>
      </c>
      <c r="C85" s="2">
        <f>IFERROR(__xludf.DUMMYFUNCTION("""COMPUTED_VALUE"""),36.61)</f>
        <v>36.61</v>
      </c>
    </row>
    <row r="86" ht="15.75" customHeight="1">
      <c r="B86" s="3">
        <f>IFERROR(__xludf.DUMMYFUNCTION("""COMPUTED_VALUE"""),38198.645833333336)</f>
        <v>38198.64583</v>
      </c>
      <c r="C86" s="2">
        <f>IFERROR(__xludf.DUMMYFUNCTION("""COMPUTED_VALUE"""),37.74)</f>
        <v>37.74</v>
      </c>
    </row>
    <row r="87" ht="15.75" customHeight="1">
      <c r="B87" s="3">
        <f>IFERROR(__xludf.DUMMYFUNCTION("""COMPUTED_VALUE"""),38205.645833333336)</f>
        <v>38205.64583</v>
      </c>
      <c r="C87" s="2">
        <f>IFERROR(__xludf.DUMMYFUNCTION("""COMPUTED_VALUE"""),36.58)</f>
        <v>36.58</v>
      </c>
    </row>
    <row r="88" ht="15.75" customHeight="1">
      <c r="B88" s="3">
        <f>IFERROR(__xludf.DUMMYFUNCTION("""COMPUTED_VALUE"""),38212.645833333336)</f>
        <v>38212.64583</v>
      </c>
      <c r="C88" s="2">
        <f>IFERROR(__xludf.DUMMYFUNCTION("""COMPUTED_VALUE"""),35.89)</f>
        <v>35.89</v>
      </c>
    </row>
    <row r="89" ht="15.75" customHeight="1">
      <c r="B89" s="3">
        <f>IFERROR(__xludf.DUMMYFUNCTION("""COMPUTED_VALUE"""),38219.645833333336)</f>
        <v>38219.64583</v>
      </c>
      <c r="C89" s="2">
        <f>IFERROR(__xludf.DUMMYFUNCTION("""COMPUTED_VALUE"""),34.18)</f>
        <v>34.18</v>
      </c>
    </row>
    <row r="90" ht="15.75" customHeight="1">
      <c r="B90" s="3">
        <f>IFERROR(__xludf.DUMMYFUNCTION("""COMPUTED_VALUE"""),38226.645833333336)</f>
        <v>38226.64583</v>
      </c>
      <c r="C90" s="2">
        <f>IFERROR(__xludf.DUMMYFUNCTION("""COMPUTED_VALUE"""),34.13)</f>
        <v>34.13</v>
      </c>
    </row>
    <row r="91" ht="15.75" customHeight="1">
      <c r="B91" s="3">
        <f>IFERROR(__xludf.DUMMYFUNCTION("""COMPUTED_VALUE"""),38233.645833333336)</f>
        <v>38233.64583</v>
      </c>
      <c r="C91" s="2">
        <f>IFERROR(__xludf.DUMMYFUNCTION("""COMPUTED_VALUE"""),34.79)</f>
        <v>34.79</v>
      </c>
    </row>
    <row r="92" ht="15.75" customHeight="1">
      <c r="B92" s="3">
        <f>IFERROR(__xludf.DUMMYFUNCTION("""COMPUTED_VALUE"""),38240.645833333336)</f>
        <v>38240.64583</v>
      </c>
      <c r="C92" s="2">
        <f>IFERROR(__xludf.DUMMYFUNCTION("""COMPUTED_VALUE"""),35.25)</f>
        <v>35.25</v>
      </c>
    </row>
    <row r="93" ht="15.75" customHeight="1">
      <c r="B93" s="3">
        <f>IFERROR(__xludf.DUMMYFUNCTION("""COMPUTED_VALUE"""),38247.645833333336)</f>
        <v>38247.64583</v>
      </c>
      <c r="C93" s="2">
        <f>IFERROR(__xludf.DUMMYFUNCTION("""COMPUTED_VALUE"""),35.49)</f>
        <v>35.49</v>
      </c>
    </row>
    <row r="94" ht="15.75" customHeight="1">
      <c r="B94" s="3">
        <f>IFERROR(__xludf.DUMMYFUNCTION("""COMPUTED_VALUE"""),38254.645833333336)</f>
        <v>38254.64583</v>
      </c>
      <c r="C94" s="2">
        <f>IFERROR(__xludf.DUMMYFUNCTION("""COMPUTED_VALUE"""),37.48)</f>
        <v>37.48</v>
      </c>
    </row>
    <row r="95" ht="15.75" customHeight="1">
      <c r="B95" s="3">
        <f>IFERROR(__xludf.DUMMYFUNCTION("""COMPUTED_VALUE"""),38261.645833333336)</f>
        <v>38261.64583</v>
      </c>
      <c r="C95" s="2">
        <f>IFERROR(__xludf.DUMMYFUNCTION("""COMPUTED_VALUE"""),36.73)</f>
        <v>36.73</v>
      </c>
    </row>
    <row r="96" ht="15.75" customHeight="1">
      <c r="B96" s="3">
        <f>IFERROR(__xludf.DUMMYFUNCTION("""COMPUTED_VALUE"""),38275.645833333336)</f>
        <v>38275.64583</v>
      </c>
      <c r="C96" s="2">
        <f>IFERROR(__xludf.DUMMYFUNCTION("""COMPUTED_VALUE"""),38.21)</f>
        <v>38.21</v>
      </c>
    </row>
    <row r="97" ht="15.75" customHeight="1">
      <c r="B97" s="3">
        <f>IFERROR(__xludf.DUMMYFUNCTION("""COMPUTED_VALUE"""),38281.645833333336)</f>
        <v>38281.64583</v>
      </c>
      <c r="C97" s="2">
        <f>IFERROR(__xludf.DUMMYFUNCTION("""COMPUTED_VALUE"""),37.72)</f>
        <v>37.72</v>
      </c>
    </row>
    <row r="98" ht="15.75" customHeight="1">
      <c r="B98" s="3">
        <f>IFERROR(__xludf.DUMMYFUNCTION("""COMPUTED_VALUE"""),38289.645833333336)</f>
        <v>38289.64583</v>
      </c>
      <c r="C98" s="2">
        <f>IFERROR(__xludf.DUMMYFUNCTION("""COMPUTED_VALUE"""),37.78)</f>
        <v>37.78</v>
      </c>
    </row>
    <row r="99" ht="15.75" customHeight="1">
      <c r="B99" s="3">
        <f>IFERROR(__xludf.DUMMYFUNCTION("""COMPUTED_VALUE"""),38296.645833333336)</f>
        <v>38296.64583</v>
      </c>
      <c r="C99" s="2">
        <f>IFERROR(__xludf.DUMMYFUNCTION("""COMPUTED_VALUE"""),41.23)</f>
        <v>41.23</v>
      </c>
    </row>
    <row r="100" ht="15.75" customHeight="1">
      <c r="B100" s="3">
        <f>IFERROR(__xludf.DUMMYFUNCTION("""COMPUTED_VALUE"""),38303.645833333336)</f>
        <v>38303.64583</v>
      </c>
      <c r="C100" s="2">
        <f>IFERROR(__xludf.DUMMYFUNCTION("""COMPUTED_VALUE"""),44.81)</f>
        <v>44.81</v>
      </c>
    </row>
    <row r="101" ht="15.75" customHeight="1">
      <c r="B101" s="3">
        <f>IFERROR(__xludf.DUMMYFUNCTION("""COMPUTED_VALUE"""),38310.645833333336)</f>
        <v>38310.64583</v>
      </c>
      <c r="C101" s="2">
        <f>IFERROR(__xludf.DUMMYFUNCTION("""COMPUTED_VALUE"""),39.38)</f>
        <v>39.38</v>
      </c>
    </row>
    <row r="102" ht="15.75" customHeight="1">
      <c r="B102" s="3">
        <f>IFERROR(__xludf.DUMMYFUNCTION("""COMPUTED_VALUE"""),38316.645833333336)</f>
        <v>38316.64583</v>
      </c>
      <c r="C102" s="2">
        <f>IFERROR(__xludf.DUMMYFUNCTION("""COMPUTED_VALUE"""),40.14)</f>
        <v>40.14</v>
      </c>
    </row>
    <row r="103" ht="15.75" customHeight="1">
      <c r="B103" s="3">
        <f>IFERROR(__xludf.DUMMYFUNCTION("""COMPUTED_VALUE"""),38324.645833333336)</f>
        <v>38324.64583</v>
      </c>
      <c r="C103" s="2">
        <f>IFERROR(__xludf.DUMMYFUNCTION("""COMPUTED_VALUE"""),43.61)</f>
        <v>43.61</v>
      </c>
    </row>
    <row r="104" ht="15.75" customHeight="1">
      <c r="B104" s="3">
        <f>IFERROR(__xludf.DUMMYFUNCTION("""COMPUTED_VALUE"""),38331.645833333336)</f>
        <v>38331.64583</v>
      </c>
      <c r="C104" s="2">
        <f>IFERROR(__xludf.DUMMYFUNCTION("""COMPUTED_VALUE"""),44.1)</f>
        <v>44.1</v>
      </c>
    </row>
    <row r="105" ht="15.75" customHeight="1">
      <c r="B105" s="3">
        <f>IFERROR(__xludf.DUMMYFUNCTION("""COMPUTED_VALUE"""),38338.645833333336)</f>
        <v>38338.64583</v>
      </c>
      <c r="C105" s="2">
        <f>IFERROR(__xludf.DUMMYFUNCTION("""COMPUTED_VALUE"""),45.55)</f>
        <v>45.55</v>
      </c>
    </row>
    <row r="106" ht="15.75" customHeight="1">
      <c r="B106" s="3">
        <f>IFERROR(__xludf.DUMMYFUNCTION("""COMPUTED_VALUE"""),38345.645833333336)</f>
        <v>38345.64583</v>
      </c>
      <c r="C106" s="2">
        <f>IFERROR(__xludf.DUMMYFUNCTION("""COMPUTED_VALUE"""),46.09)</f>
        <v>46.09</v>
      </c>
    </row>
    <row r="107" ht="15.75" customHeight="1">
      <c r="B107" s="3">
        <f>IFERROR(__xludf.DUMMYFUNCTION("""COMPUTED_VALUE"""),38352.645833333336)</f>
        <v>38352.64583</v>
      </c>
      <c r="C107" s="2">
        <f>IFERROR(__xludf.DUMMYFUNCTION("""COMPUTED_VALUE"""),44.89)</f>
        <v>44.89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IFERROR(__xludf.DUMMYFUNCTION("GOOGLEFINANCE(""NSE:GAIL"", ""high"",DATE(2005,1,1),DATE(2006,1,1),""weekly"")"),"Date")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IFERROR(__xludf.DUMMYFUNCTION("""COMPUTED_VALUE"""),38359.645833333336)</f>
        <v>38359.64583</v>
      </c>
      <c r="C112" s="2">
        <f>IFERROR(__xludf.DUMMYFUNCTION("""COMPUTED_VALUE"""),49.84)</f>
        <v>49.84</v>
      </c>
    </row>
    <row r="113" ht="15.75" customHeight="1">
      <c r="B113" s="3">
        <f>IFERROR(__xludf.DUMMYFUNCTION("""COMPUTED_VALUE"""),38366.645833333336)</f>
        <v>38366.64583</v>
      </c>
      <c r="C113" s="2">
        <f>IFERROR(__xludf.DUMMYFUNCTION("""COMPUTED_VALUE"""),44.64)</f>
        <v>44.64</v>
      </c>
    </row>
    <row r="114" ht="15.75" customHeight="1">
      <c r="B114" s="3">
        <f>IFERROR(__xludf.DUMMYFUNCTION("""COMPUTED_VALUE"""),38372.645833333336)</f>
        <v>38372.64583</v>
      </c>
      <c r="C114" s="2">
        <f>IFERROR(__xludf.DUMMYFUNCTION("""COMPUTED_VALUE"""),41.58)</f>
        <v>41.58</v>
      </c>
    </row>
    <row r="115" ht="15.75" customHeight="1">
      <c r="B115" s="3">
        <f>IFERROR(__xludf.DUMMYFUNCTION("""COMPUTED_VALUE"""),38380.645833333336)</f>
        <v>38380.64583</v>
      </c>
      <c r="C115" s="2">
        <f>IFERROR(__xludf.DUMMYFUNCTION("""COMPUTED_VALUE"""),41.89)</f>
        <v>41.89</v>
      </c>
    </row>
    <row r="116" ht="15.75" customHeight="1">
      <c r="B116" s="3">
        <f>IFERROR(__xludf.DUMMYFUNCTION("""COMPUTED_VALUE"""),38387.645833333336)</f>
        <v>38387.64583</v>
      </c>
      <c r="C116" s="2">
        <f>IFERROR(__xludf.DUMMYFUNCTION("""COMPUTED_VALUE"""),50.63)</f>
        <v>50.63</v>
      </c>
    </row>
    <row r="117" ht="15.75" customHeight="1">
      <c r="B117" s="3">
        <f>IFERROR(__xludf.DUMMYFUNCTION("""COMPUTED_VALUE"""),38394.645833333336)</f>
        <v>38394.64583</v>
      </c>
      <c r="C117" s="2">
        <f>IFERROR(__xludf.DUMMYFUNCTION("""COMPUTED_VALUE"""),46.96)</f>
        <v>46.96</v>
      </c>
    </row>
    <row r="118" ht="15.75" customHeight="1">
      <c r="B118" s="3">
        <f>IFERROR(__xludf.DUMMYFUNCTION("""COMPUTED_VALUE"""),38401.645833333336)</f>
        <v>38401.64583</v>
      </c>
      <c r="C118" s="2">
        <f>IFERROR(__xludf.DUMMYFUNCTION("""COMPUTED_VALUE"""),47.49)</f>
        <v>47.49</v>
      </c>
    </row>
    <row r="119" ht="15.75" customHeight="1">
      <c r="B119" s="3">
        <f>IFERROR(__xludf.DUMMYFUNCTION("""COMPUTED_VALUE"""),38408.645833333336)</f>
        <v>38408.64583</v>
      </c>
      <c r="C119" s="2">
        <f>IFERROR(__xludf.DUMMYFUNCTION("""COMPUTED_VALUE"""),48.64)</f>
        <v>48.64</v>
      </c>
    </row>
    <row r="120" ht="15.75" customHeight="1">
      <c r="B120" s="3">
        <f>IFERROR(__xludf.DUMMYFUNCTION("""COMPUTED_VALUE"""),38415.645833333336)</f>
        <v>38415.64583</v>
      </c>
      <c r="C120" s="2">
        <f>IFERROR(__xludf.DUMMYFUNCTION("""COMPUTED_VALUE"""),46.48)</f>
        <v>46.48</v>
      </c>
    </row>
    <row r="121" ht="15.75" customHeight="1">
      <c r="B121" s="3">
        <f>IFERROR(__xludf.DUMMYFUNCTION("""COMPUTED_VALUE"""),38422.645833333336)</f>
        <v>38422.64583</v>
      </c>
      <c r="C121" s="2">
        <f>IFERROR(__xludf.DUMMYFUNCTION("""COMPUTED_VALUE"""),48.0)</f>
        <v>48</v>
      </c>
    </row>
    <row r="122" ht="15.75" customHeight="1">
      <c r="B122" s="3">
        <f>IFERROR(__xludf.DUMMYFUNCTION("""COMPUTED_VALUE"""),38429.645833333336)</f>
        <v>38429.64583</v>
      </c>
      <c r="C122" s="2">
        <f>IFERROR(__xludf.DUMMYFUNCTION("""COMPUTED_VALUE"""),46.56)</f>
        <v>46.56</v>
      </c>
    </row>
    <row r="123" ht="15.75" customHeight="1">
      <c r="B123" s="3">
        <f>IFERROR(__xludf.DUMMYFUNCTION("""COMPUTED_VALUE"""),38435.645833333336)</f>
        <v>38435.64583</v>
      </c>
      <c r="C123" s="2">
        <f>IFERROR(__xludf.DUMMYFUNCTION("""COMPUTED_VALUE"""),43.84)</f>
        <v>43.84</v>
      </c>
    </row>
    <row r="124" ht="15.75" customHeight="1">
      <c r="B124" s="3">
        <f>IFERROR(__xludf.DUMMYFUNCTION("""COMPUTED_VALUE"""),38443.645833333336)</f>
        <v>38443.64583</v>
      </c>
      <c r="C124" s="2">
        <f>IFERROR(__xludf.DUMMYFUNCTION("""COMPUTED_VALUE"""),41.7)</f>
        <v>41.7</v>
      </c>
    </row>
    <row r="125" ht="15.75" customHeight="1">
      <c r="B125" s="3">
        <f>IFERROR(__xludf.DUMMYFUNCTION("""COMPUTED_VALUE"""),38450.645833333336)</f>
        <v>38450.64583</v>
      </c>
      <c r="C125" s="2">
        <f>IFERROR(__xludf.DUMMYFUNCTION("""COMPUTED_VALUE"""),41.52)</f>
        <v>41.52</v>
      </c>
    </row>
    <row r="126" ht="15.75" customHeight="1">
      <c r="B126" s="3">
        <f>IFERROR(__xludf.DUMMYFUNCTION("""COMPUTED_VALUE"""),38457.645833333336)</f>
        <v>38457.64583</v>
      </c>
      <c r="C126" s="2">
        <f>IFERROR(__xludf.DUMMYFUNCTION("""COMPUTED_VALUE"""),40.66)</f>
        <v>40.66</v>
      </c>
    </row>
    <row r="127" ht="15.75" customHeight="1">
      <c r="B127" s="3">
        <f>IFERROR(__xludf.DUMMYFUNCTION("""COMPUTED_VALUE"""),38464.645833333336)</f>
        <v>38464.64583</v>
      </c>
      <c r="C127" s="2">
        <f>IFERROR(__xludf.DUMMYFUNCTION("""COMPUTED_VALUE"""),40.31)</f>
        <v>40.31</v>
      </c>
    </row>
    <row r="128" ht="15.75" customHeight="1">
      <c r="B128" s="3">
        <f>IFERROR(__xludf.DUMMYFUNCTION("""COMPUTED_VALUE"""),38471.645833333336)</f>
        <v>38471.64583</v>
      </c>
      <c r="C128" s="2">
        <f>IFERROR(__xludf.DUMMYFUNCTION("""COMPUTED_VALUE"""),40.3)</f>
        <v>40.3</v>
      </c>
    </row>
    <row r="129" ht="15.75" customHeight="1">
      <c r="B129" s="3">
        <f>IFERROR(__xludf.DUMMYFUNCTION("""COMPUTED_VALUE"""),38478.645833333336)</f>
        <v>38478.64583</v>
      </c>
      <c r="C129" s="2">
        <f>IFERROR(__xludf.DUMMYFUNCTION("""COMPUTED_VALUE"""),40.94)</f>
        <v>40.94</v>
      </c>
    </row>
    <row r="130" ht="15.75" customHeight="1">
      <c r="B130" s="3">
        <f>IFERROR(__xludf.DUMMYFUNCTION("""COMPUTED_VALUE"""),38485.645833333336)</f>
        <v>38485.64583</v>
      </c>
      <c r="C130" s="2">
        <f>IFERROR(__xludf.DUMMYFUNCTION("""COMPUTED_VALUE"""),41.32)</f>
        <v>41.32</v>
      </c>
    </row>
    <row r="131" ht="15.75" customHeight="1">
      <c r="B131" s="3">
        <f>IFERROR(__xludf.DUMMYFUNCTION("""COMPUTED_VALUE"""),38492.645833333336)</f>
        <v>38492.64583</v>
      </c>
      <c r="C131" s="2">
        <f>IFERROR(__xludf.DUMMYFUNCTION("""COMPUTED_VALUE"""),43.03)</f>
        <v>43.03</v>
      </c>
    </row>
    <row r="132" ht="15.75" customHeight="1">
      <c r="B132" s="3">
        <f>IFERROR(__xludf.DUMMYFUNCTION("""COMPUTED_VALUE"""),38499.645833333336)</f>
        <v>38499.64583</v>
      </c>
      <c r="C132" s="2">
        <f>IFERROR(__xludf.DUMMYFUNCTION("""COMPUTED_VALUE"""),43.73)</f>
        <v>43.73</v>
      </c>
    </row>
    <row r="133" ht="15.75" customHeight="1">
      <c r="B133" s="3">
        <f>IFERROR(__xludf.DUMMYFUNCTION("""COMPUTED_VALUE"""),38513.645833333336)</f>
        <v>38513.64583</v>
      </c>
      <c r="C133" s="2">
        <f>IFERROR(__xludf.DUMMYFUNCTION("""COMPUTED_VALUE"""),40.39)</f>
        <v>40.39</v>
      </c>
    </row>
    <row r="134" ht="15.75" customHeight="1">
      <c r="B134" s="3">
        <f>IFERROR(__xludf.DUMMYFUNCTION("""COMPUTED_VALUE"""),38520.645833333336)</f>
        <v>38520.64583</v>
      </c>
      <c r="C134" s="2">
        <f>IFERROR(__xludf.DUMMYFUNCTION("""COMPUTED_VALUE"""),41.81)</f>
        <v>41.81</v>
      </c>
    </row>
    <row r="135" ht="15.75" customHeight="1">
      <c r="B135" s="3">
        <f>IFERROR(__xludf.DUMMYFUNCTION("""COMPUTED_VALUE"""),38527.645833333336)</f>
        <v>38527.64583</v>
      </c>
      <c r="C135" s="2">
        <f>IFERROR(__xludf.DUMMYFUNCTION("""COMPUTED_VALUE"""),42.08)</f>
        <v>42.08</v>
      </c>
    </row>
    <row r="136" ht="15.75" customHeight="1">
      <c r="B136" s="3">
        <f>IFERROR(__xludf.DUMMYFUNCTION("""COMPUTED_VALUE"""),38534.645833333336)</f>
        <v>38534.64583</v>
      </c>
      <c r="C136" s="2">
        <f>IFERROR(__xludf.DUMMYFUNCTION("""COMPUTED_VALUE"""),43.09)</f>
        <v>43.09</v>
      </c>
    </row>
    <row r="137" ht="15.75" customHeight="1">
      <c r="B137" s="3">
        <f>IFERROR(__xludf.DUMMYFUNCTION("""COMPUTED_VALUE"""),38541.645833333336)</f>
        <v>38541.64583</v>
      </c>
      <c r="C137" s="2">
        <f>IFERROR(__xludf.DUMMYFUNCTION("""COMPUTED_VALUE"""),42.75)</f>
        <v>42.75</v>
      </c>
    </row>
    <row r="138" ht="15.75" customHeight="1">
      <c r="B138" s="3">
        <f>IFERROR(__xludf.DUMMYFUNCTION("""COMPUTED_VALUE"""),38548.645833333336)</f>
        <v>38548.64583</v>
      </c>
      <c r="C138" s="2">
        <f>IFERROR(__xludf.DUMMYFUNCTION("""COMPUTED_VALUE"""),42.08)</f>
        <v>42.08</v>
      </c>
    </row>
    <row r="139" ht="15.75" customHeight="1">
      <c r="B139" s="3">
        <f>IFERROR(__xludf.DUMMYFUNCTION("""COMPUTED_VALUE"""),38555.645833333336)</f>
        <v>38555.64583</v>
      </c>
      <c r="C139" s="2">
        <f>IFERROR(__xludf.DUMMYFUNCTION("""COMPUTED_VALUE"""),41.98)</f>
        <v>41.98</v>
      </c>
    </row>
    <row r="140" ht="15.75" customHeight="1">
      <c r="B140" s="3">
        <f>IFERROR(__xludf.DUMMYFUNCTION("""COMPUTED_VALUE"""),38562.645833333336)</f>
        <v>38562.64583</v>
      </c>
      <c r="C140" s="2">
        <f>IFERROR(__xludf.DUMMYFUNCTION("""COMPUTED_VALUE"""),43.46)</f>
        <v>43.46</v>
      </c>
    </row>
    <row r="141" ht="15.75" customHeight="1">
      <c r="B141" s="3">
        <f>IFERROR(__xludf.DUMMYFUNCTION("""COMPUTED_VALUE"""),38569.645833333336)</f>
        <v>38569.64583</v>
      </c>
      <c r="C141" s="2">
        <f>IFERROR(__xludf.DUMMYFUNCTION("""COMPUTED_VALUE"""),46.1)</f>
        <v>46.1</v>
      </c>
    </row>
    <row r="142" ht="15.75" customHeight="1">
      <c r="B142" s="3">
        <f>IFERROR(__xludf.DUMMYFUNCTION("""COMPUTED_VALUE"""),38576.645833333336)</f>
        <v>38576.64583</v>
      </c>
      <c r="C142" s="2">
        <f>IFERROR(__xludf.DUMMYFUNCTION("""COMPUTED_VALUE"""),45.94)</f>
        <v>45.94</v>
      </c>
    </row>
    <row r="143" ht="15.75" customHeight="1">
      <c r="B143" s="3">
        <f>IFERROR(__xludf.DUMMYFUNCTION("""COMPUTED_VALUE"""),38583.645833333336)</f>
        <v>38583.64583</v>
      </c>
      <c r="C143" s="2">
        <f>IFERROR(__xludf.DUMMYFUNCTION("""COMPUTED_VALUE"""),51.75)</f>
        <v>51.75</v>
      </c>
    </row>
    <row r="144" ht="15.75" customHeight="1">
      <c r="B144" s="3">
        <f>IFERROR(__xludf.DUMMYFUNCTION("""COMPUTED_VALUE"""),38590.645833333336)</f>
        <v>38590.64583</v>
      </c>
      <c r="C144" s="2">
        <f>IFERROR(__xludf.DUMMYFUNCTION("""COMPUTED_VALUE"""),45.83)</f>
        <v>45.83</v>
      </c>
    </row>
    <row r="145" ht="15.75" customHeight="1">
      <c r="B145" s="3">
        <f>IFERROR(__xludf.DUMMYFUNCTION("""COMPUTED_VALUE"""),38597.645833333336)</f>
        <v>38597.64583</v>
      </c>
      <c r="C145" s="2">
        <f>IFERROR(__xludf.DUMMYFUNCTION("""COMPUTED_VALUE"""),44.99)</f>
        <v>44.99</v>
      </c>
    </row>
    <row r="146" ht="15.75" customHeight="1">
      <c r="B146" s="3">
        <f>IFERROR(__xludf.DUMMYFUNCTION("""COMPUTED_VALUE"""),38604.645833333336)</f>
        <v>38604.64583</v>
      </c>
      <c r="C146" s="2">
        <f>IFERROR(__xludf.DUMMYFUNCTION("""COMPUTED_VALUE"""),46.17)</f>
        <v>46.17</v>
      </c>
    </row>
    <row r="147" ht="15.75" customHeight="1">
      <c r="B147" s="3">
        <f>IFERROR(__xludf.DUMMYFUNCTION("""COMPUTED_VALUE"""),38611.645833333336)</f>
        <v>38611.64583</v>
      </c>
      <c r="C147" s="2">
        <f>IFERROR(__xludf.DUMMYFUNCTION("""COMPUTED_VALUE"""),50.23)</f>
        <v>50.23</v>
      </c>
    </row>
    <row r="148" ht="15.75" customHeight="1">
      <c r="B148" s="3">
        <f>IFERROR(__xludf.DUMMYFUNCTION("""COMPUTED_VALUE"""),38618.645833333336)</f>
        <v>38618.64583</v>
      </c>
      <c r="C148" s="2">
        <f>IFERROR(__xludf.DUMMYFUNCTION("""COMPUTED_VALUE"""),50.25)</f>
        <v>50.25</v>
      </c>
    </row>
    <row r="149" ht="15.75" customHeight="1">
      <c r="B149" s="3">
        <f>IFERROR(__xludf.DUMMYFUNCTION("""COMPUTED_VALUE"""),38625.645833333336)</f>
        <v>38625.64583</v>
      </c>
      <c r="C149" s="2">
        <f>IFERROR(__xludf.DUMMYFUNCTION("""COMPUTED_VALUE"""),50.72)</f>
        <v>50.72</v>
      </c>
    </row>
    <row r="150" ht="15.75" customHeight="1">
      <c r="B150" s="3">
        <f>IFERROR(__xludf.DUMMYFUNCTION("""COMPUTED_VALUE"""),38632.645833333336)</f>
        <v>38632.64583</v>
      </c>
      <c r="C150" s="2">
        <f>IFERROR(__xludf.DUMMYFUNCTION("""COMPUTED_VALUE"""),53.89)</f>
        <v>53.89</v>
      </c>
    </row>
    <row r="151" ht="15.75" customHeight="1">
      <c r="B151" s="3">
        <f>IFERROR(__xludf.DUMMYFUNCTION("""COMPUTED_VALUE"""),38639.645833333336)</f>
        <v>38639.64583</v>
      </c>
      <c r="C151" s="2">
        <f>IFERROR(__xludf.DUMMYFUNCTION("""COMPUTED_VALUE"""),51.26)</f>
        <v>51.26</v>
      </c>
    </row>
    <row r="152" ht="15.75" customHeight="1">
      <c r="B152" s="3">
        <f>IFERROR(__xludf.DUMMYFUNCTION("""COMPUTED_VALUE"""),38646.645833333336)</f>
        <v>38646.64583</v>
      </c>
      <c r="C152" s="2">
        <f>IFERROR(__xludf.DUMMYFUNCTION("""COMPUTED_VALUE"""),48.75)</f>
        <v>48.75</v>
      </c>
    </row>
    <row r="153" ht="15.75" customHeight="1">
      <c r="B153" s="3">
        <f>IFERROR(__xludf.DUMMYFUNCTION("""COMPUTED_VALUE"""),38653.645833333336)</f>
        <v>38653.64583</v>
      </c>
      <c r="C153" s="2">
        <f>IFERROR(__xludf.DUMMYFUNCTION("""COMPUTED_VALUE"""),48.92)</f>
        <v>48.92</v>
      </c>
    </row>
    <row r="154" ht="15.75" customHeight="1">
      <c r="B154" s="3">
        <f>IFERROR(__xludf.DUMMYFUNCTION("""COMPUTED_VALUE"""),38658.645833333336)</f>
        <v>38658.64583</v>
      </c>
      <c r="C154" s="2">
        <f>IFERROR(__xludf.DUMMYFUNCTION("""COMPUTED_VALUE"""),46.69)</f>
        <v>46.69</v>
      </c>
    </row>
    <row r="155" ht="15.75" customHeight="1">
      <c r="B155" s="3">
        <f>IFERROR(__xludf.DUMMYFUNCTION("""COMPUTED_VALUE"""),38667.645833333336)</f>
        <v>38667.64583</v>
      </c>
      <c r="C155" s="2">
        <f>IFERROR(__xludf.DUMMYFUNCTION("""COMPUTED_VALUE"""),48.75)</f>
        <v>48.75</v>
      </c>
    </row>
    <row r="156" ht="15.75" customHeight="1">
      <c r="B156" s="3">
        <f>IFERROR(__xludf.DUMMYFUNCTION("""COMPUTED_VALUE"""),38674.645833333336)</f>
        <v>38674.64583</v>
      </c>
      <c r="C156" s="2">
        <f>IFERROR(__xludf.DUMMYFUNCTION("""COMPUTED_VALUE"""),49.88)</f>
        <v>49.88</v>
      </c>
    </row>
    <row r="157" ht="15.75" customHeight="1">
      <c r="B157" s="3">
        <f>IFERROR(__xludf.DUMMYFUNCTION("""COMPUTED_VALUE"""),38688.645833333336)</f>
        <v>38688.64583</v>
      </c>
      <c r="C157" s="2">
        <f>IFERROR(__xludf.DUMMYFUNCTION("""COMPUTED_VALUE"""),52.21)</f>
        <v>52.21</v>
      </c>
    </row>
    <row r="158" ht="15.75" customHeight="1">
      <c r="B158" s="3">
        <f>IFERROR(__xludf.DUMMYFUNCTION("""COMPUTED_VALUE"""),38695.645833333336)</f>
        <v>38695.64583</v>
      </c>
      <c r="C158" s="2">
        <f>IFERROR(__xludf.DUMMYFUNCTION("""COMPUTED_VALUE"""),51.32)</f>
        <v>51.32</v>
      </c>
    </row>
    <row r="159" ht="15.75" customHeight="1">
      <c r="B159" s="3">
        <f>IFERROR(__xludf.DUMMYFUNCTION("""COMPUTED_VALUE"""),38702.645833333336)</f>
        <v>38702.64583</v>
      </c>
      <c r="C159" s="2">
        <f>IFERROR(__xludf.DUMMYFUNCTION("""COMPUTED_VALUE"""),52.82)</f>
        <v>52.82</v>
      </c>
    </row>
    <row r="160" ht="15.75" customHeight="1">
      <c r="B160" s="3">
        <f>IFERROR(__xludf.DUMMYFUNCTION("""COMPUTED_VALUE"""),38709.645833333336)</f>
        <v>38709.64583</v>
      </c>
      <c r="C160" s="2">
        <f>IFERROR(__xludf.DUMMYFUNCTION("""COMPUTED_VALUE"""),52.09)</f>
        <v>52.09</v>
      </c>
    </row>
    <row r="161" ht="15.75" customHeight="1">
      <c r="B161" s="3">
        <f>IFERROR(__xludf.DUMMYFUNCTION("""COMPUTED_VALUE"""),38716.645833333336)</f>
        <v>38716.64583</v>
      </c>
      <c r="C161" s="2">
        <f>IFERROR(__xludf.DUMMYFUNCTION("""COMPUTED_VALUE"""),50.53)</f>
        <v>50.53</v>
      </c>
    </row>
    <row r="162" ht="15.75" customHeight="1"/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IFERROR(__xludf.DUMMYFUNCTION("GOOGLEFINANCE(""NSE:GAIL"", ""high"",DATE(2006,1,1),DATE(2007,1,1),""weekly"")"),"Date")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IFERROR(__xludf.DUMMYFUNCTION("""COMPUTED_VALUE"""),38723.645833333336)</f>
        <v>38723.64583</v>
      </c>
      <c r="C167" s="2">
        <f>IFERROR(__xludf.DUMMYFUNCTION("""COMPUTED_VALUE"""),53.23)</f>
        <v>53.23</v>
      </c>
    </row>
    <row r="168" ht="15.75" customHeight="1">
      <c r="B168" s="3">
        <f>IFERROR(__xludf.DUMMYFUNCTION("""COMPUTED_VALUE"""),38730.645833333336)</f>
        <v>38730.64583</v>
      </c>
      <c r="C168" s="2">
        <f>IFERROR(__xludf.DUMMYFUNCTION("""COMPUTED_VALUE"""),54.09)</f>
        <v>54.09</v>
      </c>
    </row>
    <row r="169" ht="15.75" customHeight="1">
      <c r="B169" s="3">
        <f>IFERROR(__xludf.DUMMYFUNCTION("""COMPUTED_VALUE"""),38737.645833333336)</f>
        <v>38737.64583</v>
      </c>
      <c r="C169" s="2">
        <f>IFERROR(__xludf.DUMMYFUNCTION("""COMPUTED_VALUE"""),52.97)</f>
        <v>52.97</v>
      </c>
    </row>
    <row r="170" ht="15.75" customHeight="1">
      <c r="B170" s="3">
        <f>IFERROR(__xludf.DUMMYFUNCTION("""COMPUTED_VALUE"""),38744.645833333336)</f>
        <v>38744.64583</v>
      </c>
      <c r="C170" s="2">
        <f>IFERROR(__xludf.DUMMYFUNCTION("""COMPUTED_VALUE"""),52.97)</f>
        <v>52.97</v>
      </c>
    </row>
    <row r="171" ht="15.75" customHeight="1">
      <c r="B171" s="3">
        <f>IFERROR(__xludf.DUMMYFUNCTION("""COMPUTED_VALUE"""),38751.645833333336)</f>
        <v>38751.64583</v>
      </c>
      <c r="C171" s="2">
        <f>IFERROR(__xludf.DUMMYFUNCTION("""COMPUTED_VALUE"""),55.29)</f>
        <v>55.29</v>
      </c>
    </row>
    <row r="172" ht="15.75" customHeight="1">
      <c r="B172" s="3">
        <f>IFERROR(__xludf.DUMMYFUNCTION("""COMPUTED_VALUE"""),38758.645833333336)</f>
        <v>38758.64583</v>
      </c>
      <c r="C172" s="2">
        <f>IFERROR(__xludf.DUMMYFUNCTION("""COMPUTED_VALUE"""),55.59)</f>
        <v>55.59</v>
      </c>
    </row>
    <row r="173" ht="15.75" customHeight="1">
      <c r="B173" s="3">
        <f>IFERROR(__xludf.DUMMYFUNCTION("""COMPUTED_VALUE"""),38765.645833333336)</f>
        <v>38765.64583</v>
      </c>
      <c r="C173" s="2">
        <f>IFERROR(__xludf.DUMMYFUNCTION("""COMPUTED_VALUE"""),56.06)</f>
        <v>56.06</v>
      </c>
    </row>
    <row r="174" ht="15.75" customHeight="1">
      <c r="B174" s="3">
        <f>IFERROR(__xludf.DUMMYFUNCTION("""COMPUTED_VALUE"""),38772.645833333336)</f>
        <v>38772.64583</v>
      </c>
      <c r="C174" s="2">
        <f>IFERROR(__xludf.DUMMYFUNCTION("""COMPUTED_VALUE"""),52.76)</f>
        <v>52.76</v>
      </c>
    </row>
    <row r="175" ht="15.75" customHeight="1">
      <c r="B175" s="3">
        <f>IFERROR(__xludf.DUMMYFUNCTION("""COMPUTED_VALUE"""),38779.645833333336)</f>
        <v>38779.64583</v>
      </c>
      <c r="C175" s="2">
        <f>IFERROR(__xludf.DUMMYFUNCTION("""COMPUTED_VALUE"""),54.56)</f>
        <v>54.56</v>
      </c>
    </row>
    <row r="176" ht="15.75" customHeight="1">
      <c r="B176" s="3">
        <f>IFERROR(__xludf.DUMMYFUNCTION("""COMPUTED_VALUE"""),38786.645833333336)</f>
        <v>38786.64583</v>
      </c>
      <c r="C176" s="2">
        <f>IFERROR(__xludf.DUMMYFUNCTION("""COMPUTED_VALUE"""),53.56)</f>
        <v>53.56</v>
      </c>
    </row>
    <row r="177" ht="15.75" customHeight="1">
      <c r="B177" s="3">
        <f>IFERROR(__xludf.DUMMYFUNCTION("""COMPUTED_VALUE"""),38793.645833333336)</f>
        <v>38793.64583</v>
      </c>
      <c r="C177" s="2">
        <f>IFERROR(__xludf.DUMMYFUNCTION("""COMPUTED_VALUE"""),52.69)</f>
        <v>52.69</v>
      </c>
    </row>
    <row r="178" ht="15.75" customHeight="1">
      <c r="B178" s="3">
        <f>IFERROR(__xludf.DUMMYFUNCTION("""COMPUTED_VALUE"""),38800.645833333336)</f>
        <v>38800.64583</v>
      </c>
      <c r="C178" s="2">
        <f>IFERROR(__xludf.DUMMYFUNCTION("""COMPUTED_VALUE"""),55.11)</f>
        <v>55.11</v>
      </c>
    </row>
    <row r="179" ht="15.75" customHeight="1">
      <c r="B179" s="3">
        <f>IFERROR(__xludf.DUMMYFUNCTION("""COMPUTED_VALUE"""),38807.645833333336)</f>
        <v>38807.64583</v>
      </c>
      <c r="C179" s="2">
        <f>IFERROR(__xludf.DUMMYFUNCTION("""COMPUTED_VALUE"""),61.07)</f>
        <v>61.07</v>
      </c>
    </row>
    <row r="180" ht="15.75" customHeight="1">
      <c r="B180" s="3">
        <f>IFERROR(__xludf.DUMMYFUNCTION("""COMPUTED_VALUE"""),38814.645833333336)</f>
        <v>38814.64583</v>
      </c>
      <c r="C180" s="2">
        <f>IFERROR(__xludf.DUMMYFUNCTION("""COMPUTED_VALUE"""),60.9)</f>
        <v>60.9</v>
      </c>
    </row>
    <row r="181" ht="15.75" customHeight="1">
      <c r="B181" s="3">
        <f>IFERROR(__xludf.DUMMYFUNCTION("""COMPUTED_VALUE"""),38820.645833333336)</f>
        <v>38820.64583</v>
      </c>
      <c r="C181" s="2">
        <f>IFERROR(__xludf.DUMMYFUNCTION("""COMPUTED_VALUE"""),60.93)</f>
        <v>60.93</v>
      </c>
    </row>
    <row r="182" ht="15.75" customHeight="1">
      <c r="B182" s="3">
        <f>IFERROR(__xludf.DUMMYFUNCTION("""COMPUTED_VALUE"""),38828.645833333336)</f>
        <v>38828.64583</v>
      </c>
      <c r="C182" s="2">
        <f>IFERROR(__xludf.DUMMYFUNCTION("""COMPUTED_VALUE"""),60.45)</f>
        <v>60.45</v>
      </c>
    </row>
    <row r="183" ht="15.75" customHeight="1">
      <c r="B183" s="3">
        <f>IFERROR(__xludf.DUMMYFUNCTION("""COMPUTED_VALUE"""),38842.645833333336)</f>
        <v>38842.64583</v>
      </c>
      <c r="C183" s="2">
        <f>IFERROR(__xludf.DUMMYFUNCTION("""COMPUTED_VALUE"""),55.2)</f>
        <v>55.2</v>
      </c>
    </row>
    <row r="184" ht="15.75" customHeight="1">
      <c r="B184" s="3">
        <f>IFERROR(__xludf.DUMMYFUNCTION("""COMPUTED_VALUE"""),38849.645833333336)</f>
        <v>38849.64583</v>
      </c>
      <c r="C184" s="2">
        <f>IFERROR(__xludf.DUMMYFUNCTION("""COMPUTED_VALUE"""),56.43)</f>
        <v>56.43</v>
      </c>
    </row>
    <row r="185" ht="15.75" customHeight="1">
      <c r="B185" s="3">
        <f>IFERROR(__xludf.DUMMYFUNCTION("""COMPUTED_VALUE"""),38856.645833333336)</f>
        <v>38856.64583</v>
      </c>
      <c r="C185" s="2">
        <f>IFERROR(__xludf.DUMMYFUNCTION("""COMPUTED_VALUE"""),53.23)</f>
        <v>53.23</v>
      </c>
    </row>
    <row r="186" ht="15.75" customHeight="1">
      <c r="B186" s="3">
        <f>IFERROR(__xludf.DUMMYFUNCTION("""COMPUTED_VALUE"""),38863.645833333336)</f>
        <v>38863.64583</v>
      </c>
      <c r="C186" s="2">
        <f>IFERROR(__xludf.DUMMYFUNCTION("""COMPUTED_VALUE"""),50.33)</f>
        <v>50.33</v>
      </c>
    </row>
    <row r="187" ht="15.75" customHeight="1">
      <c r="B187" s="3">
        <f>IFERROR(__xludf.DUMMYFUNCTION("""COMPUTED_VALUE"""),38870.645833333336)</f>
        <v>38870.64583</v>
      </c>
      <c r="C187" s="2">
        <f>IFERROR(__xludf.DUMMYFUNCTION("""COMPUTED_VALUE"""),48.0)</f>
        <v>48</v>
      </c>
    </row>
    <row r="188" ht="15.75" customHeight="1">
      <c r="B188" s="3">
        <f>IFERROR(__xludf.DUMMYFUNCTION("""COMPUTED_VALUE"""),38877.645833333336)</f>
        <v>38877.64583</v>
      </c>
      <c r="C188" s="2">
        <f>IFERROR(__xludf.DUMMYFUNCTION("""COMPUTED_VALUE"""),46.5)</f>
        <v>46.5</v>
      </c>
    </row>
    <row r="189" ht="15.75" customHeight="1">
      <c r="B189" s="3">
        <f>IFERROR(__xludf.DUMMYFUNCTION("""COMPUTED_VALUE"""),38884.645833333336)</f>
        <v>38884.64583</v>
      </c>
      <c r="C189" s="2">
        <f>IFERROR(__xludf.DUMMYFUNCTION("""COMPUTED_VALUE"""),45.66)</f>
        <v>45.66</v>
      </c>
    </row>
    <row r="190" ht="15.75" customHeight="1">
      <c r="B190" s="3">
        <f>IFERROR(__xludf.DUMMYFUNCTION("""COMPUTED_VALUE"""),38891.645833333336)</f>
        <v>38891.64583</v>
      </c>
      <c r="C190" s="2">
        <f>IFERROR(__xludf.DUMMYFUNCTION("""COMPUTED_VALUE"""),46.5)</f>
        <v>46.5</v>
      </c>
    </row>
    <row r="191" ht="15.75" customHeight="1">
      <c r="B191" s="3">
        <f>IFERROR(__xludf.DUMMYFUNCTION("""COMPUTED_VALUE"""),38898.645833333336)</f>
        <v>38898.64583</v>
      </c>
      <c r="C191" s="2">
        <f>IFERROR(__xludf.DUMMYFUNCTION("""COMPUTED_VALUE"""),49.59)</f>
        <v>49.59</v>
      </c>
    </row>
    <row r="192" ht="15.75" customHeight="1">
      <c r="B192" s="3">
        <f>IFERROR(__xludf.DUMMYFUNCTION("""COMPUTED_VALUE"""),38905.645833333336)</f>
        <v>38905.64583</v>
      </c>
      <c r="C192" s="2">
        <f>IFERROR(__xludf.DUMMYFUNCTION("""COMPUTED_VALUE"""),48.75)</f>
        <v>48.75</v>
      </c>
    </row>
    <row r="193" ht="15.75" customHeight="1">
      <c r="B193" s="3">
        <f>IFERROR(__xludf.DUMMYFUNCTION("""COMPUTED_VALUE"""),38912.645833333336)</f>
        <v>38912.64583</v>
      </c>
      <c r="C193" s="2">
        <f>IFERROR(__xludf.DUMMYFUNCTION("""COMPUTED_VALUE"""),48.38)</f>
        <v>48.38</v>
      </c>
    </row>
    <row r="194" ht="15.75" customHeight="1">
      <c r="B194" s="3">
        <f>IFERROR(__xludf.DUMMYFUNCTION("""COMPUTED_VALUE"""),38919.645833333336)</f>
        <v>38919.64583</v>
      </c>
      <c r="C194" s="2">
        <f>IFERROR(__xludf.DUMMYFUNCTION("""COMPUTED_VALUE"""),48.0)</f>
        <v>48</v>
      </c>
    </row>
    <row r="195" ht="15.75" customHeight="1">
      <c r="B195" s="3">
        <f>IFERROR(__xludf.DUMMYFUNCTION("""COMPUTED_VALUE"""),38926.645833333336)</f>
        <v>38926.64583</v>
      </c>
      <c r="C195" s="2">
        <f>IFERROR(__xludf.DUMMYFUNCTION("""COMPUTED_VALUE"""),50.53)</f>
        <v>50.53</v>
      </c>
    </row>
    <row r="196" ht="15.75" customHeight="1">
      <c r="B196" s="3">
        <f>IFERROR(__xludf.DUMMYFUNCTION("""COMPUTED_VALUE"""),38933.645833333336)</f>
        <v>38933.64583</v>
      </c>
      <c r="C196" s="2">
        <f>IFERROR(__xludf.DUMMYFUNCTION("""COMPUTED_VALUE"""),47.25)</f>
        <v>47.25</v>
      </c>
    </row>
    <row r="197" ht="15.75" customHeight="1">
      <c r="B197" s="3">
        <f>IFERROR(__xludf.DUMMYFUNCTION("""COMPUTED_VALUE"""),38940.645833333336)</f>
        <v>38940.64583</v>
      </c>
      <c r="C197" s="2">
        <f>IFERROR(__xludf.DUMMYFUNCTION("""COMPUTED_VALUE"""),47.33)</f>
        <v>47.33</v>
      </c>
    </row>
    <row r="198" ht="15.75" customHeight="1">
      <c r="B198" s="3">
        <f>IFERROR(__xludf.DUMMYFUNCTION("""COMPUTED_VALUE"""),38947.645833333336)</f>
        <v>38947.64583</v>
      </c>
      <c r="C198" s="2">
        <f>IFERROR(__xludf.DUMMYFUNCTION("""COMPUTED_VALUE"""),49.41)</f>
        <v>49.41</v>
      </c>
    </row>
    <row r="199" ht="15.75" customHeight="1">
      <c r="B199" s="3">
        <f>IFERROR(__xludf.DUMMYFUNCTION("""COMPUTED_VALUE"""),38954.645833333336)</f>
        <v>38954.64583</v>
      </c>
      <c r="C199" s="2">
        <f>IFERROR(__xludf.DUMMYFUNCTION("""COMPUTED_VALUE"""),52.2)</f>
        <v>52.2</v>
      </c>
    </row>
    <row r="200" ht="15.75" customHeight="1">
      <c r="B200" s="3">
        <f>IFERROR(__xludf.DUMMYFUNCTION("""COMPUTED_VALUE"""),38961.645833333336)</f>
        <v>38961.64583</v>
      </c>
      <c r="C200" s="2">
        <f>IFERROR(__xludf.DUMMYFUNCTION("""COMPUTED_VALUE"""),51.73)</f>
        <v>51.73</v>
      </c>
    </row>
    <row r="201" ht="15.75" customHeight="1">
      <c r="B201" s="3">
        <f>IFERROR(__xludf.DUMMYFUNCTION("""COMPUTED_VALUE"""),38968.645833333336)</f>
        <v>38968.64583</v>
      </c>
      <c r="C201" s="2">
        <f>IFERROR(__xludf.DUMMYFUNCTION("""COMPUTED_VALUE"""),51.68)</f>
        <v>51.68</v>
      </c>
    </row>
    <row r="202" ht="15.75" customHeight="1">
      <c r="B202" s="3">
        <f>IFERROR(__xludf.DUMMYFUNCTION("""COMPUTED_VALUE"""),38975.645833333336)</f>
        <v>38975.64583</v>
      </c>
      <c r="C202" s="2">
        <f>IFERROR(__xludf.DUMMYFUNCTION("""COMPUTED_VALUE"""),51.3)</f>
        <v>51.3</v>
      </c>
    </row>
    <row r="203" ht="15.75" customHeight="1">
      <c r="B203" s="3">
        <f>IFERROR(__xludf.DUMMYFUNCTION("""COMPUTED_VALUE"""),38982.645833333336)</f>
        <v>38982.64583</v>
      </c>
      <c r="C203" s="2">
        <f>IFERROR(__xludf.DUMMYFUNCTION("""COMPUTED_VALUE"""),50.44)</f>
        <v>50.44</v>
      </c>
    </row>
    <row r="204" ht="15.75" customHeight="1">
      <c r="B204" s="3">
        <f>IFERROR(__xludf.DUMMYFUNCTION("""COMPUTED_VALUE"""),38989.645833333336)</f>
        <v>38989.64583</v>
      </c>
      <c r="C204" s="2">
        <f>IFERROR(__xludf.DUMMYFUNCTION("""COMPUTED_VALUE"""),51.75)</f>
        <v>51.75</v>
      </c>
    </row>
    <row r="205" ht="15.75" customHeight="1">
      <c r="B205" s="3">
        <f>IFERROR(__xludf.DUMMYFUNCTION("""COMPUTED_VALUE"""),38996.645833333336)</f>
        <v>38996.64583</v>
      </c>
      <c r="C205" s="2">
        <f>IFERROR(__xludf.DUMMYFUNCTION("""COMPUTED_VALUE"""),50.04)</f>
        <v>50.04</v>
      </c>
    </row>
    <row r="206" ht="15.75" customHeight="1">
      <c r="B206" s="3">
        <f>IFERROR(__xludf.DUMMYFUNCTION("""COMPUTED_VALUE"""),39003.645833333336)</f>
        <v>39003.64583</v>
      </c>
      <c r="C206" s="2">
        <f>IFERROR(__xludf.DUMMYFUNCTION("""COMPUTED_VALUE"""),49.28)</f>
        <v>49.28</v>
      </c>
    </row>
    <row r="207" ht="15.75" customHeight="1">
      <c r="B207" s="3">
        <f>IFERROR(__xludf.DUMMYFUNCTION("""COMPUTED_VALUE"""),39017.645833333336)</f>
        <v>39017.64583</v>
      </c>
      <c r="C207" s="2">
        <f>IFERROR(__xludf.DUMMYFUNCTION("""COMPUTED_VALUE"""),48.75)</f>
        <v>48.75</v>
      </c>
    </row>
    <row r="208" ht="15.75" customHeight="1">
      <c r="B208" s="3">
        <f>IFERROR(__xludf.DUMMYFUNCTION("""COMPUTED_VALUE"""),39024.645833333336)</f>
        <v>39024.64583</v>
      </c>
      <c r="C208" s="2">
        <f>IFERROR(__xludf.DUMMYFUNCTION("""COMPUTED_VALUE"""),49.3)</f>
        <v>49.3</v>
      </c>
    </row>
    <row r="209" ht="15.75" customHeight="1">
      <c r="B209" s="3">
        <f>IFERROR(__xludf.DUMMYFUNCTION("""COMPUTED_VALUE"""),39031.645833333336)</f>
        <v>39031.64583</v>
      </c>
      <c r="C209" s="2">
        <f>IFERROR(__xludf.DUMMYFUNCTION("""COMPUTED_VALUE"""),48.56)</f>
        <v>48.56</v>
      </c>
    </row>
    <row r="210" ht="15.75" customHeight="1">
      <c r="B210" s="3">
        <f>IFERROR(__xludf.DUMMYFUNCTION("""COMPUTED_VALUE"""),39038.645833333336)</f>
        <v>39038.64583</v>
      </c>
      <c r="C210" s="2">
        <f>IFERROR(__xludf.DUMMYFUNCTION("""COMPUTED_VALUE"""),50.31)</f>
        <v>50.31</v>
      </c>
    </row>
    <row r="211" ht="15.75" customHeight="1">
      <c r="B211" s="3">
        <f>IFERROR(__xludf.DUMMYFUNCTION("""COMPUTED_VALUE"""),39045.645833333336)</f>
        <v>39045.64583</v>
      </c>
      <c r="C211" s="2">
        <f>IFERROR(__xludf.DUMMYFUNCTION("""COMPUTED_VALUE"""),49.69)</f>
        <v>49.69</v>
      </c>
    </row>
    <row r="212" ht="15.75" customHeight="1">
      <c r="B212" s="3">
        <f>IFERROR(__xludf.DUMMYFUNCTION("""COMPUTED_VALUE"""),39052.645833333336)</f>
        <v>39052.64583</v>
      </c>
      <c r="C212" s="2">
        <f>IFERROR(__xludf.DUMMYFUNCTION("""COMPUTED_VALUE"""),50.56)</f>
        <v>50.56</v>
      </c>
    </row>
    <row r="213" ht="15.75" customHeight="1">
      <c r="B213" s="3">
        <f>IFERROR(__xludf.DUMMYFUNCTION("""COMPUTED_VALUE"""),39059.645833333336)</f>
        <v>39059.64583</v>
      </c>
      <c r="C213" s="2">
        <f>IFERROR(__xludf.DUMMYFUNCTION("""COMPUTED_VALUE"""),51.38)</f>
        <v>51.38</v>
      </c>
    </row>
    <row r="214" ht="15.75" customHeight="1">
      <c r="B214" s="3">
        <f>IFERROR(__xludf.DUMMYFUNCTION("""COMPUTED_VALUE"""),39066.645833333336)</f>
        <v>39066.64583</v>
      </c>
      <c r="C214" s="2">
        <f>IFERROR(__xludf.DUMMYFUNCTION("""COMPUTED_VALUE"""),49.41)</f>
        <v>49.41</v>
      </c>
    </row>
    <row r="215" ht="15.75" customHeight="1">
      <c r="B215" s="3">
        <f>IFERROR(__xludf.DUMMYFUNCTION("""COMPUTED_VALUE"""),39073.645833333336)</f>
        <v>39073.64583</v>
      </c>
      <c r="C215" s="2">
        <f>IFERROR(__xludf.DUMMYFUNCTION("""COMPUTED_VALUE"""),48.73)</f>
        <v>48.73</v>
      </c>
    </row>
    <row r="216" ht="15.75" customHeight="1">
      <c r="B216" s="3">
        <f>IFERROR(__xludf.DUMMYFUNCTION("""COMPUTED_VALUE"""),39080.645833333336)</f>
        <v>39080.64583</v>
      </c>
      <c r="C216" s="2">
        <f>IFERROR(__xludf.DUMMYFUNCTION("""COMPUTED_VALUE"""),50.73)</f>
        <v>50.73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IFERROR(__xludf.DUMMYFUNCTION("GOOGLEFINANCE(""NSE:GAIL"", ""high"",DATE(2007,1,1),DATE(2008,1,1),""weekly"")"),"Date")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IFERROR(__xludf.DUMMYFUNCTION("""COMPUTED_VALUE"""),39087.645833333336)</f>
        <v>39087.64583</v>
      </c>
      <c r="C222" s="2">
        <f>IFERROR(__xludf.DUMMYFUNCTION("""COMPUTED_VALUE"""),52.13)</f>
        <v>52.13</v>
      </c>
    </row>
    <row r="223" ht="15.75" customHeight="1">
      <c r="B223" s="3">
        <f>IFERROR(__xludf.DUMMYFUNCTION("""COMPUTED_VALUE"""),39094.645833333336)</f>
        <v>39094.64583</v>
      </c>
      <c r="C223" s="2">
        <f>IFERROR(__xludf.DUMMYFUNCTION("""COMPUTED_VALUE"""),54.28)</f>
        <v>54.28</v>
      </c>
    </row>
    <row r="224" ht="15.75" customHeight="1">
      <c r="B224" s="3">
        <f>IFERROR(__xludf.DUMMYFUNCTION("""COMPUTED_VALUE"""),39101.645833333336)</f>
        <v>39101.64583</v>
      </c>
      <c r="C224" s="2">
        <f>IFERROR(__xludf.DUMMYFUNCTION("""COMPUTED_VALUE"""),54.73)</f>
        <v>54.73</v>
      </c>
    </row>
    <row r="225" ht="15.75" customHeight="1">
      <c r="B225" s="3">
        <f>IFERROR(__xludf.DUMMYFUNCTION("""COMPUTED_VALUE"""),39107.645833333336)</f>
        <v>39107.64583</v>
      </c>
      <c r="C225" s="2">
        <f>IFERROR(__xludf.DUMMYFUNCTION("""COMPUTED_VALUE"""),53.44)</f>
        <v>53.44</v>
      </c>
    </row>
    <row r="226" ht="15.75" customHeight="1">
      <c r="B226" s="3">
        <f>IFERROR(__xludf.DUMMYFUNCTION("""COMPUTED_VALUE"""),39115.645833333336)</f>
        <v>39115.64583</v>
      </c>
      <c r="C226" s="2">
        <f>IFERROR(__xludf.DUMMYFUNCTION("""COMPUTED_VALUE"""),55.01)</f>
        <v>55.01</v>
      </c>
    </row>
    <row r="227" ht="15.75" customHeight="1">
      <c r="B227" s="3">
        <f>IFERROR(__xludf.DUMMYFUNCTION("""COMPUTED_VALUE"""),39122.645833333336)</f>
        <v>39122.64583</v>
      </c>
      <c r="C227" s="2">
        <f>IFERROR(__xludf.DUMMYFUNCTION("""COMPUTED_VALUE"""),55.61)</f>
        <v>55.61</v>
      </c>
    </row>
    <row r="228" ht="15.75" customHeight="1">
      <c r="B228" s="3">
        <f>IFERROR(__xludf.DUMMYFUNCTION("""COMPUTED_VALUE"""),39128.645833333336)</f>
        <v>39128.64583</v>
      </c>
      <c r="C228" s="2">
        <f>IFERROR(__xludf.DUMMYFUNCTION("""COMPUTED_VALUE"""),58.31)</f>
        <v>58.31</v>
      </c>
    </row>
    <row r="229" ht="15.75" customHeight="1">
      <c r="B229" s="3">
        <f>IFERROR(__xludf.DUMMYFUNCTION("""COMPUTED_VALUE"""),39136.645833333336)</f>
        <v>39136.64583</v>
      </c>
      <c r="C229" s="2">
        <f>IFERROR(__xludf.DUMMYFUNCTION("""COMPUTED_VALUE"""),56.63)</f>
        <v>56.63</v>
      </c>
    </row>
    <row r="230" ht="15.75" customHeight="1">
      <c r="B230" s="3">
        <f>IFERROR(__xludf.DUMMYFUNCTION("""COMPUTED_VALUE"""),39143.645833333336)</f>
        <v>39143.64583</v>
      </c>
      <c r="C230" s="2">
        <f>IFERROR(__xludf.DUMMYFUNCTION("""COMPUTED_VALUE"""),53.64)</f>
        <v>53.64</v>
      </c>
    </row>
    <row r="231" ht="15.75" customHeight="1">
      <c r="B231" s="3">
        <f>IFERROR(__xludf.DUMMYFUNCTION("""COMPUTED_VALUE"""),39150.645833333336)</f>
        <v>39150.64583</v>
      </c>
      <c r="C231" s="2">
        <f>IFERROR(__xludf.DUMMYFUNCTION("""COMPUTED_VALUE"""),52.13)</f>
        <v>52.13</v>
      </c>
    </row>
    <row r="232" ht="15.75" customHeight="1">
      <c r="B232" s="3">
        <f>IFERROR(__xludf.DUMMYFUNCTION("""COMPUTED_VALUE"""),39157.645833333336)</f>
        <v>39157.64583</v>
      </c>
      <c r="C232" s="2">
        <f>IFERROR(__xludf.DUMMYFUNCTION("""COMPUTED_VALUE"""),50.72)</f>
        <v>50.72</v>
      </c>
    </row>
    <row r="233" ht="15.75" customHeight="1">
      <c r="B233" s="3">
        <f>IFERROR(__xludf.DUMMYFUNCTION("""COMPUTED_VALUE"""),39164.645833333336)</f>
        <v>39164.64583</v>
      </c>
      <c r="C233" s="2">
        <f>IFERROR(__xludf.DUMMYFUNCTION("""COMPUTED_VALUE"""),53.42)</f>
        <v>53.42</v>
      </c>
    </row>
    <row r="234" ht="15.75" customHeight="1">
      <c r="B234" s="3">
        <f>IFERROR(__xludf.DUMMYFUNCTION("""COMPUTED_VALUE"""),39171.645833333336)</f>
        <v>39171.64583</v>
      </c>
      <c r="C234" s="2">
        <f>IFERROR(__xludf.DUMMYFUNCTION("""COMPUTED_VALUE"""),52.5)</f>
        <v>52.5</v>
      </c>
    </row>
    <row r="235" ht="15.75" customHeight="1">
      <c r="B235" s="3">
        <f>IFERROR(__xludf.DUMMYFUNCTION("""COMPUTED_VALUE"""),39177.645833333336)</f>
        <v>39177.64583</v>
      </c>
      <c r="C235" s="2">
        <f>IFERROR(__xludf.DUMMYFUNCTION("""COMPUTED_VALUE"""),54.94)</f>
        <v>54.94</v>
      </c>
    </row>
    <row r="236" ht="15.75" customHeight="1">
      <c r="B236" s="3">
        <f>IFERROR(__xludf.DUMMYFUNCTION("""COMPUTED_VALUE"""),39185.645833333336)</f>
        <v>39185.64583</v>
      </c>
      <c r="C236" s="2">
        <f>IFERROR(__xludf.DUMMYFUNCTION("""COMPUTED_VALUE"""),56.24)</f>
        <v>56.24</v>
      </c>
    </row>
    <row r="237" ht="15.75" customHeight="1">
      <c r="B237" s="3">
        <f>IFERROR(__xludf.DUMMYFUNCTION("""COMPUTED_VALUE"""),39192.645833333336)</f>
        <v>39192.64583</v>
      </c>
      <c r="C237" s="2">
        <f>IFERROR(__xludf.DUMMYFUNCTION("""COMPUTED_VALUE"""),55.76)</f>
        <v>55.76</v>
      </c>
    </row>
    <row r="238" ht="15.75" customHeight="1">
      <c r="B238" s="3">
        <f>IFERROR(__xludf.DUMMYFUNCTION("""COMPUTED_VALUE"""),39199.645833333336)</f>
        <v>39199.64583</v>
      </c>
      <c r="C238" s="2">
        <f>IFERROR(__xludf.DUMMYFUNCTION("""COMPUTED_VALUE"""),56.19)</f>
        <v>56.19</v>
      </c>
    </row>
    <row r="239" ht="15.75" customHeight="1">
      <c r="B239" s="3">
        <f>IFERROR(__xludf.DUMMYFUNCTION("""COMPUTED_VALUE"""),39206.645833333336)</f>
        <v>39206.64583</v>
      </c>
      <c r="C239" s="2">
        <f>IFERROR(__xludf.DUMMYFUNCTION("""COMPUTED_VALUE"""),58.88)</f>
        <v>58.88</v>
      </c>
    </row>
    <row r="240" ht="15.75" customHeight="1">
      <c r="B240" s="3">
        <f>IFERROR(__xludf.DUMMYFUNCTION("""COMPUTED_VALUE"""),39213.645833333336)</f>
        <v>39213.64583</v>
      </c>
      <c r="C240" s="2">
        <f>IFERROR(__xludf.DUMMYFUNCTION("""COMPUTED_VALUE"""),59.7)</f>
        <v>59.7</v>
      </c>
    </row>
    <row r="241" ht="15.75" customHeight="1">
      <c r="B241" s="3">
        <f>IFERROR(__xludf.DUMMYFUNCTION("""COMPUTED_VALUE"""),39220.645833333336)</f>
        <v>39220.64583</v>
      </c>
      <c r="C241" s="2">
        <f>IFERROR(__xludf.DUMMYFUNCTION("""COMPUTED_VALUE"""),55.28)</f>
        <v>55.28</v>
      </c>
    </row>
    <row r="242" ht="15.75" customHeight="1">
      <c r="B242" s="3">
        <f>IFERROR(__xludf.DUMMYFUNCTION("""COMPUTED_VALUE"""),39227.645833333336)</f>
        <v>39227.64583</v>
      </c>
      <c r="C242" s="2">
        <f>IFERROR(__xludf.DUMMYFUNCTION("""COMPUTED_VALUE"""),55.88)</f>
        <v>55.88</v>
      </c>
    </row>
    <row r="243" ht="15.75" customHeight="1">
      <c r="B243" s="3">
        <f>IFERROR(__xludf.DUMMYFUNCTION("""COMPUTED_VALUE"""),39234.645833333336)</f>
        <v>39234.64583</v>
      </c>
      <c r="C243" s="2">
        <f>IFERROR(__xludf.DUMMYFUNCTION("""COMPUTED_VALUE"""),59.72)</f>
        <v>59.72</v>
      </c>
    </row>
    <row r="244" ht="15.75" customHeight="1">
      <c r="B244" s="3">
        <f>IFERROR(__xludf.DUMMYFUNCTION("""COMPUTED_VALUE"""),39241.645833333336)</f>
        <v>39241.64583</v>
      </c>
      <c r="C244" s="2">
        <f>IFERROR(__xludf.DUMMYFUNCTION("""COMPUTED_VALUE"""),60.02)</f>
        <v>60.02</v>
      </c>
    </row>
    <row r="245" ht="15.75" customHeight="1">
      <c r="B245" s="3">
        <f>IFERROR(__xludf.DUMMYFUNCTION("""COMPUTED_VALUE"""),39248.645833333336)</f>
        <v>39248.64583</v>
      </c>
      <c r="C245" s="2">
        <f>IFERROR(__xludf.DUMMYFUNCTION("""COMPUTED_VALUE"""),59.81)</f>
        <v>59.81</v>
      </c>
    </row>
    <row r="246" ht="15.75" customHeight="1">
      <c r="B246" s="3">
        <f>IFERROR(__xludf.DUMMYFUNCTION("""COMPUTED_VALUE"""),39255.645833333336)</f>
        <v>39255.64583</v>
      </c>
      <c r="C246" s="2">
        <f>IFERROR(__xludf.DUMMYFUNCTION("""COMPUTED_VALUE"""),57.75)</f>
        <v>57.75</v>
      </c>
    </row>
    <row r="247" ht="15.75" customHeight="1">
      <c r="B247" s="3">
        <f>IFERROR(__xludf.DUMMYFUNCTION("""COMPUTED_VALUE"""),39262.645833333336)</f>
        <v>39262.64583</v>
      </c>
      <c r="C247" s="2">
        <f>IFERROR(__xludf.DUMMYFUNCTION("""COMPUTED_VALUE"""),60.93)</f>
        <v>60.93</v>
      </c>
    </row>
    <row r="248" ht="15.75" customHeight="1">
      <c r="B248" s="3">
        <f>IFERROR(__xludf.DUMMYFUNCTION("""COMPUTED_VALUE"""),39269.645833333336)</f>
        <v>39269.64583</v>
      </c>
      <c r="C248" s="2">
        <f>IFERROR(__xludf.DUMMYFUNCTION("""COMPUTED_VALUE"""),59.27)</f>
        <v>59.27</v>
      </c>
    </row>
    <row r="249" ht="15.75" customHeight="1">
      <c r="B249" s="3">
        <f>IFERROR(__xludf.DUMMYFUNCTION("""COMPUTED_VALUE"""),39276.645833333336)</f>
        <v>39276.64583</v>
      </c>
      <c r="C249" s="2">
        <f>IFERROR(__xludf.DUMMYFUNCTION("""COMPUTED_VALUE"""),60.38)</f>
        <v>60.38</v>
      </c>
    </row>
    <row r="250" ht="15.75" customHeight="1">
      <c r="B250" s="3">
        <f>IFERROR(__xludf.DUMMYFUNCTION("""COMPUTED_VALUE"""),39283.645833333336)</f>
        <v>39283.64583</v>
      </c>
      <c r="C250" s="2">
        <f>IFERROR(__xludf.DUMMYFUNCTION("""COMPUTED_VALUE"""),64.12)</f>
        <v>64.12</v>
      </c>
    </row>
    <row r="251" ht="15.75" customHeight="1">
      <c r="B251" s="3">
        <f>IFERROR(__xludf.DUMMYFUNCTION("""COMPUTED_VALUE"""),39290.645833333336)</f>
        <v>39290.64583</v>
      </c>
      <c r="C251" s="2">
        <f>IFERROR(__xludf.DUMMYFUNCTION("""COMPUTED_VALUE"""),65.63)</f>
        <v>65.63</v>
      </c>
    </row>
    <row r="252" ht="15.75" customHeight="1">
      <c r="B252" s="3">
        <f>IFERROR(__xludf.DUMMYFUNCTION("""COMPUTED_VALUE"""),39297.645833333336)</f>
        <v>39297.64583</v>
      </c>
      <c r="C252" s="2">
        <f>IFERROR(__xludf.DUMMYFUNCTION("""COMPUTED_VALUE"""),65.51)</f>
        <v>65.51</v>
      </c>
    </row>
    <row r="253" ht="15.75" customHeight="1">
      <c r="B253" s="3">
        <f>IFERROR(__xludf.DUMMYFUNCTION("""COMPUTED_VALUE"""),39304.645833333336)</f>
        <v>39304.64583</v>
      </c>
      <c r="C253" s="2">
        <f>IFERROR(__xludf.DUMMYFUNCTION("""COMPUTED_VALUE"""),63.16)</f>
        <v>63.16</v>
      </c>
    </row>
    <row r="254" ht="15.75" customHeight="1">
      <c r="B254" s="3">
        <f>IFERROR(__xludf.DUMMYFUNCTION("""COMPUTED_VALUE"""),39311.645833333336)</f>
        <v>39311.64583</v>
      </c>
      <c r="C254" s="2">
        <f>IFERROR(__xludf.DUMMYFUNCTION("""COMPUTED_VALUE"""),60.56)</f>
        <v>60.56</v>
      </c>
    </row>
    <row r="255" ht="15.75" customHeight="1">
      <c r="B255" s="3">
        <f>IFERROR(__xludf.DUMMYFUNCTION("""COMPUTED_VALUE"""),39318.645833333336)</f>
        <v>39318.64583</v>
      </c>
      <c r="C255" s="2">
        <f>IFERROR(__xludf.DUMMYFUNCTION("""COMPUTED_VALUE"""),58.03)</f>
        <v>58.03</v>
      </c>
    </row>
    <row r="256" ht="15.75" customHeight="1">
      <c r="B256" s="3">
        <f>IFERROR(__xludf.DUMMYFUNCTION("""COMPUTED_VALUE"""),39325.645833333336)</f>
        <v>39325.64583</v>
      </c>
      <c r="C256" s="2">
        <f>IFERROR(__xludf.DUMMYFUNCTION("""COMPUTED_VALUE"""),61.13)</f>
        <v>61.13</v>
      </c>
    </row>
    <row r="257" ht="15.75" customHeight="1">
      <c r="B257" s="3">
        <f>IFERROR(__xludf.DUMMYFUNCTION("""COMPUTED_VALUE"""),39332.645833333336)</f>
        <v>39332.64583</v>
      </c>
      <c r="C257" s="2">
        <f>IFERROR(__xludf.DUMMYFUNCTION("""COMPUTED_VALUE"""),60.19)</f>
        <v>60.19</v>
      </c>
    </row>
    <row r="258" ht="15.75" customHeight="1">
      <c r="B258" s="3">
        <f>IFERROR(__xludf.DUMMYFUNCTION("""COMPUTED_VALUE"""),39339.645833333336)</f>
        <v>39339.64583</v>
      </c>
      <c r="C258" s="2">
        <f>IFERROR(__xludf.DUMMYFUNCTION("""COMPUTED_VALUE"""),60.47)</f>
        <v>60.47</v>
      </c>
    </row>
    <row r="259" ht="15.75" customHeight="1">
      <c r="B259" s="3">
        <f>IFERROR(__xludf.DUMMYFUNCTION("""COMPUTED_VALUE"""),39346.645833333336)</f>
        <v>39346.64583</v>
      </c>
      <c r="C259" s="2">
        <f>IFERROR(__xludf.DUMMYFUNCTION("""COMPUTED_VALUE"""),68.44)</f>
        <v>68.44</v>
      </c>
    </row>
    <row r="260" ht="15.75" customHeight="1">
      <c r="B260" s="3">
        <f>IFERROR(__xludf.DUMMYFUNCTION("""COMPUTED_VALUE"""),39353.645833333336)</f>
        <v>39353.64583</v>
      </c>
      <c r="C260" s="2">
        <f>IFERROR(__xludf.DUMMYFUNCTION("""COMPUTED_VALUE"""),73.88)</f>
        <v>73.88</v>
      </c>
    </row>
    <row r="261" ht="15.75" customHeight="1">
      <c r="B261" s="3">
        <f>IFERROR(__xludf.DUMMYFUNCTION("""COMPUTED_VALUE"""),39360.645833333336)</f>
        <v>39360.64583</v>
      </c>
      <c r="C261" s="2">
        <f>IFERROR(__xludf.DUMMYFUNCTION("""COMPUTED_VALUE"""),76.88)</f>
        <v>76.88</v>
      </c>
    </row>
    <row r="262" ht="15.75" customHeight="1">
      <c r="B262" s="3">
        <f>IFERROR(__xludf.DUMMYFUNCTION("""COMPUTED_VALUE"""),39367.645833333336)</f>
        <v>39367.64583</v>
      </c>
      <c r="C262" s="2">
        <f>IFERROR(__xludf.DUMMYFUNCTION("""COMPUTED_VALUE"""),78.08)</f>
        <v>78.08</v>
      </c>
    </row>
    <row r="263" ht="15.75" customHeight="1">
      <c r="B263" s="3">
        <f>IFERROR(__xludf.DUMMYFUNCTION("""COMPUTED_VALUE"""),39374.645833333336)</f>
        <v>39374.64583</v>
      </c>
      <c r="C263" s="2">
        <f>IFERROR(__xludf.DUMMYFUNCTION("""COMPUTED_VALUE"""),83.4)</f>
        <v>83.4</v>
      </c>
    </row>
    <row r="264" ht="15.75" customHeight="1">
      <c r="B264" s="3">
        <f>IFERROR(__xludf.DUMMYFUNCTION("""COMPUTED_VALUE"""),39381.645833333336)</f>
        <v>39381.64583</v>
      </c>
      <c r="C264" s="2">
        <f>IFERROR(__xludf.DUMMYFUNCTION("""COMPUTED_VALUE"""),78.75)</f>
        <v>78.75</v>
      </c>
    </row>
    <row r="265" ht="15.75" customHeight="1">
      <c r="B265" s="3">
        <f>IFERROR(__xludf.DUMMYFUNCTION("""COMPUTED_VALUE"""),39388.645833333336)</f>
        <v>39388.64583</v>
      </c>
      <c r="C265" s="2">
        <f>IFERROR(__xludf.DUMMYFUNCTION("""COMPUTED_VALUE"""),79.68)</f>
        <v>79.68</v>
      </c>
    </row>
    <row r="266" ht="15.75" customHeight="1">
      <c r="B266" s="3">
        <f>IFERROR(__xludf.DUMMYFUNCTION("""COMPUTED_VALUE"""),39402.645833333336)</f>
        <v>39402.64583</v>
      </c>
      <c r="C266" s="2">
        <f>IFERROR(__xludf.DUMMYFUNCTION("""COMPUTED_VALUE"""),86.96)</f>
        <v>86.96</v>
      </c>
    </row>
    <row r="267" ht="15.75" customHeight="1">
      <c r="B267" s="3">
        <f>IFERROR(__xludf.DUMMYFUNCTION("""COMPUTED_VALUE"""),39409.645833333336)</f>
        <v>39409.64583</v>
      </c>
      <c r="C267" s="2">
        <f>IFERROR(__xludf.DUMMYFUNCTION("""COMPUTED_VALUE"""),87.67)</f>
        <v>87.67</v>
      </c>
    </row>
    <row r="268" ht="15.75" customHeight="1">
      <c r="B268" s="3">
        <f>IFERROR(__xludf.DUMMYFUNCTION("""COMPUTED_VALUE"""),39416.645833333336)</f>
        <v>39416.64583</v>
      </c>
      <c r="C268" s="2">
        <f>IFERROR(__xludf.DUMMYFUNCTION("""COMPUTED_VALUE"""),83.47)</f>
        <v>83.47</v>
      </c>
    </row>
    <row r="269" ht="15.75" customHeight="1">
      <c r="B269" s="3">
        <f>IFERROR(__xludf.DUMMYFUNCTION("""COMPUTED_VALUE"""),39423.645833333336)</f>
        <v>39423.64583</v>
      </c>
      <c r="C269" s="2">
        <f>IFERROR(__xludf.DUMMYFUNCTION("""COMPUTED_VALUE"""),93.18)</f>
        <v>93.18</v>
      </c>
    </row>
    <row r="270" ht="15.75" customHeight="1">
      <c r="B270" s="3">
        <f>IFERROR(__xludf.DUMMYFUNCTION("""COMPUTED_VALUE"""),39430.645833333336)</f>
        <v>39430.64583</v>
      </c>
      <c r="C270" s="2">
        <f>IFERROR(__xludf.DUMMYFUNCTION("""COMPUTED_VALUE"""),102.9)</f>
        <v>102.9</v>
      </c>
    </row>
    <row r="271" ht="15.75" customHeight="1">
      <c r="B271" s="3">
        <f>IFERROR(__xludf.DUMMYFUNCTION("""COMPUTED_VALUE"""),39436.645833333336)</f>
        <v>39436.64583</v>
      </c>
      <c r="C271" s="2">
        <f>IFERROR(__xludf.DUMMYFUNCTION("""COMPUTED_VALUE"""),96.94)</f>
        <v>96.94</v>
      </c>
    </row>
    <row r="272" ht="15.75" customHeight="1">
      <c r="B272" s="3">
        <f>IFERROR(__xludf.DUMMYFUNCTION("""COMPUTED_VALUE"""),39444.645833333336)</f>
        <v>39444.64583</v>
      </c>
      <c r="C272" s="2">
        <f>IFERROR(__xludf.DUMMYFUNCTION("""COMPUTED_VALUE"""),103.47)</f>
        <v>103.47</v>
      </c>
    </row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IFERROR(__xludf.DUMMYFUNCTION("GOOGLEFINANCE(""NSE:GAIL"", ""high"",DATE(2008,1,1),DATE(2009,1,1),""weekly"")"),"Date")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IFERROR(__xludf.DUMMYFUNCTION("""COMPUTED_VALUE"""),39451.645833333336)</f>
        <v>39451.64583</v>
      </c>
      <c r="C277" s="2">
        <f>IFERROR(__xludf.DUMMYFUNCTION("""COMPUTED_VALUE"""),104.16)</f>
        <v>104.16</v>
      </c>
    </row>
    <row r="278" ht="15.75" customHeight="1">
      <c r="B278" s="3">
        <f>IFERROR(__xludf.DUMMYFUNCTION("""COMPUTED_VALUE"""),39458.645833333336)</f>
        <v>39458.64583</v>
      </c>
      <c r="C278" s="2">
        <f>IFERROR(__xludf.DUMMYFUNCTION("""COMPUTED_VALUE"""),100.31)</f>
        <v>100.31</v>
      </c>
    </row>
    <row r="279" ht="15.75" customHeight="1">
      <c r="B279" s="3">
        <f>IFERROR(__xludf.DUMMYFUNCTION("""COMPUTED_VALUE"""),39464.645833333336)</f>
        <v>39464.64583</v>
      </c>
      <c r="C279" s="2">
        <f>IFERROR(__xludf.DUMMYFUNCTION("""COMPUTED_VALUE"""),96.6)</f>
        <v>96.6</v>
      </c>
    </row>
    <row r="280" ht="15.75" customHeight="1">
      <c r="B280" s="3">
        <f>IFERROR(__xludf.DUMMYFUNCTION("""COMPUTED_VALUE"""),39472.645833333336)</f>
        <v>39472.64583</v>
      </c>
      <c r="C280" s="2">
        <f>IFERROR(__xludf.DUMMYFUNCTION("""COMPUTED_VALUE"""),90.0)</f>
        <v>90</v>
      </c>
    </row>
    <row r="281" ht="15.75" customHeight="1">
      <c r="B281" s="3">
        <f>IFERROR(__xludf.DUMMYFUNCTION("""COMPUTED_VALUE"""),39479.645833333336)</f>
        <v>39479.64583</v>
      </c>
      <c r="C281" s="2">
        <f>IFERROR(__xludf.DUMMYFUNCTION("""COMPUTED_VALUE"""),85.31)</f>
        <v>85.31</v>
      </c>
    </row>
    <row r="282" ht="15.75" customHeight="1">
      <c r="B282" s="3">
        <f>IFERROR(__xludf.DUMMYFUNCTION("""COMPUTED_VALUE"""),39486.645833333336)</f>
        <v>39486.64583</v>
      </c>
      <c r="C282" s="2">
        <f>IFERROR(__xludf.DUMMYFUNCTION("""COMPUTED_VALUE"""),83.25)</f>
        <v>83.25</v>
      </c>
    </row>
    <row r="283" ht="15.75" customHeight="1">
      <c r="B283" s="3">
        <f>IFERROR(__xludf.DUMMYFUNCTION("""COMPUTED_VALUE"""),39493.645833333336)</f>
        <v>39493.64583</v>
      </c>
      <c r="C283" s="2">
        <f>IFERROR(__xludf.DUMMYFUNCTION("""COMPUTED_VALUE"""),80.81)</f>
        <v>80.81</v>
      </c>
    </row>
    <row r="284" ht="15.75" customHeight="1">
      <c r="B284" s="3">
        <f>IFERROR(__xludf.DUMMYFUNCTION("""COMPUTED_VALUE"""),39500.645833333336)</f>
        <v>39500.64583</v>
      </c>
      <c r="C284" s="2">
        <f>IFERROR(__xludf.DUMMYFUNCTION("""COMPUTED_VALUE"""),83.16)</f>
        <v>83.16</v>
      </c>
    </row>
    <row r="285" ht="15.75" customHeight="1">
      <c r="B285" s="3">
        <f>IFERROR(__xludf.DUMMYFUNCTION("""COMPUTED_VALUE"""),39507.645833333336)</f>
        <v>39507.64583</v>
      </c>
      <c r="C285" s="2">
        <f>IFERROR(__xludf.DUMMYFUNCTION("""COMPUTED_VALUE"""),81.02)</f>
        <v>81.02</v>
      </c>
    </row>
    <row r="286" ht="15.75" customHeight="1">
      <c r="B286" s="3">
        <f>IFERROR(__xludf.DUMMYFUNCTION("""COMPUTED_VALUE"""),39514.645833333336)</f>
        <v>39514.64583</v>
      </c>
      <c r="C286" s="2">
        <f>IFERROR(__xludf.DUMMYFUNCTION("""COMPUTED_VALUE"""),78.56)</f>
        <v>78.56</v>
      </c>
    </row>
    <row r="287" ht="15.75" customHeight="1">
      <c r="B287" s="3">
        <f>IFERROR(__xludf.DUMMYFUNCTION("""COMPUTED_VALUE"""),39521.645833333336)</f>
        <v>39521.64583</v>
      </c>
      <c r="C287" s="2">
        <f>IFERROR(__xludf.DUMMYFUNCTION("""COMPUTED_VALUE"""),81.94)</f>
        <v>81.94</v>
      </c>
    </row>
    <row r="288" ht="15.75" customHeight="1">
      <c r="B288" s="3">
        <f>IFERROR(__xludf.DUMMYFUNCTION("""COMPUTED_VALUE"""),39526.645833333336)</f>
        <v>39526.64583</v>
      </c>
      <c r="C288" s="2">
        <f>IFERROR(__xludf.DUMMYFUNCTION("""COMPUTED_VALUE"""),79.2)</f>
        <v>79.2</v>
      </c>
    </row>
    <row r="289" ht="15.75" customHeight="1">
      <c r="B289" s="3">
        <f>IFERROR(__xludf.DUMMYFUNCTION("""COMPUTED_VALUE"""),39535.645833333336)</f>
        <v>39535.64583</v>
      </c>
      <c r="C289" s="2">
        <f>IFERROR(__xludf.DUMMYFUNCTION("""COMPUTED_VALUE"""),84.09)</f>
        <v>84.09</v>
      </c>
    </row>
    <row r="290" ht="15.75" customHeight="1">
      <c r="B290" s="3">
        <f>IFERROR(__xludf.DUMMYFUNCTION("""COMPUTED_VALUE"""),39542.645833333336)</f>
        <v>39542.64583</v>
      </c>
      <c r="C290" s="2">
        <f>IFERROR(__xludf.DUMMYFUNCTION("""COMPUTED_VALUE"""),83.44)</f>
        <v>83.44</v>
      </c>
    </row>
    <row r="291" ht="15.75" customHeight="1">
      <c r="B291" s="3">
        <f>IFERROR(__xludf.DUMMYFUNCTION("""COMPUTED_VALUE"""),39549.645833333336)</f>
        <v>39549.64583</v>
      </c>
      <c r="C291" s="2">
        <f>IFERROR(__xludf.DUMMYFUNCTION("""COMPUTED_VALUE"""),83.98)</f>
        <v>83.98</v>
      </c>
    </row>
    <row r="292" ht="15.75" customHeight="1">
      <c r="B292" s="3">
        <f>IFERROR(__xludf.DUMMYFUNCTION("""COMPUTED_VALUE"""),39555.645833333336)</f>
        <v>39555.64583</v>
      </c>
      <c r="C292" s="2">
        <f>IFERROR(__xludf.DUMMYFUNCTION("""COMPUTED_VALUE"""),86.62)</f>
        <v>86.62</v>
      </c>
    </row>
    <row r="293" ht="15.75" customHeight="1">
      <c r="B293" s="3">
        <f>IFERROR(__xludf.DUMMYFUNCTION("""COMPUTED_VALUE"""),39563.645833333336)</f>
        <v>39563.64583</v>
      </c>
      <c r="C293" s="2">
        <f>IFERROR(__xludf.DUMMYFUNCTION("""COMPUTED_VALUE"""),85.29)</f>
        <v>85.29</v>
      </c>
    </row>
    <row r="294" ht="15.75" customHeight="1">
      <c r="B294" s="3">
        <f>IFERROR(__xludf.DUMMYFUNCTION("""COMPUTED_VALUE"""),39570.645833333336)</f>
        <v>39570.64583</v>
      </c>
      <c r="C294" s="2">
        <f>IFERROR(__xludf.DUMMYFUNCTION("""COMPUTED_VALUE"""),84.49)</f>
        <v>84.49</v>
      </c>
    </row>
    <row r="295" ht="15.75" customHeight="1">
      <c r="B295" s="3">
        <f>IFERROR(__xludf.DUMMYFUNCTION("""COMPUTED_VALUE"""),39577.645833333336)</f>
        <v>39577.64583</v>
      </c>
      <c r="C295" s="2">
        <f>IFERROR(__xludf.DUMMYFUNCTION("""COMPUTED_VALUE"""),84.38)</f>
        <v>84.38</v>
      </c>
    </row>
    <row r="296" ht="15.75" customHeight="1">
      <c r="B296" s="3">
        <f>IFERROR(__xludf.DUMMYFUNCTION("""COMPUTED_VALUE"""),39584.645833333336)</f>
        <v>39584.64583</v>
      </c>
      <c r="C296" s="2">
        <f>IFERROR(__xludf.DUMMYFUNCTION("""COMPUTED_VALUE"""),79.18)</f>
        <v>79.18</v>
      </c>
    </row>
    <row r="297" ht="15.75" customHeight="1">
      <c r="B297" s="3">
        <f>IFERROR(__xludf.DUMMYFUNCTION("""COMPUTED_VALUE"""),39591.645833333336)</f>
        <v>39591.64583</v>
      </c>
      <c r="C297" s="2">
        <f>IFERROR(__xludf.DUMMYFUNCTION("""COMPUTED_VALUE"""),75.94)</f>
        <v>75.94</v>
      </c>
    </row>
    <row r="298" ht="15.75" customHeight="1">
      <c r="B298" s="3">
        <f>IFERROR(__xludf.DUMMYFUNCTION("""COMPUTED_VALUE"""),39598.645833333336)</f>
        <v>39598.64583</v>
      </c>
      <c r="C298" s="2">
        <f>IFERROR(__xludf.DUMMYFUNCTION("""COMPUTED_VALUE"""),77.06)</f>
        <v>77.06</v>
      </c>
    </row>
    <row r="299" ht="15.75" customHeight="1">
      <c r="B299" s="3">
        <f>IFERROR(__xludf.DUMMYFUNCTION("""COMPUTED_VALUE"""),39605.645833333336)</f>
        <v>39605.64583</v>
      </c>
      <c r="C299" s="2">
        <f>IFERROR(__xludf.DUMMYFUNCTION("""COMPUTED_VALUE"""),76.67)</f>
        <v>76.67</v>
      </c>
    </row>
    <row r="300" ht="15.75" customHeight="1">
      <c r="B300" s="3">
        <f>IFERROR(__xludf.DUMMYFUNCTION("""COMPUTED_VALUE"""),39612.645833333336)</f>
        <v>39612.64583</v>
      </c>
      <c r="C300" s="2">
        <f>IFERROR(__xludf.DUMMYFUNCTION("""COMPUTED_VALUE"""),74.63)</f>
        <v>74.63</v>
      </c>
    </row>
    <row r="301" ht="15.75" customHeight="1">
      <c r="B301" s="3">
        <f>IFERROR(__xludf.DUMMYFUNCTION("""COMPUTED_VALUE"""),39619.645833333336)</f>
        <v>39619.64583</v>
      </c>
      <c r="C301" s="2">
        <f>IFERROR(__xludf.DUMMYFUNCTION("""COMPUTED_VALUE"""),78.56)</f>
        <v>78.56</v>
      </c>
    </row>
    <row r="302" ht="15.75" customHeight="1">
      <c r="B302" s="3">
        <f>IFERROR(__xludf.DUMMYFUNCTION("""COMPUTED_VALUE"""),39626.645833333336)</f>
        <v>39626.64583</v>
      </c>
      <c r="C302" s="2">
        <f>IFERROR(__xludf.DUMMYFUNCTION("""COMPUTED_VALUE"""),72.56)</f>
        <v>72.56</v>
      </c>
    </row>
    <row r="303" ht="15.75" customHeight="1">
      <c r="B303" s="3">
        <f>IFERROR(__xludf.DUMMYFUNCTION("""COMPUTED_VALUE"""),39633.645833333336)</f>
        <v>39633.64583</v>
      </c>
      <c r="C303" s="2">
        <f>IFERROR(__xludf.DUMMYFUNCTION("""COMPUTED_VALUE"""),64.13)</f>
        <v>64.13</v>
      </c>
    </row>
    <row r="304" ht="15.75" customHeight="1">
      <c r="B304" s="3">
        <f>IFERROR(__xludf.DUMMYFUNCTION("""COMPUTED_VALUE"""),39640.645833333336)</f>
        <v>39640.64583</v>
      </c>
      <c r="C304" s="2">
        <f>IFERROR(__xludf.DUMMYFUNCTION("""COMPUTED_VALUE"""),68.08)</f>
        <v>68.08</v>
      </c>
    </row>
    <row r="305" ht="15.75" customHeight="1">
      <c r="B305" s="3">
        <f>IFERROR(__xludf.DUMMYFUNCTION("""COMPUTED_VALUE"""),39647.645833333336)</f>
        <v>39647.64583</v>
      </c>
      <c r="C305" s="2">
        <f>IFERROR(__xludf.DUMMYFUNCTION("""COMPUTED_VALUE"""),71.21)</f>
        <v>71.21</v>
      </c>
    </row>
    <row r="306" ht="15.75" customHeight="1">
      <c r="B306" s="3">
        <f>IFERROR(__xludf.DUMMYFUNCTION("""COMPUTED_VALUE"""),39654.645833333336)</f>
        <v>39654.64583</v>
      </c>
      <c r="C306" s="2">
        <f>IFERROR(__xludf.DUMMYFUNCTION("""COMPUTED_VALUE"""),74.04)</f>
        <v>74.04</v>
      </c>
    </row>
    <row r="307" ht="15.75" customHeight="1">
      <c r="B307" s="3">
        <f>IFERROR(__xludf.DUMMYFUNCTION("""COMPUTED_VALUE"""),39661.645833333336)</f>
        <v>39661.64583</v>
      </c>
      <c r="C307" s="2">
        <f>IFERROR(__xludf.DUMMYFUNCTION("""COMPUTED_VALUE"""),74.19)</f>
        <v>74.19</v>
      </c>
    </row>
    <row r="308" ht="15.75" customHeight="1">
      <c r="B308" s="3">
        <f>IFERROR(__xludf.DUMMYFUNCTION("""COMPUTED_VALUE"""),39668.645833333336)</f>
        <v>39668.64583</v>
      </c>
      <c r="C308" s="2">
        <f>IFERROR(__xludf.DUMMYFUNCTION("""COMPUTED_VALUE"""),77.81)</f>
        <v>77.81</v>
      </c>
    </row>
    <row r="309" ht="15.75" customHeight="1">
      <c r="B309" s="3">
        <f>IFERROR(__xludf.DUMMYFUNCTION("""COMPUTED_VALUE"""),39674.645833333336)</f>
        <v>39674.64583</v>
      </c>
      <c r="C309" s="2">
        <f>IFERROR(__xludf.DUMMYFUNCTION("""COMPUTED_VALUE"""),80.05)</f>
        <v>80.05</v>
      </c>
    </row>
    <row r="310" ht="15.75" customHeight="1">
      <c r="B310" s="3">
        <f>IFERROR(__xludf.DUMMYFUNCTION("""COMPUTED_VALUE"""),39682.645833333336)</f>
        <v>39682.64583</v>
      </c>
      <c r="C310" s="2">
        <f>IFERROR(__xludf.DUMMYFUNCTION("""COMPUTED_VALUE"""),79.63)</f>
        <v>79.63</v>
      </c>
    </row>
    <row r="311" ht="15.75" customHeight="1">
      <c r="B311" s="3">
        <f>IFERROR(__xludf.DUMMYFUNCTION("""COMPUTED_VALUE"""),39689.645833333336)</f>
        <v>39689.64583</v>
      </c>
      <c r="C311" s="2">
        <f>IFERROR(__xludf.DUMMYFUNCTION("""COMPUTED_VALUE"""),76.49)</f>
        <v>76.49</v>
      </c>
    </row>
    <row r="312" ht="15.75" customHeight="1">
      <c r="B312" s="3">
        <f>IFERROR(__xludf.DUMMYFUNCTION("""COMPUTED_VALUE"""),39696.645833333336)</f>
        <v>39696.64583</v>
      </c>
      <c r="C312" s="2">
        <f>IFERROR(__xludf.DUMMYFUNCTION("""COMPUTED_VALUE"""),79.5)</f>
        <v>79.5</v>
      </c>
    </row>
    <row r="313" ht="15.75" customHeight="1">
      <c r="B313" s="3">
        <f>IFERROR(__xludf.DUMMYFUNCTION("""COMPUTED_VALUE"""),39703.645833333336)</f>
        <v>39703.64583</v>
      </c>
      <c r="C313" s="2">
        <f>IFERROR(__xludf.DUMMYFUNCTION("""COMPUTED_VALUE"""),83.89)</f>
        <v>83.89</v>
      </c>
    </row>
    <row r="314" ht="15.75" customHeight="1">
      <c r="B314" s="3">
        <f>IFERROR(__xludf.DUMMYFUNCTION("""COMPUTED_VALUE"""),39710.645833333336)</f>
        <v>39710.64583</v>
      </c>
      <c r="C314" s="2">
        <f>IFERROR(__xludf.DUMMYFUNCTION("""COMPUTED_VALUE"""),79.5)</f>
        <v>79.5</v>
      </c>
    </row>
    <row r="315" ht="15.75" customHeight="1">
      <c r="B315" s="3">
        <f>IFERROR(__xludf.DUMMYFUNCTION("""COMPUTED_VALUE"""),39717.645833333336)</f>
        <v>39717.64583</v>
      </c>
      <c r="C315" s="2">
        <f>IFERROR(__xludf.DUMMYFUNCTION("""COMPUTED_VALUE"""),80.44)</f>
        <v>80.44</v>
      </c>
    </row>
    <row r="316" ht="15.75" customHeight="1">
      <c r="B316" s="3">
        <f>IFERROR(__xludf.DUMMYFUNCTION("""COMPUTED_VALUE"""),39724.645833333336)</f>
        <v>39724.64583</v>
      </c>
      <c r="C316" s="2">
        <f>IFERROR(__xludf.DUMMYFUNCTION("""COMPUTED_VALUE"""),78.19)</f>
        <v>78.19</v>
      </c>
    </row>
    <row r="317" ht="15.75" customHeight="1">
      <c r="B317" s="3">
        <f>IFERROR(__xludf.DUMMYFUNCTION("""COMPUTED_VALUE"""),39731.645833333336)</f>
        <v>39731.64583</v>
      </c>
      <c r="C317" s="2">
        <f>IFERROR(__xludf.DUMMYFUNCTION("""COMPUTED_VALUE"""),75.23)</f>
        <v>75.23</v>
      </c>
    </row>
    <row r="318" ht="15.75" customHeight="1">
      <c r="B318" s="3">
        <f>IFERROR(__xludf.DUMMYFUNCTION("""COMPUTED_VALUE"""),39738.645833333336)</f>
        <v>39738.64583</v>
      </c>
      <c r="C318" s="2">
        <f>IFERROR(__xludf.DUMMYFUNCTION("""COMPUTED_VALUE"""),76.47)</f>
        <v>76.47</v>
      </c>
    </row>
    <row r="319" ht="15.75" customHeight="1">
      <c r="B319" s="3">
        <f>IFERROR(__xludf.DUMMYFUNCTION("""COMPUTED_VALUE"""),39745.645833333336)</f>
        <v>39745.64583</v>
      </c>
      <c r="C319" s="2">
        <f>IFERROR(__xludf.DUMMYFUNCTION("""COMPUTED_VALUE"""),70.31)</f>
        <v>70.31</v>
      </c>
    </row>
    <row r="320" ht="15.75" customHeight="1">
      <c r="B320" s="3">
        <f>IFERROR(__xludf.DUMMYFUNCTION("""COMPUTED_VALUE"""),39752.645833333336)</f>
        <v>39752.64583</v>
      </c>
      <c r="C320" s="2">
        <f>IFERROR(__xludf.DUMMYFUNCTION("""COMPUTED_VALUE"""),62.44)</f>
        <v>62.44</v>
      </c>
    </row>
    <row r="321" ht="15.75" customHeight="1">
      <c r="B321" s="3">
        <f>IFERROR(__xludf.DUMMYFUNCTION("""COMPUTED_VALUE"""),39759.645833333336)</f>
        <v>39759.64583</v>
      </c>
      <c r="C321" s="2">
        <f>IFERROR(__xludf.DUMMYFUNCTION("""COMPUTED_VALUE"""),68.79)</f>
        <v>68.79</v>
      </c>
    </row>
    <row r="322" ht="15.75" customHeight="1">
      <c r="B322" s="3">
        <f>IFERROR(__xludf.DUMMYFUNCTION("""COMPUTED_VALUE"""),39766.645833333336)</f>
        <v>39766.64583</v>
      </c>
      <c r="C322" s="2">
        <f>IFERROR(__xludf.DUMMYFUNCTION("""COMPUTED_VALUE"""),61.88)</f>
        <v>61.88</v>
      </c>
    </row>
    <row r="323" ht="15.75" customHeight="1">
      <c r="B323" s="3">
        <f>IFERROR(__xludf.DUMMYFUNCTION("""COMPUTED_VALUE"""),39773.645833333336)</f>
        <v>39773.64583</v>
      </c>
      <c r="C323" s="2">
        <f>IFERROR(__xludf.DUMMYFUNCTION("""COMPUTED_VALUE"""),57.38)</f>
        <v>57.38</v>
      </c>
    </row>
    <row r="324" ht="15.75" customHeight="1">
      <c r="B324" s="3">
        <f>IFERROR(__xludf.DUMMYFUNCTION("""COMPUTED_VALUE"""),39780.645833333336)</f>
        <v>39780.64583</v>
      </c>
      <c r="C324" s="2">
        <f>IFERROR(__xludf.DUMMYFUNCTION("""COMPUTED_VALUE"""),58.28)</f>
        <v>58.28</v>
      </c>
    </row>
    <row r="325" ht="15.75" customHeight="1">
      <c r="B325" s="3">
        <f>IFERROR(__xludf.DUMMYFUNCTION("""COMPUTED_VALUE"""),39787.645833333336)</f>
        <v>39787.64583</v>
      </c>
      <c r="C325" s="2">
        <f>IFERROR(__xludf.DUMMYFUNCTION("""COMPUTED_VALUE"""),59.2)</f>
        <v>59.2</v>
      </c>
    </row>
    <row r="326" ht="15.75" customHeight="1">
      <c r="B326" s="3">
        <f>IFERROR(__xludf.DUMMYFUNCTION("""COMPUTED_VALUE"""),39794.645833333336)</f>
        <v>39794.64583</v>
      </c>
      <c r="C326" s="2">
        <f>IFERROR(__xludf.DUMMYFUNCTION("""COMPUTED_VALUE"""),62.41)</f>
        <v>62.41</v>
      </c>
    </row>
    <row r="327" ht="15.75" customHeight="1">
      <c r="B327" s="3">
        <f>IFERROR(__xludf.DUMMYFUNCTION("""COMPUTED_VALUE"""),39801.645833333336)</f>
        <v>39801.64583</v>
      </c>
      <c r="C327" s="2">
        <f>IFERROR(__xludf.DUMMYFUNCTION("""COMPUTED_VALUE"""),65.5)</f>
        <v>65.5</v>
      </c>
    </row>
    <row r="328" ht="15.75" customHeight="1">
      <c r="B328" s="3">
        <f>IFERROR(__xludf.DUMMYFUNCTION("""COMPUTED_VALUE"""),39808.645833333336)</f>
        <v>39808.64583</v>
      </c>
      <c r="C328" s="2">
        <f>IFERROR(__xludf.DUMMYFUNCTION("""COMPUTED_VALUE"""),61.86)</f>
        <v>61.86</v>
      </c>
    </row>
    <row r="329" ht="15.75" customHeight="1"/>
    <row r="330" ht="15.75" customHeight="1"/>
    <row r="331" ht="15.75" customHeight="1">
      <c r="B331" s="2" t="str">
        <f>IFERROR(__xludf.DUMMYFUNCTION("GOOGLEFINANCE(""NSE:GAIL"", ""high"",DATE(2009,1,1),DATE(2010,1,1),""weekly"")"),"Date")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IFERROR(__xludf.DUMMYFUNCTION("""COMPUTED_VALUE"""),39815.645833333336)</f>
        <v>39815.64583</v>
      </c>
      <c r="C332" s="2">
        <f>IFERROR(__xludf.DUMMYFUNCTION("""COMPUTED_VALUE"""),59.32)</f>
        <v>59.32</v>
      </c>
    </row>
    <row r="333" ht="15.75" customHeight="1">
      <c r="B333" s="3">
        <f>IFERROR(__xludf.DUMMYFUNCTION("""COMPUTED_VALUE"""),39822.645833333336)</f>
        <v>39822.64583</v>
      </c>
      <c r="C333" s="2">
        <f>IFERROR(__xludf.DUMMYFUNCTION("""COMPUTED_VALUE"""),61.83)</f>
        <v>61.83</v>
      </c>
    </row>
    <row r="334" ht="15.75" customHeight="1">
      <c r="B334" s="3">
        <f>IFERROR(__xludf.DUMMYFUNCTION("""COMPUTED_VALUE"""),39829.645833333336)</f>
        <v>39829.64583</v>
      </c>
      <c r="C334" s="2">
        <f>IFERROR(__xludf.DUMMYFUNCTION("""COMPUTED_VALUE"""),61.23)</f>
        <v>61.23</v>
      </c>
    </row>
    <row r="335" ht="15.75" customHeight="1">
      <c r="B335" s="3">
        <f>IFERROR(__xludf.DUMMYFUNCTION("""COMPUTED_VALUE"""),39836.645833333336)</f>
        <v>39836.64583</v>
      </c>
      <c r="C335" s="2">
        <f>IFERROR(__xludf.DUMMYFUNCTION("""COMPUTED_VALUE"""),60.64)</f>
        <v>60.64</v>
      </c>
    </row>
    <row r="336" ht="15.75" customHeight="1">
      <c r="B336" s="3">
        <f>IFERROR(__xludf.DUMMYFUNCTION("""COMPUTED_VALUE"""),39843.645833333336)</f>
        <v>39843.64583</v>
      </c>
      <c r="C336" s="2">
        <f>IFERROR(__xludf.DUMMYFUNCTION("""COMPUTED_VALUE"""),57.01)</f>
        <v>57.01</v>
      </c>
    </row>
    <row r="337" ht="15.75" customHeight="1">
      <c r="B337" s="3">
        <f>IFERROR(__xludf.DUMMYFUNCTION("""COMPUTED_VALUE"""),39850.645833333336)</f>
        <v>39850.64583</v>
      </c>
      <c r="C337" s="2">
        <f>IFERROR(__xludf.DUMMYFUNCTION("""COMPUTED_VALUE"""),58.75)</f>
        <v>58.75</v>
      </c>
    </row>
    <row r="338" ht="15.75" customHeight="1">
      <c r="B338" s="3">
        <f>IFERROR(__xludf.DUMMYFUNCTION("""COMPUTED_VALUE"""),39857.645833333336)</f>
        <v>39857.64583</v>
      </c>
      <c r="C338" s="2">
        <f>IFERROR(__xludf.DUMMYFUNCTION("""COMPUTED_VALUE"""),63.41)</f>
        <v>63.41</v>
      </c>
    </row>
    <row r="339" ht="15.75" customHeight="1">
      <c r="B339" s="3">
        <f>IFERROR(__xludf.DUMMYFUNCTION("""COMPUTED_VALUE"""),39864.645833333336)</f>
        <v>39864.64583</v>
      </c>
      <c r="C339" s="2">
        <f>IFERROR(__xludf.DUMMYFUNCTION("""COMPUTED_VALUE"""),60.19)</f>
        <v>60.19</v>
      </c>
    </row>
    <row r="340" ht="15.75" customHeight="1">
      <c r="B340" s="3">
        <f>IFERROR(__xludf.DUMMYFUNCTION("""COMPUTED_VALUE"""),39871.645833333336)</f>
        <v>39871.64583</v>
      </c>
      <c r="C340" s="2">
        <f>IFERROR(__xludf.DUMMYFUNCTION("""COMPUTED_VALUE"""),58.39)</f>
        <v>58.39</v>
      </c>
    </row>
    <row r="341" ht="15.75" customHeight="1">
      <c r="B341" s="3">
        <f>IFERROR(__xludf.DUMMYFUNCTION("""COMPUTED_VALUE"""),39878.645833333336)</f>
        <v>39878.64583</v>
      </c>
      <c r="C341" s="2">
        <f>IFERROR(__xludf.DUMMYFUNCTION("""COMPUTED_VALUE"""),57.35)</f>
        <v>57.35</v>
      </c>
    </row>
    <row r="342" ht="15.75" customHeight="1">
      <c r="B342" s="3">
        <f>IFERROR(__xludf.DUMMYFUNCTION("""COMPUTED_VALUE"""),39885.645833333336)</f>
        <v>39885.64583</v>
      </c>
      <c r="C342" s="2">
        <f>IFERROR(__xludf.DUMMYFUNCTION("""COMPUTED_VALUE"""),61.8)</f>
        <v>61.8</v>
      </c>
    </row>
    <row r="343" ht="15.75" customHeight="1">
      <c r="B343" s="3">
        <f>IFERROR(__xludf.DUMMYFUNCTION("""COMPUTED_VALUE"""),39892.645833333336)</f>
        <v>39892.64583</v>
      </c>
      <c r="C343" s="2">
        <f>IFERROR(__xludf.DUMMYFUNCTION("""COMPUTED_VALUE"""),63.8)</f>
        <v>63.8</v>
      </c>
    </row>
    <row r="344" ht="15.75" customHeight="1">
      <c r="B344" s="3">
        <f>IFERROR(__xludf.DUMMYFUNCTION("""COMPUTED_VALUE"""),39899.645833333336)</f>
        <v>39899.64583</v>
      </c>
      <c r="C344" s="2">
        <f>IFERROR(__xludf.DUMMYFUNCTION("""COMPUTED_VALUE"""),68.82)</f>
        <v>68.82</v>
      </c>
    </row>
    <row r="345" ht="15.75" customHeight="1">
      <c r="B345" s="3">
        <f>IFERROR(__xludf.DUMMYFUNCTION("""COMPUTED_VALUE"""),39905.645833333336)</f>
        <v>39905.64583</v>
      </c>
      <c r="C345" s="2">
        <f>IFERROR(__xludf.DUMMYFUNCTION("""COMPUTED_VALUE"""),74.18)</f>
        <v>74.18</v>
      </c>
    </row>
    <row r="346" ht="15.75" customHeight="1">
      <c r="B346" s="3">
        <f>IFERROR(__xludf.DUMMYFUNCTION("""COMPUTED_VALUE"""),39912.645833333336)</f>
        <v>39912.64583</v>
      </c>
      <c r="C346" s="2">
        <f>IFERROR(__xludf.DUMMYFUNCTION("""COMPUTED_VALUE"""),80.07)</f>
        <v>80.07</v>
      </c>
    </row>
    <row r="347" ht="15.75" customHeight="1">
      <c r="B347" s="3">
        <f>IFERROR(__xludf.DUMMYFUNCTION("""COMPUTED_VALUE"""),39920.645833333336)</f>
        <v>39920.64583</v>
      </c>
      <c r="C347" s="2">
        <f>IFERROR(__xludf.DUMMYFUNCTION("""COMPUTED_VALUE"""),76.49)</f>
        <v>76.49</v>
      </c>
    </row>
    <row r="348" ht="15.75" customHeight="1">
      <c r="B348" s="3">
        <f>IFERROR(__xludf.DUMMYFUNCTION("""COMPUTED_VALUE"""),39927.645833333336)</f>
        <v>39927.64583</v>
      </c>
      <c r="C348" s="2">
        <f>IFERROR(__xludf.DUMMYFUNCTION("""COMPUTED_VALUE"""),73.24)</f>
        <v>73.24</v>
      </c>
    </row>
    <row r="349" ht="15.75" customHeight="1">
      <c r="B349" s="3">
        <f>IFERROR(__xludf.DUMMYFUNCTION("""COMPUTED_VALUE"""),39932.645833333336)</f>
        <v>39932.64583</v>
      </c>
      <c r="C349" s="2">
        <f>IFERROR(__xludf.DUMMYFUNCTION("""COMPUTED_VALUE"""),73.38)</f>
        <v>73.38</v>
      </c>
    </row>
    <row r="350" ht="15.75" customHeight="1">
      <c r="B350" s="3">
        <f>IFERROR(__xludf.DUMMYFUNCTION("""COMPUTED_VALUE"""),39941.645833333336)</f>
        <v>39941.64583</v>
      </c>
      <c r="C350" s="2">
        <f>IFERROR(__xludf.DUMMYFUNCTION("""COMPUTED_VALUE"""),75.22)</f>
        <v>75.22</v>
      </c>
    </row>
    <row r="351" ht="15.75" customHeight="1">
      <c r="B351" s="3">
        <f>IFERROR(__xludf.DUMMYFUNCTION("""COMPUTED_VALUE"""),39948.645833333336)</f>
        <v>39948.64583</v>
      </c>
      <c r="C351" s="2">
        <f>IFERROR(__xludf.DUMMYFUNCTION("""COMPUTED_VALUE"""),77.34)</f>
        <v>77.34</v>
      </c>
    </row>
    <row r="352" ht="15.75" customHeight="1">
      <c r="B352" s="3">
        <f>IFERROR(__xludf.DUMMYFUNCTION("""COMPUTED_VALUE"""),39955.645833333336)</f>
        <v>39955.64583</v>
      </c>
      <c r="C352" s="2">
        <f>IFERROR(__xludf.DUMMYFUNCTION("""COMPUTED_VALUE"""),90.84)</f>
        <v>90.84</v>
      </c>
    </row>
    <row r="353" ht="15.75" customHeight="1">
      <c r="B353" s="3">
        <f>IFERROR(__xludf.DUMMYFUNCTION("""COMPUTED_VALUE"""),39962.645833333336)</f>
        <v>39962.64583</v>
      </c>
      <c r="C353" s="2">
        <f>IFERROR(__xludf.DUMMYFUNCTION("""COMPUTED_VALUE"""),88.88)</f>
        <v>88.88</v>
      </c>
    </row>
    <row r="354" ht="15.75" customHeight="1">
      <c r="B354" s="3">
        <f>IFERROR(__xludf.DUMMYFUNCTION("""COMPUTED_VALUE"""),39969.645833333336)</f>
        <v>39969.64583</v>
      </c>
      <c r="C354" s="2">
        <f>IFERROR(__xludf.DUMMYFUNCTION("""COMPUTED_VALUE"""),89.35)</f>
        <v>89.35</v>
      </c>
    </row>
    <row r="355" ht="15.75" customHeight="1">
      <c r="B355" s="3">
        <f>IFERROR(__xludf.DUMMYFUNCTION("""COMPUTED_VALUE"""),39976.645833333336)</f>
        <v>39976.64583</v>
      </c>
      <c r="C355" s="2">
        <f>IFERROR(__xludf.DUMMYFUNCTION("""COMPUTED_VALUE"""),87.16)</f>
        <v>87.16</v>
      </c>
    </row>
    <row r="356" ht="15.75" customHeight="1">
      <c r="B356" s="3">
        <f>IFERROR(__xludf.DUMMYFUNCTION("""COMPUTED_VALUE"""),39983.645833333336)</f>
        <v>39983.64583</v>
      </c>
      <c r="C356" s="2">
        <f>IFERROR(__xludf.DUMMYFUNCTION("""COMPUTED_VALUE"""),82.41)</f>
        <v>82.41</v>
      </c>
    </row>
    <row r="357" ht="15.75" customHeight="1">
      <c r="B357" s="3">
        <f>IFERROR(__xludf.DUMMYFUNCTION("""COMPUTED_VALUE"""),39990.645833333336)</f>
        <v>39990.64583</v>
      </c>
      <c r="C357" s="2">
        <f>IFERROR(__xludf.DUMMYFUNCTION("""COMPUTED_VALUE"""),82.41)</f>
        <v>82.41</v>
      </c>
    </row>
    <row r="358" ht="15.75" customHeight="1">
      <c r="B358" s="3">
        <f>IFERROR(__xludf.DUMMYFUNCTION("""COMPUTED_VALUE"""),39997.645833333336)</f>
        <v>39997.64583</v>
      </c>
      <c r="C358" s="2">
        <f>IFERROR(__xludf.DUMMYFUNCTION("""COMPUTED_VALUE"""),92.81)</f>
        <v>92.81</v>
      </c>
    </row>
    <row r="359" ht="15.75" customHeight="1">
      <c r="B359" s="3">
        <f>IFERROR(__xludf.DUMMYFUNCTION("""COMPUTED_VALUE"""),40004.645833333336)</f>
        <v>40004.64583</v>
      </c>
      <c r="C359" s="2">
        <f>IFERROR(__xludf.DUMMYFUNCTION("""COMPUTED_VALUE"""),96.62)</f>
        <v>96.62</v>
      </c>
    </row>
    <row r="360" ht="15.75" customHeight="1">
      <c r="B360" s="3">
        <f>IFERROR(__xludf.DUMMYFUNCTION("""COMPUTED_VALUE"""),40011.645833333336)</f>
        <v>40011.64583</v>
      </c>
      <c r="C360" s="2">
        <f>IFERROR(__xludf.DUMMYFUNCTION("""COMPUTED_VALUE"""),98.02)</f>
        <v>98.02</v>
      </c>
    </row>
    <row r="361" ht="15.75" customHeight="1">
      <c r="B361" s="3">
        <f>IFERROR(__xludf.DUMMYFUNCTION("""COMPUTED_VALUE"""),40018.645833333336)</f>
        <v>40018.64583</v>
      </c>
      <c r="C361" s="2">
        <f>IFERROR(__xludf.DUMMYFUNCTION("""COMPUTED_VALUE"""),99.98)</f>
        <v>99.98</v>
      </c>
    </row>
    <row r="362" ht="15.75" customHeight="1">
      <c r="B362" s="3">
        <f>IFERROR(__xludf.DUMMYFUNCTION("""COMPUTED_VALUE"""),40025.645833333336)</f>
        <v>40025.64583</v>
      </c>
      <c r="C362" s="2">
        <f>IFERROR(__xludf.DUMMYFUNCTION("""COMPUTED_VALUE"""),100.87)</f>
        <v>100.87</v>
      </c>
    </row>
    <row r="363" ht="15.75" customHeight="1">
      <c r="B363" s="3">
        <f>IFERROR(__xludf.DUMMYFUNCTION("""COMPUTED_VALUE"""),40032.645833333336)</f>
        <v>40032.64583</v>
      </c>
      <c r="C363" s="2">
        <f>IFERROR(__xludf.DUMMYFUNCTION("""COMPUTED_VALUE"""),93.39)</f>
        <v>93.39</v>
      </c>
    </row>
    <row r="364" ht="15.75" customHeight="1">
      <c r="B364" s="3">
        <f>IFERROR(__xludf.DUMMYFUNCTION("""COMPUTED_VALUE"""),40039.645833333336)</f>
        <v>40039.64583</v>
      </c>
      <c r="C364" s="2">
        <f>IFERROR(__xludf.DUMMYFUNCTION("""COMPUTED_VALUE"""),98.3)</f>
        <v>98.3</v>
      </c>
    </row>
    <row r="365" ht="15.75" customHeight="1">
      <c r="B365" s="3">
        <f>IFERROR(__xludf.DUMMYFUNCTION("""COMPUTED_VALUE"""),40046.645833333336)</f>
        <v>40046.64583</v>
      </c>
      <c r="C365" s="2">
        <f>IFERROR(__xludf.DUMMYFUNCTION("""COMPUTED_VALUE"""),96.19)</f>
        <v>96.19</v>
      </c>
    </row>
    <row r="366" ht="15.75" customHeight="1">
      <c r="B366" s="3">
        <f>IFERROR(__xludf.DUMMYFUNCTION("""COMPUTED_VALUE"""),40053.645833333336)</f>
        <v>40053.64583</v>
      </c>
      <c r="C366" s="2">
        <f>IFERROR(__xludf.DUMMYFUNCTION("""COMPUTED_VALUE"""),98.16)</f>
        <v>98.16</v>
      </c>
    </row>
    <row r="367" ht="15.75" customHeight="1">
      <c r="B367" s="3">
        <f>IFERROR(__xludf.DUMMYFUNCTION("""COMPUTED_VALUE"""),40060.645833333336)</f>
        <v>40060.64583</v>
      </c>
      <c r="C367" s="2">
        <f>IFERROR(__xludf.DUMMYFUNCTION("""COMPUTED_VALUE"""),101.93)</f>
        <v>101.93</v>
      </c>
    </row>
    <row r="368" ht="15.75" customHeight="1">
      <c r="B368" s="3">
        <f>IFERROR(__xludf.DUMMYFUNCTION("""COMPUTED_VALUE"""),40067.645833333336)</f>
        <v>40067.64583</v>
      </c>
      <c r="C368" s="2">
        <f>IFERROR(__xludf.DUMMYFUNCTION("""COMPUTED_VALUE"""),109.52)</f>
        <v>109.52</v>
      </c>
    </row>
    <row r="369" ht="15.75" customHeight="1">
      <c r="B369" s="3">
        <f>IFERROR(__xludf.DUMMYFUNCTION("""COMPUTED_VALUE"""),40074.645833333336)</f>
        <v>40074.64583</v>
      </c>
      <c r="C369" s="2">
        <f>IFERROR(__xludf.DUMMYFUNCTION("""COMPUTED_VALUE"""),102.77)</f>
        <v>102.77</v>
      </c>
    </row>
    <row r="370" ht="15.75" customHeight="1">
      <c r="B370" s="3">
        <f>IFERROR(__xludf.DUMMYFUNCTION("""COMPUTED_VALUE"""),40081.645833333336)</f>
        <v>40081.64583</v>
      </c>
      <c r="C370" s="2">
        <f>IFERROR(__xludf.DUMMYFUNCTION("""COMPUTED_VALUE"""),102.02)</f>
        <v>102.02</v>
      </c>
    </row>
    <row r="371" ht="15.75" customHeight="1">
      <c r="B371" s="3">
        <f>IFERROR(__xludf.DUMMYFUNCTION("""COMPUTED_VALUE"""),40087.645833333336)</f>
        <v>40087.64583</v>
      </c>
      <c r="C371" s="2">
        <f>IFERROR(__xludf.DUMMYFUNCTION("""COMPUTED_VALUE"""),102.94)</f>
        <v>102.94</v>
      </c>
    </row>
    <row r="372" ht="15.75" customHeight="1">
      <c r="B372" s="3">
        <f>IFERROR(__xludf.DUMMYFUNCTION("""COMPUTED_VALUE"""),40095.645833333336)</f>
        <v>40095.64583</v>
      </c>
      <c r="C372" s="2">
        <f>IFERROR(__xludf.DUMMYFUNCTION("""COMPUTED_VALUE"""),108.76)</f>
        <v>108.76</v>
      </c>
    </row>
    <row r="373" ht="15.75" customHeight="1">
      <c r="B373" s="3">
        <f>IFERROR(__xludf.DUMMYFUNCTION("""COMPUTED_VALUE"""),40109.645833333336)</f>
        <v>40109.64583</v>
      </c>
      <c r="C373" s="2">
        <f>IFERROR(__xludf.DUMMYFUNCTION("""COMPUTED_VALUE"""),108.89)</f>
        <v>108.89</v>
      </c>
    </row>
    <row r="374" ht="15.75" customHeight="1">
      <c r="B374" s="3">
        <f>IFERROR(__xludf.DUMMYFUNCTION("""COMPUTED_VALUE"""),40116.645833333336)</f>
        <v>40116.64583</v>
      </c>
      <c r="C374" s="2">
        <f>IFERROR(__xludf.DUMMYFUNCTION("""COMPUTED_VALUE"""),103.5)</f>
        <v>103.5</v>
      </c>
    </row>
    <row r="375" ht="15.75" customHeight="1">
      <c r="B375" s="3">
        <f>IFERROR(__xludf.DUMMYFUNCTION("""COMPUTED_VALUE"""),40123.645833333336)</f>
        <v>40123.64583</v>
      </c>
      <c r="C375" s="2">
        <f>IFERROR(__xludf.DUMMYFUNCTION("""COMPUTED_VALUE"""),105.6)</f>
        <v>105.6</v>
      </c>
    </row>
    <row r="376" ht="15.75" customHeight="1">
      <c r="B376" s="3">
        <f>IFERROR(__xludf.DUMMYFUNCTION("""COMPUTED_VALUE"""),40130.645833333336)</f>
        <v>40130.64583</v>
      </c>
      <c r="C376" s="2">
        <f>IFERROR(__xludf.DUMMYFUNCTION("""COMPUTED_VALUE"""),110.39)</f>
        <v>110.39</v>
      </c>
    </row>
    <row r="377" ht="15.75" customHeight="1">
      <c r="B377" s="3">
        <f>IFERROR(__xludf.DUMMYFUNCTION("""COMPUTED_VALUE"""),40137.645833333336)</f>
        <v>40137.64583</v>
      </c>
      <c r="C377" s="2">
        <f>IFERROR(__xludf.DUMMYFUNCTION("""COMPUTED_VALUE"""),110.66)</f>
        <v>110.66</v>
      </c>
    </row>
    <row r="378" ht="15.75" customHeight="1">
      <c r="B378" s="3">
        <f>IFERROR(__xludf.DUMMYFUNCTION("""COMPUTED_VALUE"""),40144.645833333336)</f>
        <v>40144.64583</v>
      </c>
      <c r="C378" s="2">
        <f>IFERROR(__xludf.DUMMYFUNCTION("""COMPUTED_VALUE"""),119.49)</f>
        <v>119.49</v>
      </c>
    </row>
    <row r="379" ht="15.75" customHeight="1">
      <c r="B379" s="3">
        <f>IFERROR(__xludf.DUMMYFUNCTION("""COMPUTED_VALUE"""),40151.645833333336)</f>
        <v>40151.64583</v>
      </c>
      <c r="C379" s="2">
        <f>IFERROR(__xludf.DUMMYFUNCTION("""COMPUTED_VALUE"""),121.44)</f>
        <v>121.44</v>
      </c>
    </row>
    <row r="380" ht="15.75" customHeight="1">
      <c r="B380" s="3">
        <f>IFERROR(__xludf.DUMMYFUNCTION("""COMPUTED_VALUE"""),40158.645833333336)</f>
        <v>40158.64583</v>
      </c>
      <c r="C380" s="2">
        <f>IFERROR(__xludf.DUMMYFUNCTION("""COMPUTED_VALUE"""),120.09)</f>
        <v>120.09</v>
      </c>
    </row>
    <row r="381" ht="15.75" customHeight="1">
      <c r="B381" s="3">
        <f>IFERROR(__xludf.DUMMYFUNCTION("""COMPUTED_VALUE"""),40165.645833333336)</f>
        <v>40165.64583</v>
      </c>
      <c r="C381" s="2">
        <f>IFERROR(__xludf.DUMMYFUNCTION("""COMPUTED_VALUE"""),119.7)</f>
        <v>119.7</v>
      </c>
    </row>
    <row r="382" ht="15.75" customHeight="1">
      <c r="B382" s="3">
        <f>IFERROR(__xludf.DUMMYFUNCTION("""COMPUTED_VALUE"""),40171.645833333336)</f>
        <v>40171.64583</v>
      </c>
      <c r="C382" s="2">
        <f>IFERROR(__xludf.DUMMYFUNCTION("""COMPUTED_VALUE"""),118.94)</f>
        <v>118.94</v>
      </c>
    </row>
    <row r="383" ht="15.75" customHeight="1">
      <c r="B383" s="3">
        <f>IFERROR(__xludf.DUMMYFUNCTION("""COMPUTED_VALUE"""),40178.645833333336)</f>
        <v>40178.64583</v>
      </c>
      <c r="C383" s="2">
        <f>IFERROR(__xludf.DUMMYFUNCTION("""COMPUTED_VALUE"""),123.37)</f>
        <v>123.37</v>
      </c>
    </row>
    <row r="384" ht="15.75" customHeight="1"/>
    <row r="385" ht="15.75" customHeight="1"/>
    <row r="386" ht="15.75" customHeight="1">
      <c r="B386" s="2" t="str">
        <f>IFERROR(__xludf.DUMMYFUNCTION("GOOGLEFINANCE(""NSE:GAIL"", ""high"",DATE(2010,1,1),DATE(2011,1,1),""weekly"")"),"Date")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IFERROR(__xludf.DUMMYFUNCTION("""COMPUTED_VALUE"""),40186.645833333336)</f>
        <v>40186.64583</v>
      </c>
      <c r="C387" s="2">
        <f>IFERROR(__xludf.DUMMYFUNCTION("""COMPUTED_VALUE"""),122.43)</f>
        <v>122.43</v>
      </c>
    </row>
    <row r="388" ht="15.75" customHeight="1">
      <c r="B388" s="3">
        <f>IFERROR(__xludf.DUMMYFUNCTION("""COMPUTED_VALUE"""),40193.645833333336)</f>
        <v>40193.64583</v>
      </c>
      <c r="C388" s="2">
        <f>IFERROR(__xludf.DUMMYFUNCTION("""COMPUTED_VALUE"""),122.18)</f>
        <v>122.18</v>
      </c>
    </row>
    <row r="389" ht="15.75" customHeight="1">
      <c r="B389" s="3">
        <f>IFERROR(__xludf.DUMMYFUNCTION("""COMPUTED_VALUE"""),40200.645833333336)</f>
        <v>40200.64583</v>
      </c>
      <c r="C389" s="2">
        <f>IFERROR(__xludf.DUMMYFUNCTION("""COMPUTED_VALUE"""),125.16)</f>
        <v>125.16</v>
      </c>
    </row>
    <row r="390" ht="15.75" customHeight="1">
      <c r="B390" s="3">
        <f>IFERROR(__xludf.DUMMYFUNCTION("""COMPUTED_VALUE"""),40207.645833333336)</f>
        <v>40207.64583</v>
      </c>
      <c r="C390" s="2">
        <f>IFERROR(__xludf.DUMMYFUNCTION("""COMPUTED_VALUE"""),113.53)</f>
        <v>113.53</v>
      </c>
    </row>
    <row r="391" ht="15.75" customHeight="1">
      <c r="B391" s="3">
        <f>IFERROR(__xludf.DUMMYFUNCTION("""COMPUTED_VALUE"""),40220.645833333336)</f>
        <v>40220.64583</v>
      </c>
      <c r="C391" s="2">
        <f>IFERROR(__xludf.DUMMYFUNCTION("""COMPUTED_VALUE"""),119.53)</f>
        <v>119.53</v>
      </c>
    </row>
    <row r="392" ht="15.75" customHeight="1">
      <c r="B392" s="3">
        <f>IFERROR(__xludf.DUMMYFUNCTION("""COMPUTED_VALUE"""),40228.645833333336)</f>
        <v>40228.64583</v>
      </c>
      <c r="C392" s="2">
        <f>IFERROR(__xludf.DUMMYFUNCTION("""COMPUTED_VALUE"""),117.39)</f>
        <v>117.39</v>
      </c>
    </row>
    <row r="393" ht="15.75" customHeight="1">
      <c r="B393" s="3">
        <f>IFERROR(__xludf.DUMMYFUNCTION("""COMPUTED_VALUE"""),40235.645833333336)</f>
        <v>40235.64583</v>
      </c>
      <c r="C393" s="2">
        <f>IFERROR(__xludf.DUMMYFUNCTION("""COMPUTED_VALUE"""),115.88)</f>
        <v>115.88</v>
      </c>
    </row>
    <row r="394" ht="15.75" customHeight="1">
      <c r="B394" s="3">
        <f>IFERROR(__xludf.DUMMYFUNCTION("""COMPUTED_VALUE"""),40242.645833333336)</f>
        <v>40242.64583</v>
      </c>
      <c r="C394" s="2">
        <f>IFERROR(__xludf.DUMMYFUNCTION("""COMPUTED_VALUE"""),115.57)</f>
        <v>115.57</v>
      </c>
    </row>
    <row r="395" ht="15.75" customHeight="1">
      <c r="B395" s="3">
        <f>IFERROR(__xludf.DUMMYFUNCTION("""COMPUTED_VALUE"""),40249.645833333336)</f>
        <v>40249.64583</v>
      </c>
      <c r="C395" s="2">
        <f>IFERROR(__xludf.DUMMYFUNCTION("""COMPUTED_VALUE"""),119.42)</f>
        <v>119.42</v>
      </c>
    </row>
    <row r="396" ht="15.75" customHeight="1">
      <c r="B396" s="3">
        <f>IFERROR(__xludf.DUMMYFUNCTION("""COMPUTED_VALUE"""),40256.645833333336)</f>
        <v>40256.64583</v>
      </c>
      <c r="C396" s="2">
        <f>IFERROR(__xludf.DUMMYFUNCTION("""COMPUTED_VALUE"""),119.46)</f>
        <v>119.46</v>
      </c>
    </row>
    <row r="397" ht="15.75" customHeight="1">
      <c r="B397" s="3">
        <f>IFERROR(__xludf.DUMMYFUNCTION("""COMPUTED_VALUE"""),40263.645833333336)</f>
        <v>40263.64583</v>
      </c>
      <c r="C397" s="2">
        <f>IFERROR(__xludf.DUMMYFUNCTION("""COMPUTED_VALUE"""),118.07)</f>
        <v>118.07</v>
      </c>
    </row>
    <row r="398" ht="15.75" customHeight="1">
      <c r="B398" s="3">
        <f>IFERROR(__xludf.DUMMYFUNCTION("""COMPUTED_VALUE"""),40269.645833333336)</f>
        <v>40269.64583</v>
      </c>
      <c r="C398" s="2">
        <f>IFERROR(__xludf.DUMMYFUNCTION("""COMPUTED_VALUE"""),116.28)</f>
        <v>116.28</v>
      </c>
    </row>
    <row r="399" ht="15.75" customHeight="1">
      <c r="B399" s="3">
        <f>IFERROR(__xludf.DUMMYFUNCTION("""COMPUTED_VALUE"""),40277.645833333336)</f>
        <v>40277.64583</v>
      </c>
      <c r="C399" s="2">
        <f>IFERROR(__xludf.DUMMYFUNCTION("""COMPUTED_VALUE"""),122.54)</f>
        <v>122.54</v>
      </c>
    </row>
    <row r="400" ht="15.75" customHeight="1">
      <c r="B400" s="3">
        <f>IFERROR(__xludf.DUMMYFUNCTION("""COMPUTED_VALUE"""),40284.645833333336)</f>
        <v>40284.64583</v>
      </c>
      <c r="C400" s="2">
        <f>IFERROR(__xludf.DUMMYFUNCTION("""COMPUTED_VALUE"""),119.81)</f>
        <v>119.81</v>
      </c>
    </row>
    <row r="401" ht="15.75" customHeight="1">
      <c r="B401" s="3">
        <f>IFERROR(__xludf.DUMMYFUNCTION("""COMPUTED_VALUE"""),40291.645833333336)</f>
        <v>40291.64583</v>
      </c>
      <c r="C401" s="2">
        <f>IFERROR(__xludf.DUMMYFUNCTION("""COMPUTED_VALUE"""),122.32)</f>
        <v>122.32</v>
      </c>
    </row>
    <row r="402" ht="15.75" customHeight="1">
      <c r="B402" s="3">
        <f>IFERROR(__xludf.DUMMYFUNCTION("""COMPUTED_VALUE"""),40298.645833333336)</f>
        <v>40298.64583</v>
      </c>
      <c r="C402" s="2">
        <f>IFERROR(__xludf.DUMMYFUNCTION("""COMPUTED_VALUE"""),121.5)</f>
        <v>121.5</v>
      </c>
    </row>
    <row r="403" ht="15.75" customHeight="1">
      <c r="B403" s="3">
        <f>IFERROR(__xludf.DUMMYFUNCTION("""COMPUTED_VALUE"""),40305.645833333336)</f>
        <v>40305.64583</v>
      </c>
      <c r="C403" s="2">
        <f>IFERROR(__xludf.DUMMYFUNCTION("""COMPUTED_VALUE"""),121.89)</f>
        <v>121.89</v>
      </c>
    </row>
    <row r="404" ht="15.75" customHeight="1">
      <c r="B404" s="3">
        <f>IFERROR(__xludf.DUMMYFUNCTION("""COMPUTED_VALUE"""),40312.645833333336)</f>
        <v>40312.64583</v>
      </c>
      <c r="C404" s="2">
        <f>IFERROR(__xludf.DUMMYFUNCTION("""COMPUTED_VALUE"""),124.03)</f>
        <v>124.03</v>
      </c>
    </row>
    <row r="405" ht="15.75" customHeight="1">
      <c r="B405" s="3">
        <f>IFERROR(__xludf.DUMMYFUNCTION("""COMPUTED_VALUE"""),40319.645833333336)</f>
        <v>40319.64583</v>
      </c>
      <c r="C405" s="2">
        <f>IFERROR(__xludf.DUMMYFUNCTION("""COMPUTED_VALUE"""),128.53)</f>
        <v>128.53</v>
      </c>
    </row>
    <row r="406" ht="15.75" customHeight="1">
      <c r="B406" s="3">
        <f>IFERROR(__xludf.DUMMYFUNCTION("""COMPUTED_VALUE"""),40326.645833333336)</f>
        <v>40326.64583</v>
      </c>
      <c r="C406" s="2">
        <f>IFERROR(__xludf.DUMMYFUNCTION("""COMPUTED_VALUE"""),129.36)</f>
        <v>129.36</v>
      </c>
    </row>
    <row r="407" ht="15.75" customHeight="1">
      <c r="B407" s="3">
        <f>IFERROR(__xludf.DUMMYFUNCTION("""COMPUTED_VALUE"""),40333.645833333336)</f>
        <v>40333.64583</v>
      </c>
      <c r="C407" s="2">
        <f>IFERROR(__xludf.DUMMYFUNCTION("""COMPUTED_VALUE"""),132.45)</f>
        <v>132.45</v>
      </c>
    </row>
    <row r="408" ht="15.75" customHeight="1">
      <c r="B408" s="3">
        <f>IFERROR(__xludf.DUMMYFUNCTION("""COMPUTED_VALUE"""),40340.645833333336)</f>
        <v>40340.64583</v>
      </c>
      <c r="C408" s="2">
        <f>IFERROR(__xludf.DUMMYFUNCTION("""COMPUTED_VALUE"""),130.47)</f>
        <v>130.47</v>
      </c>
    </row>
    <row r="409" ht="15.75" customHeight="1">
      <c r="B409" s="3">
        <f>IFERROR(__xludf.DUMMYFUNCTION("""COMPUTED_VALUE"""),40347.645833333336)</f>
        <v>40347.64583</v>
      </c>
      <c r="C409" s="2">
        <f>IFERROR(__xludf.DUMMYFUNCTION("""COMPUTED_VALUE"""),134.58)</f>
        <v>134.58</v>
      </c>
    </row>
    <row r="410" ht="15.75" customHeight="1">
      <c r="B410" s="3">
        <f>IFERROR(__xludf.DUMMYFUNCTION("""COMPUTED_VALUE"""),40354.645833333336)</f>
        <v>40354.64583</v>
      </c>
      <c r="C410" s="2">
        <f>IFERROR(__xludf.DUMMYFUNCTION("""COMPUTED_VALUE"""),145.32)</f>
        <v>145.32</v>
      </c>
    </row>
    <row r="411" ht="15.75" customHeight="1">
      <c r="B411" s="3">
        <f>IFERROR(__xludf.DUMMYFUNCTION("""COMPUTED_VALUE"""),40361.645833333336)</f>
        <v>40361.64583</v>
      </c>
      <c r="C411" s="2">
        <f>IFERROR(__xludf.DUMMYFUNCTION("""COMPUTED_VALUE"""),138.56)</f>
        <v>138.56</v>
      </c>
    </row>
    <row r="412" ht="15.75" customHeight="1">
      <c r="B412" s="3">
        <f>IFERROR(__xludf.DUMMYFUNCTION("""COMPUTED_VALUE"""),40368.645833333336)</f>
        <v>40368.64583</v>
      </c>
      <c r="C412" s="2">
        <f>IFERROR(__xludf.DUMMYFUNCTION("""COMPUTED_VALUE"""),134.27)</f>
        <v>134.27</v>
      </c>
    </row>
    <row r="413" ht="15.75" customHeight="1">
      <c r="B413" s="3">
        <f>IFERROR(__xludf.DUMMYFUNCTION("""COMPUTED_VALUE"""),40375.645833333336)</f>
        <v>40375.64583</v>
      </c>
      <c r="C413" s="2">
        <f>IFERROR(__xludf.DUMMYFUNCTION("""COMPUTED_VALUE"""),133.76)</f>
        <v>133.76</v>
      </c>
    </row>
    <row r="414" ht="15.75" customHeight="1">
      <c r="B414" s="3">
        <f>IFERROR(__xludf.DUMMYFUNCTION("""COMPUTED_VALUE"""),40382.645833333336)</f>
        <v>40382.64583</v>
      </c>
      <c r="C414" s="2">
        <f>IFERROR(__xludf.DUMMYFUNCTION("""COMPUTED_VALUE"""),134.27)</f>
        <v>134.27</v>
      </c>
    </row>
    <row r="415" ht="15.75" customHeight="1">
      <c r="B415" s="3">
        <f>IFERROR(__xludf.DUMMYFUNCTION("""COMPUTED_VALUE"""),40389.645833333336)</f>
        <v>40389.64583</v>
      </c>
      <c r="C415" s="2">
        <f>IFERROR(__xludf.DUMMYFUNCTION("""COMPUTED_VALUE"""),132.19)</f>
        <v>132.19</v>
      </c>
    </row>
    <row r="416" ht="15.75" customHeight="1">
      <c r="B416" s="3">
        <f>IFERROR(__xludf.DUMMYFUNCTION("""COMPUTED_VALUE"""),40396.645833333336)</f>
        <v>40396.64583</v>
      </c>
      <c r="C416" s="2">
        <f>IFERROR(__xludf.DUMMYFUNCTION("""COMPUTED_VALUE"""),127.56)</f>
        <v>127.56</v>
      </c>
    </row>
    <row r="417" ht="15.75" customHeight="1">
      <c r="B417" s="3">
        <f>IFERROR(__xludf.DUMMYFUNCTION("""COMPUTED_VALUE"""),40403.645833333336)</f>
        <v>40403.64583</v>
      </c>
      <c r="C417" s="2">
        <f>IFERROR(__xludf.DUMMYFUNCTION("""COMPUTED_VALUE"""),127.97)</f>
        <v>127.97</v>
      </c>
    </row>
    <row r="418" ht="15.75" customHeight="1">
      <c r="B418" s="3">
        <f>IFERROR(__xludf.DUMMYFUNCTION("""COMPUTED_VALUE"""),40410.645833333336)</f>
        <v>40410.64583</v>
      </c>
      <c r="C418" s="2">
        <f>IFERROR(__xludf.DUMMYFUNCTION("""COMPUTED_VALUE"""),132.13)</f>
        <v>132.13</v>
      </c>
    </row>
    <row r="419" ht="15.75" customHeight="1">
      <c r="B419" s="3">
        <f>IFERROR(__xludf.DUMMYFUNCTION("""COMPUTED_VALUE"""),40417.645833333336)</f>
        <v>40417.64583</v>
      </c>
      <c r="C419" s="2">
        <f>IFERROR(__xludf.DUMMYFUNCTION("""COMPUTED_VALUE"""),132.19)</f>
        <v>132.19</v>
      </c>
    </row>
    <row r="420" ht="15.75" customHeight="1">
      <c r="B420" s="3">
        <f>IFERROR(__xludf.DUMMYFUNCTION("""COMPUTED_VALUE"""),40424.645833333336)</f>
        <v>40424.64583</v>
      </c>
      <c r="C420" s="2">
        <f>IFERROR(__xludf.DUMMYFUNCTION("""COMPUTED_VALUE"""),133.28)</f>
        <v>133.28</v>
      </c>
    </row>
    <row r="421" ht="15.75" customHeight="1">
      <c r="B421" s="3">
        <f>IFERROR(__xludf.DUMMYFUNCTION("""COMPUTED_VALUE"""),40430.645833333336)</f>
        <v>40430.64583</v>
      </c>
      <c r="C421" s="2">
        <f>IFERROR(__xludf.DUMMYFUNCTION("""COMPUTED_VALUE"""),133.2)</f>
        <v>133.2</v>
      </c>
    </row>
    <row r="422" ht="15.75" customHeight="1">
      <c r="B422" s="3">
        <f>IFERROR(__xludf.DUMMYFUNCTION("""COMPUTED_VALUE"""),40438.645833333336)</f>
        <v>40438.64583</v>
      </c>
      <c r="C422" s="2">
        <f>IFERROR(__xludf.DUMMYFUNCTION("""COMPUTED_VALUE"""),138.36)</f>
        <v>138.36</v>
      </c>
    </row>
    <row r="423" ht="15.75" customHeight="1">
      <c r="B423" s="3">
        <f>IFERROR(__xludf.DUMMYFUNCTION("""COMPUTED_VALUE"""),40445.645833333336)</f>
        <v>40445.64583</v>
      </c>
      <c r="C423" s="2">
        <f>IFERROR(__xludf.DUMMYFUNCTION("""COMPUTED_VALUE"""),136.97)</f>
        <v>136.97</v>
      </c>
    </row>
    <row r="424" ht="15.75" customHeight="1">
      <c r="B424" s="3">
        <f>IFERROR(__xludf.DUMMYFUNCTION("""COMPUTED_VALUE"""),40452.645833333336)</f>
        <v>40452.64583</v>
      </c>
      <c r="C424" s="2">
        <f>IFERROR(__xludf.DUMMYFUNCTION("""COMPUTED_VALUE"""),138.04)</f>
        <v>138.04</v>
      </c>
    </row>
    <row r="425" ht="15.75" customHeight="1">
      <c r="B425" s="3">
        <f>IFERROR(__xludf.DUMMYFUNCTION("""COMPUTED_VALUE"""),40459.645833333336)</f>
        <v>40459.64583</v>
      </c>
      <c r="C425" s="2">
        <f>IFERROR(__xludf.DUMMYFUNCTION("""COMPUTED_VALUE"""),140.89)</f>
        <v>140.89</v>
      </c>
    </row>
    <row r="426" ht="15.75" customHeight="1">
      <c r="B426" s="3">
        <f>IFERROR(__xludf.DUMMYFUNCTION("""COMPUTED_VALUE"""),40466.645833333336)</f>
        <v>40466.64583</v>
      </c>
      <c r="C426" s="2">
        <f>IFERROR(__xludf.DUMMYFUNCTION("""COMPUTED_VALUE"""),144.25)</f>
        <v>144.25</v>
      </c>
    </row>
    <row r="427" ht="15.75" customHeight="1">
      <c r="B427" s="3">
        <f>IFERROR(__xludf.DUMMYFUNCTION("""COMPUTED_VALUE"""),40473.645833333336)</f>
        <v>40473.64583</v>
      </c>
      <c r="C427" s="2">
        <f>IFERROR(__xludf.DUMMYFUNCTION("""COMPUTED_VALUE"""),146.32)</f>
        <v>146.32</v>
      </c>
    </row>
    <row r="428" ht="15.75" customHeight="1">
      <c r="B428" s="3">
        <f>IFERROR(__xludf.DUMMYFUNCTION("""COMPUTED_VALUE"""),40480.645833333336)</f>
        <v>40480.64583</v>
      </c>
      <c r="C428" s="2">
        <f>IFERROR(__xludf.DUMMYFUNCTION("""COMPUTED_VALUE"""),143.38)</f>
        <v>143.38</v>
      </c>
    </row>
    <row r="429" ht="15.75" customHeight="1">
      <c r="B429" s="3">
        <f>IFERROR(__xludf.DUMMYFUNCTION("""COMPUTED_VALUE"""),40487.645833333336)</f>
        <v>40487.64583</v>
      </c>
      <c r="C429" s="2">
        <f>IFERROR(__xludf.DUMMYFUNCTION("""COMPUTED_VALUE"""),140.63)</f>
        <v>140.63</v>
      </c>
    </row>
    <row r="430" ht="15.75" customHeight="1">
      <c r="B430" s="3">
        <f>IFERROR(__xludf.DUMMYFUNCTION("""COMPUTED_VALUE"""),40494.645833333336)</f>
        <v>40494.64583</v>
      </c>
      <c r="C430" s="2">
        <f>IFERROR(__xludf.DUMMYFUNCTION("""COMPUTED_VALUE"""),141.98)</f>
        <v>141.98</v>
      </c>
    </row>
    <row r="431" ht="15.75" customHeight="1">
      <c r="B431" s="3">
        <f>IFERROR(__xludf.DUMMYFUNCTION("""COMPUTED_VALUE"""),40501.645833333336)</f>
        <v>40501.64583</v>
      </c>
      <c r="C431" s="2">
        <f>IFERROR(__xludf.DUMMYFUNCTION("""COMPUTED_VALUE"""),141.75)</f>
        <v>141.75</v>
      </c>
    </row>
    <row r="432" ht="15.75" customHeight="1">
      <c r="B432" s="3">
        <f>IFERROR(__xludf.DUMMYFUNCTION("""COMPUTED_VALUE"""),40508.645833333336)</f>
        <v>40508.64583</v>
      </c>
      <c r="C432" s="2">
        <f>IFERROR(__xludf.DUMMYFUNCTION("""COMPUTED_VALUE"""),140.01)</f>
        <v>140.01</v>
      </c>
    </row>
    <row r="433" ht="15.75" customHeight="1">
      <c r="B433" s="3">
        <f>IFERROR(__xludf.DUMMYFUNCTION("""COMPUTED_VALUE"""),40515.645833333336)</f>
        <v>40515.64583</v>
      </c>
      <c r="C433" s="2">
        <f>IFERROR(__xludf.DUMMYFUNCTION("""COMPUTED_VALUE"""),140.91)</f>
        <v>140.91</v>
      </c>
    </row>
    <row r="434" ht="15.75" customHeight="1">
      <c r="B434" s="3">
        <f>IFERROR(__xludf.DUMMYFUNCTION("""COMPUTED_VALUE"""),40522.645833333336)</f>
        <v>40522.64583</v>
      </c>
      <c r="C434" s="2">
        <f>IFERROR(__xludf.DUMMYFUNCTION("""COMPUTED_VALUE"""),144.65)</f>
        <v>144.65</v>
      </c>
    </row>
    <row r="435" ht="15.75" customHeight="1">
      <c r="B435" s="3">
        <f>IFERROR(__xludf.DUMMYFUNCTION("""COMPUTED_VALUE"""),40528.645833333336)</f>
        <v>40528.64583</v>
      </c>
      <c r="C435" s="2">
        <f>IFERROR(__xludf.DUMMYFUNCTION("""COMPUTED_VALUE"""),143.58)</f>
        <v>143.58</v>
      </c>
    </row>
    <row r="436" ht="15.75" customHeight="1">
      <c r="B436" s="3">
        <f>IFERROR(__xludf.DUMMYFUNCTION("""COMPUTED_VALUE"""),40536.645833333336)</f>
        <v>40536.64583</v>
      </c>
      <c r="C436" s="2">
        <f>IFERROR(__xludf.DUMMYFUNCTION("""COMPUTED_VALUE"""),144.84)</f>
        <v>144.84</v>
      </c>
    </row>
    <row r="437" ht="15.75" customHeight="1">
      <c r="B437" s="3">
        <f>IFERROR(__xludf.DUMMYFUNCTION("""COMPUTED_VALUE"""),40543.645833333336)</f>
        <v>40543.64583</v>
      </c>
      <c r="C437" s="2">
        <f>IFERROR(__xludf.DUMMYFUNCTION("""COMPUTED_VALUE"""),145.41)</f>
        <v>145.41</v>
      </c>
    </row>
    <row r="438" ht="15.75" customHeight="1"/>
    <row r="439" ht="15.75" customHeight="1"/>
    <row r="440" ht="15.75" customHeight="1"/>
    <row r="441" ht="15.75" customHeight="1">
      <c r="B441" s="2" t="str">
        <f>IFERROR(__xludf.DUMMYFUNCTION("GOOGLEFINANCE(""NSE:GAIL"", ""high"",DATE(2011,1,1),DATE(2012,1,1),""weekly"")"),"Date")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IFERROR(__xludf.DUMMYFUNCTION("""COMPUTED_VALUE"""),40550.645833333336)</f>
        <v>40550.64583</v>
      </c>
      <c r="C442" s="2">
        <f>IFERROR(__xludf.DUMMYFUNCTION("""COMPUTED_VALUE"""),151.24)</f>
        <v>151.24</v>
      </c>
    </row>
    <row r="443" ht="15.75" customHeight="1">
      <c r="B443" s="3">
        <f>IFERROR(__xludf.DUMMYFUNCTION("""COMPUTED_VALUE"""),40557.645833333336)</f>
        <v>40557.64583</v>
      </c>
      <c r="C443" s="2">
        <f>IFERROR(__xludf.DUMMYFUNCTION("""COMPUTED_VALUE"""),148.73)</f>
        <v>148.73</v>
      </c>
    </row>
    <row r="444" ht="15.75" customHeight="1">
      <c r="B444" s="3">
        <f>IFERROR(__xludf.DUMMYFUNCTION("""COMPUTED_VALUE"""),40564.645833333336)</f>
        <v>40564.64583</v>
      </c>
      <c r="C444" s="2">
        <f>IFERROR(__xludf.DUMMYFUNCTION("""COMPUTED_VALUE"""),138.09)</f>
        <v>138.09</v>
      </c>
    </row>
    <row r="445" ht="15.75" customHeight="1">
      <c r="B445" s="3">
        <f>IFERROR(__xludf.DUMMYFUNCTION("""COMPUTED_VALUE"""),40571.645833333336)</f>
        <v>40571.64583</v>
      </c>
      <c r="C445" s="2">
        <f>IFERROR(__xludf.DUMMYFUNCTION("""COMPUTED_VALUE"""),136.38)</f>
        <v>136.38</v>
      </c>
    </row>
    <row r="446" ht="15.75" customHeight="1">
      <c r="B446" s="3">
        <f>IFERROR(__xludf.DUMMYFUNCTION("""COMPUTED_VALUE"""),40578.645833333336)</f>
        <v>40578.64583</v>
      </c>
      <c r="C446" s="2">
        <f>IFERROR(__xludf.DUMMYFUNCTION("""COMPUTED_VALUE"""),134.44)</f>
        <v>134.44</v>
      </c>
    </row>
    <row r="447" ht="15.75" customHeight="1">
      <c r="B447" s="3">
        <f>IFERROR(__xludf.DUMMYFUNCTION("""COMPUTED_VALUE"""),40585.645833333336)</f>
        <v>40585.64583</v>
      </c>
      <c r="C447" s="2">
        <f>IFERROR(__xludf.DUMMYFUNCTION("""COMPUTED_VALUE"""),129.01)</f>
        <v>129.01</v>
      </c>
    </row>
    <row r="448" ht="15.75" customHeight="1">
      <c r="B448" s="3">
        <f>IFERROR(__xludf.DUMMYFUNCTION("""COMPUTED_VALUE"""),40592.645833333336)</f>
        <v>40592.64583</v>
      </c>
      <c r="C448" s="2">
        <f>IFERROR(__xludf.DUMMYFUNCTION("""COMPUTED_VALUE"""),130.47)</f>
        <v>130.47</v>
      </c>
    </row>
    <row r="449" ht="15.75" customHeight="1">
      <c r="B449" s="3">
        <f>IFERROR(__xludf.DUMMYFUNCTION("""COMPUTED_VALUE"""),40599.645833333336)</f>
        <v>40599.64583</v>
      </c>
      <c r="C449" s="2">
        <f>IFERROR(__xludf.DUMMYFUNCTION("""COMPUTED_VALUE"""),127.24)</f>
        <v>127.24</v>
      </c>
    </row>
    <row r="450" ht="15.75" customHeight="1">
      <c r="B450" s="3">
        <f>IFERROR(__xludf.DUMMYFUNCTION("""COMPUTED_VALUE"""),40606.645833333336)</f>
        <v>40606.64583</v>
      </c>
      <c r="C450" s="2">
        <f>IFERROR(__xludf.DUMMYFUNCTION("""COMPUTED_VALUE"""),129.38)</f>
        <v>129.38</v>
      </c>
    </row>
    <row r="451" ht="15.75" customHeight="1">
      <c r="B451" s="3">
        <f>IFERROR(__xludf.DUMMYFUNCTION("""COMPUTED_VALUE"""),40613.645833333336)</f>
        <v>40613.64583</v>
      </c>
      <c r="C451" s="2">
        <f>IFERROR(__xludf.DUMMYFUNCTION("""COMPUTED_VALUE"""),128.25)</f>
        <v>128.25</v>
      </c>
    </row>
    <row r="452" ht="15.75" customHeight="1">
      <c r="B452" s="3">
        <f>IFERROR(__xludf.DUMMYFUNCTION("""COMPUTED_VALUE"""),40620.645833333336)</f>
        <v>40620.64583</v>
      </c>
      <c r="C452" s="2">
        <f>IFERROR(__xludf.DUMMYFUNCTION("""COMPUTED_VALUE"""),131.55)</f>
        <v>131.55</v>
      </c>
    </row>
    <row r="453" ht="15.75" customHeight="1">
      <c r="B453" s="3">
        <f>IFERROR(__xludf.DUMMYFUNCTION("""COMPUTED_VALUE"""),40627.645833333336)</f>
        <v>40627.64583</v>
      </c>
      <c r="C453" s="2">
        <f>IFERROR(__xludf.DUMMYFUNCTION("""COMPUTED_VALUE"""),132.19)</f>
        <v>132.19</v>
      </c>
    </row>
    <row r="454" ht="15.75" customHeight="1">
      <c r="B454" s="3">
        <f>IFERROR(__xludf.DUMMYFUNCTION("""COMPUTED_VALUE"""),40634.645833333336)</f>
        <v>40634.64583</v>
      </c>
      <c r="C454" s="2">
        <f>IFERROR(__xludf.DUMMYFUNCTION("""COMPUTED_VALUE"""),132.64)</f>
        <v>132.64</v>
      </c>
    </row>
    <row r="455" ht="15.75" customHeight="1">
      <c r="B455" s="3">
        <f>IFERROR(__xludf.DUMMYFUNCTION("""COMPUTED_VALUE"""),40641.645833333336)</f>
        <v>40641.64583</v>
      </c>
      <c r="C455" s="2">
        <f>IFERROR(__xludf.DUMMYFUNCTION("""COMPUTED_VALUE"""),135.37)</f>
        <v>135.37</v>
      </c>
    </row>
    <row r="456" ht="15.75" customHeight="1">
      <c r="B456" s="3">
        <f>IFERROR(__xludf.DUMMYFUNCTION("""COMPUTED_VALUE"""),40648.645833333336)</f>
        <v>40648.64583</v>
      </c>
      <c r="C456" s="2">
        <f>IFERROR(__xludf.DUMMYFUNCTION("""COMPUTED_VALUE"""),134.16)</f>
        <v>134.16</v>
      </c>
    </row>
    <row r="457" ht="15.75" customHeight="1">
      <c r="B457" s="3">
        <f>IFERROR(__xludf.DUMMYFUNCTION("""COMPUTED_VALUE"""),40654.645833333336)</f>
        <v>40654.64583</v>
      </c>
      <c r="C457" s="2">
        <f>IFERROR(__xludf.DUMMYFUNCTION("""COMPUTED_VALUE"""),135.23)</f>
        <v>135.23</v>
      </c>
    </row>
    <row r="458" ht="15.75" customHeight="1">
      <c r="B458" s="3">
        <f>IFERROR(__xludf.DUMMYFUNCTION("""COMPUTED_VALUE"""),40662.645833333336)</f>
        <v>40662.64583</v>
      </c>
      <c r="C458" s="2">
        <f>IFERROR(__xludf.DUMMYFUNCTION("""COMPUTED_VALUE"""),136.55)</f>
        <v>136.55</v>
      </c>
    </row>
    <row r="459" ht="15.75" customHeight="1">
      <c r="B459" s="3">
        <f>IFERROR(__xludf.DUMMYFUNCTION("""COMPUTED_VALUE"""),40669.645833333336)</f>
        <v>40669.64583</v>
      </c>
      <c r="C459" s="2">
        <f>IFERROR(__xludf.DUMMYFUNCTION("""COMPUTED_VALUE"""),134.99)</f>
        <v>134.99</v>
      </c>
    </row>
    <row r="460" ht="15.75" customHeight="1">
      <c r="B460" s="3">
        <f>IFERROR(__xludf.DUMMYFUNCTION("""COMPUTED_VALUE"""),40676.645833333336)</f>
        <v>40676.64583</v>
      </c>
      <c r="C460" s="2">
        <f>IFERROR(__xludf.DUMMYFUNCTION("""COMPUTED_VALUE"""),131.15)</f>
        <v>131.15</v>
      </c>
    </row>
    <row r="461" ht="15.75" customHeight="1">
      <c r="B461" s="3">
        <f>IFERROR(__xludf.DUMMYFUNCTION("""COMPUTED_VALUE"""),40683.645833333336)</f>
        <v>40683.64583</v>
      </c>
      <c r="C461" s="2">
        <f>IFERROR(__xludf.DUMMYFUNCTION("""COMPUTED_VALUE"""),129.38)</f>
        <v>129.38</v>
      </c>
    </row>
    <row r="462" ht="15.75" customHeight="1">
      <c r="B462" s="3">
        <f>IFERROR(__xludf.DUMMYFUNCTION("""COMPUTED_VALUE"""),40690.645833333336)</f>
        <v>40690.64583</v>
      </c>
      <c r="C462" s="2">
        <f>IFERROR(__xludf.DUMMYFUNCTION("""COMPUTED_VALUE"""),125.69)</f>
        <v>125.69</v>
      </c>
    </row>
    <row r="463" ht="15.75" customHeight="1">
      <c r="B463" s="3">
        <f>IFERROR(__xludf.DUMMYFUNCTION("""COMPUTED_VALUE"""),40697.645833333336)</f>
        <v>40697.64583</v>
      </c>
      <c r="C463" s="2">
        <f>IFERROR(__xludf.DUMMYFUNCTION("""COMPUTED_VALUE"""),127.69)</f>
        <v>127.69</v>
      </c>
    </row>
    <row r="464" ht="15.75" customHeight="1">
      <c r="B464" s="3">
        <f>IFERROR(__xludf.DUMMYFUNCTION("""COMPUTED_VALUE"""),40704.645833333336)</f>
        <v>40704.64583</v>
      </c>
      <c r="C464" s="2">
        <f>IFERROR(__xludf.DUMMYFUNCTION("""COMPUTED_VALUE"""),125.86)</f>
        <v>125.86</v>
      </c>
    </row>
    <row r="465" ht="15.75" customHeight="1">
      <c r="B465" s="3">
        <f>IFERROR(__xludf.DUMMYFUNCTION("""COMPUTED_VALUE"""),40711.645833333336)</f>
        <v>40711.64583</v>
      </c>
      <c r="C465" s="2">
        <f>IFERROR(__xludf.DUMMYFUNCTION("""COMPUTED_VALUE"""),128.22)</f>
        <v>128.22</v>
      </c>
    </row>
    <row r="466" ht="15.75" customHeight="1">
      <c r="B466" s="3">
        <f>IFERROR(__xludf.DUMMYFUNCTION("""COMPUTED_VALUE"""),40718.645833333336)</f>
        <v>40718.64583</v>
      </c>
      <c r="C466" s="2">
        <f>IFERROR(__xludf.DUMMYFUNCTION("""COMPUTED_VALUE"""),126.83)</f>
        <v>126.83</v>
      </c>
    </row>
    <row r="467" ht="15.75" customHeight="1">
      <c r="B467" s="3">
        <f>IFERROR(__xludf.DUMMYFUNCTION("""COMPUTED_VALUE"""),40725.645833333336)</f>
        <v>40725.64583</v>
      </c>
      <c r="C467" s="2">
        <f>IFERROR(__xludf.DUMMYFUNCTION("""COMPUTED_VALUE"""),130.73)</f>
        <v>130.73</v>
      </c>
    </row>
    <row r="468" ht="15.75" customHeight="1">
      <c r="B468" s="3">
        <f>IFERROR(__xludf.DUMMYFUNCTION("""COMPUTED_VALUE"""),40732.645833333336)</f>
        <v>40732.64583</v>
      </c>
      <c r="C468" s="2">
        <f>IFERROR(__xludf.DUMMYFUNCTION("""COMPUTED_VALUE"""),132.72)</f>
        <v>132.72</v>
      </c>
    </row>
    <row r="469" ht="15.75" customHeight="1">
      <c r="B469" s="3">
        <f>IFERROR(__xludf.DUMMYFUNCTION("""COMPUTED_VALUE"""),40739.645833333336)</f>
        <v>40739.64583</v>
      </c>
      <c r="C469" s="2">
        <f>IFERROR(__xludf.DUMMYFUNCTION("""COMPUTED_VALUE"""),131.55)</f>
        <v>131.55</v>
      </c>
    </row>
    <row r="470" ht="15.75" customHeight="1">
      <c r="B470" s="3">
        <f>IFERROR(__xludf.DUMMYFUNCTION("""COMPUTED_VALUE"""),40746.645833333336)</f>
        <v>40746.64583</v>
      </c>
      <c r="C470" s="2">
        <f>IFERROR(__xludf.DUMMYFUNCTION("""COMPUTED_VALUE"""),131.51)</f>
        <v>131.51</v>
      </c>
    </row>
    <row r="471" ht="15.75" customHeight="1">
      <c r="B471" s="3">
        <f>IFERROR(__xludf.DUMMYFUNCTION("""COMPUTED_VALUE"""),40753.645833333336)</f>
        <v>40753.64583</v>
      </c>
      <c r="C471" s="2">
        <f>IFERROR(__xludf.DUMMYFUNCTION("""COMPUTED_VALUE"""),134.42)</f>
        <v>134.42</v>
      </c>
    </row>
    <row r="472" ht="15.75" customHeight="1">
      <c r="B472" s="3">
        <f>IFERROR(__xludf.DUMMYFUNCTION("""COMPUTED_VALUE"""),40760.645833333336)</f>
        <v>40760.64583</v>
      </c>
      <c r="C472" s="2">
        <f>IFERROR(__xludf.DUMMYFUNCTION("""COMPUTED_VALUE"""),133.88)</f>
        <v>133.88</v>
      </c>
    </row>
    <row r="473" ht="15.75" customHeight="1">
      <c r="B473" s="3">
        <f>IFERROR(__xludf.DUMMYFUNCTION("""COMPUTED_VALUE"""),40767.645833333336)</f>
        <v>40767.64583</v>
      </c>
      <c r="C473" s="2">
        <f>IFERROR(__xludf.DUMMYFUNCTION("""COMPUTED_VALUE"""),132.3)</f>
        <v>132.3</v>
      </c>
    </row>
    <row r="474" ht="15.75" customHeight="1">
      <c r="B474" s="3">
        <f>IFERROR(__xludf.DUMMYFUNCTION("""COMPUTED_VALUE"""),40774.645833333336)</f>
        <v>40774.64583</v>
      </c>
      <c r="C474" s="2">
        <f>IFERROR(__xludf.DUMMYFUNCTION("""COMPUTED_VALUE"""),127.14)</f>
        <v>127.14</v>
      </c>
    </row>
    <row r="475" ht="15.75" customHeight="1">
      <c r="B475" s="3">
        <f>IFERROR(__xludf.DUMMYFUNCTION("""COMPUTED_VALUE"""),40781.645833333336)</f>
        <v>40781.64583</v>
      </c>
      <c r="C475" s="2">
        <f>IFERROR(__xludf.DUMMYFUNCTION("""COMPUTED_VALUE"""),122.3)</f>
        <v>122.3</v>
      </c>
    </row>
    <row r="476" ht="15.75" customHeight="1">
      <c r="B476" s="3">
        <f>IFERROR(__xludf.DUMMYFUNCTION("""COMPUTED_VALUE"""),40788.645833333336)</f>
        <v>40788.64583</v>
      </c>
      <c r="C476" s="2">
        <f>IFERROR(__xludf.DUMMYFUNCTION("""COMPUTED_VALUE"""),119.24)</f>
        <v>119.24</v>
      </c>
    </row>
    <row r="477" ht="15.75" customHeight="1">
      <c r="B477" s="3">
        <f>IFERROR(__xludf.DUMMYFUNCTION("""COMPUTED_VALUE"""),40795.645833333336)</f>
        <v>40795.64583</v>
      </c>
      <c r="C477" s="2">
        <f>IFERROR(__xludf.DUMMYFUNCTION("""COMPUTED_VALUE"""),122.01)</f>
        <v>122.01</v>
      </c>
    </row>
    <row r="478" ht="15.75" customHeight="1">
      <c r="B478" s="3">
        <f>IFERROR(__xludf.DUMMYFUNCTION("""COMPUTED_VALUE"""),40802.645833333336)</f>
        <v>40802.64583</v>
      </c>
      <c r="C478" s="2">
        <f>IFERROR(__xludf.DUMMYFUNCTION("""COMPUTED_VALUE"""),124.59)</f>
        <v>124.59</v>
      </c>
    </row>
    <row r="479" ht="15.75" customHeight="1">
      <c r="B479" s="3">
        <f>IFERROR(__xludf.DUMMYFUNCTION("""COMPUTED_VALUE"""),40809.645833333336)</f>
        <v>40809.64583</v>
      </c>
      <c r="C479" s="2">
        <f>IFERROR(__xludf.DUMMYFUNCTION("""COMPUTED_VALUE"""),123.6)</f>
        <v>123.6</v>
      </c>
    </row>
    <row r="480" ht="15.75" customHeight="1">
      <c r="B480" s="3">
        <f>IFERROR(__xludf.DUMMYFUNCTION("""COMPUTED_VALUE"""),40816.645833333336)</f>
        <v>40816.64583</v>
      </c>
      <c r="C480" s="2">
        <f>IFERROR(__xludf.DUMMYFUNCTION("""COMPUTED_VALUE"""),120.94)</f>
        <v>120.94</v>
      </c>
    </row>
    <row r="481" ht="15.75" customHeight="1">
      <c r="B481" s="3">
        <f>IFERROR(__xludf.DUMMYFUNCTION("""COMPUTED_VALUE"""),40823.645833333336)</f>
        <v>40823.64583</v>
      </c>
      <c r="C481" s="2">
        <f>IFERROR(__xludf.DUMMYFUNCTION("""COMPUTED_VALUE"""),118.01)</f>
        <v>118.01</v>
      </c>
    </row>
    <row r="482" ht="15.75" customHeight="1">
      <c r="B482" s="3">
        <f>IFERROR(__xludf.DUMMYFUNCTION("""COMPUTED_VALUE"""),40830.645833333336)</f>
        <v>40830.64583</v>
      </c>
      <c r="C482" s="2">
        <f>IFERROR(__xludf.DUMMYFUNCTION("""COMPUTED_VALUE"""),119.76)</f>
        <v>119.76</v>
      </c>
    </row>
    <row r="483" ht="15.75" customHeight="1">
      <c r="B483" s="3">
        <f>IFERROR(__xludf.DUMMYFUNCTION("""COMPUTED_VALUE"""),40837.645833333336)</f>
        <v>40837.64583</v>
      </c>
      <c r="C483" s="2">
        <f>IFERROR(__xludf.DUMMYFUNCTION("""COMPUTED_VALUE"""),120.52)</f>
        <v>120.52</v>
      </c>
    </row>
    <row r="484" ht="15.75" customHeight="1">
      <c r="B484" s="3">
        <f>IFERROR(__xludf.DUMMYFUNCTION("""COMPUTED_VALUE"""),40844.645833333336)</f>
        <v>40844.64583</v>
      </c>
      <c r="C484" s="2">
        <f>IFERROR(__xludf.DUMMYFUNCTION("""COMPUTED_VALUE"""),126.28)</f>
        <v>126.28</v>
      </c>
    </row>
    <row r="485" ht="15.75" customHeight="1">
      <c r="B485" s="3">
        <f>IFERROR(__xludf.DUMMYFUNCTION("""COMPUTED_VALUE"""),40851.645833333336)</f>
        <v>40851.64583</v>
      </c>
      <c r="C485" s="2">
        <f>IFERROR(__xludf.DUMMYFUNCTION("""COMPUTED_VALUE"""),121.64)</f>
        <v>121.64</v>
      </c>
    </row>
    <row r="486" ht="15.75" customHeight="1">
      <c r="B486" s="3">
        <f>IFERROR(__xludf.DUMMYFUNCTION("""COMPUTED_VALUE"""),40858.645833333336)</f>
        <v>40858.64583</v>
      </c>
      <c r="C486" s="2">
        <f>IFERROR(__xludf.DUMMYFUNCTION("""COMPUTED_VALUE"""),120.07)</f>
        <v>120.07</v>
      </c>
    </row>
    <row r="487" ht="15.75" customHeight="1">
      <c r="B487" s="3">
        <f>IFERROR(__xludf.DUMMYFUNCTION("""COMPUTED_VALUE"""),40865.645833333336)</f>
        <v>40865.64583</v>
      </c>
      <c r="C487" s="2">
        <f>IFERROR(__xludf.DUMMYFUNCTION("""COMPUTED_VALUE"""),118.24)</f>
        <v>118.24</v>
      </c>
    </row>
    <row r="488" ht="15.75" customHeight="1">
      <c r="B488" s="3">
        <f>IFERROR(__xludf.DUMMYFUNCTION("""COMPUTED_VALUE"""),40872.645833333336)</f>
        <v>40872.64583</v>
      </c>
      <c r="C488" s="2">
        <f>IFERROR(__xludf.DUMMYFUNCTION("""COMPUTED_VALUE"""),109.91)</f>
        <v>109.91</v>
      </c>
    </row>
    <row r="489" ht="15.75" customHeight="1">
      <c r="B489" s="3">
        <f>IFERROR(__xludf.DUMMYFUNCTION("""COMPUTED_VALUE"""),40879.645833333336)</f>
        <v>40879.64583</v>
      </c>
      <c r="C489" s="2">
        <f>IFERROR(__xludf.DUMMYFUNCTION("""COMPUTED_VALUE"""),113.06)</f>
        <v>113.06</v>
      </c>
    </row>
    <row r="490" ht="15.75" customHeight="1">
      <c r="B490" s="3">
        <f>IFERROR(__xludf.DUMMYFUNCTION("""COMPUTED_VALUE"""),40886.645833333336)</f>
        <v>40886.64583</v>
      </c>
      <c r="C490" s="2">
        <f>IFERROR(__xludf.DUMMYFUNCTION("""COMPUTED_VALUE"""),113.79)</f>
        <v>113.79</v>
      </c>
    </row>
    <row r="491" ht="15.75" customHeight="1">
      <c r="B491" s="3">
        <f>IFERROR(__xludf.DUMMYFUNCTION("""COMPUTED_VALUE"""),40893.645833333336)</f>
        <v>40893.64583</v>
      </c>
      <c r="C491" s="2">
        <f>IFERROR(__xludf.DUMMYFUNCTION("""COMPUTED_VALUE"""),112.19)</f>
        <v>112.19</v>
      </c>
    </row>
    <row r="492" ht="15.75" customHeight="1">
      <c r="B492" s="3">
        <f>IFERROR(__xludf.DUMMYFUNCTION("""COMPUTED_VALUE"""),40900.645833333336)</f>
        <v>40900.64583</v>
      </c>
      <c r="C492" s="2">
        <f>IFERROR(__xludf.DUMMYFUNCTION("""COMPUTED_VALUE"""),111.6)</f>
        <v>111.6</v>
      </c>
    </row>
    <row r="493" ht="15.75" customHeight="1">
      <c r="B493" s="3">
        <f>IFERROR(__xludf.DUMMYFUNCTION("""COMPUTED_VALUE"""),40907.645833333336)</f>
        <v>40907.64583</v>
      </c>
      <c r="C493" s="2">
        <f>IFERROR(__xludf.DUMMYFUNCTION("""COMPUTED_VALUE"""),112.22)</f>
        <v>112.22</v>
      </c>
    </row>
    <row r="494" ht="15.75" customHeight="1"/>
    <row r="495" ht="15.75" customHeight="1"/>
    <row r="496" ht="15.75" customHeight="1">
      <c r="B496" s="2" t="str">
        <f>IFERROR(__xludf.DUMMYFUNCTION("GOOGLEFINANCE(""NSE:GAIL"", ""high"",DATE(2012,1,1),DATE(2013,1,1),""weekly"")"),"Date")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IFERROR(__xludf.DUMMYFUNCTION("""COMPUTED_VALUE"""),40921.645833333336)</f>
        <v>40921.64583</v>
      </c>
      <c r="C497" s="2">
        <f>IFERROR(__xludf.DUMMYFUNCTION("""COMPUTED_VALUE"""),109.69)</f>
        <v>109.69</v>
      </c>
    </row>
    <row r="498" ht="15.75" customHeight="1">
      <c r="B498" s="3">
        <f>IFERROR(__xludf.DUMMYFUNCTION("""COMPUTED_VALUE"""),40928.645833333336)</f>
        <v>40928.64583</v>
      </c>
      <c r="C498" s="2">
        <f>IFERROR(__xludf.DUMMYFUNCTION("""COMPUTED_VALUE"""),105.72)</f>
        <v>105.72</v>
      </c>
    </row>
    <row r="499" ht="15.75" customHeight="1">
      <c r="B499" s="3">
        <f>IFERROR(__xludf.DUMMYFUNCTION("""COMPUTED_VALUE"""),40935.645833333336)</f>
        <v>40935.64583</v>
      </c>
      <c r="C499" s="2">
        <f>IFERROR(__xludf.DUMMYFUNCTION("""COMPUTED_VALUE"""),105.69)</f>
        <v>105.69</v>
      </c>
    </row>
    <row r="500" ht="15.75" customHeight="1">
      <c r="B500" s="3">
        <f>IFERROR(__xludf.DUMMYFUNCTION("""COMPUTED_VALUE"""),40942.645833333336)</f>
        <v>40942.64583</v>
      </c>
      <c r="C500" s="2">
        <f>IFERROR(__xludf.DUMMYFUNCTION("""COMPUTED_VALUE"""),110.81)</f>
        <v>110.81</v>
      </c>
    </row>
    <row r="501" ht="15.75" customHeight="1">
      <c r="B501" s="3">
        <f>IFERROR(__xludf.DUMMYFUNCTION("""COMPUTED_VALUE"""),40949.645833333336)</f>
        <v>40949.64583</v>
      </c>
      <c r="C501" s="2">
        <f>IFERROR(__xludf.DUMMYFUNCTION("""COMPUTED_VALUE"""),111.54)</f>
        <v>111.54</v>
      </c>
    </row>
    <row r="502" ht="15.75" customHeight="1">
      <c r="B502" s="3">
        <f>IFERROR(__xludf.DUMMYFUNCTION("""COMPUTED_VALUE"""),40956.645833333336)</f>
        <v>40956.64583</v>
      </c>
      <c r="C502" s="2">
        <f>IFERROR(__xludf.DUMMYFUNCTION("""COMPUTED_VALUE"""),112.74)</f>
        <v>112.74</v>
      </c>
    </row>
    <row r="503" ht="15.75" customHeight="1">
      <c r="B503" s="3">
        <f>IFERROR(__xludf.DUMMYFUNCTION("""COMPUTED_VALUE"""),40963.645833333336)</f>
        <v>40963.64583</v>
      </c>
      <c r="C503" s="2">
        <f>IFERROR(__xludf.DUMMYFUNCTION("""COMPUTED_VALUE"""),108.14)</f>
        <v>108.14</v>
      </c>
    </row>
    <row r="504" ht="15.75" customHeight="1">
      <c r="B504" s="3">
        <f>IFERROR(__xludf.DUMMYFUNCTION("""COMPUTED_VALUE"""),40977.645833333336)</f>
        <v>40977.64583</v>
      </c>
      <c r="C504" s="2">
        <f>IFERROR(__xludf.DUMMYFUNCTION("""COMPUTED_VALUE"""),104.7)</f>
        <v>104.7</v>
      </c>
    </row>
    <row r="505" ht="15.75" customHeight="1">
      <c r="B505" s="3">
        <f>IFERROR(__xludf.DUMMYFUNCTION("""COMPUTED_VALUE"""),40984.645833333336)</f>
        <v>40984.64583</v>
      </c>
      <c r="C505" s="2">
        <f>IFERROR(__xludf.DUMMYFUNCTION("""COMPUTED_VALUE"""),106.82)</f>
        <v>106.82</v>
      </c>
    </row>
    <row r="506" ht="15.75" customHeight="1">
      <c r="B506" s="3">
        <f>IFERROR(__xludf.DUMMYFUNCTION("""COMPUTED_VALUE"""),40991.645833333336)</f>
        <v>40991.64583</v>
      </c>
      <c r="C506" s="2">
        <f>IFERROR(__xludf.DUMMYFUNCTION("""COMPUTED_VALUE"""),105.37)</f>
        <v>105.37</v>
      </c>
    </row>
    <row r="507" ht="15.75" customHeight="1">
      <c r="B507" s="3">
        <f>IFERROR(__xludf.DUMMYFUNCTION("""COMPUTED_VALUE"""),40998.645833333336)</f>
        <v>40998.64583</v>
      </c>
      <c r="C507" s="2">
        <f>IFERROR(__xludf.DUMMYFUNCTION("""COMPUTED_VALUE"""),107.83)</f>
        <v>107.83</v>
      </c>
    </row>
    <row r="508" ht="15.75" customHeight="1">
      <c r="B508" s="3">
        <f>IFERROR(__xludf.DUMMYFUNCTION("""COMPUTED_VALUE"""),41003.645833333336)</f>
        <v>41003.64583</v>
      </c>
      <c r="C508" s="2">
        <f>IFERROR(__xludf.DUMMYFUNCTION("""COMPUTED_VALUE"""),108.42)</f>
        <v>108.42</v>
      </c>
    </row>
    <row r="509" ht="15.75" customHeight="1">
      <c r="B509" s="3">
        <f>IFERROR(__xludf.DUMMYFUNCTION("""COMPUTED_VALUE"""),41012.645833333336)</f>
        <v>41012.64583</v>
      </c>
      <c r="C509" s="2">
        <f>IFERROR(__xludf.DUMMYFUNCTION("""COMPUTED_VALUE"""),104.34)</f>
        <v>104.34</v>
      </c>
    </row>
    <row r="510" ht="15.75" customHeight="1">
      <c r="B510" s="3">
        <f>IFERROR(__xludf.DUMMYFUNCTION("""COMPUTED_VALUE"""),41019.645833333336)</f>
        <v>41019.64583</v>
      </c>
      <c r="C510" s="2">
        <f>IFERROR(__xludf.DUMMYFUNCTION("""COMPUTED_VALUE"""),105.74)</f>
        <v>105.74</v>
      </c>
    </row>
    <row r="511" ht="15.75" customHeight="1">
      <c r="B511" s="3">
        <f>IFERROR(__xludf.DUMMYFUNCTION("""COMPUTED_VALUE"""),41033.645833333336)</f>
        <v>41033.64583</v>
      </c>
      <c r="C511" s="2">
        <f>IFERROR(__xludf.DUMMYFUNCTION("""COMPUTED_VALUE"""),94.16)</f>
        <v>94.16</v>
      </c>
    </row>
    <row r="512" ht="15.75" customHeight="1">
      <c r="B512" s="3">
        <f>IFERROR(__xludf.DUMMYFUNCTION("""COMPUTED_VALUE"""),41040.645833333336)</f>
        <v>41040.64583</v>
      </c>
      <c r="C512" s="2">
        <f>IFERROR(__xludf.DUMMYFUNCTION("""COMPUTED_VALUE"""),93.56)</f>
        <v>93.56</v>
      </c>
    </row>
    <row r="513" ht="15.75" customHeight="1">
      <c r="B513" s="3">
        <f>IFERROR(__xludf.DUMMYFUNCTION("""COMPUTED_VALUE"""),41047.645833333336)</f>
        <v>41047.64583</v>
      </c>
      <c r="C513" s="2">
        <f>IFERROR(__xludf.DUMMYFUNCTION("""COMPUTED_VALUE"""),91.07)</f>
        <v>91.07</v>
      </c>
    </row>
    <row r="514" ht="15.75" customHeight="1">
      <c r="B514" s="3">
        <f>IFERROR(__xludf.DUMMYFUNCTION("""COMPUTED_VALUE"""),41054.645833333336)</f>
        <v>41054.64583</v>
      </c>
      <c r="C514" s="2">
        <f>IFERROR(__xludf.DUMMYFUNCTION("""COMPUTED_VALUE"""),95.91)</f>
        <v>95.91</v>
      </c>
    </row>
    <row r="515" ht="15.75" customHeight="1">
      <c r="B515" s="3">
        <f>IFERROR(__xludf.DUMMYFUNCTION("""COMPUTED_VALUE"""),41061.645833333336)</f>
        <v>41061.64583</v>
      </c>
      <c r="C515" s="2">
        <f>IFERROR(__xludf.DUMMYFUNCTION("""COMPUTED_VALUE"""),96.79)</f>
        <v>96.79</v>
      </c>
    </row>
    <row r="516" ht="15.75" customHeight="1">
      <c r="B516" s="3">
        <f>IFERROR(__xludf.DUMMYFUNCTION("""COMPUTED_VALUE"""),41068.645833333336)</f>
        <v>41068.64583</v>
      </c>
      <c r="C516" s="2">
        <f>IFERROR(__xludf.DUMMYFUNCTION("""COMPUTED_VALUE"""),93.94)</f>
        <v>93.94</v>
      </c>
    </row>
    <row r="517" ht="15.75" customHeight="1">
      <c r="B517" s="3">
        <f>IFERROR(__xludf.DUMMYFUNCTION("""COMPUTED_VALUE"""),41075.645833333336)</f>
        <v>41075.64583</v>
      </c>
      <c r="C517" s="2">
        <f>IFERROR(__xludf.DUMMYFUNCTION("""COMPUTED_VALUE"""),96.75)</f>
        <v>96.75</v>
      </c>
    </row>
    <row r="518" ht="15.75" customHeight="1">
      <c r="B518" s="3">
        <f>IFERROR(__xludf.DUMMYFUNCTION("""COMPUTED_VALUE"""),41082.645833333336)</f>
        <v>41082.64583</v>
      </c>
      <c r="C518" s="2">
        <f>IFERROR(__xludf.DUMMYFUNCTION("""COMPUTED_VALUE"""),96.57)</f>
        <v>96.57</v>
      </c>
    </row>
    <row r="519" ht="15.75" customHeight="1">
      <c r="B519" s="3">
        <f>IFERROR(__xludf.DUMMYFUNCTION("""COMPUTED_VALUE"""),41089.645833333336)</f>
        <v>41089.64583</v>
      </c>
      <c r="C519" s="2">
        <f>IFERROR(__xludf.DUMMYFUNCTION("""COMPUTED_VALUE"""),101.17)</f>
        <v>101.17</v>
      </c>
    </row>
    <row r="520" ht="15.75" customHeight="1">
      <c r="B520" s="3">
        <f>IFERROR(__xludf.DUMMYFUNCTION("""COMPUTED_VALUE"""),41096.645833333336)</f>
        <v>41096.64583</v>
      </c>
      <c r="C520" s="2">
        <f>IFERROR(__xludf.DUMMYFUNCTION("""COMPUTED_VALUE"""),103.08)</f>
        <v>103.08</v>
      </c>
    </row>
    <row r="521" ht="15.75" customHeight="1">
      <c r="B521" s="3">
        <f>IFERROR(__xludf.DUMMYFUNCTION("""COMPUTED_VALUE"""),41103.645833333336)</f>
        <v>41103.64583</v>
      </c>
      <c r="C521" s="2">
        <f>IFERROR(__xludf.DUMMYFUNCTION("""COMPUTED_VALUE"""),103.35)</f>
        <v>103.35</v>
      </c>
    </row>
    <row r="522" ht="15.75" customHeight="1">
      <c r="B522" s="3">
        <f>IFERROR(__xludf.DUMMYFUNCTION("""COMPUTED_VALUE"""),41110.645833333336)</f>
        <v>41110.64583</v>
      </c>
      <c r="C522" s="2">
        <f>IFERROR(__xludf.DUMMYFUNCTION("""COMPUTED_VALUE"""),102.47)</f>
        <v>102.47</v>
      </c>
    </row>
    <row r="523" ht="15.75" customHeight="1">
      <c r="B523" s="3">
        <f>IFERROR(__xludf.DUMMYFUNCTION("""COMPUTED_VALUE"""),41117.645833333336)</f>
        <v>41117.64583</v>
      </c>
      <c r="C523" s="2">
        <f>IFERROR(__xludf.DUMMYFUNCTION("""COMPUTED_VALUE"""),99.51)</f>
        <v>99.51</v>
      </c>
    </row>
    <row r="524" ht="15.75" customHeight="1">
      <c r="B524" s="3">
        <f>IFERROR(__xludf.DUMMYFUNCTION("""COMPUTED_VALUE"""),41124.645833333336)</f>
        <v>41124.64583</v>
      </c>
      <c r="C524" s="2">
        <f>IFERROR(__xludf.DUMMYFUNCTION("""COMPUTED_VALUE"""),101.11)</f>
        <v>101.11</v>
      </c>
    </row>
    <row r="525" ht="15.75" customHeight="1">
      <c r="B525" s="3">
        <f>IFERROR(__xludf.DUMMYFUNCTION("""COMPUTED_VALUE"""),41131.645833333336)</f>
        <v>41131.64583</v>
      </c>
      <c r="C525" s="2">
        <f>IFERROR(__xludf.DUMMYFUNCTION("""COMPUTED_VALUE"""),107.13)</f>
        <v>107.13</v>
      </c>
    </row>
    <row r="526" ht="15.75" customHeight="1">
      <c r="B526" s="3">
        <f>IFERROR(__xludf.DUMMYFUNCTION("""COMPUTED_VALUE"""),41138.645833333336)</f>
        <v>41138.64583</v>
      </c>
      <c r="C526" s="2">
        <f>IFERROR(__xludf.DUMMYFUNCTION("""COMPUTED_VALUE"""),105.89)</f>
        <v>105.89</v>
      </c>
    </row>
    <row r="527" ht="15.75" customHeight="1">
      <c r="B527" s="3">
        <f>IFERROR(__xludf.DUMMYFUNCTION("""COMPUTED_VALUE"""),41145.645833333336)</f>
        <v>41145.64583</v>
      </c>
      <c r="C527" s="2">
        <f>IFERROR(__xludf.DUMMYFUNCTION("""COMPUTED_VALUE"""),104.26)</f>
        <v>104.26</v>
      </c>
    </row>
    <row r="528" ht="15.75" customHeight="1">
      <c r="B528" s="3">
        <f>IFERROR(__xludf.DUMMYFUNCTION("""COMPUTED_VALUE"""),41152.645833333336)</f>
        <v>41152.64583</v>
      </c>
      <c r="C528" s="2">
        <f>IFERROR(__xludf.DUMMYFUNCTION("""COMPUTED_VALUE"""),104.32)</f>
        <v>104.32</v>
      </c>
    </row>
    <row r="529" ht="15.75" customHeight="1">
      <c r="B529" s="3">
        <f>IFERROR(__xludf.DUMMYFUNCTION("""COMPUTED_VALUE"""),41166.645833333336)</f>
        <v>41166.64583</v>
      </c>
      <c r="C529" s="2">
        <f>IFERROR(__xludf.DUMMYFUNCTION("""COMPUTED_VALUE"""),110.53)</f>
        <v>110.53</v>
      </c>
    </row>
    <row r="530" ht="15.75" customHeight="1">
      <c r="B530" s="3">
        <f>IFERROR(__xludf.DUMMYFUNCTION("""COMPUTED_VALUE"""),41173.645833333336)</f>
        <v>41173.64583</v>
      </c>
      <c r="C530" s="2">
        <f>IFERROR(__xludf.DUMMYFUNCTION("""COMPUTED_VALUE"""),109.41)</f>
        <v>109.41</v>
      </c>
    </row>
    <row r="531" ht="15.75" customHeight="1">
      <c r="B531" s="3">
        <f>IFERROR(__xludf.DUMMYFUNCTION("""COMPUTED_VALUE"""),41180.645833333336)</f>
        <v>41180.64583</v>
      </c>
      <c r="C531" s="2">
        <f>IFERROR(__xludf.DUMMYFUNCTION("""COMPUTED_VALUE"""),109.83)</f>
        <v>109.83</v>
      </c>
    </row>
    <row r="532" ht="15.75" customHeight="1">
      <c r="B532" s="3">
        <f>IFERROR(__xludf.DUMMYFUNCTION("""COMPUTED_VALUE"""),41187.645833333336)</f>
        <v>41187.64583</v>
      </c>
      <c r="C532" s="2">
        <f>IFERROR(__xludf.DUMMYFUNCTION("""COMPUTED_VALUE"""),110.81)</f>
        <v>110.81</v>
      </c>
    </row>
    <row r="533" ht="15.75" customHeight="1">
      <c r="B533" s="3">
        <f>IFERROR(__xludf.DUMMYFUNCTION("""COMPUTED_VALUE"""),41194.645833333336)</f>
        <v>41194.64583</v>
      </c>
      <c r="C533" s="2">
        <f>IFERROR(__xludf.DUMMYFUNCTION("""COMPUTED_VALUE"""),111.09)</f>
        <v>111.09</v>
      </c>
    </row>
    <row r="534" ht="15.75" customHeight="1">
      <c r="B534" s="3">
        <f>IFERROR(__xludf.DUMMYFUNCTION("""COMPUTED_VALUE"""),41201.645833333336)</f>
        <v>41201.64583</v>
      </c>
      <c r="C534" s="2">
        <f>IFERROR(__xludf.DUMMYFUNCTION("""COMPUTED_VALUE"""),107.13)</f>
        <v>107.13</v>
      </c>
    </row>
    <row r="535" ht="15.75" customHeight="1">
      <c r="B535" s="3">
        <f>IFERROR(__xludf.DUMMYFUNCTION("""COMPUTED_VALUE"""),41208.645833333336)</f>
        <v>41208.64583</v>
      </c>
      <c r="C535" s="2">
        <f>IFERROR(__xludf.DUMMYFUNCTION("""COMPUTED_VALUE"""),102.92)</f>
        <v>102.92</v>
      </c>
    </row>
    <row r="536" ht="15.75" customHeight="1">
      <c r="B536" s="3">
        <f>IFERROR(__xludf.DUMMYFUNCTION("""COMPUTED_VALUE"""),41215.645833333336)</f>
        <v>41215.64583</v>
      </c>
      <c r="C536" s="2">
        <f>IFERROR(__xludf.DUMMYFUNCTION("""COMPUTED_VALUE"""),103.22)</f>
        <v>103.22</v>
      </c>
    </row>
    <row r="537" ht="15.75" customHeight="1">
      <c r="B537" s="3">
        <f>IFERROR(__xludf.DUMMYFUNCTION("""COMPUTED_VALUE"""),41222.645833333336)</f>
        <v>41222.64583</v>
      </c>
      <c r="C537" s="2">
        <f>IFERROR(__xludf.DUMMYFUNCTION("""COMPUTED_VALUE"""),103.42)</f>
        <v>103.42</v>
      </c>
    </row>
    <row r="538" ht="15.75" customHeight="1">
      <c r="B538" s="3">
        <f>IFERROR(__xludf.DUMMYFUNCTION("""COMPUTED_VALUE"""),41229.645833333336)</f>
        <v>41229.64583</v>
      </c>
      <c r="C538" s="2">
        <f>IFERROR(__xludf.DUMMYFUNCTION("""COMPUTED_VALUE"""),101.53)</f>
        <v>101.53</v>
      </c>
    </row>
    <row r="539" ht="15.75" customHeight="1">
      <c r="B539" s="3">
        <f>IFERROR(__xludf.DUMMYFUNCTION("""COMPUTED_VALUE"""),41236.645833333336)</f>
        <v>41236.64583</v>
      </c>
      <c r="C539" s="2">
        <f>IFERROR(__xludf.DUMMYFUNCTION("""COMPUTED_VALUE"""),98.66)</f>
        <v>98.66</v>
      </c>
    </row>
    <row r="540" ht="15.75" customHeight="1">
      <c r="B540" s="3">
        <f>IFERROR(__xludf.DUMMYFUNCTION("""COMPUTED_VALUE"""),41243.645833333336)</f>
        <v>41243.64583</v>
      </c>
      <c r="C540" s="2">
        <f>IFERROR(__xludf.DUMMYFUNCTION("""COMPUTED_VALUE"""),100.11)</f>
        <v>100.11</v>
      </c>
    </row>
    <row r="541" ht="15.75" customHeight="1">
      <c r="B541" s="3">
        <f>IFERROR(__xludf.DUMMYFUNCTION("""COMPUTED_VALUE"""),41250.645833333336)</f>
        <v>41250.64583</v>
      </c>
      <c r="C541" s="2">
        <f>IFERROR(__xludf.DUMMYFUNCTION("""COMPUTED_VALUE"""),100.39)</f>
        <v>100.39</v>
      </c>
    </row>
    <row r="542" ht="15.75" customHeight="1">
      <c r="B542" s="3">
        <f>IFERROR(__xludf.DUMMYFUNCTION("""COMPUTED_VALUE"""),41257.645833333336)</f>
        <v>41257.64583</v>
      </c>
      <c r="C542" s="2">
        <f>IFERROR(__xludf.DUMMYFUNCTION("""COMPUTED_VALUE"""),100.76)</f>
        <v>100.76</v>
      </c>
    </row>
    <row r="543" ht="15.75" customHeight="1">
      <c r="B543" s="3">
        <f>IFERROR(__xludf.DUMMYFUNCTION("""COMPUTED_VALUE"""),41264.645833333336)</f>
        <v>41264.64583</v>
      </c>
      <c r="C543" s="2">
        <f>IFERROR(__xludf.DUMMYFUNCTION("""COMPUTED_VALUE"""),99.23)</f>
        <v>99.23</v>
      </c>
    </row>
    <row r="544" ht="15.75" customHeight="1">
      <c r="B544" s="3">
        <f>IFERROR(__xludf.DUMMYFUNCTION("""COMPUTED_VALUE"""),41271.645833333336)</f>
        <v>41271.64583</v>
      </c>
      <c r="C544" s="2">
        <f>IFERROR(__xludf.DUMMYFUNCTION("""COMPUTED_VALUE"""),100.27)</f>
        <v>100.27</v>
      </c>
    </row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>
      <c r="B551" s="2" t="str">
        <f>IFERROR(__xludf.DUMMYFUNCTION("GOOGLEFINANCE(""NSE:GAIL"", ""high"",DATE(2013,1,1),DATE(2014,1,1),""weekly"")"),"Date")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IFERROR(__xludf.DUMMYFUNCTION("""COMPUTED_VALUE"""),41278.645833333336)</f>
        <v>41278.64583</v>
      </c>
      <c r="C552" s="2">
        <f>IFERROR(__xludf.DUMMYFUNCTION("""COMPUTED_VALUE"""),105.31)</f>
        <v>105.31</v>
      </c>
    </row>
    <row r="553" ht="15.75" customHeight="1">
      <c r="B553" s="3">
        <f>IFERROR(__xludf.DUMMYFUNCTION("""COMPUTED_VALUE"""),41285.645833333336)</f>
        <v>41285.64583</v>
      </c>
      <c r="C553" s="2">
        <f>IFERROR(__xludf.DUMMYFUNCTION("""COMPUTED_VALUE"""),106.09)</f>
        <v>106.09</v>
      </c>
    </row>
    <row r="554" ht="15.75" customHeight="1">
      <c r="B554" s="3">
        <f>IFERROR(__xludf.DUMMYFUNCTION("""COMPUTED_VALUE"""),41292.645833333336)</f>
        <v>41292.64583</v>
      </c>
      <c r="C554" s="2">
        <f>IFERROR(__xludf.DUMMYFUNCTION("""COMPUTED_VALUE"""),111.33)</f>
        <v>111.33</v>
      </c>
    </row>
    <row r="555" ht="15.75" customHeight="1">
      <c r="B555" s="3">
        <f>IFERROR(__xludf.DUMMYFUNCTION("""COMPUTED_VALUE"""),41299.645833333336)</f>
        <v>41299.64583</v>
      </c>
      <c r="C555" s="2">
        <f>IFERROR(__xludf.DUMMYFUNCTION("""COMPUTED_VALUE"""),109.72)</f>
        <v>109.72</v>
      </c>
    </row>
    <row r="556" ht="15.75" customHeight="1">
      <c r="B556" s="3">
        <f>IFERROR(__xludf.DUMMYFUNCTION("""COMPUTED_VALUE"""),41306.645833333336)</f>
        <v>41306.64583</v>
      </c>
      <c r="C556" s="2">
        <f>IFERROR(__xludf.DUMMYFUNCTION("""COMPUTED_VALUE"""),102.66)</f>
        <v>102.66</v>
      </c>
    </row>
    <row r="557" ht="15.75" customHeight="1">
      <c r="B557" s="3">
        <f>IFERROR(__xludf.DUMMYFUNCTION("""COMPUTED_VALUE"""),41313.645833333336)</f>
        <v>41313.64583</v>
      </c>
      <c r="C557" s="2">
        <f>IFERROR(__xludf.DUMMYFUNCTION("""COMPUTED_VALUE"""),97.59)</f>
        <v>97.59</v>
      </c>
    </row>
    <row r="558" ht="15.75" customHeight="1">
      <c r="B558" s="3">
        <f>IFERROR(__xludf.DUMMYFUNCTION("""COMPUTED_VALUE"""),41320.645833333336)</f>
        <v>41320.64583</v>
      </c>
      <c r="C558" s="2">
        <f>IFERROR(__xludf.DUMMYFUNCTION("""COMPUTED_VALUE"""),96.05)</f>
        <v>96.05</v>
      </c>
    </row>
    <row r="559" ht="15.75" customHeight="1">
      <c r="B559" s="3">
        <f>IFERROR(__xludf.DUMMYFUNCTION("""COMPUTED_VALUE"""),41327.645833333336)</f>
        <v>41327.64583</v>
      </c>
      <c r="C559" s="2">
        <f>IFERROR(__xludf.DUMMYFUNCTION("""COMPUTED_VALUE"""),96.95)</f>
        <v>96.95</v>
      </c>
    </row>
    <row r="560" ht="15.75" customHeight="1">
      <c r="B560" s="3">
        <f>IFERROR(__xludf.DUMMYFUNCTION("""COMPUTED_VALUE"""),41334.645833333336)</f>
        <v>41334.64583</v>
      </c>
      <c r="C560" s="2">
        <f>IFERROR(__xludf.DUMMYFUNCTION("""COMPUTED_VALUE"""),96.9)</f>
        <v>96.9</v>
      </c>
    </row>
    <row r="561" ht="15.75" customHeight="1">
      <c r="B561" s="3">
        <f>IFERROR(__xludf.DUMMYFUNCTION("""COMPUTED_VALUE"""),41341.645833333336)</f>
        <v>41341.64583</v>
      </c>
      <c r="C561" s="2">
        <f>IFERROR(__xludf.DUMMYFUNCTION("""COMPUTED_VALUE"""),96.33)</f>
        <v>96.33</v>
      </c>
    </row>
    <row r="562" ht="15.75" customHeight="1">
      <c r="B562" s="3">
        <f>IFERROR(__xludf.DUMMYFUNCTION("""COMPUTED_VALUE"""),41348.645833333336)</f>
        <v>41348.64583</v>
      </c>
      <c r="C562" s="2">
        <f>IFERROR(__xludf.DUMMYFUNCTION("""COMPUTED_VALUE"""),98.72)</f>
        <v>98.72</v>
      </c>
    </row>
    <row r="563" ht="15.75" customHeight="1">
      <c r="B563" s="3">
        <f>IFERROR(__xludf.DUMMYFUNCTION("""COMPUTED_VALUE"""),41355.645833333336)</f>
        <v>41355.64583</v>
      </c>
      <c r="C563" s="2">
        <f>IFERROR(__xludf.DUMMYFUNCTION("""COMPUTED_VALUE"""),91.36)</f>
        <v>91.36</v>
      </c>
    </row>
    <row r="564" ht="15.75" customHeight="1">
      <c r="B564" s="3">
        <f>IFERROR(__xludf.DUMMYFUNCTION("""COMPUTED_VALUE"""),41361.645833333336)</f>
        <v>41361.64583</v>
      </c>
      <c r="C564" s="2">
        <f>IFERROR(__xludf.DUMMYFUNCTION("""COMPUTED_VALUE"""),92.25)</f>
        <v>92.25</v>
      </c>
    </row>
    <row r="565" ht="15.75" customHeight="1">
      <c r="B565" s="3">
        <f>IFERROR(__xludf.DUMMYFUNCTION("""COMPUTED_VALUE"""),41369.645833333336)</f>
        <v>41369.64583</v>
      </c>
      <c r="C565" s="2">
        <f>IFERROR(__xludf.DUMMYFUNCTION("""COMPUTED_VALUE"""),91.31)</f>
        <v>91.31</v>
      </c>
    </row>
    <row r="566" ht="15.75" customHeight="1">
      <c r="B566" s="3">
        <f>IFERROR(__xludf.DUMMYFUNCTION("""COMPUTED_VALUE"""),41376.645833333336)</f>
        <v>41376.64583</v>
      </c>
      <c r="C566" s="2">
        <f>IFERROR(__xludf.DUMMYFUNCTION("""COMPUTED_VALUE"""),90.79)</f>
        <v>90.79</v>
      </c>
    </row>
    <row r="567" ht="15.75" customHeight="1">
      <c r="B567" s="3">
        <f>IFERROR(__xludf.DUMMYFUNCTION("""COMPUTED_VALUE"""),41382.645833333336)</f>
        <v>41382.64583</v>
      </c>
      <c r="C567" s="2">
        <f>IFERROR(__xludf.DUMMYFUNCTION("""COMPUTED_VALUE"""),94.5)</f>
        <v>94.5</v>
      </c>
    </row>
    <row r="568" ht="15.75" customHeight="1">
      <c r="B568" s="3">
        <f>IFERROR(__xludf.DUMMYFUNCTION("""COMPUTED_VALUE"""),41390.645833333336)</f>
        <v>41390.64583</v>
      </c>
      <c r="C568" s="2">
        <f>IFERROR(__xludf.DUMMYFUNCTION("""COMPUTED_VALUE"""),99.28)</f>
        <v>99.28</v>
      </c>
    </row>
    <row r="569" ht="15.75" customHeight="1">
      <c r="B569" s="3">
        <f>IFERROR(__xludf.DUMMYFUNCTION("""COMPUTED_VALUE"""),41397.645833333336)</f>
        <v>41397.64583</v>
      </c>
      <c r="C569" s="2">
        <f>IFERROR(__xludf.DUMMYFUNCTION("""COMPUTED_VALUE"""),99.98)</f>
        <v>99.98</v>
      </c>
    </row>
    <row r="570" ht="15.75" customHeight="1">
      <c r="B570" s="3">
        <f>IFERROR(__xludf.DUMMYFUNCTION("""COMPUTED_VALUE"""),41411.645833333336)</f>
        <v>41411.64583</v>
      </c>
      <c r="C570" s="2">
        <f>IFERROR(__xludf.DUMMYFUNCTION("""COMPUTED_VALUE"""),97.44)</f>
        <v>97.44</v>
      </c>
    </row>
    <row r="571" ht="15.75" customHeight="1">
      <c r="B571" s="3">
        <f>IFERROR(__xludf.DUMMYFUNCTION("""COMPUTED_VALUE"""),41418.645833333336)</f>
        <v>41418.64583</v>
      </c>
      <c r="C571" s="2">
        <f>IFERROR(__xludf.DUMMYFUNCTION("""COMPUTED_VALUE"""),96.29)</f>
        <v>96.29</v>
      </c>
    </row>
    <row r="572" ht="15.75" customHeight="1">
      <c r="B572" s="3">
        <f>IFERROR(__xludf.DUMMYFUNCTION("""COMPUTED_VALUE"""),41425.645833333336)</f>
        <v>41425.64583</v>
      </c>
      <c r="C572" s="2">
        <f>IFERROR(__xludf.DUMMYFUNCTION("""COMPUTED_VALUE"""),94.19)</f>
        <v>94.19</v>
      </c>
    </row>
    <row r="573" ht="15.75" customHeight="1">
      <c r="B573" s="3">
        <f>IFERROR(__xludf.DUMMYFUNCTION("""COMPUTED_VALUE"""),41432.645833333336)</f>
        <v>41432.64583</v>
      </c>
      <c r="C573" s="2">
        <f>IFERROR(__xludf.DUMMYFUNCTION("""COMPUTED_VALUE"""),89.4)</f>
        <v>89.4</v>
      </c>
    </row>
    <row r="574" ht="15.75" customHeight="1">
      <c r="B574" s="3">
        <f>IFERROR(__xludf.DUMMYFUNCTION("""COMPUTED_VALUE"""),41439.645833333336)</f>
        <v>41439.64583</v>
      </c>
      <c r="C574" s="2">
        <f>IFERROR(__xludf.DUMMYFUNCTION("""COMPUTED_VALUE"""),87.12)</f>
        <v>87.12</v>
      </c>
    </row>
    <row r="575" ht="15.75" customHeight="1">
      <c r="B575" s="3">
        <f>IFERROR(__xludf.DUMMYFUNCTION("""COMPUTED_VALUE"""),41446.645833333336)</f>
        <v>41446.64583</v>
      </c>
      <c r="C575" s="2">
        <f>IFERROR(__xludf.DUMMYFUNCTION("""COMPUTED_VALUE"""),85.78)</f>
        <v>85.78</v>
      </c>
    </row>
    <row r="576" ht="15.75" customHeight="1">
      <c r="B576" s="3">
        <f>IFERROR(__xludf.DUMMYFUNCTION("""COMPUTED_VALUE"""),41453.645833333336)</f>
        <v>41453.64583</v>
      </c>
      <c r="C576" s="2">
        <f>IFERROR(__xludf.DUMMYFUNCTION("""COMPUTED_VALUE"""),89.3)</f>
        <v>89.3</v>
      </c>
    </row>
    <row r="577" ht="15.75" customHeight="1">
      <c r="B577" s="3">
        <f>IFERROR(__xludf.DUMMYFUNCTION("""COMPUTED_VALUE"""),41460.645833333336)</f>
        <v>41460.64583</v>
      </c>
      <c r="C577" s="2">
        <f>IFERROR(__xludf.DUMMYFUNCTION("""COMPUTED_VALUE"""),94.73)</f>
        <v>94.73</v>
      </c>
    </row>
    <row r="578" ht="15.75" customHeight="1">
      <c r="B578" s="3">
        <f>IFERROR(__xludf.DUMMYFUNCTION("""COMPUTED_VALUE"""),41467.645833333336)</f>
        <v>41467.64583</v>
      </c>
      <c r="C578" s="2">
        <f>IFERROR(__xludf.DUMMYFUNCTION("""COMPUTED_VALUE"""),91.81)</f>
        <v>91.81</v>
      </c>
    </row>
    <row r="579" ht="15.75" customHeight="1">
      <c r="B579" s="3">
        <f>IFERROR(__xludf.DUMMYFUNCTION("""COMPUTED_VALUE"""),41474.645833333336)</f>
        <v>41474.64583</v>
      </c>
      <c r="C579" s="2">
        <f>IFERROR(__xludf.DUMMYFUNCTION("""COMPUTED_VALUE"""),94.19)</f>
        <v>94.19</v>
      </c>
    </row>
    <row r="580" ht="15.75" customHeight="1">
      <c r="B580" s="3">
        <f>IFERROR(__xludf.DUMMYFUNCTION("""COMPUTED_VALUE"""),41481.645833333336)</f>
        <v>41481.64583</v>
      </c>
      <c r="C580" s="2">
        <f>IFERROR(__xludf.DUMMYFUNCTION("""COMPUTED_VALUE"""),94.64)</f>
        <v>94.64</v>
      </c>
    </row>
    <row r="581" ht="15.75" customHeight="1">
      <c r="B581" s="3">
        <f>IFERROR(__xludf.DUMMYFUNCTION("""COMPUTED_VALUE"""),41488.645833333336)</f>
        <v>41488.64583</v>
      </c>
      <c r="C581" s="2">
        <f>IFERROR(__xludf.DUMMYFUNCTION("""COMPUTED_VALUE"""),89.72)</f>
        <v>89.72</v>
      </c>
    </row>
    <row r="582" ht="15.75" customHeight="1">
      <c r="B582" s="3">
        <f>IFERROR(__xludf.DUMMYFUNCTION("""COMPUTED_VALUE"""),41494.645833333336)</f>
        <v>41494.64583</v>
      </c>
      <c r="C582" s="2">
        <f>IFERROR(__xludf.DUMMYFUNCTION("""COMPUTED_VALUE"""),86.58)</f>
        <v>86.58</v>
      </c>
    </row>
    <row r="583" ht="15.75" customHeight="1">
      <c r="B583" s="3">
        <f>IFERROR(__xludf.DUMMYFUNCTION("""COMPUTED_VALUE"""),41502.645833333336)</f>
        <v>41502.64583</v>
      </c>
      <c r="C583" s="2">
        <f>IFERROR(__xludf.DUMMYFUNCTION("""COMPUTED_VALUE"""),91.03)</f>
        <v>91.03</v>
      </c>
    </row>
    <row r="584" ht="15.75" customHeight="1">
      <c r="B584" s="3">
        <f>IFERROR(__xludf.DUMMYFUNCTION("""COMPUTED_VALUE"""),41509.645833333336)</f>
        <v>41509.64583</v>
      </c>
      <c r="C584" s="2">
        <f>IFERROR(__xludf.DUMMYFUNCTION("""COMPUTED_VALUE"""),86.64)</f>
        <v>86.64</v>
      </c>
    </row>
    <row r="585" ht="15.75" customHeight="1">
      <c r="B585" s="3">
        <f>IFERROR(__xludf.DUMMYFUNCTION("""COMPUTED_VALUE"""),41516.645833333336)</f>
        <v>41516.64583</v>
      </c>
      <c r="C585" s="2">
        <f>IFERROR(__xludf.DUMMYFUNCTION("""COMPUTED_VALUE"""),86.58)</f>
        <v>86.58</v>
      </c>
    </row>
    <row r="586" ht="15.75" customHeight="1">
      <c r="B586" s="3">
        <f>IFERROR(__xludf.DUMMYFUNCTION("""COMPUTED_VALUE"""),41523.645833333336)</f>
        <v>41523.64583</v>
      </c>
      <c r="C586" s="2">
        <f>IFERROR(__xludf.DUMMYFUNCTION("""COMPUTED_VALUE"""),86.34)</f>
        <v>86.34</v>
      </c>
    </row>
    <row r="587" ht="15.75" customHeight="1">
      <c r="B587" s="3">
        <f>IFERROR(__xludf.DUMMYFUNCTION("""COMPUTED_VALUE"""),41530.645833333336)</f>
        <v>41530.64583</v>
      </c>
      <c r="C587" s="2">
        <f>IFERROR(__xludf.DUMMYFUNCTION("""COMPUTED_VALUE"""),88.51)</f>
        <v>88.51</v>
      </c>
    </row>
    <row r="588" ht="15.75" customHeight="1">
      <c r="B588" s="3">
        <f>IFERROR(__xludf.DUMMYFUNCTION("""COMPUTED_VALUE"""),41537.645833333336)</f>
        <v>41537.64583</v>
      </c>
      <c r="C588" s="2">
        <f>IFERROR(__xludf.DUMMYFUNCTION("""COMPUTED_VALUE"""),96.75)</f>
        <v>96.75</v>
      </c>
    </row>
    <row r="589" ht="15.75" customHeight="1">
      <c r="B589" s="3">
        <f>IFERROR(__xludf.DUMMYFUNCTION("""COMPUTED_VALUE"""),41544.645833333336)</f>
        <v>41544.64583</v>
      </c>
      <c r="C589" s="2">
        <f>IFERROR(__xludf.DUMMYFUNCTION("""COMPUTED_VALUE"""),96.44)</f>
        <v>96.44</v>
      </c>
    </row>
    <row r="590" ht="15.75" customHeight="1">
      <c r="B590" s="3">
        <f>IFERROR(__xludf.DUMMYFUNCTION("""COMPUTED_VALUE"""),41551.645833333336)</f>
        <v>41551.64583</v>
      </c>
      <c r="C590" s="2">
        <f>IFERROR(__xludf.DUMMYFUNCTION("""COMPUTED_VALUE"""),94.2)</f>
        <v>94.2</v>
      </c>
    </row>
    <row r="591" ht="15.75" customHeight="1">
      <c r="B591" s="3">
        <f>IFERROR(__xludf.DUMMYFUNCTION("""COMPUTED_VALUE"""),41558.645833333336)</f>
        <v>41558.64583</v>
      </c>
      <c r="C591" s="2">
        <f>IFERROR(__xludf.DUMMYFUNCTION("""COMPUTED_VALUE"""),95.33)</f>
        <v>95.33</v>
      </c>
    </row>
    <row r="592" ht="15.75" customHeight="1">
      <c r="B592" s="3">
        <f>IFERROR(__xludf.DUMMYFUNCTION("""COMPUTED_VALUE"""),41565.645833333336)</f>
        <v>41565.64583</v>
      </c>
      <c r="C592" s="2">
        <f>IFERROR(__xludf.DUMMYFUNCTION("""COMPUTED_VALUE"""),94.78)</f>
        <v>94.78</v>
      </c>
    </row>
    <row r="593" ht="15.75" customHeight="1">
      <c r="B593" s="3">
        <f>IFERROR(__xludf.DUMMYFUNCTION("""COMPUTED_VALUE"""),41572.645833333336)</f>
        <v>41572.64583</v>
      </c>
      <c r="C593" s="2">
        <f>IFERROR(__xludf.DUMMYFUNCTION("""COMPUTED_VALUE"""),99.42)</f>
        <v>99.42</v>
      </c>
    </row>
    <row r="594" ht="15.75" customHeight="1">
      <c r="B594" s="3">
        <f>IFERROR(__xludf.DUMMYFUNCTION("""COMPUTED_VALUE"""),41579.645833333336)</f>
        <v>41579.64583</v>
      </c>
      <c r="C594" s="2">
        <f>IFERROR(__xludf.DUMMYFUNCTION("""COMPUTED_VALUE"""),100.9)</f>
        <v>100.9</v>
      </c>
    </row>
    <row r="595" ht="15.75" customHeight="1">
      <c r="B595" s="3">
        <f>IFERROR(__xludf.DUMMYFUNCTION("""COMPUTED_VALUE"""),41586.645833333336)</f>
        <v>41586.64583</v>
      </c>
      <c r="C595" s="2">
        <f>IFERROR(__xludf.DUMMYFUNCTION("""COMPUTED_VALUE"""),99.03)</f>
        <v>99.03</v>
      </c>
    </row>
    <row r="596" ht="15.75" customHeight="1">
      <c r="B596" s="3">
        <f>IFERROR(__xludf.DUMMYFUNCTION("""COMPUTED_VALUE"""),41592.645833333336)</f>
        <v>41592.64583</v>
      </c>
      <c r="C596" s="2">
        <f>IFERROR(__xludf.DUMMYFUNCTION("""COMPUTED_VALUE"""),95.5)</f>
        <v>95.5</v>
      </c>
    </row>
    <row r="597" ht="15.75" customHeight="1">
      <c r="B597" s="3">
        <f>IFERROR(__xludf.DUMMYFUNCTION("""COMPUTED_VALUE"""),41600.645833333336)</f>
        <v>41600.64583</v>
      </c>
      <c r="C597" s="2">
        <f>IFERROR(__xludf.DUMMYFUNCTION("""COMPUTED_VALUE"""),93.16)</f>
        <v>93.16</v>
      </c>
    </row>
    <row r="598" ht="15.75" customHeight="1">
      <c r="B598" s="3">
        <f>IFERROR(__xludf.DUMMYFUNCTION("""COMPUTED_VALUE"""),41607.645833333336)</f>
        <v>41607.64583</v>
      </c>
      <c r="C598" s="2">
        <f>IFERROR(__xludf.DUMMYFUNCTION("""COMPUTED_VALUE"""),96.19)</f>
        <v>96.19</v>
      </c>
    </row>
    <row r="599" ht="15.75" customHeight="1">
      <c r="B599" s="3">
        <f>IFERROR(__xludf.DUMMYFUNCTION("""COMPUTED_VALUE"""),41614.645833333336)</f>
        <v>41614.64583</v>
      </c>
      <c r="C599" s="2">
        <f>IFERROR(__xludf.DUMMYFUNCTION("""COMPUTED_VALUE"""),98.07)</f>
        <v>98.07</v>
      </c>
    </row>
    <row r="600" ht="15.75" customHeight="1">
      <c r="B600" s="3">
        <f>IFERROR(__xludf.DUMMYFUNCTION("""COMPUTED_VALUE"""),41621.645833333336)</f>
        <v>41621.64583</v>
      </c>
      <c r="C600" s="2">
        <f>IFERROR(__xludf.DUMMYFUNCTION("""COMPUTED_VALUE"""),100.0)</f>
        <v>100</v>
      </c>
    </row>
    <row r="601" ht="15.75" customHeight="1">
      <c r="B601" s="3">
        <f>IFERROR(__xludf.DUMMYFUNCTION("""COMPUTED_VALUE"""),41628.645833333336)</f>
        <v>41628.64583</v>
      </c>
      <c r="C601" s="2">
        <f>IFERROR(__xludf.DUMMYFUNCTION("""COMPUTED_VALUE"""),97.45)</f>
        <v>97.45</v>
      </c>
    </row>
    <row r="602" ht="15.75" customHeight="1">
      <c r="B602" s="3">
        <f>IFERROR(__xludf.DUMMYFUNCTION("""COMPUTED_VALUE"""),41635.645833333336)</f>
        <v>41635.64583</v>
      </c>
      <c r="C602" s="2">
        <f>IFERROR(__xludf.DUMMYFUNCTION("""COMPUTED_VALUE"""),97.0)</f>
        <v>97</v>
      </c>
    </row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IFERROR(__xludf.DUMMYFUNCTION("GOOGLEFINANCE(""NSE:GAIL"", ""high"",DATE(2014,1,1),DATE(2015,1,1),""weekly"")"),"Date")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IFERROR(__xludf.DUMMYFUNCTION("""COMPUTED_VALUE"""),41642.645833333336)</f>
        <v>41642.64583</v>
      </c>
      <c r="C607" s="2">
        <f>IFERROR(__xludf.DUMMYFUNCTION("""COMPUTED_VALUE"""),98.09)</f>
        <v>98.09</v>
      </c>
    </row>
    <row r="608" ht="15.75" customHeight="1">
      <c r="B608" s="3">
        <f>IFERROR(__xludf.DUMMYFUNCTION("""COMPUTED_VALUE"""),41649.645833333336)</f>
        <v>41649.64583</v>
      </c>
      <c r="C608" s="2">
        <f>IFERROR(__xludf.DUMMYFUNCTION("""COMPUTED_VALUE"""),98.59)</f>
        <v>98.59</v>
      </c>
    </row>
    <row r="609" ht="15.75" customHeight="1">
      <c r="B609" s="3">
        <f>IFERROR(__xludf.DUMMYFUNCTION("""COMPUTED_VALUE"""),41656.645833333336)</f>
        <v>41656.64583</v>
      </c>
      <c r="C609" s="2">
        <f>IFERROR(__xludf.DUMMYFUNCTION("""COMPUTED_VALUE"""),99.98)</f>
        <v>99.98</v>
      </c>
    </row>
    <row r="610" ht="15.75" customHeight="1">
      <c r="B610" s="3">
        <f>IFERROR(__xludf.DUMMYFUNCTION("""COMPUTED_VALUE"""),41663.645833333336)</f>
        <v>41663.64583</v>
      </c>
      <c r="C610" s="2">
        <f>IFERROR(__xludf.DUMMYFUNCTION("""COMPUTED_VALUE"""),99.56)</f>
        <v>99.56</v>
      </c>
    </row>
    <row r="611" ht="15.75" customHeight="1">
      <c r="B611" s="3">
        <f>IFERROR(__xludf.DUMMYFUNCTION("""COMPUTED_VALUE"""),41670.645833333336)</f>
        <v>41670.64583</v>
      </c>
      <c r="C611" s="2">
        <f>IFERROR(__xludf.DUMMYFUNCTION("""COMPUTED_VALUE"""),101.53)</f>
        <v>101.53</v>
      </c>
    </row>
    <row r="612" ht="15.75" customHeight="1">
      <c r="B612" s="3">
        <f>IFERROR(__xludf.DUMMYFUNCTION("""COMPUTED_VALUE"""),41677.645833333336)</f>
        <v>41677.64583</v>
      </c>
      <c r="C612" s="2">
        <f>IFERROR(__xludf.DUMMYFUNCTION("""COMPUTED_VALUE"""),104.03)</f>
        <v>104.03</v>
      </c>
    </row>
    <row r="613" ht="15.75" customHeight="1">
      <c r="B613" s="3">
        <f>IFERROR(__xludf.DUMMYFUNCTION("""COMPUTED_VALUE"""),41684.645833333336)</f>
        <v>41684.64583</v>
      </c>
      <c r="C613" s="2">
        <f>IFERROR(__xludf.DUMMYFUNCTION("""COMPUTED_VALUE"""),101.81)</f>
        <v>101.81</v>
      </c>
    </row>
    <row r="614" ht="15.75" customHeight="1">
      <c r="B614" s="3">
        <f>IFERROR(__xludf.DUMMYFUNCTION("""COMPUTED_VALUE"""),41691.645833333336)</f>
        <v>41691.64583</v>
      </c>
      <c r="C614" s="2">
        <f>IFERROR(__xludf.DUMMYFUNCTION("""COMPUTED_VALUE"""),102.47)</f>
        <v>102.47</v>
      </c>
    </row>
    <row r="615" ht="15.75" customHeight="1">
      <c r="B615" s="3">
        <f>IFERROR(__xludf.DUMMYFUNCTION("""COMPUTED_VALUE"""),41698.645833333336)</f>
        <v>41698.64583</v>
      </c>
      <c r="C615" s="2">
        <f>IFERROR(__xludf.DUMMYFUNCTION("""COMPUTED_VALUE"""),104.91)</f>
        <v>104.91</v>
      </c>
    </row>
    <row r="616" ht="15.75" customHeight="1">
      <c r="B616" s="3">
        <f>IFERROR(__xludf.DUMMYFUNCTION("""COMPUTED_VALUE"""),41705.645833333336)</f>
        <v>41705.64583</v>
      </c>
      <c r="C616" s="2">
        <f>IFERROR(__xludf.DUMMYFUNCTION("""COMPUTED_VALUE"""),110.25)</f>
        <v>110.25</v>
      </c>
    </row>
    <row r="617" ht="15.75" customHeight="1">
      <c r="B617" s="3">
        <f>IFERROR(__xludf.DUMMYFUNCTION("""COMPUTED_VALUE"""),41712.645833333336)</f>
        <v>41712.64583</v>
      </c>
      <c r="C617" s="2">
        <f>IFERROR(__xludf.DUMMYFUNCTION("""COMPUTED_VALUE"""),109.79)</f>
        <v>109.79</v>
      </c>
    </row>
    <row r="618" ht="15.75" customHeight="1">
      <c r="B618" s="3">
        <f>IFERROR(__xludf.DUMMYFUNCTION("""COMPUTED_VALUE"""),41726.645833333336)</f>
        <v>41726.64583</v>
      </c>
      <c r="C618" s="2">
        <f>IFERROR(__xludf.DUMMYFUNCTION("""COMPUTED_VALUE"""),109.13)</f>
        <v>109.13</v>
      </c>
    </row>
    <row r="619" ht="15.75" customHeight="1">
      <c r="B619" s="3">
        <f>IFERROR(__xludf.DUMMYFUNCTION("""COMPUTED_VALUE"""),41733.645833333336)</f>
        <v>41733.64583</v>
      </c>
      <c r="C619" s="2">
        <f>IFERROR(__xludf.DUMMYFUNCTION("""COMPUTED_VALUE"""),108.55)</f>
        <v>108.55</v>
      </c>
    </row>
    <row r="620" ht="15.75" customHeight="1">
      <c r="B620" s="3">
        <f>IFERROR(__xludf.DUMMYFUNCTION("""COMPUTED_VALUE"""),41740.645833333336)</f>
        <v>41740.64583</v>
      </c>
      <c r="C620" s="2">
        <f>IFERROR(__xludf.DUMMYFUNCTION("""COMPUTED_VALUE"""),107.02)</f>
        <v>107.02</v>
      </c>
    </row>
    <row r="621" ht="15.75" customHeight="1">
      <c r="B621" s="3">
        <f>IFERROR(__xludf.DUMMYFUNCTION("""COMPUTED_VALUE"""),41746.645833333336)</f>
        <v>41746.64583</v>
      </c>
      <c r="C621" s="2">
        <f>IFERROR(__xludf.DUMMYFUNCTION("""COMPUTED_VALUE"""),105.36)</f>
        <v>105.36</v>
      </c>
    </row>
    <row r="622" ht="15.75" customHeight="1">
      <c r="B622" s="3">
        <f>IFERROR(__xludf.DUMMYFUNCTION("""COMPUTED_VALUE"""),41754.645833333336)</f>
        <v>41754.64583</v>
      </c>
      <c r="C622" s="2">
        <f>IFERROR(__xludf.DUMMYFUNCTION("""COMPUTED_VALUE"""),109.35)</f>
        <v>109.35</v>
      </c>
    </row>
    <row r="623" ht="15.75" customHeight="1">
      <c r="B623" s="3">
        <f>IFERROR(__xludf.DUMMYFUNCTION("""COMPUTED_VALUE"""),41761.645833333336)</f>
        <v>41761.64583</v>
      </c>
      <c r="C623" s="2">
        <f>IFERROR(__xludf.DUMMYFUNCTION("""COMPUTED_VALUE"""),107.03)</f>
        <v>107.03</v>
      </c>
    </row>
    <row r="624" ht="15.75" customHeight="1">
      <c r="B624" s="3">
        <f>IFERROR(__xludf.DUMMYFUNCTION("""COMPUTED_VALUE"""),41768.645833333336)</f>
        <v>41768.64583</v>
      </c>
      <c r="C624" s="2">
        <f>IFERROR(__xludf.DUMMYFUNCTION("""COMPUTED_VALUE"""),106.28)</f>
        <v>106.28</v>
      </c>
    </row>
    <row r="625" ht="15.75" customHeight="1">
      <c r="B625" s="3">
        <f>IFERROR(__xludf.DUMMYFUNCTION("""COMPUTED_VALUE"""),41775.645833333336)</f>
        <v>41775.64583</v>
      </c>
      <c r="C625" s="2">
        <f>IFERROR(__xludf.DUMMYFUNCTION("""COMPUTED_VALUE"""),121.29)</f>
        <v>121.29</v>
      </c>
    </row>
    <row r="626" ht="15.75" customHeight="1">
      <c r="B626" s="3">
        <f>IFERROR(__xludf.DUMMYFUNCTION("""COMPUTED_VALUE"""),41782.645833333336)</f>
        <v>41782.64583</v>
      </c>
      <c r="C626" s="2">
        <f>IFERROR(__xludf.DUMMYFUNCTION("""COMPUTED_VALUE"""),122.6)</f>
        <v>122.6</v>
      </c>
    </row>
    <row r="627" ht="15.75" customHeight="1">
      <c r="B627" s="3">
        <f>IFERROR(__xludf.DUMMYFUNCTION("""COMPUTED_VALUE"""),41789.645833333336)</f>
        <v>41789.64583</v>
      </c>
      <c r="C627" s="2">
        <f>IFERROR(__xludf.DUMMYFUNCTION("""COMPUTED_VALUE"""),122.91)</f>
        <v>122.91</v>
      </c>
    </row>
    <row r="628" ht="15.75" customHeight="1">
      <c r="B628" s="3">
        <f>IFERROR(__xludf.DUMMYFUNCTION("""COMPUTED_VALUE"""),41796.645833333336)</f>
        <v>41796.64583</v>
      </c>
      <c r="C628" s="2">
        <f>IFERROR(__xludf.DUMMYFUNCTION("""COMPUTED_VALUE"""),119.24)</f>
        <v>119.24</v>
      </c>
    </row>
    <row r="629" ht="15.75" customHeight="1">
      <c r="B629" s="3">
        <f>IFERROR(__xludf.DUMMYFUNCTION("""COMPUTED_VALUE"""),41803.645833333336)</f>
        <v>41803.64583</v>
      </c>
      <c r="C629" s="2">
        <f>IFERROR(__xludf.DUMMYFUNCTION("""COMPUTED_VALUE"""),124.03)</f>
        <v>124.03</v>
      </c>
    </row>
    <row r="630" ht="15.75" customHeight="1">
      <c r="B630" s="3">
        <f>IFERROR(__xludf.DUMMYFUNCTION("""COMPUTED_VALUE"""),41810.645833333336)</f>
        <v>41810.64583</v>
      </c>
      <c r="C630" s="2">
        <f>IFERROR(__xludf.DUMMYFUNCTION("""COMPUTED_VALUE"""),129.09)</f>
        <v>129.09</v>
      </c>
    </row>
    <row r="631" ht="15.75" customHeight="1">
      <c r="B631" s="3">
        <f>IFERROR(__xludf.DUMMYFUNCTION("""COMPUTED_VALUE"""),41817.645833333336)</f>
        <v>41817.64583</v>
      </c>
      <c r="C631" s="2">
        <f>IFERROR(__xludf.DUMMYFUNCTION("""COMPUTED_VALUE"""),131.99)</f>
        <v>131.99</v>
      </c>
    </row>
    <row r="632" ht="15.75" customHeight="1">
      <c r="B632" s="3">
        <f>IFERROR(__xludf.DUMMYFUNCTION("""COMPUTED_VALUE"""),41824.645833333336)</f>
        <v>41824.64583</v>
      </c>
      <c r="C632" s="2">
        <f>IFERROR(__xludf.DUMMYFUNCTION("""COMPUTED_VALUE"""),131.63)</f>
        <v>131.63</v>
      </c>
    </row>
    <row r="633" ht="15.75" customHeight="1">
      <c r="B633" s="3">
        <f>IFERROR(__xludf.DUMMYFUNCTION("""COMPUTED_VALUE"""),41831.645833333336)</f>
        <v>41831.64583</v>
      </c>
      <c r="C633" s="2">
        <f>IFERROR(__xludf.DUMMYFUNCTION("""COMPUTED_VALUE"""),133.34)</f>
        <v>133.34</v>
      </c>
    </row>
    <row r="634" ht="15.75" customHeight="1">
      <c r="B634" s="3">
        <f>IFERROR(__xludf.DUMMYFUNCTION("""COMPUTED_VALUE"""),41838.645833333336)</f>
        <v>41838.64583</v>
      </c>
      <c r="C634" s="2">
        <f>IFERROR(__xludf.DUMMYFUNCTION("""COMPUTED_VALUE"""),131.58)</f>
        <v>131.58</v>
      </c>
    </row>
    <row r="635" ht="15.75" customHeight="1">
      <c r="B635" s="3">
        <f>IFERROR(__xludf.DUMMYFUNCTION("""COMPUTED_VALUE"""),41845.645833333336)</f>
        <v>41845.64583</v>
      </c>
      <c r="C635" s="2">
        <f>IFERROR(__xludf.DUMMYFUNCTION("""COMPUTED_VALUE"""),125.56)</f>
        <v>125.56</v>
      </c>
    </row>
    <row r="636" ht="15.75" customHeight="1">
      <c r="B636" s="3">
        <f>IFERROR(__xludf.DUMMYFUNCTION("""COMPUTED_VALUE"""),41852.645833333336)</f>
        <v>41852.64583</v>
      </c>
      <c r="C636" s="2">
        <f>IFERROR(__xludf.DUMMYFUNCTION("""COMPUTED_VALUE"""),123.55)</f>
        <v>123.55</v>
      </c>
    </row>
    <row r="637" ht="15.75" customHeight="1">
      <c r="B637" s="3">
        <f>IFERROR(__xludf.DUMMYFUNCTION("""COMPUTED_VALUE"""),41859.645833333336)</f>
        <v>41859.64583</v>
      </c>
      <c r="C637" s="2">
        <f>IFERROR(__xludf.DUMMYFUNCTION("""COMPUTED_VALUE"""),120.78)</f>
        <v>120.78</v>
      </c>
    </row>
    <row r="638" ht="15.75" customHeight="1">
      <c r="B638" s="3">
        <f>IFERROR(__xludf.DUMMYFUNCTION("""COMPUTED_VALUE"""),41865.645833333336)</f>
        <v>41865.64583</v>
      </c>
      <c r="C638" s="2">
        <f>IFERROR(__xludf.DUMMYFUNCTION("""COMPUTED_VALUE"""),120.35)</f>
        <v>120.35</v>
      </c>
    </row>
    <row r="639" ht="15.75" customHeight="1">
      <c r="B639" s="3">
        <f>IFERROR(__xludf.DUMMYFUNCTION("""COMPUTED_VALUE"""),41873.645833333336)</f>
        <v>41873.64583</v>
      </c>
      <c r="C639" s="2">
        <f>IFERROR(__xludf.DUMMYFUNCTION("""COMPUTED_VALUE"""),123.31)</f>
        <v>123.31</v>
      </c>
    </row>
    <row r="640" ht="15.75" customHeight="1">
      <c r="B640" s="3">
        <f>IFERROR(__xludf.DUMMYFUNCTION("""COMPUTED_VALUE"""),41879.645833333336)</f>
        <v>41879.64583</v>
      </c>
      <c r="C640" s="2">
        <f>IFERROR(__xludf.DUMMYFUNCTION("""COMPUTED_VALUE"""),125.58)</f>
        <v>125.58</v>
      </c>
    </row>
    <row r="641" ht="15.75" customHeight="1">
      <c r="B641" s="3">
        <f>IFERROR(__xludf.DUMMYFUNCTION("""COMPUTED_VALUE"""),41887.645833333336)</f>
        <v>41887.64583</v>
      </c>
      <c r="C641" s="2">
        <f>IFERROR(__xludf.DUMMYFUNCTION("""COMPUTED_VALUE"""),132.19)</f>
        <v>132.19</v>
      </c>
    </row>
    <row r="642" ht="15.75" customHeight="1">
      <c r="B642" s="3">
        <f>IFERROR(__xludf.DUMMYFUNCTION("""COMPUTED_VALUE"""),41894.645833333336)</f>
        <v>41894.64583</v>
      </c>
      <c r="C642" s="2">
        <f>IFERROR(__xludf.DUMMYFUNCTION("""COMPUTED_VALUE"""),131.18)</f>
        <v>131.18</v>
      </c>
    </row>
    <row r="643" ht="15.75" customHeight="1">
      <c r="B643" s="3">
        <f>IFERROR(__xludf.DUMMYFUNCTION("""COMPUTED_VALUE"""),41901.645833333336)</f>
        <v>41901.64583</v>
      </c>
      <c r="C643" s="2">
        <f>IFERROR(__xludf.DUMMYFUNCTION("""COMPUTED_VALUE"""),129.91)</f>
        <v>129.91</v>
      </c>
    </row>
    <row r="644" ht="15.75" customHeight="1">
      <c r="B644" s="3">
        <f>IFERROR(__xludf.DUMMYFUNCTION("""COMPUTED_VALUE"""),41908.645833333336)</f>
        <v>41908.64583</v>
      </c>
      <c r="C644" s="2">
        <f>IFERROR(__xludf.DUMMYFUNCTION("""COMPUTED_VALUE"""),128.78)</f>
        <v>128.78</v>
      </c>
    </row>
    <row r="645" ht="15.75" customHeight="1">
      <c r="B645" s="3">
        <f>IFERROR(__xludf.DUMMYFUNCTION("""COMPUTED_VALUE"""),41913.645833333336)</f>
        <v>41913.64583</v>
      </c>
      <c r="C645" s="2">
        <f>IFERROR(__xludf.DUMMYFUNCTION("""COMPUTED_VALUE"""),128.81)</f>
        <v>128.81</v>
      </c>
    </row>
    <row r="646" ht="15.75" customHeight="1">
      <c r="B646" s="3">
        <f>IFERROR(__xludf.DUMMYFUNCTION("""COMPUTED_VALUE"""),41922.645833333336)</f>
        <v>41922.64583</v>
      </c>
      <c r="C646" s="2">
        <f>IFERROR(__xludf.DUMMYFUNCTION("""COMPUTED_VALUE"""),126.73)</f>
        <v>126.73</v>
      </c>
    </row>
    <row r="647" ht="15.75" customHeight="1">
      <c r="B647" s="3">
        <f>IFERROR(__xludf.DUMMYFUNCTION("""COMPUTED_VALUE"""),41929.645833333336)</f>
        <v>41929.64583</v>
      </c>
      <c r="C647" s="2">
        <f>IFERROR(__xludf.DUMMYFUNCTION("""COMPUTED_VALUE"""),129.23)</f>
        <v>129.23</v>
      </c>
    </row>
    <row r="648" ht="15.75" customHeight="1">
      <c r="B648" s="3">
        <f>IFERROR(__xludf.DUMMYFUNCTION("""COMPUTED_VALUE"""),41935.645833333336)</f>
        <v>41935.64583</v>
      </c>
      <c r="C648" s="2">
        <f>IFERROR(__xludf.DUMMYFUNCTION("""COMPUTED_VALUE"""),137.4)</f>
        <v>137.4</v>
      </c>
    </row>
    <row r="649" ht="15.75" customHeight="1">
      <c r="B649" s="3">
        <f>IFERROR(__xludf.DUMMYFUNCTION("""COMPUTED_VALUE"""),41943.645833333336)</f>
        <v>41943.64583</v>
      </c>
      <c r="C649" s="2">
        <f>IFERROR(__xludf.DUMMYFUNCTION("""COMPUTED_VALUE"""),155.22)</f>
        <v>155.22</v>
      </c>
    </row>
    <row r="650" ht="15.75" customHeight="1">
      <c r="B650" s="3">
        <f>IFERROR(__xludf.DUMMYFUNCTION("""COMPUTED_VALUE"""),41950.645833333336)</f>
        <v>41950.64583</v>
      </c>
      <c r="C650" s="2">
        <f>IFERROR(__xludf.DUMMYFUNCTION("""COMPUTED_VALUE"""),150.06)</f>
        <v>150.06</v>
      </c>
    </row>
    <row r="651" ht="15.75" customHeight="1">
      <c r="B651" s="3">
        <f>IFERROR(__xludf.DUMMYFUNCTION("""COMPUTED_VALUE"""),41957.64583333333)</f>
        <v>41957.64583</v>
      </c>
      <c r="C651" s="2">
        <f>IFERROR(__xludf.DUMMYFUNCTION("""COMPUTED_VALUE"""),138.63)</f>
        <v>138.63</v>
      </c>
    </row>
    <row r="652" ht="15.75" customHeight="1">
      <c r="B652" s="3">
        <f>IFERROR(__xludf.DUMMYFUNCTION("""COMPUTED_VALUE"""),41964.64583333333)</f>
        <v>41964.64583</v>
      </c>
      <c r="C652" s="2">
        <f>IFERROR(__xludf.DUMMYFUNCTION("""COMPUTED_VALUE"""),141.17)</f>
        <v>141.17</v>
      </c>
    </row>
    <row r="653" ht="15.75" customHeight="1">
      <c r="B653" s="3">
        <f>IFERROR(__xludf.DUMMYFUNCTION("""COMPUTED_VALUE"""),41971.64583333333)</f>
        <v>41971.64583</v>
      </c>
      <c r="C653" s="2">
        <f>IFERROR(__xludf.DUMMYFUNCTION("""COMPUTED_VALUE"""),140.44)</f>
        <v>140.44</v>
      </c>
    </row>
    <row r="654" ht="15.75" customHeight="1">
      <c r="B654" s="3">
        <f>IFERROR(__xludf.DUMMYFUNCTION("""COMPUTED_VALUE"""),41978.64583333333)</f>
        <v>41978.64583</v>
      </c>
      <c r="C654" s="2">
        <f>IFERROR(__xludf.DUMMYFUNCTION("""COMPUTED_VALUE"""),137.8)</f>
        <v>137.8</v>
      </c>
    </row>
    <row r="655" ht="15.75" customHeight="1">
      <c r="B655" s="3">
        <f>IFERROR(__xludf.DUMMYFUNCTION("""COMPUTED_VALUE"""),41985.64583333333)</f>
        <v>41985.64583</v>
      </c>
      <c r="C655" s="2">
        <f>IFERROR(__xludf.DUMMYFUNCTION("""COMPUTED_VALUE"""),133.02)</f>
        <v>133.02</v>
      </c>
    </row>
    <row r="656" ht="15.75" customHeight="1">
      <c r="B656" s="3">
        <f>IFERROR(__xludf.DUMMYFUNCTION("""COMPUTED_VALUE"""),41992.64583333333)</f>
        <v>41992.64583</v>
      </c>
      <c r="C656" s="2">
        <f>IFERROR(__xludf.DUMMYFUNCTION("""COMPUTED_VALUE"""),123.92)</f>
        <v>123.92</v>
      </c>
    </row>
    <row r="657" ht="15.75" customHeight="1">
      <c r="B657" s="3">
        <f>IFERROR(__xludf.DUMMYFUNCTION("""COMPUTED_VALUE"""),41999.64583333333)</f>
        <v>41999.64583</v>
      </c>
      <c r="C657" s="2">
        <f>IFERROR(__xludf.DUMMYFUNCTION("""COMPUTED_VALUE"""),127.13)</f>
        <v>127.13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IFERROR(__xludf.DUMMYFUNCTION("GOOGLEFINANCE(""NSE:GAIL"", ""high"",DATE(2015,1,1),DATE(2016,1,1),""weekly"")"),"Date")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IFERROR(__xludf.DUMMYFUNCTION("""COMPUTED_VALUE"""),42006.64583333333)</f>
        <v>42006.64583</v>
      </c>
      <c r="C662" s="2">
        <f>IFERROR(__xludf.DUMMYFUNCTION("""COMPUTED_VALUE"""),126.58)</f>
        <v>126.58</v>
      </c>
    </row>
    <row r="663" ht="15.75" customHeight="1">
      <c r="B663" s="3">
        <f>IFERROR(__xludf.DUMMYFUNCTION("""COMPUTED_VALUE"""),42013.64583333333)</f>
        <v>42013.64583</v>
      </c>
      <c r="C663" s="2">
        <f>IFERROR(__xludf.DUMMYFUNCTION("""COMPUTED_VALUE"""),126.8)</f>
        <v>126.8</v>
      </c>
    </row>
    <row r="664" ht="15.75" customHeight="1">
      <c r="B664" s="3">
        <f>IFERROR(__xludf.DUMMYFUNCTION("""COMPUTED_VALUE"""),42020.64583333333)</f>
        <v>42020.64583</v>
      </c>
      <c r="C664" s="2">
        <f>IFERROR(__xludf.DUMMYFUNCTION("""COMPUTED_VALUE"""),122.47)</f>
        <v>122.47</v>
      </c>
    </row>
    <row r="665" ht="15.75" customHeight="1">
      <c r="B665" s="3">
        <f>IFERROR(__xludf.DUMMYFUNCTION("""COMPUTED_VALUE"""),42027.64583333333)</f>
        <v>42027.64583</v>
      </c>
      <c r="C665" s="2">
        <f>IFERROR(__xludf.DUMMYFUNCTION("""COMPUTED_VALUE"""),125.52)</f>
        <v>125.52</v>
      </c>
    </row>
    <row r="666" ht="15.75" customHeight="1">
      <c r="B666" s="3">
        <f>IFERROR(__xludf.DUMMYFUNCTION("""COMPUTED_VALUE"""),42034.64583333333)</f>
        <v>42034.64583</v>
      </c>
      <c r="C666" s="2">
        <f>IFERROR(__xludf.DUMMYFUNCTION("""COMPUTED_VALUE"""),120.23)</f>
        <v>120.23</v>
      </c>
    </row>
    <row r="667" ht="15.75" customHeight="1">
      <c r="B667" s="3">
        <f>IFERROR(__xludf.DUMMYFUNCTION("""COMPUTED_VALUE"""),42041.64583333333)</f>
        <v>42041.64583</v>
      </c>
      <c r="C667" s="2">
        <f>IFERROR(__xludf.DUMMYFUNCTION("""COMPUTED_VALUE"""),124.58)</f>
        <v>124.58</v>
      </c>
    </row>
    <row r="668" ht="15.75" customHeight="1">
      <c r="B668" s="3">
        <f>IFERROR(__xludf.DUMMYFUNCTION("""COMPUTED_VALUE"""),42048.64583333333)</f>
        <v>42048.64583</v>
      </c>
      <c r="C668" s="2">
        <f>IFERROR(__xludf.DUMMYFUNCTION("""COMPUTED_VALUE"""),120.6)</f>
        <v>120.6</v>
      </c>
    </row>
    <row r="669" ht="15.75" customHeight="1">
      <c r="B669" s="3">
        <f>IFERROR(__xludf.DUMMYFUNCTION("""COMPUTED_VALUE"""),42055.64583333333)</f>
        <v>42055.64583</v>
      </c>
      <c r="C669" s="2">
        <f>IFERROR(__xludf.DUMMYFUNCTION("""COMPUTED_VALUE"""),116.58)</f>
        <v>116.58</v>
      </c>
    </row>
    <row r="670" ht="15.75" customHeight="1">
      <c r="B670" s="3">
        <f>IFERROR(__xludf.DUMMYFUNCTION("""COMPUTED_VALUE"""),42068.64583333333)</f>
        <v>42068.64583</v>
      </c>
      <c r="C670" s="2">
        <f>IFERROR(__xludf.DUMMYFUNCTION("""COMPUTED_VALUE"""),116.72)</f>
        <v>116.72</v>
      </c>
    </row>
    <row r="671" ht="15.75" customHeight="1">
      <c r="B671" s="3">
        <f>IFERROR(__xludf.DUMMYFUNCTION("""COMPUTED_VALUE"""),42076.64583333333)</f>
        <v>42076.64583</v>
      </c>
      <c r="C671" s="2">
        <f>IFERROR(__xludf.DUMMYFUNCTION("""COMPUTED_VALUE"""),113.02)</f>
        <v>113.02</v>
      </c>
    </row>
    <row r="672" ht="15.75" customHeight="1">
      <c r="B672" s="3">
        <f>IFERROR(__xludf.DUMMYFUNCTION("""COMPUTED_VALUE"""),42083.64583333333)</f>
        <v>42083.64583</v>
      </c>
      <c r="C672" s="2">
        <f>IFERROR(__xludf.DUMMYFUNCTION("""COMPUTED_VALUE"""),111.21)</f>
        <v>111.21</v>
      </c>
    </row>
    <row r="673" ht="15.75" customHeight="1">
      <c r="B673" s="3">
        <f>IFERROR(__xludf.DUMMYFUNCTION("""COMPUTED_VALUE"""),42090.64583333333)</f>
        <v>42090.64583</v>
      </c>
      <c r="C673" s="2">
        <f>IFERROR(__xludf.DUMMYFUNCTION("""COMPUTED_VALUE"""),110.36)</f>
        <v>110.36</v>
      </c>
    </row>
    <row r="674" ht="15.75" customHeight="1">
      <c r="B674" s="3">
        <f>IFERROR(__xludf.DUMMYFUNCTION("""COMPUTED_VALUE"""),42095.64583333333)</f>
        <v>42095.64583</v>
      </c>
      <c r="C674" s="2">
        <f>IFERROR(__xludf.DUMMYFUNCTION("""COMPUTED_VALUE"""),109.69)</f>
        <v>109.69</v>
      </c>
    </row>
    <row r="675" ht="15.75" customHeight="1">
      <c r="B675" s="3">
        <f>IFERROR(__xludf.DUMMYFUNCTION("""COMPUTED_VALUE"""),42104.64583333333)</f>
        <v>42104.64583</v>
      </c>
      <c r="C675" s="2">
        <f>IFERROR(__xludf.DUMMYFUNCTION("""COMPUTED_VALUE"""),116.65)</f>
        <v>116.65</v>
      </c>
    </row>
    <row r="676" ht="15.75" customHeight="1">
      <c r="B676" s="3">
        <f>IFERROR(__xludf.DUMMYFUNCTION("""COMPUTED_VALUE"""),42111.64583333333)</f>
        <v>42111.64583</v>
      </c>
      <c r="C676" s="2">
        <f>IFERROR(__xludf.DUMMYFUNCTION("""COMPUTED_VALUE"""),113.34)</f>
        <v>113.34</v>
      </c>
    </row>
    <row r="677" ht="15.75" customHeight="1">
      <c r="B677" s="3">
        <f>IFERROR(__xludf.DUMMYFUNCTION("""COMPUTED_VALUE"""),42118.64583333333)</f>
        <v>42118.64583</v>
      </c>
      <c r="C677" s="2">
        <f>IFERROR(__xludf.DUMMYFUNCTION("""COMPUTED_VALUE"""),110.48)</f>
        <v>110.48</v>
      </c>
    </row>
    <row r="678" ht="15.75" customHeight="1">
      <c r="B678" s="3">
        <f>IFERROR(__xludf.DUMMYFUNCTION("""COMPUTED_VALUE"""),42124.64583333333)</f>
        <v>42124.64583</v>
      </c>
      <c r="C678" s="2">
        <f>IFERROR(__xludf.DUMMYFUNCTION("""COMPUTED_VALUE"""),104.18)</f>
        <v>104.18</v>
      </c>
    </row>
    <row r="679" ht="15.75" customHeight="1">
      <c r="B679" s="3">
        <f>IFERROR(__xludf.DUMMYFUNCTION("""COMPUTED_VALUE"""),42132.64583333333)</f>
        <v>42132.64583</v>
      </c>
      <c r="C679" s="2">
        <f>IFERROR(__xludf.DUMMYFUNCTION("""COMPUTED_VALUE"""),105.31)</f>
        <v>105.31</v>
      </c>
    </row>
    <row r="680" ht="15.75" customHeight="1">
      <c r="B680" s="3">
        <f>IFERROR(__xludf.DUMMYFUNCTION("""COMPUTED_VALUE"""),42139.64583333333)</f>
        <v>42139.64583</v>
      </c>
      <c r="C680" s="2">
        <f>IFERROR(__xludf.DUMMYFUNCTION("""COMPUTED_VALUE"""),112.78)</f>
        <v>112.78</v>
      </c>
    </row>
    <row r="681" ht="15.75" customHeight="1">
      <c r="B681" s="3">
        <f>IFERROR(__xludf.DUMMYFUNCTION("""COMPUTED_VALUE"""),42146.64583333333)</f>
        <v>42146.64583</v>
      </c>
      <c r="C681" s="2">
        <f>IFERROR(__xludf.DUMMYFUNCTION("""COMPUTED_VALUE"""),112.43)</f>
        <v>112.43</v>
      </c>
    </row>
    <row r="682" ht="15.75" customHeight="1">
      <c r="B682" s="3">
        <f>IFERROR(__xludf.DUMMYFUNCTION("""COMPUTED_VALUE"""),42153.64583333333)</f>
        <v>42153.64583</v>
      </c>
      <c r="C682" s="2">
        <f>IFERROR(__xludf.DUMMYFUNCTION("""COMPUTED_VALUE"""),112.2)</f>
        <v>112.2</v>
      </c>
    </row>
    <row r="683" ht="15.75" customHeight="1">
      <c r="B683" s="3">
        <f>IFERROR(__xludf.DUMMYFUNCTION("""COMPUTED_VALUE"""),42160.64583333333)</f>
        <v>42160.64583</v>
      </c>
      <c r="C683" s="2">
        <f>IFERROR(__xludf.DUMMYFUNCTION("""COMPUTED_VALUE"""),111.94)</f>
        <v>111.94</v>
      </c>
    </row>
    <row r="684" ht="15.75" customHeight="1">
      <c r="B684" s="3">
        <f>IFERROR(__xludf.DUMMYFUNCTION("""COMPUTED_VALUE"""),42167.64583333333)</f>
        <v>42167.64583</v>
      </c>
      <c r="C684" s="2">
        <f>IFERROR(__xludf.DUMMYFUNCTION("""COMPUTED_VALUE"""),112.5)</f>
        <v>112.5</v>
      </c>
    </row>
    <row r="685" ht="15.75" customHeight="1">
      <c r="B685" s="3">
        <f>IFERROR(__xludf.DUMMYFUNCTION("""COMPUTED_VALUE"""),42174.64583333333)</f>
        <v>42174.64583</v>
      </c>
      <c r="C685" s="2">
        <f>IFERROR(__xludf.DUMMYFUNCTION("""COMPUTED_VALUE"""),114.17)</f>
        <v>114.17</v>
      </c>
    </row>
    <row r="686" ht="15.75" customHeight="1">
      <c r="B686" s="3">
        <f>IFERROR(__xludf.DUMMYFUNCTION("""COMPUTED_VALUE"""),42181.64583333333)</f>
        <v>42181.64583</v>
      </c>
      <c r="C686" s="2">
        <f>IFERROR(__xludf.DUMMYFUNCTION("""COMPUTED_VALUE"""),117.53)</f>
        <v>117.53</v>
      </c>
    </row>
    <row r="687" ht="15.75" customHeight="1">
      <c r="B687" s="3">
        <f>IFERROR(__xludf.DUMMYFUNCTION("""COMPUTED_VALUE"""),42188.64583333333)</f>
        <v>42188.64583</v>
      </c>
      <c r="C687" s="2">
        <f>IFERROR(__xludf.DUMMYFUNCTION("""COMPUTED_VALUE"""),112.84)</f>
        <v>112.84</v>
      </c>
    </row>
    <row r="688" ht="15.75" customHeight="1">
      <c r="B688" s="3">
        <f>IFERROR(__xludf.DUMMYFUNCTION("""COMPUTED_VALUE"""),42195.64583333333)</f>
        <v>42195.64583</v>
      </c>
      <c r="C688" s="2">
        <f>IFERROR(__xludf.DUMMYFUNCTION("""COMPUTED_VALUE"""),109.6)</f>
        <v>109.6</v>
      </c>
    </row>
    <row r="689" ht="15.75" customHeight="1">
      <c r="B689" s="3">
        <f>IFERROR(__xludf.DUMMYFUNCTION("""COMPUTED_VALUE"""),42202.64583333333)</f>
        <v>42202.64583</v>
      </c>
      <c r="C689" s="2">
        <f>IFERROR(__xludf.DUMMYFUNCTION("""COMPUTED_VALUE"""),106.45)</f>
        <v>106.45</v>
      </c>
    </row>
    <row r="690" ht="15.75" customHeight="1">
      <c r="B690" s="3">
        <f>IFERROR(__xludf.DUMMYFUNCTION("""COMPUTED_VALUE"""),42209.64583333333)</f>
        <v>42209.64583</v>
      </c>
      <c r="C690" s="2">
        <f>IFERROR(__xludf.DUMMYFUNCTION("""COMPUTED_VALUE"""),106.03)</f>
        <v>106.03</v>
      </c>
    </row>
    <row r="691" ht="15.75" customHeight="1">
      <c r="B691" s="3">
        <f>IFERROR(__xludf.DUMMYFUNCTION("""COMPUTED_VALUE"""),42216.64583333333)</f>
        <v>42216.64583</v>
      </c>
      <c r="C691" s="2">
        <f>IFERROR(__xludf.DUMMYFUNCTION("""COMPUTED_VALUE"""),101.33)</f>
        <v>101.33</v>
      </c>
    </row>
    <row r="692" ht="15.75" customHeight="1">
      <c r="B692" s="3">
        <f>IFERROR(__xludf.DUMMYFUNCTION("""COMPUTED_VALUE"""),42223.64583333333)</f>
        <v>42223.64583</v>
      </c>
      <c r="C692" s="2">
        <f>IFERROR(__xludf.DUMMYFUNCTION("""COMPUTED_VALUE"""),99.98)</f>
        <v>99.98</v>
      </c>
    </row>
    <row r="693" ht="15.75" customHeight="1">
      <c r="B693" s="3">
        <f>IFERROR(__xludf.DUMMYFUNCTION("""COMPUTED_VALUE"""),42230.64583333333)</f>
        <v>42230.64583</v>
      </c>
      <c r="C693" s="2">
        <f>IFERROR(__xludf.DUMMYFUNCTION("""COMPUTED_VALUE"""),97.4)</f>
        <v>97.4</v>
      </c>
    </row>
    <row r="694" ht="15.75" customHeight="1">
      <c r="B694" s="3">
        <f>IFERROR(__xludf.DUMMYFUNCTION("""COMPUTED_VALUE"""),42237.64583333333)</f>
        <v>42237.64583</v>
      </c>
      <c r="C694" s="2">
        <f>IFERROR(__xludf.DUMMYFUNCTION("""COMPUTED_VALUE"""),97.61)</f>
        <v>97.61</v>
      </c>
    </row>
    <row r="695" ht="15.75" customHeight="1">
      <c r="B695" s="3">
        <f>IFERROR(__xludf.DUMMYFUNCTION("""COMPUTED_VALUE"""),42244.64583333333)</f>
        <v>42244.64583</v>
      </c>
      <c r="C695" s="2">
        <f>IFERROR(__xludf.DUMMYFUNCTION("""COMPUTED_VALUE"""),87.76)</f>
        <v>87.76</v>
      </c>
    </row>
    <row r="696" ht="15.75" customHeight="1">
      <c r="B696" s="3">
        <f>IFERROR(__xludf.DUMMYFUNCTION("""COMPUTED_VALUE"""),42251.64583333333)</f>
        <v>42251.64583</v>
      </c>
      <c r="C696" s="2">
        <f>IFERROR(__xludf.DUMMYFUNCTION("""COMPUTED_VALUE"""),84.56)</f>
        <v>84.56</v>
      </c>
    </row>
    <row r="697" ht="15.75" customHeight="1">
      <c r="B697" s="3">
        <f>IFERROR(__xludf.DUMMYFUNCTION("""COMPUTED_VALUE"""),42258.64583333333)</f>
        <v>42258.64583</v>
      </c>
      <c r="C697" s="2">
        <f>IFERROR(__xludf.DUMMYFUNCTION("""COMPUTED_VALUE"""),83.81)</f>
        <v>83.81</v>
      </c>
    </row>
    <row r="698" ht="15.75" customHeight="1">
      <c r="B698" s="3">
        <f>IFERROR(__xludf.DUMMYFUNCTION("""COMPUTED_VALUE"""),42265.64583333333)</f>
        <v>42265.64583</v>
      </c>
      <c r="C698" s="2">
        <f>IFERROR(__xludf.DUMMYFUNCTION("""COMPUTED_VALUE"""),83.04)</f>
        <v>83.04</v>
      </c>
    </row>
    <row r="699" ht="15.75" customHeight="1">
      <c r="B699" s="3">
        <f>IFERROR(__xludf.DUMMYFUNCTION("""COMPUTED_VALUE"""),42271.64583333333)</f>
        <v>42271.64583</v>
      </c>
      <c r="C699" s="2">
        <f>IFERROR(__xludf.DUMMYFUNCTION("""COMPUTED_VALUE"""),85.19)</f>
        <v>85.19</v>
      </c>
    </row>
    <row r="700" ht="15.75" customHeight="1">
      <c r="B700" s="3">
        <f>IFERROR(__xludf.DUMMYFUNCTION("""COMPUTED_VALUE"""),42278.64583333333)</f>
        <v>42278.64583</v>
      </c>
      <c r="C700" s="2">
        <f>IFERROR(__xludf.DUMMYFUNCTION("""COMPUTED_VALUE"""),87.64)</f>
        <v>87.64</v>
      </c>
    </row>
    <row r="701" ht="15.75" customHeight="1">
      <c r="B701" s="3">
        <f>IFERROR(__xludf.DUMMYFUNCTION("""COMPUTED_VALUE"""),42286.64583333333)</f>
        <v>42286.64583</v>
      </c>
      <c r="C701" s="2">
        <f>IFERROR(__xludf.DUMMYFUNCTION("""COMPUTED_VALUE"""),88.76)</f>
        <v>88.76</v>
      </c>
    </row>
    <row r="702" ht="15.75" customHeight="1">
      <c r="B702" s="3">
        <f>IFERROR(__xludf.DUMMYFUNCTION("""COMPUTED_VALUE"""),42293.64583333333)</f>
        <v>42293.64583</v>
      </c>
      <c r="C702" s="2">
        <f>IFERROR(__xludf.DUMMYFUNCTION("""COMPUTED_VALUE"""),91.91)</f>
        <v>91.91</v>
      </c>
    </row>
    <row r="703" ht="15.75" customHeight="1">
      <c r="B703" s="3">
        <f>IFERROR(__xludf.DUMMYFUNCTION("""COMPUTED_VALUE"""),42300.64583333333)</f>
        <v>42300.64583</v>
      </c>
      <c r="C703" s="2">
        <f>IFERROR(__xludf.DUMMYFUNCTION("""COMPUTED_VALUE"""),92.81)</f>
        <v>92.81</v>
      </c>
    </row>
    <row r="704" ht="15.75" customHeight="1">
      <c r="B704" s="3">
        <f>IFERROR(__xludf.DUMMYFUNCTION("""COMPUTED_VALUE"""),42307.64583333333)</f>
        <v>42307.64583</v>
      </c>
      <c r="C704" s="2">
        <f>IFERROR(__xludf.DUMMYFUNCTION("""COMPUTED_VALUE"""),93.28)</f>
        <v>93.28</v>
      </c>
    </row>
    <row r="705" ht="15.75" customHeight="1">
      <c r="B705" s="3">
        <f>IFERROR(__xludf.DUMMYFUNCTION("""COMPUTED_VALUE"""),42314.64583333333)</f>
        <v>42314.64583</v>
      </c>
      <c r="C705" s="2">
        <f>IFERROR(__xludf.DUMMYFUNCTION("""COMPUTED_VALUE"""),88.69)</f>
        <v>88.69</v>
      </c>
    </row>
    <row r="706" ht="15.75" customHeight="1">
      <c r="B706" s="3">
        <f>IFERROR(__xludf.DUMMYFUNCTION("""COMPUTED_VALUE"""),42321.64583333333)</f>
        <v>42321.64583</v>
      </c>
      <c r="C706" s="2">
        <f>IFERROR(__xludf.DUMMYFUNCTION("""COMPUTED_VALUE"""),80.87)</f>
        <v>80.87</v>
      </c>
    </row>
    <row r="707" ht="15.75" customHeight="1">
      <c r="B707" s="3">
        <f>IFERROR(__xludf.DUMMYFUNCTION("""COMPUTED_VALUE"""),42328.64583333333)</f>
        <v>42328.64583</v>
      </c>
      <c r="C707" s="2">
        <f>IFERROR(__xludf.DUMMYFUNCTION("""COMPUTED_VALUE"""),101.22)</f>
        <v>101.22</v>
      </c>
    </row>
    <row r="708" ht="15.75" customHeight="1">
      <c r="B708" s="3">
        <f>IFERROR(__xludf.DUMMYFUNCTION("""COMPUTED_VALUE"""),42335.64583333333)</f>
        <v>42335.64583</v>
      </c>
      <c r="C708" s="2">
        <f>IFERROR(__xludf.DUMMYFUNCTION("""COMPUTED_VALUE"""),104.29)</f>
        <v>104.29</v>
      </c>
    </row>
    <row r="709" ht="15.75" customHeight="1">
      <c r="B709" s="3">
        <f>IFERROR(__xludf.DUMMYFUNCTION("""COMPUTED_VALUE"""),42342.64583333333)</f>
        <v>42342.64583</v>
      </c>
      <c r="C709" s="2">
        <f>IFERROR(__xludf.DUMMYFUNCTION("""COMPUTED_VALUE"""),104.06)</f>
        <v>104.06</v>
      </c>
    </row>
    <row r="710" ht="15.75" customHeight="1">
      <c r="B710" s="3">
        <f>IFERROR(__xludf.DUMMYFUNCTION("""COMPUTED_VALUE"""),42349.64583333333)</f>
        <v>42349.64583</v>
      </c>
      <c r="C710" s="2">
        <f>IFERROR(__xludf.DUMMYFUNCTION("""COMPUTED_VALUE"""),102.05)</f>
        <v>102.05</v>
      </c>
    </row>
    <row r="711" ht="15.75" customHeight="1">
      <c r="B711" s="3">
        <f>IFERROR(__xludf.DUMMYFUNCTION("""COMPUTED_VALUE"""),42356.64583333333)</f>
        <v>42356.64583</v>
      </c>
      <c r="C711" s="2">
        <f>IFERROR(__xludf.DUMMYFUNCTION("""COMPUTED_VALUE"""),101.11)</f>
        <v>101.11</v>
      </c>
    </row>
    <row r="712" ht="15.75" customHeight="1">
      <c r="B712" s="3">
        <f>IFERROR(__xludf.DUMMYFUNCTION("""COMPUTED_VALUE"""),42362.64583333333)</f>
        <v>42362.64583</v>
      </c>
      <c r="C712" s="2">
        <f>IFERROR(__xludf.DUMMYFUNCTION("""COMPUTED_VALUE"""),102.38)</f>
        <v>102.38</v>
      </c>
    </row>
    <row r="713" ht="15.75" customHeight="1">
      <c r="B713" s="3">
        <f>IFERROR(__xludf.DUMMYFUNCTION("""COMPUTED_VALUE"""),42370.64583333333)</f>
        <v>42370.64583</v>
      </c>
      <c r="C713" s="2">
        <f>IFERROR(__xludf.DUMMYFUNCTION("""COMPUTED_VALUE"""),106.28)</f>
        <v>106.28</v>
      </c>
    </row>
    <row r="714" ht="15.75" customHeight="1"/>
    <row r="715" ht="15.75" customHeight="1"/>
    <row r="716" ht="15.75" customHeight="1">
      <c r="B716" s="2" t="str">
        <f>IFERROR(__xludf.DUMMYFUNCTION("GOOGLEFINANCE(""NSE:GAIL"", ""high"",DATE(2016,1,1),DATE(2017,1,1),""weekly"")"),"Date")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IFERROR(__xludf.DUMMYFUNCTION("""COMPUTED_VALUE"""),42377.64583333333)</f>
        <v>42377.64583</v>
      </c>
      <c r="C717" s="2">
        <f>IFERROR(__xludf.DUMMYFUNCTION("""COMPUTED_VALUE"""),107.16)</f>
        <v>107.16</v>
      </c>
    </row>
    <row r="718" ht="15.75" customHeight="1">
      <c r="B718" s="3">
        <f>IFERROR(__xludf.DUMMYFUNCTION("""COMPUTED_VALUE"""),42384.64583333333)</f>
        <v>42384.64583</v>
      </c>
      <c r="C718" s="2">
        <f>IFERROR(__xludf.DUMMYFUNCTION("""COMPUTED_VALUE"""),105.41)</f>
        <v>105.41</v>
      </c>
    </row>
    <row r="719" ht="15.75" customHeight="1">
      <c r="B719" s="3">
        <f>IFERROR(__xludf.DUMMYFUNCTION("""COMPUTED_VALUE"""),42391.64583333333)</f>
        <v>42391.64583</v>
      </c>
      <c r="C719" s="2">
        <f>IFERROR(__xludf.DUMMYFUNCTION("""COMPUTED_VALUE"""),104.91)</f>
        <v>104.91</v>
      </c>
    </row>
    <row r="720" ht="15.75" customHeight="1">
      <c r="B720" s="3">
        <f>IFERROR(__xludf.DUMMYFUNCTION("""COMPUTED_VALUE"""),42398.64583333333)</f>
        <v>42398.64583</v>
      </c>
      <c r="C720" s="2">
        <f>IFERROR(__xludf.DUMMYFUNCTION("""COMPUTED_VALUE"""),104.77)</f>
        <v>104.77</v>
      </c>
    </row>
    <row r="721" ht="15.75" customHeight="1">
      <c r="B721" s="3">
        <f>IFERROR(__xludf.DUMMYFUNCTION("""COMPUTED_VALUE"""),42405.64583333333)</f>
        <v>42405.64583</v>
      </c>
      <c r="C721" s="2">
        <f>IFERROR(__xludf.DUMMYFUNCTION("""COMPUTED_VALUE"""),104.96)</f>
        <v>104.96</v>
      </c>
    </row>
    <row r="722" ht="15.75" customHeight="1">
      <c r="B722" s="3">
        <f>IFERROR(__xludf.DUMMYFUNCTION("""COMPUTED_VALUE"""),42412.64583333333)</f>
        <v>42412.64583</v>
      </c>
      <c r="C722" s="2">
        <f>IFERROR(__xludf.DUMMYFUNCTION("""COMPUTED_VALUE"""),100.04)</f>
        <v>100.04</v>
      </c>
    </row>
    <row r="723" ht="15.75" customHeight="1">
      <c r="B723" s="3">
        <f>IFERROR(__xludf.DUMMYFUNCTION("""COMPUTED_VALUE"""),42419.64583333333)</f>
        <v>42419.64583</v>
      </c>
      <c r="C723" s="2">
        <f>IFERROR(__xludf.DUMMYFUNCTION("""COMPUTED_VALUE"""),95.3)</f>
        <v>95.3</v>
      </c>
    </row>
    <row r="724" ht="15.75" customHeight="1">
      <c r="B724" s="3">
        <f>IFERROR(__xludf.DUMMYFUNCTION("""COMPUTED_VALUE"""),42426.64583333333)</f>
        <v>42426.64583</v>
      </c>
      <c r="C724" s="2">
        <f>IFERROR(__xludf.DUMMYFUNCTION("""COMPUTED_VALUE"""),92.8)</f>
        <v>92.8</v>
      </c>
    </row>
    <row r="725" ht="15.75" customHeight="1">
      <c r="B725" s="3">
        <f>IFERROR(__xludf.DUMMYFUNCTION("""COMPUTED_VALUE"""),42433.64583333333)</f>
        <v>42433.64583</v>
      </c>
      <c r="C725" s="2">
        <f>IFERROR(__xludf.DUMMYFUNCTION("""COMPUTED_VALUE"""),98.11)</f>
        <v>98.11</v>
      </c>
    </row>
    <row r="726" ht="15.75" customHeight="1">
      <c r="B726" s="3">
        <f>IFERROR(__xludf.DUMMYFUNCTION("""COMPUTED_VALUE"""),42440.64583333333)</f>
        <v>42440.64583</v>
      </c>
      <c r="C726" s="2">
        <f>IFERROR(__xludf.DUMMYFUNCTION("""COMPUTED_VALUE"""),100.24)</f>
        <v>100.24</v>
      </c>
    </row>
    <row r="727" ht="15.75" customHeight="1">
      <c r="B727" s="3">
        <f>IFERROR(__xludf.DUMMYFUNCTION("""COMPUTED_VALUE"""),42447.64583333333)</f>
        <v>42447.64583</v>
      </c>
      <c r="C727" s="2">
        <f>IFERROR(__xludf.DUMMYFUNCTION("""COMPUTED_VALUE"""),103.16)</f>
        <v>103.16</v>
      </c>
    </row>
    <row r="728" ht="15.75" customHeight="1">
      <c r="B728" s="3">
        <f>IFERROR(__xludf.DUMMYFUNCTION("""COMPUTED_VALUE"""),42452.64583333333)</f>
        <v>42452.64583</v>
      </c>
      <c r="C728" s="2">
        <f>IFERROR(__xludf.DUMMYFUNCTION("""COMPUTED_VALUE"""),103.64)</f>
        <v>103.64</v>
      </c>
    </row>
    <row r="729" ht="15.75" customHeight="1">
      <c r="B729" s="3">
        <f>IFERROR(__xludf.DUMMYFUNCTION("""COMPUTED_VALUE"""),42461.64583333333)</f>
        <v>42461.64583</v>
      </c>
      <c r="C729" s="2">
        <f>IFERROR(__xludf.DUMMYFUNCTION("""COMPUTED_VALUE"""),101.81)</f>
        <v>101.81</v>
      </c>
    </row>
    <row r="730" ht="15.75" customHeight="1">
      <c r="B730" s="3">
        <f>IFERROR(__xludf.DUMMYFUNCTION("""COMPUTED_VALUE"""),42468.64583333333)</f>
        <v>42468.64583</v>
      </c>
      <c r="C730" s="2">
        <f>IFERROR(__xludf.DUMMYFUNCTION("""COMPUTED_VALUE"""),99.0)</f>
        <v>99</v>
      </c>
    </row>
    <row r="731" ht="15.75" customHeight="1">
      <c r="B731" s="3">
        <f>IFERROR(__xludf.DUMMYFUNCTION("""COMPUTED_VALUE"""),42473.64583333333)</f>
        <v>42473.64583</v>
      </c>
      <c r="C731" s="2">
        <f>IFERROR(__xludf.DUMMYFUNCTION("""COMPUTED_VALUE"""),104.78)</f>
        <v>104.78</v>
      </c>
    </row>
    <row r="732" ht="15.75" customHeight="1">
      <c r="B732" s="3">
        <f>IFERROR(__xludf.DUMMYFUNCTION("""COMPUTED_VALUE"""),42482.64583333333)</f>
        <v>42482.64583</v>
      </c>
      <c r="C732" s="2">
        <f>IFERROR(__xludf.DUMMYFUNCTION("""COMPUTED_VALUE"""),105.3)</f>
        <v>105.3</v>
      </c>
    </row>
    <row r="733" ht="15.75" customHeight="1">
      <c r="B733" s="3">
        <f>IFERROR(__xludf.DUMMYFUNCTION("""COMPUTED_VALUE"""),42489.64583333333)</f>
        <v>42489.64583</v>
      </c>
      <c r="C733" s="2">
        <f>IFERROR(__xludf.DUMMYFUNCTION("""COMPUTED_VALUE"""),105.95)</f>
        <v>105.95</v>
      </c>
    </row>
    <row r="734" ht="15.75" customHeight="1">
      <c r="B734" s="3">
        <f>IFERROR(__xludf.DUMMYFUNCTION("""COMPUTED_VALUE"""),42496.64583333333)</f>
        <v>42496.64583</v>
      </c>
      <c r="C734" s="2">
        <f>IFERROR(__xludf.DUMMYFUNCTION("""COMPUTED_VALUE"""),108.82)</f>
        <v>108.82</v>
      </c>
    </row>
    <row r="735" ht="15.75" customHeight="1">
      <c r="B735" s="3">
        <f>IFERROR(__xludf.DUMMYFUNCTION("""COMPUTED_VALUE"""),42503.64583333333)</f>
        <v>42503.64583</v>
      </c>
      <c r="C735" s="2">
        <f>IFERROR(__xludf.DUMMYFUNCTION("""COMPUTED_VALUE"""),110.98)</f>
        <v>110.98</v>
      </c>
    </row>
    <row r="736" ht="15.75" customHeight="1">
      <c r="B736" s="3">
        <f>IFERROR(__xludf.DUMMYFUNCTION("""COMPUTED_VALUE"""),42510.64583333333)</f>
        <v>42510.64583</v>
      </c>
      <c r="C736" s="2">
        <f>IFERROR(__xludf.DUMMYFUNCTION("""COMPUTED_VALUE"""),109.13)</f>
        <v>109.13</v>
      </c>
    </row>
    <row r="737" ht="15.75" customHeight="1">
      <c r="B737" s="3">
        <f>IFERROR(__xludf.DUMMYFUNCTION("""COMPUTED_VALUE"""),42517.64583333333)</f>
        <v>42517.64583</v>
      </c>
      <c r="C737" s="2">
        <f>IFERROR(__xludf.DUMMYFUNCTION("""COMPUTED_VALUE"""),109.65)</f>
        <v>109.65</v>
      </c>
    </row>
    <row r="738" ht="15.75" customHeight="1">
      <c r="B738" s="3">
        <f>IFERROR(__xludf.DUMMYFUNCTION("""COMPUTED_VALUE"""),42524.64583333333)</f>
        <v>42524.64583</v>
      </c>
      <c r="C738" s="2">
        <f>IFERROR(__xludf.DUMMYFUNCTION("""COMPUTED_VALUE"""),108.23)</f>
        <v>108.23</v>
      </c>
    </row>
    <row r="739" ht="15.75" customHeight="1">
      <c r="B739" s="3">
        <f>IFERROR(__xludf.DUMMYFUNCTION("""COMPUTED_VALUE"""),42531.64583333333)</f>
        <v>42531.64583</v>
      </c>
      <c r="C739" s="2">
        <f>IFERROR(__xludf.DUMMYFUNCTION("""COMPUTED_VALUE"""),107.04)</f>
        <v>107.04</v>
      </c>
    </row>
    <row r="740" ht="15.75" customHeight="1">
      <c r="B740" s="3">
        <f>IFERROR(__xludf.DUMMYFUNCTION("""COMPUTED_VALUE"""),42538.64583333333)</f>
        <v>42538.64583</v>
      </c>
      <c r="C740" s="2">
        <f>IFERROR(__xludf.DUMMYFUNCTION("""COMPUTED_VALUE"""),109.15)</f>
        <v>109.15</v>
      </c>
    </row>
    <row r="741" ht="15.75" customHeight="1">
      <c r="B741" s="3">
        <f>IFERROR(__xludf.DUMMYFUNCTION("""COMPUTED_VALUE"""),42545.64583333333)</f>
        <v>42545.64583</v>
      </c>
      <c r="C741" s="2">
        <f>IFERROR(__xludf.DUMMYFUNCTION("""COMPUTED_VALUE"""),110.28)</f>
        <v>110.28</v>
      </c>
    </row>
    <row r="742" ht="15.75" customHeight="1">
      <c r="B742" s="3">
        <f>IFERROR(__xludf.DUMMYFUNCTION("""COMPUTED_VALUE"""),42552.64583333333)</f>
        <v>42552.64583</v>
      </c>
      <c r="C742" s="2">
        <f>IFERROR(__xludf.DUMMYFUNCTION("""COMPUTED_VALUE"""),111.61)</f>
        <v>111.61</v>
      </c>
    </row>
    <row r="743" ht="15.75" customHeight="1">
      <c r="B743" s="3">
        <f>IFERROR(__xludf.DUMMYFUNCTION("""COMPUTED_VALUE"""),42559.64583333333)</f>
        <v>42559.64583</v>
      </c>
      <c r="C743" s="2">
        <f>IFERROR(__xludf.DUMMYFUNCTION("""COMPUTED_VALUE"""),113.26)</f>
        <v>113.26</v>
      </c>
    </row>
    <row r="744" ht="15.75" customHeight="1">
      <c r="B744" s="3">
        <f>IFERROR(__xludf.DUMMYFUNCTION("""COMPUTED_VALUE"""),42566.64583333333)</f>
        <v>42566.64583</v>
      </c>
      <c r="C744" s="2">
        <f>IFERROR(__xludf.DUMMYFUNCTION("""COMPUTED_VALUE"""),112.22)</f>
        <v>112.22</v>
      </c>
    </row>
    <row r="745" ht="15.75" customHeight="1">
      <c r="B745" s="3">
        <f>IFERROR(__xludf.DUMMYFUNCTION("""COMPUTED_VALUE"""),42573.64583333333)</f>
        <v>42573.64583</v>
      </c>
      <c r="C745" s="2">
        <f>IFERROR(__xludf.DUMMYFUNCTION("""COMPUTED_VALUE"""),113.29)</f>
        <v>113.29</v>
      </c>
    </row>
    <row r="746" ht="15.75" customHeight="1">
      <c r="B746" s="3">
        <f>IFERROR(__xludf.DUMMYFUNCTION("""COMPUTED_VALUE"""),42580.64583333333)</f>
        <v>42580.64583</v>
      </c>
      <c r="C746" s="2">
        <f>IFERROR(__xludf.DUMMYFUNCTION("""COMPUTED_VALUE"""),112.08)</f>
        <v>112.08</v>
      </c>
    </row>
    <row r="747" ht="15.75" customHeight="1">
      <c r="B747" s="3">
        <f>IFERROR(__xludf.DUMMYFUNCTION("""COMPUTED_VALUE"""),42587.64583333333)</f>
        <v>42587.64583</v>
      </c>
      <c r="C747" s="2">
        <f>IFERROR(__xludf.DUMMYFUNCTION("""COMPUTED_VALUE"""),108.7)</f>
        <v>108.7</v>
      </c>
    </row>
    <row r="748" ht="15.75" customHeight="1">
      <c r="B748" s="3">
        <f>IFERROR(__xludf.DUMMYFUNCTION("""COMPUTED_VALUE"""),42594.64583333333)</f>
        <v>42594.64583</v>
      </c>
      <c r="C748" s="2">
        <f>IFERROR(__xludf.DUMMYFUNCTION("""COMPUTED_VALUE"""),108.93)</f>
        <v>108.93</v>
      </c>
    </row>
    <row r="749" ht="15.75" customHeight="1">
      <c r="B749" s="3">
        <f>IFERROR(__xludf.DUMMYFUNCTION("""COMPUTED_VALUE"""),42601.64583333333)</f>
        <v>42601.64583</v>
      </c>
      <c r="C749" s="2">
        <f>IFERROR(__xludf.DUMMYFUNCTION("""COMPUTED_VALUE"""),105.9)</f>
        <v>105.9</v>
      </c>
    </row>
    <row r="750" ht="15.75" customHeight="1">
      <c r="B750" s="3">
        <f>IFERROR(__xludf.DUMMYFUNCTION("""COMPUTED_VALUE"""),42608.64583333333)</f>
        <v>42608.64583</v>
      </c>
      <c r="C750" s="2">
        <f>IFERROR(__xludf.DUMMYFUNCTION("""COMPUTED_VALUE"""),108.28)</f>
        <v>108.28</v>
      </c>
    </row>
    <row r="751" ht="15.75" customHeight="1">
      <c r="B751" s="3">
        <f>IFERROR(__xludf.DUMMYFUNCTION("""COMPUTED_VALUE"""),42615.64583333333)</f>
        <v>42615.64583</v>
      </c>
      <c r="C751" s="2">
        <f>IFERROR(__xludf.DUMMYFUNCTION("""COMPUTED_VALUE"""),111.52)</f>
        <v>111.52</v>
      </c>
    </row>
    <row r="752" ht="15.75" customHeight="1">
      <c r="B752" s="3">
        <f>IFERROR(__xludf.DUMMYFUNCTION("""COMPUTED_VALUE"""),42622.64583333333)</f>
        <v>42622.64583</v>
      </c>
      <c r="C752" s="2">
        <f>IFERROR(__xludf.DUMMYFUNCTION("""COMPUTED_VALUE"""),114.67)</f>
        <v>114.67</v>
      </c>
    </row>
    <row r="753" ht="15.75" customHeight="1">
      <c r="B753" s="3">
        <f>IFERROR(__xludf.DUMMYFUNCTION("""COMPUTED_VALUE"""),42629.64583333333)</f>
        <v>42629.64583</v>
      </c>
      <c r="C753" s="2">
        <f>IFERROR(__xludf.DUMMYFUNCTION("""COMPUTED_VALUE"""),111.23)</f>
        <v>111.23</v>
      </c>
    </row>
    <row r="754" ht="15.75" customHeight="1">
      <c r="B754" s="3">
        <f>IFERROR(__xludf.DUMMYFUNCTION("""COMPUTED_VALUE"""),42636.64583333333)</f>
        <v>42636.64583</v>
      </c>
      <c r="C754" s="2">
        <f>IFERROR(__xludf.DUMMYFUNCTION("""COMPUTED_VALUE"""),110.81)</f>
        <v>110.81</v>
      </c>
    </row>
    <row r="755" ht="15.75" customHeight="1">
      <c r="B755" s="3">
        <f>IFERROR(__xludf.DUMMYFUNCTION("""COMPUTED_VALUE"""),42643.64583333333)</f>
        <v>42643.64583</v>
      </c>
      <c r="C755" s="2">
        <f>IFERROR(__xludf.DUMMYFUNCTION("""COMPUTED_VALUE"""),108.84)</f>
        <v>108.84</v>
      </c>
    </row>
    <row r="756" ht="15.75" customHeight="1">
      <c r="B756" s="3">
        <f>IFERROR(__xludf.DUMMYFUNCTION("""COMPUTED_VALUE"""),42650.64583333333)</f>
        <v>42650.64583</v>
      </c>
      <c r="C756" s="2">
        <f>IFERROR(__xludf.DUMMYFUNCTION("""COMPUTED_VALUE"""),118.07)</f>
        <v>118.07</v>
      </c>
    </row>
    <row r="757" ht="15.75" customHeight="1">
      <c r="B757" s="3">
        <f>IFERROR(__xludf.DUMMYFUNCTION("""COMPUTED_VALUE"""),42657.64583333333)</f>
        <v>42657.64583</v>
      </c>
      <c r="C757" s="2">
        <f>IFERROR(__xludf.DUMMYFUNCTION("""COMPUTED_VALUE"""),121.71)</f>
        <v>121.71</v>
      </c>
    </row>
    <row r="758" ht="15.75" customHeight="1">
      <c r="B758" s="3">
        <f>IFERROR(__xludf.DUMMYFUNCTION("""COMPUTED_VALUE"""),42664.64583333333)</f>
        <v>42664.64583</v>
      </c>
      <c r="C758" s="2">
        <f>IFERROR(__xludf.DUMMYFUNCTION("""COMPUTED_VALUE"""),126.27)</f>
        <v>126.27</v>
      </c>
    </row>
    <row r="759" ht="15.75" customHeight="1">
      <c r="B759" s="3">
        <f>IFERROR(__xludf.DUMMYFUNCTION("""COMPUTED_VALUE"""),42671.64583333333)</f>
        <v>42671.64583</v>
      </c>
      <c r="C759" s="2">
        <f>IFERROR(__xludf.DUMMYFUNCTION("""COMPUTED_VALUE"""),126.84)</f>
        <v>126.84</v>
      </c>
    </row>
    <row r="760" ht="15.75" customHeight="1">
      <c r="B760" s="3">
        <f>IFERROR(__xludf.DUMMYFUNCTION("""COMPUTED_VALUE"""),42678.64583333333)</f>
        <v>42678.64583</v>
      </c>
      <c r="C760" s="2">
        <f>IFERROR(__xludf.DUMMYFUNCTION("""COMPUTED_VALUE"""),124.31)</f>
        <v>124.31</v>
      </c>
    </row>
    <row r="761" ht="15.75" customHeight="1">
      <c r="B761" s="3">
        <f>IFERROR(__xludf.DUMMYFUNCTION("""COMPUTED_VALUE"""),42685.64583333333)</f>
        <v>42685.64583</v>
      </c>
      <c r="C761" s="2">
        <f>IFERROR(__xludf.DUMMYFUNCTION("""COMPUTED_VALUE"""),128.25)</f>
        <v>128.25</v>
      </c>
    </row>
    <row r="762" ht="15.75" customHeight="1">
      <c r="B762" s="3">
        <f>IFERROR(__xludf.DUMMYFUNCTION("""COMPUTED_VALUE"""),42692.64583333333)</f>
        <v>42692.64583</v>
      </c>
      <c r="C762" s="2">
        <f>IFERROR(__xludf.DUMMYFUNCTION("""COMPUTED_VALUE"""),125.66)</f>
        <v>125.66</v>
      </c>
    </row>
    <row r="763" ht="15.75" customHeight="1">
      <c r="B763" s="3">
        <f>IFERROR(__xludf.DUMMYFUNCTION("""COMPUTED_VALUE"""),42699.64583333333)</f>
        <v>42699.64583</v>
      </c>
      <c r="C763" s="2">
        <f>IFERROR(__xludf.DUMMYFUNCTION("""COMPUTED_VALUE"""),121.92)</f>
        <v>121.92</v>
      </c>
    </row>
    <row r="764" ht="15.75" customHeight="1">
      <c r="B764" s="3">
        <f>IFERROR(__xludf.DUMMYFUNCTION("""COMPUTED_VALUE"""),42706.64583333333)</f>
        <v>42706.64583</v>
      </c>
      <c r="C764" s="2">
        <f>IFERROR(__xludf.DUMMYFUNCTION("""COMPUTED_VALUE"""),125.27)</f>
        <v>125.27</v>
      </c>
    </row>
    <row r="765" ht="15.75" customHeight="1">
      <c r="B765" s="3">
        <f>IFERROR(__xludf.DUMMYFUNCTION("""COMPUTED_VALUE"""),42713.64583333333)</f>
        <v>42713.64583</v>
      </c>
      <c r="C765" s="2">
        <f>IFERROR(__xludf.DUMMYFUNCTION("""COMPUTED_VALUE"""),122.82)</f>
        <v>122.82</v>
      </c>
    </row>
    <row r="766" ht="15.75" customHeight="1">
      <c r="B766" s="3">
        <f>IFERROR(__xludf.DUMMYFUNCTION("""COMPUTED_VALUE"""),42720.64583333333)</f>
        <v>42720.64583</v>
      </c>
      <c r="C766" s="2">
        <f>IFERROR(__xludf.DUMMYFUNCTION("""COMPUTED_VALUE"""),121.01)</f>
        <v>121.01</v>
      </c>
    </row>
    <row r="767" ht="15.75" customHeight="1">
      <c r="B767" s="3">
        <f>IFERROR(__xludf.DUMMYFUNCTION("""COMPUTED_VALUE"""),42727.64583333333)</f>
        <v>42727.64583</v>
      </c>
      <c r="C767" s="2">
        <f>IFERROR(__xludf.DUMMYFUNCTION("""COMPUTED_VALUE"""),122.06)</f>
        <v>122.06</v>
      </c>
    </row>
    <row r="768" ht="15.75" customHeight="1">
      <c r="B768" s="3">
        <f>IFERROR(__xludf.DUMMYFUNCTION("""COMPUTED_VALUE"""),42734.64583333333)</f>
        <v>42734.64583</v>
      </c>
      <c r="C768" s="2">
        <f>IFERROR(__xludf.DUMMYFUNCTION("""COMPUTED_VALUE"""),124.59)</f>
        <v>124.59</v>
      </c>
    </row>
    <row r="769" ht="15.75" customHeight="1"/>
    <row r="770" ht="15.75" customHeight="1"/>
    <row r="771" ht="15.75" customHeight="1">
      <c r="B771" s="2" t="str">
        <f>IFERROR(__xludf.DUMMYFUNCTION("GOOGLEFINANCE(""NSE:GAIL"", ""high"",DATE(2017,1,1),DATE(2018,1,1),""weekly"")"),"Date")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IFERROR(__xludf.DUMMYFUNCTION("""COMPUTED_VALUE"""),42741.64583333333)</f>
        <v>42741.64583</v>
      </c>
      <c r="C772" s="2">
        <f>IFERROR(__xludf.DUMMYFUNCTION("""COMPUTED_VALUE"""),126.77)</f>
        <v>126.77</v>
      </c>
    </row>
    <row r="773" ht="15.75" customHeight="1">
      <c r="B773" s="3">
        <f>IFERROR(__xludf.DUMMYFUNCTION("""COMPUTED_VALUE"""),42748.64583333333)</f>
        <v>42748.64583</v>
      </c>
      <c r="C773" s="2">
        <f>IFERROR(__xludf.DUMMYFUNCTION("""COMPUTED_VALUE"""),127.97)</f>
        <v>127.97</v>
      </c>
    </row>
    <row r="774" ht="15.75" customHeight="1">
      <c r="B774" s="3">
        <f>IFERROR(__xludf.DUMMYFUNCTION("""COMPUTED_VALUE"""),42755.64583333333)</f>
        <v>42755.64583</v>
      </c>
      <c r="C774" s="2">
        <f>IFERROR(__xludf.DUMMYFUNCTION("""COMPUTED_VALUE"""),132.51)</f>
        <v>132.51</v>
      </c>
    </row>
    <row r="775" ht="15.75" customHeight="1">
      <c r="B775" s="3">
        <f>IFERROR(__xludf.DUMMYFUNCTION("""COMPUTED_VALUE"""),42762.64583333333)</f>
        <v>42762.64583</v>
      </c>
      <c r="C775" s="2">
        <f>IFERROR(__xludf.DUMMYFUNCTION("""COMPUTED_VALUE"""),138.88)</f>
        <v>138.88</v>
      </c>
    </row>
    <row r="776" ht="15.75" customHeight="1">
      <c r="B776" s="3">
        <f>IFERROR(__xludf.DUMMYFUNCTION("""COMPUTED_VALUE"""),42769.64583333333)</f>
        <v>42769.64583</v>
      </c>
      <c r="C776" s="2">
        <f>IFERROR(__xludf.DUMMYFUNCTION("""COMPUTED_VALUE"""),137.25)</f>
        <v>137.25</v>
      </c>
    </row>
    <row r="777" ht="15.75" customHeight="1">
      <c r="B777" s="3">
        <f>IFERROR(__xludf.DUMMYFUNCTION("""COMPUTED_VALUE"""),42776.64583333333)</f>
        <v>42776.64583</v>
      </c>
      <c r="C777" s="2">
        <f>IFERROR(__xludf.DUMMYFUNCTION("""COMPUTED_VALUE"""),139.04)</f>
        <v>139.04</v>
      </c>
    </row>
    <row r="778" ht="15.75" customHeight="1">
      <c r="B778" s="3">
        <f>IFERROR(__xludf.DUMMYFUNCTION("""COMPUTED_VALUE"""),42783.64583333333)</f>
        <v>42783.64583</v>
      </c>
      <c r="C778" s="2">
        <f>IFERROR(__xludf.DUMMYFUNCTION("""COMPUTED_VALUE"""),144.28)</f>
        <v>144.28</v>
      </c>
    </row>
    <row r="779" ht="15.75" customHeight="1">
      <c r="B779" s="3">
        <f>IFERROR(__xludf.DUMMYFUNCTION("""COMPUTED_VALUE"""),42789.64583333333)</f>
        <v>42789.64583</v>
      </c>
      <c r="C779" s="2">
        <f>IFERROR(__xludf.DUMMYFUNCTION("""COMPUTED_VALUE"""),149.29)</f>
        <v>149.29</v>
      </c>
    </row>
    <row r="780" ht="15.75" customHeight="1">
      <c r="B780" s="3">
        <f>IFERROR(__xludf.DUMMYFUNCTION("""COMPUTED_VALUE"""),42797.64583333333)</f>
        <v>42797.64583</v>
      </c>
      <c r="C780" s="2">
        <f>IFERROR(__xludf.DUMMYFUNCTION("""COMPUTED_VALUE"""),147.99)</f>
        <v>147.99</v>
      </c>
    </row>
    <row r="781" ht="15.75" customHeight="1">
      <c r="B781" s="3">
        <f>IFERROR(__xludf.DUMMYFUNCTION("""COMPUTED_VALUE"""),42804.64583333333)</f>
        <v>42804.64583</v>
      </c>
      <c r="C781" s="2">
        <f>IFERROR(__xludf.DUMMYFUNCTION("""COMPUTED_VALUE"""),150.23)</f>
        <v>150.23</v>
      </c>
    </row>
    <row r="782" ht="15.75" customHeight="1">
      <c r="B782" s="3">
        <f>IFERROR(__xludf.DUMMYFUNCTION("""COMPUTED_VALUE"""),42811.64583333333)</f>
        <v>42811.64583</v>
      </c>
      <c r="C782" s="2">
        <f>IFERROR(__xludf.DUMMYFUNCTION("""COMPUTED_VALUE"""),145.44)</f>
        <v>145.44</v>
      </c>
    </row>
    <row r="783" ht="15.75" customHeight="1">
      <c r="B783" s="3">
        <f>IFERROR(__xludf.DUMMYFUNCTION("""COMPUTED_VALUE"""),42818.64583333333)</f>
        <v>42818.64583</v>
      </c>
      <c r="C783" s="2">
        <f>IFERROR(__xludf.DUMMYFUNCTION("""COMPUTED_VALUE"""),143.63)</f>
        <v>143.63</v>
      </c>
    </row>
    <row r="784" ht="15.75" customHeight="1">
      <c r="B784" s="3">
        <f>IFERROR(__xludf.DUMMYFUNCTION("""COMPUTED_VALUE"""),42825.64583333333)</f>
        <v>42825.64583</v>
      </c>
      <c r="C784" s="2">
        <f>IFERROR(__xludf.DUMMYFUNCTION("""COMPUTED_VALUE"""),145.11)</f>
        <v>145.11</v>
      </c>
    </row>
    <row r="785" ht="15.75" customHeight="1">
      <c r="B785" s="3">
        <f>IFERROR(__xludf.DUMMYFUNCTION("""COMPUTED_VALUE"""),42832.64583333333)</f>
        <v>42832.64583</v>
      </c>
      <c r="C785" s="2">
        <f>IFERROR(__xludf.DUMMYFUNCTION("""COMPUTED_VALUE"""),147.0)</f>
        <v>147</v>
      </c>
    </row>
    <row r="786" ht="15.75" customHeight="1">
      <c r="B786" s="3">
        <f>IFERROR(__xludf.DUMMYFUNCTION("""COMPUTED_VALUE"""),42838.64583333333)</f>
        <v>42838.64583</v>
      </c>
      <c r="C786" s="2">
        <f>IFERROR(__xludf.DUMMYFUNCTION("""COMPUTED_VALUE"""),145.88)</f>
        <v>145.88</v>
      </c>
    </row>
    <row r="787" ht="15.75" customHeight="1">
      <c r="B787" s="3">
        <f>IFERROR(__xludf.DUMMYFUNCTION("""COMPUTED_VALUE"""),42846.64583333333)</f>
        <v>42846.64583</v>
      </c>
      <c r="C787" s="2">
        <f>IFERROR(__xludf.DUMMYFUNCTION("""COMPUTED_VALUE"""),154.5)</f>
        <v>154.5</v>
      </c>
    </row>
    <row r="788" ht="15.75" customHeight="1">
      <c r="B788" s="3">
        <f>IFERROR(__xludf.DUMMYFUNCTION("""COMPUTED_VALUE"""),42853.64583333333)</f>
        <v>42853.64583</v>
      </c>
      <c r="C788" s="2">
        <f>IFERROR(__xludf.DUMMYFUNCTION("""COMPUTED_VALUE"""),159.19)</f>
        <v>159.19</v>
      </c>
    </row>
    <row r="789" ht="15.75" customHeight="1">
      <c r="B789" s="3">
        <f>IFERROR(__xludf.DUMMYFUNCTION("""COMPUTED_VALUE"""),42860.64583333333)</f>
        <v>42860.64583</v>
      </c>
      <c r="C789" s="2">
        <f>IFERROR(__xludf.DUMMYFUNCTION("""COMPUTED_VALUE"""),162.64)</f>
        <v>162.64</v>
      </c>
    </row>
    <row r="790" ht="15.75" customHeight="1">
      <c r="B790" s="3">
        <f>IFERROR(__xludf.DUMMYFUNCTION("""COMPUTED_VALUE"""),42867.64583333333)</f>
        <v>42867.64583</v>
      </c>
      <c r="C790" s="2">
        <f>IFERROR(__xludf.DUMMYFUNCTION("""COMPUTED_VALUE"""),158.63)</f>
        <v>158.63</v>
      </c>
    </row>
    <row r="791" ht="15.75" customHeight="1">
      <c r="B791" s="3">
        <f>IFERROR(__xludf.DUMMYFUNCTION("""COMPUTED_VALUE"""),42874.64583333333)</f>
        <v>42874.64583</v>
      </c>
      <c r="C791" s="2">
        <f>IFERROR(__xludf.DUMMYFUNCTION("""COMPUTED_VALUE"""),156.0)</f>
        <v>156</v>
      </c>
    </row>
    <row r="792" ht="15.75" customHeight="1">
      <c r="B792" s="3">
        <f>IFERROR(__xludf.DUMMYFUNCTION("""COMPUTED_VALUE"""),42881.64583333333)</f>
        <v>42881.64583</v>
      </c>
      <c r="C792" s="2">
        <f>IFERROR(__xludf.DUMMYFUNCTION("""COMPUTED_VALUE"""),151.61)</f>
        <v>151.61</v>
      </c>
    </row>
    <row r="793" ht="15.75" customHeight="1">
      <c r="B793" s="3">
        <f>IFERROR(__xludf.DUMMYFUNCTION("""COMPUTED_VALUE"""),42888.64583333333)</f>
        <v>42888.64583</v>
      </c>
      <c r="C793" s="2">
        <f>IFERROR(__xludf.DUMMYFUNCTION("""COMPUTED_VALUE"""),156.68)</f>
        <v>156.68</v>
      </c>
    </row>
    <row r="794" ht="15.75" customHeight="1">
      <c r="B794" s="3">
        <f>IFERROR(__xludf.DUMMYFUNCTION("""COMPUTED_VALUE"""),42895.64583333333)</f>
        <v>42895.64583</v>
      </c>
      <c r="C794" s="2">
        <f>IFERROR(__xludf.DUMMYFUNCTION("""COMPUTED_VALUE"""),153.26)</f>
        <v>153.26</v>
      </c>
    </row>
    <row r="795" ht="15.75" customHeight="1">
      <c r="B795" s="3">
        <f>IFERROR(__xludf.DUMMYFUNCTION("""COMPUTED_VALUE"""),42902.64583333333)</f>
        <v>42902.64583</v>
      </c>
      <c r="C795" s="2">
        <f>IFERROR(__xludf.DUMMYFUNCTION("""COMPUTED_VALUE"""),145.22)</f>
        <v>145.22</v>
      </c>
    </row>
    <row r="796" ht="15.75" customHeight="1">
      <c r="B796" s="3">
        <f>IFERROR(__xludf.DUMMYFUNCTION("""COMPUTED_VALUE"""),42909.64583333333)</f>
        <v>42909.64583</v>
      </c>
      <c r="C796" s="2">
        <f>IFERROR(__xludf.DUMMYFUNCTION("""COMPUTED_VALUE"""),143.78)</f>
        <v>143.78</v>
      </c>
    </row>
    <row r="797" ht="15.75" customHeight="1">
      <c r="B797" s="3">
        <f>IFERROR(__xludf.DUMMYFUNCTION("""COMPUTED_VALUE"""),42916.64583333333)</f>
        <v>42916.64583</v>
      </c>
      <c r="C797" s="2">
        <f>IFERROR(__xludf.DUMMYFUNCTION("""COMPUTED_VALUE"""),137.81)</f>
        <v>137.81</v>
      </c>
    </row>
    <row r="798" ht="15.75" customHeight="1">
      <c r="B798" s="3">
        <f>IFERROR(__xludf.DUMMYFUNCTION("""COMPUTED_VALUE"""),42923.64583333333)</f>
        <v>42923.64583</v>
      </c>
      <c r="C798" s="2">
        <f>IFERROR(__xludf.DUMMYFUNCTION("""COMPUTED_VALUE"""),138.36)</f>
        <v>138.36</v>
      </c>
    </row>
    <row r="799" ht="15.75" customHeight="1">
      <c r="B799" s="3">
        <f>IFERROR(__xludf.DUMMYFUNCTION("""COMPUTED_VALUE"""),42930.64583333333)</f>
        <v>42930.64583</v>
      </c>
      <c r="C799" s="2">
        <f>IFERROR(__xludf.DUMMYFUNCTION("""COMPUTED_VALUE"""),147.49)</f>
        <v>147.49</v>
      </c>
    </row>
    <row r="800" ht="15.75" customHeight="1">
      <c r="B800" s="3">
        <f>IFERROR(__xludf.DUMMYFUNCTION("""COMPUTED_VALUE"""),42937.64583333333)</f>
        <v>42937.64583</v>
      </c>
      <c r="C800" s="2">
        <f>IFERROR(__xludf.DUMMYFUNCTION("""COMPUTED_VALUE"""),146.42)</f>
        <v>146.42</v>
      </c>
    </row>
    <row r="801" ht="15.75" customHeight="1">
      <c r="B801" s="3">
        <f>IFERROR(__xludf.DUMMYFUNCTION("""COMPUTED_VALUE"""),42944.64583333333)</f>
        <v>42944.64583</v>
      </c>
      <c r="C801" s="2">
        <f>IFERROR(__xludf.DUMMYFUNCTION("""COMPUTED_VALUE"""),144.84)</f>
        <v>144.84</v>
      </c>
    </row>
    <row r="802" ht="15.75" customHeight="1">
      <c r="B802" s="3">
        <f>IFERROR(__xludf.DUMMYFUNCTION("""COMPUTED_VALUE"""),42951.64583333333)</f>
        <v>42951.64583</v>
      </c>
      <c r="C802" s="2">
        <f>IFERROR(__xludf.DUMMYFUNCTION("""COMPUTED_VALUE"""),144.75)</f>
        <v>144.75</v>
      </c>
    </row>
    <row r="803" ht="15.75" customHeight="1">
      <c r="B803" s="3">
        <f>IFERROR(__xludf.DUMMYFUNCTION("""COMPUTED_VALUE"""),42958.64583333333)</f>
        <v>42958.64583</v>
      </c>
      <c r="C803" s="2">
        <f>IFERROR(__xludf.DUMMYFUNCTION("""COMPUTED_VALUE"""),146.06)</f>
        <v>146.06</v>
      </c>
    </row>
    <row r="804" ht="15.75" customHeight="1">
      <c r="B804" s="3">
        <f>IFERROR(__xludf.DUMMYFUNCTION("""COMPUTED_VALUE"""),42965.64583333333)</f>
        <v>42965.64583</v>
      </c>
      <c r="C804" s="2">
        <f>IFERROR(__xludf.DUMMYFUNCTION("""COMPUTED_VALUE"""),144.26)</f>
        <v>144.26</v>
      </c>
    </row>
    <row r="805" ht="15.75" customHeight="1">
      <c r="B805" s="3">
        <f>IFERROR(__xludf.DUMMYFUNCTION("""COMPUTED_VALUE"""),42971.64583333333)</f>
        <v>42971.64583</v>
      </c>
      <c r="C805" s="2">
        <f>IFERROR(__xludf.DUMMYFUNCTION("""COMPUTED_VALUE"""),146.44)</f>
        <v>146.44</v>
      </c>
    </row>
    <row r="806" ht="15.75" customHeight="1">
      <c r="B806" s="3">
        <f>IFERROR(__xludf.DUMMYFUNCTION("""COMPUTED_VALUE"""),42979.64583333333)</f>
        <v>42979.64583</v>
      </c>
      <c r="C806" s="2">
        <f>IFERROR(__xludf.DUMMYFUNCTION("""COMPUTED_VALUE"""),146.21)</f>
        <v>146.21</v>
      </c>
    </row>
    <row r="807" ht="15.75" customHeight="1">
      <c r="B807" s="3">
        <f>IFERROR(__xludf.DUMMYFUNCTION("""COMPUTED_VALUE"""),42986.64583333333)</f>
        <v>42986.64583</v>
      </c>
      <c r="C807" s="2">
        <f>IFERROR(__xludf.DUMMYFUNCTION("""COMPUTED_VALUE"""),145.43)</f>
        <v>145.43</v>
      </c>
    </row>
    <row r="808" ht="15.75" customHeight="1">
      <c r="B808" s="3">
        <f>IFERROR(__xludf.DUMMYFUNCTION("""COMPUTED_VALUE"""),42993.64583333333)</f>
        <v>42993.64583</v>
      </c>
      <c r="C808" s="2">
        <f>IFERROR(__xludf.DUMMYFUNCTION("""COMPUTED_VALUE"""),155.63)</f>
        <v>155.63</v>
      </c>
    </row>
    <row r="809" ht="15.75" customHeight="1">
      <c r="B809" s="3">
        <f>IFERROR(__xludf.DUMMYFUNCTION("""COMPUTED_VALUE"""),43000.64583333333)</f>
        <v>43000.64583</v>
      </c>
      <c r="C809" s="2">
        <f>IFERROR(__xludf.DUMMYFUNCTION("""COMPUTED_VALUE"""),159.88)</f>
        <v>159.88</v>
      </c>
    </row>
    <row r="810" ht="15.75" customHeight="1">
      <c r="B810" s="3">
        <f>IFERROR(__xludf.DUMMYFUNCTION("""COMPUTED_VALUE"""),43007.64583333333)</f>
        <v>43007.64583</v>
      </c>
      <c r="C810" s="2">
        <f>IFERROR(__xludf.DUMMYFUNCTION("""COMPUTED_VALUE"""),160.88)</f>
        <v>160.88</v>
      </c>
    </row>
    <row r="811" ht="15.75" customHeight="1">
      <c r="B811" s="3">
        <f>IFERROR(__xludf.DUMMYFUNCTION("""COMPUTED_VALUE"""),43014.64583333333)</f>
        <v>43014.64583</v>
      </c>
      <c r="C811" s="2">
        <f>IFERROR(__xludf.DUMMYFUNCTION("""COMPUTED_VALUE"""),171.43)</f>
        <v>171.43</v>
      </c>
    </row>
    <row r="812" ht="15.75" customHeight="1">
      <c r="B812" s="3">
        <f>IFERROR(__xludf.DUMMYFUNCTION("""COMPUTED_VALUE"""),43021.64583333333)</f>
        <v>43021.64583</v>
      </c>
      <c r="C812" s="2">
        <f>IFERROR(__xludf.DUMMYFUNCTION("""COMPUTED_VALUE"""),171.54)</f>
        <v>171.54</v>
      </c>
    </row>
    <row r="813" ht="15.75" customHeight="1">
      <c r="B813" s="3">
        <f>IFERROR(__xludf.DUMMYFUNCTION("""COMPUTED_VALUE"""),43027.83333333333)</f>
        <v>43027.83333</v>
      </c>
      <c r="C813" s="2">
        <f>IFERROR(__xludf.DUMMYFUNCTION("""COMPUTED_VALUE"""),166.73)</f>
        <v>166.73</v>
      </c>
    </row>
    <row r="814" ht="15.75" customHeight="1">
      <c r="B814" s="3">
        <f>IFERROR(__xludf.DUMMYFUNCTION("""COMPUTED_VALUE"""),43035.64583333333)</f>
        <v>43035.64583</v>
      </c>
      <c r="C814" s="2">
        <f>IFERROR(__xludf.DUMMYFUNCTION("""COMPUTED_VALUE"""),178.46)</f>
        <v>178.46</v>
      </c>
    </row>
    <row r="815" ht="15.75" customHeight="1">
      <c r="B815" s="3">
        <f>IFERROR(__xludf.DUMMYFUNCTION("""COMPUTED_VALUE"""),43042.64583333333)</f>
        <v>43042.64583</v>
      </c>
      <c r="C815" s="2">
        <f>IFERROR(__xludf.DUMMYFUNCTION("""COMPUTED_VALUE"""),179.76)</f>
        <v>179.76</v>
      </c>
    </row>
    <row r="816" ht="15.75" customHeight="1">
      <c r="B816" s="3">
        <f>IFERROR(__xludf.DUMMYFUNCTION("""COMPUTED_VALUE"""),43049.64583333333)</f>
        <v>43049.64583</v>
      </c>
      <c r="C816" s="2">
        <f>IFERROR(__xludf.DUMMYFUNCTION("""COMPUTED_VALUE"""),179.12)</f>
        <v>179.12</v>
      </c>
    </row>
    <row r="817" ht="15.75" customHeight="1">
      <c r="B817" s="3">
        <f>IFERROR(__xludf.DUMMYFUNCTION("""COMPUTED_VALUE"""),43056.64583333333)</f>
        <v>43056.64583</v>
      </c>
      <c r="C817" s="2">
        <f>IFERROR(__xludf.DUMMYFUNCTION("""COMPUTED_VALUE"""),174.0)</f>
        <v>174</v>
      </c>
    </row>
    <row r="818" ht="15.75" customHeight="1">
      <c r="B818" s="3">
        <f>IFERROR(__xludf.DUMMYFUNCTION("""COMPUTED_VALUE"""),43063.64583333333)</f>
        <v>43063.64583</v>
      </c>
      <c r="C818" s="2">
        <f>IFERROR(__xludf.DUMMYFUNCTION("""COMPUTED_VALUE"""),177.13)</f>
        <v>177.13</v>
      </c>
    </row>
    <row r="819" ht="15.75" customHeight="1">
      <c r="B819" s="3">
        <f>IFERROR(__xludf.DUMMYFUNCTION("""COMPUTED_VALUE"""),43070.64583333333)</f>
        <v>43070.64583</v>
      </c>
      <c r="C819" s="2">
        <f>IFERROR(__xludf.DUMMYFUNCTION("""COMPUTED_VALUE"""),177.53)</f>
        <v>177.53</v>
      </c>
    </row>
    <row r="820" ht="15.75" customHeight="1">
      <c r="B820" s="3">
        <f>IFERROR(__xludf.DUMMYFUNCTION("""COMPUTED_VALUE"""),43077.64583333333)</f>
        <v>43077.64583</v>
      </c>
      <c r="C820" s="2">
        <f>IFERROR(__xludf.DUMMYFUNCTION("""COMPUTED_VALUE"""),187.46)</f>
        <v>187.46</v>
      </c>
    </row>
    <row r="821" ht="15.75" customHeight="1">
      <c r="B821" s="3">
        <f>IFERROR(__xludf.DUMMYFUNCTION("""COMPUTED_VALUE"""),43084.64583333333)</f>
        <v>43084.64583</v>
      </c>
      <c r="C821" s="2">
        <f>IFERROR(__xludf.DUMMYFUNCTION("""COMPUTED_VALUE"""),188.55)</f>
        <v>188.55</v>
      </c>
    </row>
    <row r="822" ht="15.75" customHeight="1">
      <c r="B822" s="3">
        <f>IFERROR(__xludf.DUMMYFUNCTION("""COMPUTED_VALUE"""),43091.64583333333)</f>
        <v>43091.64583</v>
      </c>
      <c r="C822" s="2">
        <f>IFERROR(__xludf.DUMMYFUNCTION("""COMPUTED_VALUE"""),191.06)</f>
        <v>191.06</v>
      </c>
    </row>
    <row r="823" ht="15.75" customHeight="1">
      <c r="B823" s="3">
        <f>IFERROR(__xludf.DUMMYFUNCTION("""COMPUTED_VALUE"""),43098.64583333333)</f>
        <v>43098.64583</v>
      </c>
      <c r="C823" s="2">
        <f>IFERROR(__xludf.DUMMYFUNCTION("""COMPUTED_VALUE"""),194.81)</f>
        <v>194.81</v>
      </c>
    </row>
    <row r="824" ht="15.75" customHeight="1"/>
    <row r="825" ht="15.75" customHeight="1"/>
    <row r="826" ht="15.75" customHeight="1">
      <c r="B826" s="2" t="str">
        <f>IFERROR(__xludf.DUMMYFUNCTION("GOOGLEFINANCE(""NSE:GAIL"", ""high"",DATE(2018,1,1),DATE(2019,1,1),""weekly"")"),"Date")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IFERROR(__xludf.DUMMYFUNCTION("""COMPUTED_VALUE"""),43105.64583333333)</f>
        <v>43105.64583</v>
      </c>
      <c r="C827" s="2">
        <f>IFERROR(__xludf.DUMMYFUNCTION("""COMPUTED_VALUE"""),189.28)</f>
        <v>189.28</v>
      </c>
    </row>
    <row r="828" ht="15.75" customHeight="1">
      <c r="B828" s="3">
        <f>IFERROR(__xludf.DUMMYFUNCTION("""COMPUTED_VALUE"""),43112.64583333333)</f>
        <v>43112.64583</v>
      </c>
      <c r="C828" s="2">
        <f>IFERROR(__xludf.DUMMYFUNCTION("""COMPUTED_VALUE"""),189.99)</f>
        <v>189.99</v>
      </c>
    </row>
    <row r="829" ht="15.75" customHeight="1">
      <c r="B829" s="3">
        <f>IFERROR(__xludf.DUMMYFUNCTION("""COMPUTED_VALUE"""),43119.64583333333)</f>
        <v>43119.64583</v>
      </c>
      <c r="C829" s="2">
        <f>IFERROR(__xludf.DUMMYFUNCTION("""COMPUTED_VALUE"""),188.53)</f>
        <v>188.53</v>
      </c>
    </row>
    <row r="830" ht="15.75" customHeight="1">
      <c r="B830" s="3">
        <f>IFERROR(__xludf.DUMMYFUNCTION("""COMPUTED_VALUE"""),43125.64583333333)</f>
        <v>43125.64583</v>
      </c>
      <c r="C830" s="2">
        <f>IFERROR(__xludf.DUMMYFUNCTION("""COMPUTED_VALUE"""),187.13)</f>
        <v>187.13</v>
      </c>
    </row>
    <row r="831" ht="15.75" customHeight="1">
      <c r="B831" s="3">
        <f>IFERROR(__xludf.DUMMYFUNCTION("""COMPUTED_VALUE"""),43133.64583333333)</f>
        <v>43133.64583</v>
      </c>
      <c r="C831" s="2">
        <f>IFERROR(__xludf.DUMMYFUNCTION("""COMPUTED_VALUE"""),187.05)</f>
        <v>187.05</v>
      </c>
    </row>
    <row r="832" ht="15.75" customHeight="1">
      <c r="B832" s="3">
        <f>IFERROR(__xludf.DUMMYFUNCTION("""COMPUTED_VALUE"""),43140.64583333333)</f>
        <v>43140.64583</v>
      </c>
      <c r="C832" s="2">
        <f>IFERROR(__xludf.DUMMYFUNCTION("""COMPUTED_VALUE"""),177.0)</f>
        <v>177</v>
      </c>
    </row>
    <row r="833" ht="15.75" customHeight="1">
      <c r="B833" s="3">
        <f>IFERROR(__xludf.DUMMYFUNCTION("""COMPUTED_VALUE"""),43147.64583333333)</f>
        <v>43147.64583</v>
      </c>
      <c r="C833" s="2">
        <f>IFERROR(__xludf.DUMMYFUNCTION("""COMPUTED_VALUE"""),179.66)</f>
        <v>179.66</v>
      </c>
    </row>
    <row r="834" ht="15.75" customHeight="1">
      <c r="B834" s="3">
        <f>IFERROR(__xludf.DUMMYFUNCTION("""COMPUTED_VALUE"""),43154.64583333333)</f>
        <v>43154.64583</v>
      </c>
      <c r="C834" s="2">
        <f>IFERROR(__xludf.DUMMYFUNCTION("""COMPUTED_VALUE"""),177.6)</f>
        <v>177.6</v>
      </c>
    </row>
    <row r="835" ht="15.75" customHeight="1">
      <c r="B835" s="3">
        <f>IFERROR(__xludf.DUMMYFUNCTION("""COMPUTED_VALUE"""),43160.64583333333)</f>
        <v>43160.64583</v>
      </c>
      <c r="C835" s="2">
        <f>IFERROR(__xludf.DUMMYFUNCTION("""COMPUTED_VALUE"""),177.88)</f>
        <v>177.88</v>
      </c>
    </row>
    <row r="836" ht="15.75" customHeight="1">
      <c r="B836" s="3">
        <f>IFERROR(__xludf.DUMMYFUNCTION("""COMPUTED_VALUE"""),43168.64583333333)</f>
        <v>43168.64583</v>
      </c>
      <c r="C836" s="2">
        <f>IFERROR(__xludf.DUMMYFUNCTION("""COMPUTED_VALUE"""),169.86)</f>
        <v>169.86</v>
      </c>
    </row>
    <row r="837" ht="15.75" customHeight="1">
      <c r="B837" s="3">
        <f>IFERROR(__xludf.DUMMYFUNCTION("""COMPUTED_VALUE"""),43175.64583333333)</f>
        <v>43175.64583</v>
      </c>
      <c r="C837" s="2">
        <f>IFERROR(__xludf.DUMMYFUNCTION("""COMPUTED_VALUE"""),173.87)</f>
        <v>173.87</v>
      </c>
    </row>
    <row r="838" ht="15.75" customHeight="1">
      <c r="B838" s="3">
        <f>IFERROR(__xludf.DUMMYFUNCTION("""COMPUTED_VALUE"""),43182.64583333333)</f>
        <v>43182.64583</v>
      </c>
      <c r="C838" s="2">
        <f>IFERROR(__xludf.DUMMYFUNCTION("""COMPUTED_VALUE"""),168.0)</f>
        <v>168</v>
      </c>
    </row>
    <row r="839" ht="15.75" customHeight="1">
      <c r="B839" s="3">
        <f>IFERROR(__xludf.DUMMYFUNCTION("""COMPUTED_VALUE"""),43187.64583333333)</f>
        <v>43187.64583</v>
      </c>
      <c r="C839" s="2">
        <f>IFERROR(__xludf.DUMMYFUNCTION("""COMPUTED_VALUE"""),165.83)</f>
        <v>165.83</v>
      </c>
    </row>
    <row r="840" ht="15.75" customHeight="1">
      <c r="B840" s="3">
        <f>IFERROR(__xludf.DUMMYFUNCTION("""COMPUTED_VALUE"""),43196.64583333333)</f>
        <v>43196.64583</v>
      </c>
      <c r="C840" s="2">
        <f>IFERROR(__xludf.DUMMYFUNCTION("""COMPUTED_VALUE"""),169.5)</f>
        <v>169.5</v>
      </c>
    </row>
    <row r="841" ht="15.75" customHeight="1">
      <c r="B841" s="3">
        <f>IFERROR(__xludf.DUMMYFUNCTION("""COMPUTED_VALUE"""),43203.64583333333)</f>
        <v>43203.64583</v>
      </c>
      <c r="C841" s="2">
        <f>IFERROR(__xludf.DUMMYFUNCTION("""COMPUTED_VALUE"""),167.78)</f>
        <v>167.78</v>
      </c>
    </row>
    <row r="842" ht="15.75" customHeight="1">
      <c r="B842" s="3">
        <f>IFERROR(__xludf.DUMMYFUNCTION("""COMPUTED_VALUE"""),43210.64583333333)</f>
        <v>43210.64583</v>
      </c>
      <c r="C842" s="2">
        <f>IFERROR(__xludf.DUMMYFUNCTION("""COMPUTED_VALUE"""),171.38)</f>
        <v>171.38</v>
      </c>
    </row>
    <row r="843" ht="15.75" customHeight="1">
      <c r="B843" s="3">
        <f>IFERROR(__xludf.DUMMYFUNCTION("""COMPUTED_VALUE"""),43217.64583333333)</f>
        <v>43217.64583</v>
      </c>
      <c r="C843" s="2">
        <f>IFERROR(__xludf.DUMMYFUNCTION("""COMPUTED_VALUE"""),169.9)</f>
        <v>169.9</v>
      </c>
    </row>
    <row r="844" ht="15.75" customHeight="1">
      <c r="B844" s="3">
        <f>IFERROR(__xludf.DUMMYFUNCTION("""COMPUTED_VALUE"""),43224.64583333333)</f>
        <v>43224.64583</v>
      </c>
      <c r="C844" s="2">
        <f>IFERROR(__xludf.DUMMYFUNCTION("""COMPUTED_VALUE"""),166.75)</f>
        <v>166.75</v>
      </c>
    </row>
    <row r="845" ht="15.75" customHeight="1">
      <c r="B845" s="3">
        <f>IFERROR(__xludf.DUMMYFUNCTION("""COMPUTED_VALUE"""),43231.64583333333)</f>
        <v>43231.64583</v>
      </c>
      <c r="C845" s="2">
        <f>IFERROR(__xludf.DUMMYFUNCTION("""COMPUTED_VALUE"""),174.3)</f>
        <v>174.3</v>
      </c>
    </row>
    <row r="846" ht="15.75" customHeight="1">
      <c r="B846" s="3">
        <f>IFERROR(__xludf.DUMMYFUNCTION("""COMPUTED_VALUE"""),43238.64583333333)</f>
        <v>43238.64583</v>
      </c>
      <c r="C846" s="2">
        <f>IFERROR(__xludf.DUMMYFUNCTION("""COMPUTED_VALUE"""),175.73)</f>
        <v>175.73</v>
      </c>
    </row>
    <row r="847" ht="15.75" customHeight="1">
      <c r="B847" s="3">
        <f>IFERROR(__xludf.DUMMYFUNCTION("""COMPUTED_VALUE"""),43245.64583333333)</f>
        <v>43245.64583</v>
      </c>
      <c r="C847" s="2">
        <f>IFERROR(__xludf.DUMMYFUNCTION("""COMPUTED_VALUE"""),164.68)</f>
        <v>164.68</v>
      </c>
    </row>
    <row r="848" ht="15.75" customHeight="1">
      <c r="B848" s="3">
        <f>IFERROR(__xludf.DUMMYFUNCTION("""COMPUTED_VALUE"""),43252.64583333333)</f>
        <v>43252.64583</v>
      </c>
      <c r="C848" s="2">
        <f>IFERROR(__xludf.DUMMYFUNCTION("""COMPUTED_VALUE"""),176.53)</f>
        <v>176.53</v>
      </c>
    </row>
    <row r="849" ht="15.75" customHeight="1">
      <c r="B849" s="3">
        <f>IFERROR(__xludf.DUMMYFUNCTION("""COMPUTED_VALUE"""),43259.64583333333)</f>
        <v>43259.64583</v>
      </c>
      <c r="C849" s="2">
        <f>IFERROR(__xludf.DUMMYFUNCTION("""COMPUTED_VALUE"""),173.55)</f>
        <v>173.55</v>
      </c>
    </row>
    <row r="850" ht="15.75" customHeight="1">
      <c r="B850" s="3">
        <f>IFERROR(__xludf.DUMMYFUNCTION("""COMPUTED_VALUE"""),43266.64583333333)</f>
        <v>43266.64583</v>
      </c>
      <c r="C850" s="2">
        <f>IFERROR(__xludf.DUMMYFUNCTION("""COMPUTED_VALUE"""),173.15)</f>
        <v>173.15</v>
      </c>
    </row>
    <row r="851" ht="15.75" customHeight="1">
      <c r="B851" s="3">
        <f>IFERROR(__xludf.DUMMYFUNCTION("""COMPUTED_VALUE"""),43273.64583333333)</f>
        <v>43273.64583</v>
      </c>
      <c r="C851" s="2">
        <f>IFERROR(__xludf.DUMMYFUNCTION("""COMPUTED_VALUE"""),172.78)</f>
        <v>172.78</v>
      </c>
    </row>
    <row r="852" ht="15.75" customHeight="1">
      <c r="B852" s="3">
        <f>IFERROR(__xludf.DUMMYFUNCTION("""COMPUTED_VALUE"""),43280.64583333333)</f>
        <v>43280.64583</v>
      </c>
      <c r="C852" s="2">
        <f>IFERROR(__xludf.DUMMYFUNCTION("""COMPUTED_VALUE"""),174.4)</f>
        <v>174.4</v>
      </c>
    </row>
    <row r="853" ht="15.75" customHeight="1">
      <c r="B853" s="3">
        <f>IFERROR(__xludf.DUMMYFUNCTION("""COMPUTED_VALUE"""),43287.64583333333)</f>
        <v>43287.64583</v>
      </c>
      <c r="C853" s="2">
        <f>IFERROR(__xludf.DUMMYFUNCTION("""COMPUTED_VALUE"""),177.2)</f>
        <v>177.2</v>
      </c>
    </row>
    <row r="854" ht="15.75" customHeight="1">
      <c r="B854" s="3">
        <f>IFERROR(__xludf.DUMMYFUNCTION("""COMPUTED_VALUE"""),43294.64583333333)</f>
        <v>43294.64583</v>
      </c>
      <c r="C854" s="2">
        <f>IFERROR(__xludf.DUMMYFUNCTION("""COMPUTED_VALUE"""),183.0)</f>
        <v>183</v>
      </c>
    </row>
    <row r="855" ht="15.75" customHeight="1">
      <c r="B855" s="3">
        <f>IFERROR(__xludf.DUMMYFUNCTION("""COMPUTED_VALUE"""),43301.64583333333)</f>
        <v>43301.64583</v>
      </c>
      <c r="C855" s="2">
        <f>IFERROR(__xludf.DUMMYFUNCTION("""COMPUTED_VALUE"""),183.18)</f>
        <v>183.18</v>
      </c>
    </row>
    <row r="856" ht="15.75" customHeight="1">
      <c r="B856" s="3">
        <f>IFERROR(__xludf.DUMMYFUNCTION("""COMPUTED_VALUE"""),43308.64583333333)</f>
        <v>43308.64583</v>
      </c>
      <c r="C856" s="2">
        <f>IFERROR(__xludf.DUMMYFUNCTION("""COMPUTED_VALUE"""),189.9)</f>
        <v>189.9</v>
      </c>
    </row>
    <row r="857" ht="15.75" customHeight="1">
      <c r="B857" s="3">
        <f>IFERROR(__xludf.DUMMYFUNCTION("""COMPUTED_VALUE"""),43315.64583333333)</f>
        <v>43315.64583</v>
      </c>
      <c r="C857" s="2">
        <f>IFERROR(__xludf.DUMMYFUNCTION("""COMPUTED_VALUE"""),194.9)</f>
        <v>194.9</v>
      </c>
    </row>
    <row r="858" ht="15.75" customHeight="1">
      <c r="B858" s="3">
        <f>IFERROR(__xludf.DUMMYFUNCTION("""COMPUTED_VALUE"""),43322.64583333333)</f>
        <v>43322.64583</v>
      </c>
      <c r="C858" s="2">
        <f>IFERROR(__xludf.DUMMYFUNCTION("""COMPUTED_VALUE"""),196.0)</f>
        <v>196</v>
      </c>
    </row>
    <row r="859" ht="15.75" customHeight="1">
      <c r="B859" s="3">
        <f>IFERROR(__xludf.DUMMYFUNCTION("""COMPUTED_VALUE"""),43329.64583333333)</f>
        <v>43329.64583</v>
      </c>
      <c r="C859" s="2">
        <f>IFERROR(__xludf.DUMMYFUNCTION("""COMPUTED_VALUE"""),199.7)</f>
        <v>199.7</v>
      </c>
    </row>
    <row r="860" ht="15.75" customHeight="1">
      <c r="B860" s="3">
        <f>IFERROR(__xludf.DUMMYFUNCTION("""COMPUTED_VALUE"""),43336.64583333333)</f>
        <v>43336.64583</v>
      </c>
      <c r="C860" s="2">
        <f>IFERROR(__xludf.DUMMYFUNCTION("""COMPUTED_VALUE"""),196.0)</f>
        <v>196</v>
      </c>
    </row>
    <row r="861" ht="15.75" customHeight="1">
      <c r="B861" s="3">
        <f>IFERROR(__xludf.DUMMYFUNCTION("""COMPUTED_VALUE"""),43343.64583333333)</f>
        <v>43343.64583</v>
      </c>
      <c r="C861" s="2">
        <f>IFERROR(__xludf.DUMMYFUNCTION("""COMPUTED_VALUE"""),197.43)</f>
        <v>197.43</v>
      </c>
    </row>
    <row r="862" ht="15.75" customHeight="1">
      <c r="B862" s="3">
        <f>IFERROR(__xludf.DUMMYFUNCTION("""COMPUTED_VALUE"""),43350.64583333333)</f>
        <v>43350.64583</v>
      </c>
      <c r="C862" s="2">
        <f>IFERROR(__xludf.DUMMYFUNCTION("""COMPUTED_VALUE"""),189.8)</f>
        <v>189.8</v>
      </c>
    </row>
    <row r="863" ht="15.75" customHeight="1">
      <c r="B863" s="3">
        <f>IFERROR(__xludf.DUMMYFUNCTION("""COMPUTED_VALUE"""),43357.64583333333)</f>
        <v>43357.64583</v>
      </c>
      <c r="C863" s="2">
        <f>IFERROR(__xludf.DUMMYFUNCTION("""COMPUTED_VALUE"""),190.98)</f>
        <v>190.98</v>
      </c>
    </row>
    <row r="864" ht="15.75" customHeight="1">
      <c r="B864" s="3">
        <f>IFERROR(__xludf.DUMMYFUNCTION("""COMPUTED_VALUE"""),43364.64583333333)</f>
        <v>43364.64583</v>
      </c>
      <c r="C864" s="2">
        <f>IFERROR(__xludf.DUMMYFUNCTION("""COMPUTED_VALUE"""),197.28)</f>
        <v>197.28</v>
      </c>
    </row>
    <row r="865" ht="15.75" customHeight="1">
      <c r="B865" s="3">
        <f>IFERROR(__xludf.DUMMYFUNCTION("""COMPUTED_VALUE"""),43371.64583333333)</f>
        <v>43371.64583</v>
      </c>
      <c r="C865" s="2">
        <f>IFERROR(__xludf.DUMMYFUNCTION("""COMPUTED_VALUE"""),196.53)</f>
        <v>196.53</v>
      </c>
    </row>
    <row r="866" ht="15.75" customHeight="1">
      <c r="B866" s="3">
        <f>IFERROR(__xludf.DUMMYFUNCTION("""COMPUTED_VALUE"""),43378.64583333333)</f>
        <v>43378.64583</v>
      </c>
      <c r="C866" s="2">
        <f>IFERROR(__xludf.DUMMYFUNCTION("""COMPUTED_VALUE"""),193.38)</f>
        <v>193.38</v>
      </c>
    </row>
    <row r="867" ht="15.75" customHeight="1">
      <c r="B867" s="3">
        <f>IFERROR(__xludf.DUMMYFUNCTION("""COMPUTED_VALUE"""),43385.64583333333)</f>
        <v>43385.64583</v>
      </c>
      <c r="C867" s="2">
        <f>IFERROR(__xludf.DUMMYFUNCTION("""COMPUTED_VALUE"""),180.5)</f>
        <v>180.5</v>
      </c>
    </row>
    <row r="868" ht="15.75" customHeight="1">
      <c r="B868" s="3">
        <f>IFERROR(__xludf.DUMMYFUNCTION("""COMPUTED_VALUE"""),43392.64583333333)</f>
        <v>43392.64583</v>
      </c>
      <c r="C868" s="2">
        <f>IFERROR(__xludf.DUMMYFUNCTION("""COMPUTED_VALUE"""),182.13)</f>
        <v>182.13</v>
      </c>
    </row>
    <row r="869" ht="15.75" customHeight="1">
      <c r="B869" s="3">
        <f>IFERROR(__xludf.DUMMYFUNCTION("""COMPUTED_VALUE"""),43399.64583333333)</f>
        <v>43399.64583</v>
      </c>
      <c r="C869" s="2">
        <f>IFERROR(__xludf.DUMMYFUNCTION("""COMPUTED_VALUE"""),176.63)</f>
        <v>176.63</v>
      </c>
    </row>
    <row r="870" ht="15.75" customHeight="1">
      <c r="B870" s="3">
        <f>IFERROR(__xludf.DUMMYFUNCTION("""COMPUTED_VALUE"""),43406.64583333333)</f>
        <v>43406.64583</v>
      </c>
      <c r="C870" s="2">
        <f>IFERROR(__xludf.DUMMYFUNCTION("""COMPUTED_VALUE"""),188.2)</f>
        <v>188.2</v>
      </c>
    </row>
    <row r="871" ht="15.75" customHeight="1">
      <c r="B871" s="3">
        <f>IFERROR(__xludf.DUMMYFUNCTION("""COMPUTED_VALUE"""),43413.64583333333)</f>
        <v>43413.64583</v>
      </c>
      <c r="C871" s="2">
        <f>IFERROR(__xludf.DUMMYFUNCTION("""COMPUTED_VALUE"""),191.0)</f>
        <v>191</v>
      </c>
    </row>
    <row r="872" ht="15.75" customHeight="1">
      <c r="B872" s="3">
        <f>IFERROR(__xludf.DUMMYFUNCTION("""COMPUTED_VALUE"""),43420.64583333333)</f>
        <v>43420.64583</v>
      </c>
      <c r="C872" s="2">
        <f>IFERROR(__xludf.DUMMYFUNCTION("""COMPUTED_VALUE"""),186.25)</f>
        <v>186.25</v>
      </c>
    </row>
    <row r="873" ht="15.75" customHeight="1">
      <c r="B873" s="3">
        <f>IFERROR(__xludf.DUMMYFUNCTION("""COMPUTED_VALUE"""),43426.64583333333)</f>
        <v>43426.64583</v>
      </c>
      <c r="C873" s="2">
        <f>IFERROR(__xludf.DUMMYFUNCTION("""COMPUTED_VALUE"""),175.0)</f>
        <v>175</v>
      </c>
    </row>
    <row r="874" ht="15.75" customHeight="1">
      <c r="B874" s="3">
        <f>IFERROR(__xludf.DUMMYFUNCTION("""COMPUTED_VALUE"""),43434.64583333333)</f>
        <v>43434.64583</v>
      </c>
      <c r="C874" s="2">
        <f>IFERROR(__xludf.DUMMYFUNCTION("""COMPUTED_VALUE"""),176.73)</f>
        <v>176.73</v>
      </c>
    </row>
    <row r="875" ht="15.75" customHeight="1">
      <c r="B875" s="3">
        <f>IFERROR(__xludf.DUMMYFUNCTION("""COMPUTED_VALUE"""),43441.64583333333)</f>
        <v>43441.64583</v>
      </c>
      <c r="C875" s="2">
        <f>IFERROR(__xludf.DUMMYFUNCTION("""COMPUTED_VALUE"""),179.9)</f>
        <v>179.9</v>
      </c>
    </row>
    <row r="876" ht="15.75" customHeight="1">
      <c r="B876" s="3">
        <f>IFERROR(__xludf.DUMMYFUNCTION("""COMPUTED_VALUE"""),43448.64583333333)</f>
        <v>43448.64583</v>
      </c>
      <c r="C876" s="2">
        <f>IFERROR(__xludf.DUMMYFUNCTION("""COMPUTED_VALUE"""),176.6)</f>
        <v>176.6</v>
      </c>
    </row>
    <row r="877" ht="15.75" customHeight="1">
      <c r="B877" s="3">
        <f>IFERROR(__xludf.DUMMYFUNCTION("""COMPUTED_VALUE"""),43455.64583333333)</f>
        <v>43455.64583</v>
      </c>
      <c r="C877" s="2">
        <f>IFERROR(__xludf.DUMMYFUNCTION("""COMPUTED_VALUE"""),179.7)</f>
        <v>179.7</v>
      </c>
    </row>
    <row r="878" ht="15.75" customHeight="1">
      <c r="B878" s="3">
        <f>IFERROR(__xludf.DUMMYFUNCTION("""COMPUTED_VALUE"""),43462.64583333333)</f>
        <v>43462.64583</v>
      </c>
      <c r="C878" s="2">
        <f>IFERROR(__xludf.DUMMYFUNCTION("""COMPUTED_VALUE"""),181.75)</f>
        <v>181.75</v>
      </c>
    </row>
    <row r="879" ht="15.75" customHeight="1"/>
    <row r="880" ht="15.75" customHeight="1"/>
    <row r="881" ht="15.75" customHeight="1">
      <c r="B881" s="2" t="str">
        <f>IFERROR(__xludf.DUMMYFUNCTION("GOOGLEFINANCE(""NSE:GAIL"", ""high"",DATE(2019,1,1),DATE(2020,1,1),""weekly"")"),"Date")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IFERROR(__xludf.DUMMYFUNCTION("""COMPUTED_VALUE"""),43469.64583333333)</f>
        <v>43469.64583</v>
      </c>
      <c r="C882" s="2">
        <f>IFERROR(__xludf.DUMMYFUNCTION("""COMPUTED_VALUE"""),182.0)</f>
        <v>182</v>
      </c>
    </row>
    <row r="883" ht="15.75" customHeight="1">
      <c r="B883" s="3">
        <f>IFERROR(__xludf.DUMMYFUNCTION("""COMPUTED_VALUE"""),43476.64583333333)</f>
        <v>43476.64583</v>
      </c>
      <c r="C883" s="2">
        <f>IFERROR(__xludf.DUMMYFUNCTION("""COMPUTED_VALUE"""),179.58)</f>
        <v>179.58</v>
      </c>
    </row>
    <row r="884" ht="15.75" customHeight="1">
      <c r="B884" s="3">
        <f>IFERROR(__xludf.DUMMYFUNCTION("""COMPUTED_VALUE"""),43483.64583333333)</f>
        <v>43483.64583</v>
      </c>
      <c r="C884" s="2">
        <f>IFERROR(__xludf.DUMMYFUNCTION("""COMPUTED_VALUE"""),169.15)</f>
        <v>169.15</v>
      </c>
    </row>
    <row r="885" ht="15.75" customHeight="1">
      <c r="B885" s="3">
        <f>IFERROR(__xludf.DUMMYFUNCTION("""COMPUTED_VALUE"""),43490.64583333333)</f>
        <v>43490.64583</v>
      </c>
      <c r="C885" s="2">
        <f>IFERROR(__xludf.DUMMYFUNCTION("""COMPUTED_VALUE"""),168.75)</f>
        <v>168.75</v>
      </c>
    </row>
    <row r="886" ht="15.75" customHeight="1">
      <c r="B886" s="3">
        <f>IFERROR(__xludf.DUMMYFUNCTION("""COMPUTED_VALUE"""),43497.64583333333)</f>
        <v>43497.64583</v>
      </c>
      <c r="C886" s="2">
        <f>IFERROR(__xludf.DUMMYFUNCTION("""COMPUTED_VALUE"""),167.68)</f>
        <v>167.68</v>
      </c>
    </row>
    <row r="887" ht="15.75" customHeight="1">
      <c r="B887" s="3">
        <f>IFERROR(__xludf.DUMMYFUNCTION("""COMPUTED_VALUE"""),43504.64583333333)</f>
        <v>43504.64583</v>
      </c>
      <c r="C887" s="2">
        <f>IFERROR(__xludf.DUMMYFUNCTION("""COMPUTED_VALUE"""),171.35)</f>
        <v>171.35</v>
      </c>
    </row>
    <row r="888" ht="15.75" customHeight="1">
      <c r="B888" s="3">
        <f>IFERROR(__xludf.DUMMYFUNCTION("""COMPUTED_VALUE"""),43511.64583333333)</f>
        <v>43511.64583</v>
      </c>
      <c r="C888" s="2">
        <f>IFERROR(__xludf.DUMMYFUNCTION("""COMPUTED_VALUE"""),167.7)</f>
        <v>167.7</v>
      </c>
    </row>
    <row r="889" ht="15.75" customHeight="1">
      <c r="B889" s="3">
        <f>IFERROR(__xludf.DUMMYFUNCTION("""COMPUTED_VALUE"""),43518.64583333333)</f>
        <v>43518.64583</v>
      </c>
      <c r="C889" s="2">
        <f>IFERROR(__xludf.DUMMYFUNCTION("""COMPUTED_VALUE"""),168.3)</f>
        <v>168.3</v>
      </c>
    </row>
    <row r="890" ht="15.75" customHeight="1">
      <c r="B890" s="3">
        <f>IFERROR(__xludf.DUMMYFUNCTION("""COMPUTED_VALUE"""),43525.64583333333)</f>
        <v>43525.64583</v>
      </c>
      <c r="C890" s="2">
        <f>IFERROR(__xludf.DUMMYFUNCTION("""COMPUTED_VALUE"""),174.65)</f>
        <v>174.65</v>
      </c>
    </row>
    <row r="891" ht="15.75" customHeight="1">
      <c r="B891" s="3">
        <f>IFERROR(__xludf.DUMMYFUNCTION("""COMPUTED_VALUE"""),43532.64583333333)</f>
        <v>43532.64583</v>
      </c>
      <c r="C891" s="2">
        <f>IFERROR(__xludf.DUMMYFUNCTION("""COMPUTED_VALUE"""),175.5)</f>
        <v>175.5</v>
      </c>
    </row>
    <row r="892" ht="15.75" customHeight="1">
      <c r="B892" s="3">
        <f>IFERROR(__xludf.DUMMYFUNCTION("""COMPUTED_VALUE"""),43539.64583333333)</f>
        <v>43539.64583</v>
      </c>
      <c r="C892" s="2">
        <f>IFERROR(__xludf.DUMMYFUNCTION("""COMPUTED_VALUE"""),181.0)</f>
        <v>181</v>
      </c>
    </row>
    <row r="893" ht="15.75" customHeight="1">
      <c r="B893" s="3">
        <f>IFERROR(__xludf.DUMMYFUNCTION("""COMPUTED_VALUE"""),43546.64583333333)</f>
        <v>43546.64583</v>
      </c>
      <c r="C893" s="2">
        <f>IFERROR(__xludf.DUMMYFUNCTION("""COMPUTED_VALUE"""),183.25)</f>
        <v>183.25</v>
      </c>
    </row>
    <row r="894" ht="15.75" customHeight="1">
      <c r="B894" s="3">
        <f>IFERROR(__xludf.DUMMYFUNCTION("""COMPUTED_VALUE"""),43553.64583333333)</f>
        <v>43553.64583</v>
      </c>
      <c r="C894" s="2">
        <f>IFERROR(__xludf.DUMMYFUNCTION("""COMPUTED_VALUE"""),181.5)</f>
        <v>181.5</v>
      </c>
    </row>
    <row r="895" ht="15.75" customHeight="1">
      <c r="B895" s="3">
        <f>IFERROR(__xludf.DUMMYFUNCTION("""COMPUTED_VALUE"""),43560.64583333333)</f>
        <v>43560.64583</v>
      </c>
      <c r="C895" s="2">
        <f>IFERROR(__xludf.DUMMYFUNCTION("""COMPUTED_VALUE"""),182.43)</f>
        <v>182.43</v>
      </c>
    </row>
    <row r="896" ht="15.75" customHeight="1">
      <c r="B896" s="3">
        <f>IFERROR(__xludf.DUMMYFUNCTION("""COMPUTED_VALUE"""),43567.64583333333)</f>
        <v>43567.64583</v>
      </c>
      <c r="C896" s="2">
        <f>IFERROR(__xludf.DUMMYFUNCTION("""COMPUTED_VALUE"""),179.73)</f>
        <v>179.73</v>
      </c>
    </row>
    <row r="897" ht="15.75" customHeight="1">
      <c r="B897" s="3">
        <f>IFERROR(__xludf.DUMMYFUNCTION("""COMPUTED_VALUE"""),43573.64583333333)</f>
        <v>43573.64583</v>
      </c>
      <c r="C897" s="2">
        <f>IFERROR(__xludf.DUMMYFUNCTION("""COMPUTED_VALUE"""),179.15)</f>
        <v>179.15</v>
      </c>
    </row>
    <row r="898" ht="15.75" customHeight="1">
      <c r="B898" s="3">
        <f>IFERROR(__xludf.DUMMYFUNCTION("""COMPUTED_VALUE"""),43581.64583333333)</f>
        <v>43581.64583</v>
      </c>
      <c r="C898" s="2">
        <f>IFERROR(__xludf.DUMMYFUNCTION("""COMPUTED_VALUE"""),177.65)</f>
        <v>177.65</v>
      </c>
    </row>
    <row r="899" ht="15.75" customHeight="1">
      <c r="B899" s="3">
        <f>IFERROR(__xludf.DUMMYFUNCTION("""COMPUTED_VALUE"""),43588.64583333333)</f>
        <v>43588.64583</v>
      </c>
      <c r="C899" s="2">
        <f>IFERROR(__xludf.DUMMYFUNCTION("""COMPUTED_VALUE"""),178.43)</f>
        <v>178.43</v>
      </c>
    </row>
    <row r="900" ht="15.75" customHeight="1">
      <c r="B900" s="3">
        <f>IFERROR(__xludf.DUMMYFUNCTION("""COMPUTED_VALUE"""),43595.64583333333)</f>
        <v>43595.64583</v>
      </c>
      <c r="C900" s="2">
        <f>IFERROR(__xludf.DUMMYFUNCTION("""COMPUTED_VALUE"""),178.48)</f>
        <v>178.48</v>
      </c>
    </row>
    <row r="901" ht="15.75" customHeight="1">
      <c r="B901" s="3">
        <f>IFERROR(__xludf.DUMMYFUNCTION("""COMPUTED_VALUE"""),43602.64583333333)</f>
        <v>43602.64583</v>
      </c>
      <c r="C901" s="2">
        <f>IFERROR(__xludf.DUMMYFUNCTION("""COMPUTED_VALUE"""),177.65)</f>
        <v>177.65</v>
      </c>
    </row>
    <row r="902" ht="15.75" customHeight="1">
      <c r="B902" s="3">
        <f>IFERROR(__xludf.DUMMYFUNCTION("""COMPUTED_VALUE"""),43609.64583333333)</f>
        <v>43609.64583</v>
      </c>
      <c r="C902" s="2">
        <f>IFERROR(__xludf.DUMMYFUNCTION("""COMPUTED_VALUE"""),175.4)</f>
        <v>175.4</v>
      </c>
    </row>
    <row r="903" ht="15.75" customHeight="1">
      <c r="B903" s="3">
        <f>IFERROR(__xludf.DUMMYFUNCTION("""COMPUTED_VALUE"""),43616.64583333333)</f>
        <v>43616.64583</v>
      </c>
      <c r="C903" s="2">
        <f>IFERROR(__xludf.DUMMYFUNCTION("""COMPUTED_VALUE"""),181.55)</f>
        <v>181.55</v>
      </c>
    </row>
    <row r="904" ht="15.75" customHeight="1">
      <c r="B904" s="3">
        <f>IFERROR(__xludf.DUMMYFUNCTION("""COMPUTED_VALUE"""),43623.64583333333)</f>
        <v>43623.64583</v>
      </c>
      <c r="C904" s="2">
        <f>IFERROR(__xludf.DUMMYFUNCTION("""COMPUTED_VALUE"""),182.7)</f>
        <v>182.7</v>
      </c>
    </row>
    <row r="905" ht="15.75" customHeight="1">
      <c r="B905" s="3">
        <f>IFERROR(__xludf.DUMMYFUNCTION("""COMPUTED_VALUE"""),43630.64583333333)</f>
        <v>43630.64583</v>
      </c>
      <c r="C905" s="2">
        <f>IFERROR(__xludf.DUMMYFUNCTION("""COMPUTED_VALUE"""),160.0)</f>
        <v>160</v>
      </c>
    </row>
    <row r="906" ht="15.75" customHeight="1">
      <c r="B906" s="3">
        <f>IFERROR(__xludf.DUMMYFUNCTION("""COMPUTED_VALUE"""),43637.64583333333)</f>
        <v>43637.64583</v>
      </c>
      <c r="C906" s="2">
        <f>IFERROR(__xludf.DUMMYFUNCTION("""COMPUTED_VALUE"""),156.95)</f>
        <v>156.95</v>
      </c>
    </row>
    <row r="907" ht="15.75" customHeight="1">
      <c r="B907" s="3">
        <f>IFERROR(__xludf.DUMMYFUNCTION("""COMPUTED_VALUE"""),43644.64583333333)</f>
        <v>43644.64583</v>
      </c>
      <c r="C907" s="2">
        <f>IFERROR(__xludf.DUMMYFUNCTION("""COMPUTED_VALUE"""),156.63)</f>
        <v>156.63</v>
      </c>
    </row>
    <row r="908" ht="15.75" customHeight="1">
      <c r="B908" s="3">
        <f>IFERROR(__xludf.DUMMYFUNCTION("""COMPUTED_VALUE"""),43651.64583333333)</f>
        <v>43651.64583</v>
      </c>
      <c r="C908" s="2">
        <f>IFERROR(__xludf.DUMMYFUNCTION("""COMPUTED_VALUE"""),157.38)</f>
        <v>157.38</v>
      </c>
    </row>
    <row r="909" ht="15.75" customHeight="1">
      <c r="B909" s="3">
        <f>IFERROR(__xludf.DUMMYFUNCTION("""COMPUTED_VALUE"""),43658.64583333333)</f>
        <v>43658.64583</v>
      </c>
      <c r="C909" s="2">
        <f>IFERROR(__xludf.DUMMYFUNCTION("""COMPUTED_VALUE"""),152.75)</f>
        <v>152.75</v>
      </c>
    </row>
    <row r="910" ht="15.75" customHeight="1">
      <c r="B910" s="3">
        <f>IFERROR(__xludf.DUMMYFUNCTION("""COMPUTED_VALUE"""),43665.64583333333)</f>
        <v>43665.64583</v>
      </c>
      <c r="C910" s="2">
        <f>IFERROR(__xludf.DUMMYFUNCTION("""COMPUTED_VALUE"""),148.0)</f>
        <v>148</v>
      </c>
    </row>
    <row r="911" ht="15.75" customHeight="1">
      <c r="B911" s="3">
        <f>IFERROR(__xludf.DUMMYFUNCTION("""COMPUTED_VALUE"""),43672.64583333333)</f>
        <v>43672.64583</v>
      </c>
      <c r="C911" s="2">
        <f>IFERROR(__xludf.DUMMYFUNCTION("""COMPUTED_VALUE"""),140.8)</f>
        <v>140.8</v>
      </c>
    </row>
    <row r="912" ht="15.75" customHeight="1">
      <c r="B912" s="3">
        <f>IFERROR(__xludf.DUMMYFUNCTION("""COMPUTED_VALUE"""),43679.64583333333)</f>
        <v>43679.64583</v>
      </c>
      <c r="C912" s="2">
        <f>IFERROR(__xludf.DUMMYFUNCTION("""COMPUTED_VALUE"""),134.55)</f>
        <v>134.55</v>
      </c>
    </row>
    <row r="913" ht="15.75" customHeight="1">
      <c r="B913" s="3">
        <f>IFERROR(__xludf.DUMMYFUNCTION("""COMPUTED_VALUE"""),43686.64583333333)</f>
        <v>43686.64583</v>
      </c>
      <c r="C913" s="2">
        <f>IFERROR(__xludf.DUMMYFUNCTION("""COMPUTED_VALUE"""),126.55)</f>
        <v>126.55</v>
      </c>
    </row>
    <row r="914" ht="15.75" customHeight="1">
      <c r="B914" s="3">
        <f>IFERROR(__xludf.DUMMYFUNCTION("""COMPUTED_VALUE"""),43693.64583333333)</f>
        <v>43693.64583</v>
      </c>
      <c r="C914" s="2">
        <f>IFERROR(__xludf.DUMMYFUNCTION("""COMPUTED_VALUE"""),131.45)</f>
        <v>131.45</v>
      </c>
    </row>
    <row r="915" ht="15.75" customHeight="1">
      <c r="B915" s="3">
        <f>IFERROR(__xludf.DUMMYFUNCTION("""COMPUTED_VALUE"""),43700.64583333333)</f>
        <v>43700.64583</v>
      </c>
      <c r="C915" s="2">
        <f>IFERROR(__xludf.DUMMYFUNCTION("""COMPUTED_VALUE"""),130.9)</f>
        <v>130.9</v>
      </c>
    </row>
    <row r="916" ht="15.75" customHeight="1">
      <c r="B916" s="3">
        <f>IFERROR(__xludf.DUMMYFUNCTION("""COMPUTED_VALUE"""),43707.64583333333)</f>
        <v>43707.64583</v>
      </c>
      <c r="C916" s="2">
        <f>IFERROR(__xludf.DUMMYFUNCTION("""COMPUTED_VALUE"""),133.6)</f>
        <v>133.6</v>
      </c>
    </row>
    <row r="917" ht="15.75" customHeight="1">
      <c r="B917" s="3">
        <f>IFERROR(__xludf.DUMMYFUNCTION("""COMPUTED_VALUE"""),43714.64583333333)</f>
        <v>43714.64583</v>
      </c>
      <c r="C917" s="2">
        <f>IFERROR(__xludf.DUMMYFUNCTION("""COMPUTED_VALUE"""),132.25)</f>
        <v>132.25</v>
      </c>
    </row>
    <row r="918" ht="15.75" customHeight="1">
      <c r="B918" s="3">
        <f>IFERROR(__xludf.DUMMYFUNCTION("""COMPUTED_VALUE"""),43721.64583333333)</f>
        <v>43721.64583</v>
      </c>
      <c r="C918" s="2">
        <f>IFERROR(__xludf.DUMMYFUNCTION("""COMPUTED_VALUE"""),132.7)</f>
        <v>132.7</v>
      </c>
    </row>
    <row r="919" ht="15.75" customHeight="1">
      <c r="B919" s="3">
        <f>IFERROR(__xludf.DUMMYFUNCTION("""COMPUTED_VALUE"""),43728.64583333333)</f>
        <v>43728.64583</v>
      </c>
      <c r="C919" s="2">
        <f>IFERROR(__xludf.DUMMYFUNCTION("""COMPUTED_VALUE"""),136.95)</f>
        <v>136.95</v>
      </c>
    </row>
    <row r="920" ht="15.75" customHeight="1">
      <c r="B920" s="3">
        <f>IFERROR(__xludf.DUMMYFUNCTION("""COMPUTED_VALUE"""),43735.64583333333)</f>
        <v>43735.64583</v>
      </c>
      <c r="C920" s="2">
        <f>IFERROR(__xludf.DUMMYFUNCTION("""COMPUTED_VALUE"""),148.75)</f>
        <v>148.75</v>
      </c>
    </row>
    <row r="921" ht="15.75" customHeight="1">
      <c r="B921" s="3">
        <f>IFERROR(__xludf.DUMMYFUNCTION("""COMPUTED_VALUE"""),43742.64583333333)</f>
        <v>43742.64583</v>
      </c>
      <c r="C921" s="2">
        <f>IFERROR(__xludf.DUMMYFUNCTION("""COMPUTED_VALUE"""),136.5)</f>
        <v>136.5</v>
      </c>
    </row>
    <row r="922" ht="15.75" customHeight="1">
      <c r="B922" s="3">
        <f>IFERROR(__xludf.DUMMYFUNCTION("""COMPUTED_VALUE"""),43749.64583333333)</f>
        <v>43749.64583</v>
      </c>
      <c r="C922" s="2">
        <f>IFERROR(__xludf.DUMMYFUNCTION("""COMPUTED_VALUE"""),132.7)</f>
        <v>132.7</v>
      </c>
    </row>
    <row r="923" ht="15.75" customHeight="1">
      <c r="B923" s="3">
        <f>IFERROR(__xludf.DUMMYFUNCTION("""COMPUTED_VALUE"""),43756.64583333333)</f>
        <v>43756.64583</v>
      </c>
      <c r="C923" s="2">
        <f>IFERROR(__xludf.DUMMYFUNCTION("""COMPUTED_VALUE"""),130.4)</f>
        <v>130.4</v>
      </c>
    </row>
    <row r="924" ht="15.75" customHeight="1">
      <c r="B924" s="3">
        <f>IFERROR(__xludf.DUMMYFUNCTION("""COMPUTED_VALUE"""),43763.79166666667)</f>
        <v>43763.79167</v>
      </c>
      <c r="C924" s="2">
        <f>IFERROR(__xludf.DUMMYFUNCTION("""COMPUTED_VALUE"""),130.95)</f>
        <v>130.95</v>
      </c>
    </row>
    <row r="925" ht="15.75" customHeight="1">
      <c r="B925" s="3">
        <f>IFERROR(__xludf.DUMMYFUNCTION("""COMPUTED_VALUE"""),43770.64583333333)</f>
        <v>43770.64583</v>
      </c>
      <c r="C925" s="2">
        <f>IFERROR(__xludf.DUMMYFUNCTION("""COMPUTED_VALUE"""),139.6)</f>
        <v>139.6</v>
      </c>
    </row>
    <row r="926" ht="15.75" customHeight="1">
      <c r="B926" s="3">
        <f>IFERROR(__xludf.DUMMYFUNCTION("""COMPUTED_VALUE"""),43777.64583333333)</f>
        <v>43777.64583</v>
      </c>
      <c r="C926" s="2">
        <f>IFERROR(__xludf.DUMMYFUNCTION("""COMPUTED_VALUE"""),139.75)</f>
        <v>139.75</v>
      </c>
    </row>
    <row r="927" ht="15.75" customHeight="1">
      <c r="B927" s="3">
        <f>IFERROR(__xludf.DUMMYFUNCTION("""COMPUTED_VALUE"""),43784.64583333333)</f>
        <v>43784.64583</v>
      </c>
      <c r="C927" s="2">
        <f>IFERROR(__xludf.DUMMYFUNCTION("""COMPUTED_VALUE"""),130.8)</f>
        <v>130.8</v>
      </c>
    </row>
    <row r="928" ht="15.75" customHeight="1">
      <c r="B928" s="3">
        <f>IFERROR(__xludf.DUMMYFUNCTION("""COMPUTED_VALUE"""),43791.64583333333)</f>
        <v>43791.64583</v>
      </c>
      <c r="C928" s="2">
        <f>IFERROR(__xludf.DUMMYFUNCTION("""COMPUTED_VALUE"""),125.8)</f>
        <v>125.8</v>
      </c>
    </row>
    <row r="929" ht="15.75" customHeight="1">
      <c r="B929" s="3">
        <f>IFERROR(__xludf.DUMMYFUNCTION("""COMPUTED_VALUE"""),43798.64583333333)</f>
        <v>43798.64583</v>
      </c>
      <c r="C929" s="2">
        <f>IFERROR(__xludf.DUMMYFUNCTION("""COMPUTED_VALUE"""),128.45)</f>
        <v>128.45</v>
      </c>
    </row>
    <row r="930" ht="15.75" customHeight="1">
      <c r="B930" s="3">
        <f>IFERROR(__xludf.DUMMYFUNCTION("""COMPUTED_VALUE"""),43805.64583333333)</f>
        <v>43805.64583</v>
      </c>
      <c r="C930" s="2">
        <f>IFERROR(__xludf.DUMMYFUNCTION("""COMPUTED_VALUE"""),127.85)</f>
        <v>127.85</v>
      </c>
    </row>
    <row r="931" ht="15.75" customHeight="1">
      <c r="B931" s="3">
        <f>IFERROR(__xludf.DUMMYFUNCTION("""COMPUTED_VALUE"""),43812.64583333333)</f>
        <v>43812.64583</v>
      </c>
      <c r="C931" s="2">
        <f>IFERROR(__xludf.DUMMYFUNCTION("""COMPUTED_VALUE"""),120.9)</f>
        <v>120.9</v>
      </c>
    </row>
    <row r="932" ht="15.75" customHeight="1">
      <c r="B932" s="3">
        <f>IFERROR(__xludf.DUMMYFUNCTION("""COMPUTED_VALUE"""),43819.64583333333)</f>
        <v>43819.64583</v>
      </c>
      <c r="C932" s="2">
        <f>IFERROR(__xludf.DUMMYFUNCTION("""COMPUTED_VALUE"""),122.4)</f>
        <v>122.4</v>
      </c>
    </row>
    <row r="933" ht="15.75" customHeight="1">
      <c r="B933" s="3">
        <f>IFERROR(__xludf.DUMMYFUNCTION("""COMPUTED_VALUE"""),43826.64583333333)</f>
        <v>43826.64583</v>
      </c>
      <c r="C933" s="2">
        <f>IFERROR(__xludf.DUMMYFUNCTION("""COMPUTED_VALUE"""),121.7)</f>
        <v>121.7</v>
      </c>
    </row>
    <row r="934" ht="15.75" customHeight="1"/>
    <row r="935" ht="15.75" customHeight="1"/>
    <row r="936" ht="15.75" customHeight="1">
      <c r="B936" s="2" t="str">
        <f>IFERROR(__xludf.DUMMYFUNCTION("GOOGLEFINANCE(""NSE:GAIL"", ""high"",DATE(2020,1,1),DATE(2021,1,1),""weekly"")"),"Date")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IFERROR(__xludf.DUMMYFUNCTION("""COMPUTED_VALUE"""),43833.64583333333)</f>
        <v>43833.64583</v>
      </c>
      <c r="C937" s="2">
        <f>IFERROR(__xludf.DUMMYFUNCTION("""COMPUTED_VALUE"""),128.8)</f>
        <v>128.8</v>
      </c>
    </row>
    <row r="938" ht="15.75" customHeight="1">
      <c r="B938" s="3">
        <f>IFERROR(__xludf.DUMMYFUNCTION("""COMPUTED_VALUE"""),43840.64583333333)</f>
        <v>43840.64583</v>
      </c>
      <c r="C938" s="2">
        <f>IFERROR(__xludf.DUMMYFUNCTION("""COMPUTED_VALUE"""),127.75)</f>
        <v>127.75</v>
      </c>
    </row>
    <row r="939" ht="15.75" customHeight="1">
      <c r="B939" s="3">
        <f>IFERROR(__xludf.DUMMYFUNCTION("""COMPUTED_VALUE"""),43847.64583333333)</f>
        <v>43847.64583</v>
      </c>
      <c r="C939" s="2">
        <f>IFERROR(__xludf.DUMMYFUNCTION("""COMPUTED_VALUE"""),133.35)</f>
        <v>133.35</v>
      </c>
    </row>
    <row r="940" ht="15.75" customHeight="1">
      <c r="B940" s="3">
        <f>IFERROR(__xludf.DUMMYFUNCTION("""COMPUTED_VALUE"""),43854.64583333333)</f>
        <v>43854.64583</v>
      </c>
      <c r="C940" s="2">
        <f>IFERROR(__xludf.DUMMYFUNCTION("""COMPUTED_VALUE"""),131.7)</f>
        <v>131.7</v>
      </c>
    </row>
    <row r="941" ht="15.75" customHeight="1">
      <c r="B941" s="3">
        <f>IFERROR(__xludf.DUMMYFUNCTION("""COMPUTED_VALUE"""),43862.70833333333)</f>
        <v>43862.70833</v>
      </c>
      <c r="C941" s="2">
        <f>IFERROR(__xludf.DUMMYFUNCTION("""COMPUTED_VALUE"""),129.5)</f>
        <v>129.5</v>
      </c>
    </row>
    <row r="942" ht="15.75" customHeight="1">
      <c r="B942" s="3">
        <f>IFERROR(__xludf.DUMMYFUNCTION("""COMPUTED_VALUE"""),43868.64583333333)</f>
        <v>43868.64583</v>
      </c>
      <c r="C942" s="2">
        <f>IFERROR(__xludf.DUMMYFUNCTION("""COMPUTED_VALUE"""),124.6)</f>
        <v>124.6</v>
      </c>
    </row>
    <row r="943" ht="15.75" customHeight="1">
      <c r="B943" s="3">
        <f>IFERROR(__xludf.DUMMYFUNCTION("""COMPUTED_VALUE"""),43875.64583333333)</f>
        <v>43875.64583</v>
      </c>
      <c r="C943" s="2">
        <f>IFERROR(__xludf.DUMMYFUNCTION("""COMPUTED_VALUE"""),132.5)</f>
        <v>132.5</v>
      </c>
    </row>
    <row r="944" ht="15.75" customHeight="1">
      <c r="B944" s="3">
        <f>IFERROR(__xludf.DUMMYFUNCTION("""COMPUTED_VALUE"""),43881.64583333333)</f>
        <v>43881.64583</v>
      </c>
      <c r="C944" s="2">
        <f>IFERROR(__xludf.DUMMYFUNCTION("""COMPUTED_VALUE"""),122.0)</f>
        <v>122</v>
      </c>
    </row>
    <row r="945" ht="15.75" customHeight="1">
      <c r="B945" s="3">
        <f>IFERROR(__xludf.DUMMYFUNCTION("""COMPUTED_VALUE"""),43889.64583333333)</f>
        <v>43889.64583</v>
      </c>
      <c r="C945" s="2">
        <f>IFERROR(__xludf.DUMMYFUNCTION("""COMPUTED_VALUE"""),119.3)</f>
        <v>119.3</v>
      </c>
    </row>
    <row r="946" ht="15.75" customHeight="1">
      <c r="B946" s="3">
        <f>IFERROR(__xludf.DUMMYFUNCTION("""COMPUTED_VALUE"""),43896.64583333333)</f>
        <v>43896.64583</v>
      </c>
      <c r="C946" s="2">
        <f>IFERROR(__xludf.DUMMYFUNCTION("""COMPUTED_VALUE"""),111.25)</f>
        <v>111.25</v>
      </c>
    </row>
    <row r="947" ht="15.75" customHeight="1">
      <c r="B947" s="3">
        <f>IFERROR(__xludf.DUMMYFUNCTION("""COMPUTED_VALUE"""),43903.64583333333)</f>
        <v>43903.64583</v>
      </c>
      <c r="C947" s="2">
        <f>IFERROR(__xludf.DUMMYFUNCTION("""COMPUTED_VALUE"""),104.85)</f>
        <v>104.85</v>
      </c>
    </row>
    <row r="948" ht="15.75" customHeight="1">
      <c r="B948" s="3">
        <f>IFERROR(__xludf.DUMMYFUNCTION("""COMPUTED_VALUE"""),43910.64583333333)</f>
        <v>43910.64583</v>
      </c>
      <c r="C948" s="2">
        <f>IFERROR(__xludf.DUMMYFUNCTION("""COMPUTED_VALUE"""),82.6)</f>
        <v>82.6</v>
      </c>
    </row>
    <row r="949" ht="15.75" customHeight="1">
      <c r="B949" s="3">
        <f>IFERROR(__xludf.DUMMYFUNCTION("""COMPUTED_VALUE"""),43917.64583333333)</f>
        <v>43917.64583</v>
      </c>
      <c r="C949" s="2">
        <f>IFERROR(__xludf.DUMMYFUNCTION("""COMPUTED_VALUE"""),82.5)</f>
        <v>82.5</v>
      </c>
    </row>
    <row r="950" ht="15.75" customHeight="1">
      <c r="B950" s="3">
        <f>IFERROR(__xludf.DUMMYFUNCTION("""COMPUTED_VALUE"""),43924.64583333333)</f>
        <v>43924.64583</v>
      </c>
      <c r="C950" s="2">
        <f>IFERROR(__xludf.DUMMYFUNCTION("""COMPUTED_VALUE"""),82.0)</f>
        <v>82</v>
      </c>
    </row>
    <row r="951" ht="15.75" customHeight="1">
      <c r="B951" s="3">
        <f>IFERROR(__xludf.DUMMYFUNCTION("""COMPUTED_VALUE"""),43930.64583333333)</f>
        <v>43930.64583</v>
      </c>
      <c r="C951" s="2">
        <f>IFERROR(__xludf.DUMMYFUNCTION("""COMPUTED_VALUE"""),94.95)</f>
        <v>94.95</v>
      </c>
    </row>
    <row r="952" ht="15.75" customHeight="1">
      <c r="B952" s="3">
        <f>IFERROR(__xludf.DUMMYFUNCTION("""COMPUTED_VALUE"""),43938.64583333333)</f>
        <v>43938.64583</v>
      </c>
      <c r="C952" s="2">
        <f>IFERROR(__xludf.DUMMYFUNCTION("""COMPUTED_VALUE"""),91.95)</f>
        <v>91.95</v>
      </c>
    </row>
    <row r="953" ht="15.75" customHeight="1">
      <c r="B953" s="3">
        <f>IFERROR(__xludf.DUMMYFUNCTION("""COMPUTED_VALUE"""),43945.64583333333)</f>
        <v>43945.64583</v>
      </c>
      <c r="C953" s="2">
        <f>IFERROR(__xludf.DUMMYFUNCTION("""COMPUTED_VALUE"""),91.0)</f>
        <v>91</v>
      </c>
    </row>
    <row r="954" ht="15.75" customHeight="1">
      <c r="B954" s="3">
        <f>IFERROR(__xludf.DUMMYFUNCTION("""COMPUTED_VALUE"""),43951.64583333333)</f>
        <v>43951.64583</v>
      </c>
      <c r="C954" s="2">
        <f>IFERROR(__xludf.DUMMYFUNCTION("""COMPUTED_VALUE"""),96.55)</f>
        <v>96.55</v>
      </c>
    </row>
    <row r="955" ht="15.75" customHeight="1">
      <c r="B955" s="3">
        <f>IFERROR(__xludf.DUMMYFUNCTION("""COMPUTED_VALUE"""),43959.64583333333)</f>
        <v>43959.64583</v>
      </c>
      <c r="C955" s="2">
        <f>IFERROR(__xludf.DUMMYFUNCTION("""COMPUTED_VALUE"""),96.25)</f>
        <v>96.25</v>
      </c>
    </row>
    <row r="956" ht="15.75" customHeight="1">
      <c r="B956" s="3">
        <f>IFERROR(__xludf.DUMMYFUNCTION("""COMPUTED_VALUE"""),43966.64583333333)</f>
        <v>43966.64583</v>
      </c>
      <c r="C956" s="2">
        <f>IFERROR(__xludf.DUMMYFUNCTION("""COMPUTED_VALUE"""),94.6)</f>
        <v>94.6</v>
      </c>
    </row>
    <row r="957" ht="15.75" customHeight="1">
      <c r="B957" s="3">
        <f>IFERROR(__xludf.DUMMYFUNCTION("""COMPUTED_VALUE"""),43973.64583333333)</f>
        <v>43973.64583</v>
      </c>
      <c r="C957" s="2">
        <f>IFERROR(__xludf.DUMMYFUNCTION("""COMPUTED_VALUE"""),88.2)</f>
        <v>88.2</v>
      </c>
    </row>
    <row r="958" ht="15.75" customHeight="1">
      <c r="B958" s="3">
        <f>IFERROR(__xludf.DUMMYFUNCTION("""COMPUTED_VALUE"""),43980.64583333333)</f>
        <v>43980.64583</v>
      </c>
      <c r="C958" s="2">
        <f>IFERROR(__xludf.DUMMYFUNCTION("""COMPUTED_VALUE"""),93.75)</f>
        <v>93.75</v>
      </c>
    </row>
    <row r="959" ht="15.75" customHeight="1">
      <c r="B959" s="3">
        <f>IFERROR(__xludf.DUMMYFUNCTION("""COMPUTED_VALUE"""),43987.64583333333)</f>
        <v>43987.64583</v>
      </c>
      <c r="C959" s="2">
        <f>IFERROR(__xludf.DUMMYFUNCTION("""COMPUTED_VALUE"""),99.35)</f>
        <v>99.35</v>
      </c>
    </row>
    <row r="960" ht="15.75" customHeight="1">
      <c r="B960" s="3">
        <f>IFERROR(__xludf.DUMMYFUNCTION("""COMPUTED_VALUE"""),43994.64583333333)</f>
        <v>43994.64583</v>
      </c>
      <c r="C960" s="2">
        <f>IFERROR(__xludf.DUMMYFUNCTION("""COMPUTED_VALUE"""),106.3)</f>
        <v>106.3</v>
      </c>
    </row>
    <row r="961" ht="15.75" customHeight="1">
      <c r="B961" s="3">
        <f>IFERROR(__xludf.DUMMYFUNCTION("""COMPUTED_VALUE"""),44001.64583333333)</f>
        <v>44001.64583</v>
      </c>
      <c r="C961" s="2">
        <f>IFERROR(__xludf.DUMMYFUNCTION("""COMPUTED_VALUE"""),101.9)</f>
        <v>101.9</v>
      </c>
    </row>
    <row r="962" ht="15.75" customHeight="1">
      <c r="B962" s="3">
        <f>IFERROR(__xludf.DUMMYFUNCTION("""COMPUTED_VALUE"""),44008.64583333333)</f>
        <v>44008.64583</v>
      </c>
      <c r="C962" s="2">
        <f>IFERROR(__xludf.DUMMYFUNCTION("""COMPUTED_VALUE"""),107.0)</f>
        <v>107</v>
      </c>
    </row>
    <row r="963" ht="15.75" customHeight="1">
      <c r="B963" s="3">
        <f>IFERROR(__xludf.DUMMYFUNCTION("""COMPUTED_VALUE"""),44015.64583333333)</f>
        <v>44015.64583</v>
      </c>
      <c r="C963" s="2">
        <f>IFERROR(__xludf.DUMMYFUNCTION("""COMPUTED_VALUE"""),106.0)</f>
        <v>106</v>
      </c>
    </row>
    <row r="964" ht="15.75" customHeight="1">
      <c r="B964" s="3">
        <f>IFERROR(__xludf.DUMMYFUNCTION("""COMPUTED_VALUE"""),44022.64583333333)</f>
        <v>44022.64583</v>
      </c>
      <c r="C964" s="2">
        <f>IFERROR(__xludf.DUMMYFUNCTION("""COMPUTED_VALUE"""),107.5)</f>
        <v>107.5</v>
      </c>
    </row>
    <row r="965" ht="15.75" customHeight="1">
      <c r="B965" s="3">
        <f>IFERROR(__xludf.DUMMYFUNCTION("""COMPUTED_VALUE"""),44029.64583333333)</f>
        <v>44029.64583</v>
      </c>
      <c r="C965" s="2">
        <f>IFERROR(__xludf.DUMMYFUNCTION("""COMPUTED_VALUE"""),103.95)</f>
        <v>103.95</v>
      </c>
    </row>
    <row r="966" ht="15.75" customHeight="1">
      <c r="B966" s="3">
        <f>IFERROR(__xludf.DUMMYFUNCTION("""COMPUTED_VALUE"""),44036.64583333333)</f>
        <v>44036.64583</v>
      </c>
      <c r="C966" s="2">
        <f>IFERROR(__xludf.DUMMYFUNCTION("""COMPUTED_VALUE"""),105.0)</f>
        <v>105</v>
      </c>
    </row>
    <row r="967" ht="15.75" customHeight="1">
      <c r="B967" s="3">
        <f>IFERROR(__xludf.DUMMYFUNCTION("""COMPUTED_VALUE"""),44043.64583333333)</f>
        <v>44043.64583</v>
      </c>
      <c r="C967" s="2">
        <f>IFERROR(__xludf.DUMMYFUNCTION("""COMPUTED_VALUE"""),100.75)</f>
        <v>100.75</v>
      </c>
    </row>
    <row r="968" ht="15.75" customHeight="1">
      <c r="B968" s="3">
        <f>IFERROR(__xludf.DUMMYFUNCTION("""COMPUTED_VALUE"""),44050.64583333333)</f>
        <v>44050.64583</v>
      </c>
      <c r="C968" s="2">
        <f>IFERROR(__xludf.DUMMYFUNCTION("""COMPUTED_VALUE"""),97.4)</f>
        <v>97.4</v>
      </c>
    </row>
    <row r="969" ht="15.75" customHeight="1">
      <c r="B969" s="3">
        <f>IFERROR(__xludf.DUMMYFUNCTION("""COMPUTED_VALUE"""),44057.64583333333)</f>
        <v>44057.64583</v>
      </c>
      <c r="C969" s="2">
        <f>IFERROR(__xludf.DUMMYFUNCTION("""COMPUTED_VALUE"""),99.6)</f>
        <v>99.6</v>
      </c>
    </row>
    <row r="970" ht="15.75" customHeight="1">
      <c r="B970" s="3">
        <f>IFERROR(__xludf.DUMMYFUNCTION("""COMPUTED_VALUE"""),44064.64583333333)</f>
        <v>44064.64583</v>
      </c>
      <c r="C970" s="2">
        <f>IFERROR(__xludf.DUMMYFUNCTION("""COMPUTED_VALUE"""),103.15)</f>
        <v>103.15</v>
      </c>
    </row>
    <row r="971" ht="15.75" customHeight="1">
      <c r="B971" s="3">
        <f>IFERROR(__xludf.DUMMYFUNCTION("""COMPUTED_VALUE"""),44071.64583333333)</f>
        <v>44071.64583</v>
      </c>
      <c r="C971" s="2">
        <f>IFERROR(__xludf.DUMMYFUNCTION("""COMPUTED_VALUE"""),103.2)</f>
        <v>103.2</v>
      </c>
    </row>
    <row r="972" ht="15.75" customHeight="1">
      <c r="B972" s="3">
        <f>IFERROR(__xludf.DUMMYFUNCTION("""COMPUTED_VALUE"""),44078.64583333333)</f>
        <v>44078.64583</v>
      </c>
      <c r="C972" s="2">
        <f>IFERROR(__xludf.DUMMYFUNCTION("""COMPUTED_VALUE"""),101.5)</f>
        <v>101.5</v>
      </c>
    </row>
    <row r="973" ht="15.75" customHeight="1">
      <c r="B973" s="3">
        <f>IFERROR(__xludf.DUMMYFUNCTION("""COMPUTED_VALUE"""),44085.64583333333)</f>
        <v>44085.64583</v>
      </c>
      <c r="C973" s="2">
        <f>IFERROR(__xludf.DUMMYFUNCTION("""COMPUTED_VALUE"""),98.85)</f>
        <v>98.85</v>
      </c>
    </row>
    <row r="974" ht="15.75" customHeight="1">
      <c r="B974" s="3">
        <f>IFERROR(__xludf.DUMMYFUNCTION("""COMPUTED_VALUE"""),44092.64583333333)</f>
        <v>44092.64583</v>
      </c>
      <c r="C974" s="2">
        <f>IFERROR(__xludf.DUMMYFUNCTION("""COMPUTED_VALUE"""),93.65)</f>
        <v>93.65</v>
      </c>
    </row>
    <row r="975" ht="15.75" customHeight="1">
      <c r="B975" s="3">
        <f>IFERROR(__xludf.DUMMYFUNCTION("""COMPUTED_VALUE"""),44099.64583333333)</f>
        <v>44099.64583</v>
      </c>
      <c r="C975" s="2">
        <f>IFERROR(__xludf.DUMMYFUNCTION("""COMPUTED_VALUE"""),92.2)</f>
        <v>92.2</v>
      </c>
    </row>
    <row r="976" ht="15.75" customHeight="1">
      <c r="B976" s="3">
        <f>IFERROR(__xludf.DUMMYFUNCTION("""COMPUTED_VALUE"""),44105.64583333333)</f>
        <v>44105.64583</v>
      </c>
      <c r="C976" s="2">
        <f>IFERROR(__xludf.DUMMYFUNCTION("""COMPUTED_VALUE"""),89.1)</f>
        <v>89.1</v>
      </c>
    </row>
    <row r="977" ht="15.75" customHeight="1">
      <c r="B977" s="3">
        <f>IFERROR(__xludf.DUMMYFUNCTION("""COMPUTED_VALUE"""),44113.64583333333)</f>
        <v>44113.64583</v>
      </c>
      <c r="C977" s="2">
        <f>IFERROR(__xludf.DUMMYFUNCTION("""COMPUTED_VALUE"""),89.8)</f>
        <v>89.8</v>
      </c>
    </row>
    <row r="978" ht="15.75" customHeight="1">
      <c r="B978" s="3">
        <f>IFERROR(__xludf.DUMMYFUNCTION("""COMPUTED_VALUE"""),44120.64583333333)</f>
        <v>44120.64583</v>
      </c>
      <c r="C978" s="2">
        <f>IFERROR(__xludf.DUMMYFUNCTION("""COMPUTED_VALUE"""),86.5)</f>
        <v>86.5</v>
      </c>
    </row>
    <row r="979" ht="15.75" customHeight="1">
      <c r="B979" s="3">
        <f>IFERROR(__xludf.DUMMYFUNCTION("""COMPUTED_VALUE"""),44127.64583333333)</f>
        <v>44127.64583</v>
      </c>
      <c r="C979" s="2">
        <f>IFERROR(__xludf.DUMMYFUNCTION("""COMPUTED_VALUE"""),89.35)</f>
        <v>89.35</v>
      </c>
    </row>
    <row r="980" ht="15.75" customHeight="1">
      <c r="B980" s="3">
        <f>IFERROR(__xludf.DUMMYFUNCTION("""COMPUTED_VALUE"""),44134.64583333333)</f>
        <v>44134.64583</v>
      </c>
      <c r="C980" s="2">
        <f>IFERROR(__xludf.DUMMYFUNCTION("""COMPUTED_VALUE"""),87.8)</f>
        <v>87.8</v>
      </c>
    </row>
    <row r="981" ht="15.75" customHeight="1">
      <c r="B981" s="3">
        <f>IFERROR(__xludf.DUMMYFUNCTION("""COMPUTED_VALUE"""),44141.64583333333)</f>
        <v>44141.64583</v>
      </c>
      <c r="C981" s="2">
        <f>IFERROR(__xludf.DUMMYFUNCTION("""COMPUTED_VALUE"""),87.95)</f>
        <v>87.95</v>
      </c>
    </row>
    <row r="982" ht="15.75" customHeight="1">
      <c r="B982" s="3">
        <f>IFERROR(__xludf.DUMMYFUNCTION("""COMPUTED_VALUE"""),44155.64583333333)</f>
        <v>44155.64583</v>
      </c>
      <c r="C982" s="2">
        <f>IFERROR(__xludf.DUMMYFUNCTION("""COMPUTED_VALUE"""),97.95)</f>
        <v>97.95</v>
      </c>
    </row>
    <row r="983" ht="15.75" customHeight="1">
      <c r="B983" s="3">
        <f>IFERROR(__xludf.DUMMYFUNCTION("""COMPUTED_VALUE"""),44162.64583333333)</f>
        <v>44162.64583</v>
      </c>
      <c r="C983" s="2">
        <f>IFERROR(__xludf.DUMMYFUNCTION("""COMPUTED_VALUE"""),106.7)</f>
        <v>106.7</v>
      </c>
    </row>
    <row r="984" ht="15.75" customHeight="1">
      <c r="B984" s="3">
        <f>IFERROR(__xludf.DUMMYFUNCTION("""COMPUTED_VALUE"""),44169.64583333333)</f>
        <v>44169.64583</v>
      </c>
      <c r="C984" s="2">
        <f>IFERROR(__xludf.DUMMYFUNCTION("""COMPUTED_VALUE"""),122.0)</f>
        <v>122</v>
      </c>
    </row>
    <row r="985" ht="15.75" customHeight="1">
      <c r="B985" s="3">
        <f>IFERROR(__xludf.DUMMYFUNCTION("""COMPUTED_VALUE"""),44176.64583333333)</f>
        <v>44176.64583</v>
      </c>
      <c r="C985" s="2">
        <f>IFERROR(__xludf.DUMMYFUNCTION("""COMPUTED_VALUE"""),128.8)</f>
        <v>128.8</v>
      </c>
    </row>
    <row r="986" ht="15.75" customHeight="1">
      <c r="B986" s="3">
        <f>IFERROR(__xludf.DUMMYFUNCTION("""COMPUTED_VALUE"""),44183.64583333333)</f>
        <v>44183.64583</v>
      </c>
      <c r="C986" s="2">
        <f>IFERROR(__xludf.DUMMYFUNCTION("""COMPUTED_VALUE"""),128.2)</f>
        <v>128.2</v>
      </c>
    </row>
    <row r="987" ht="15.75" customHeight="1">
      <c r="B987" s="3">
        <f>IFERROR(__xludf.DUMMYFUNCTION("""COMPUTED_VALUE"""),44189.64583333333)</f>
        <v>44189.64583</v>
      </c>
      <c r="C987" s="2">
        <f>IFERROR(__xludf.DUMMYFUNCTION("""COMPUTED_VALUE"""),125.0)</f>
        <v>125</v>
      </c>
    </row>
    <row r="988" ht="15.75" customHeight="1">
      <c r="B988" s="3">
        <f>IFERROR(__xludf.DUMMYFUNCTION("""COMPUTED_VALUE"""),44197.64583333333)</f>
        <v>44197.64583</v>
      </c>
      <c r="C988" s="2">
        <f>IFERROR(__xludf.DUMMYFUNCTION("""COMPUTED_VALUE"""),124.6)</f>
        <v>124.6</v>
      </c>
    </row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IFERROR(__xludf.DUMMYFUNCTION("GOOGLEFINANCE(""NSE:NATIONALUM"", ""high"",DATE(2003,1,1),DATE(2004,1,1),""weekly"")"),"Date")</f>
        <v>Date</v>
      </c>
      <c r="C1" s="2" t="str">
        <f>IFERROR(__xludf.DUMMYFUNCTION("""COMPUTED_VALUE"""),"High")</f>
        <v>High</v>
      </c>
    </row>
    <row r="2">
      <c r="A2" s="2" t="s">
        <v>2</v>
      </c>
      <c r="B2" s="3">
        <f>IFERROR(__xludf.DUMMYFUNCTION("""COMPUTED_VALUE"""),37624.645833333336)</f>
        <v>37624.64583</v>
      </c>
      <c r="C2" s="2">
        <f>IFERROR(__xludf.DUMMYFUNCTION("""COMPUTED_VALUE"""),24.36)</f>
        <v>24.36</v>
      </c>
    </row>
    <row r="3">
      <c r="A3" s="2" t="s">
        <v>3</v>
      </c>
      <c r="B3" s="3">
        <f>IFERROR(__xludf.DUMMYFUNCTION("""COMPUTED_VALUE"""),37631.645833333336)</f>
        <v>37631.64583</v>
      </c>
      <c r="C3" s="2">
        <f>IFERROR(__xludf.DUMMYFUNCTION("""COMPUTED_VALUE"""),23.75)</f>
        <v>23.75</v>
      </c>
    </row>
    <row r="4">
      <c r="A4" s="2" t="s">
        <v>4</v>
      </c>
      <c r="B4" s="3">
        <f>IFERROR(__xludf.DUMMYFUNCTION("""COMPUTED_VALUE"""),37638.645833333336)</f>
        <v>37638.64583</v>
      </c>
      <c r="C4" s="2">
        <f>IFERROR(__xludf.DUMMYFUNCTION("""COMPUTED_VALUE"""),22.26)</f>
        <v>22.26</v>
      </c>
    </row>
    <row r="5">
      <c r="A5" s="2" t="s">
        <v>5</v>
      </c>
      <c r="B5" s="3">
        <f>IFERROR(__xludf.DUMMYFUNCTION("""COMPUTED_VALUE"""),37645.645833333336)</f>
        <v>37645.64583</v>
      </c>
      <c r="C5" s="2">
        <f>IFERROR(__xludf.DUMMYFUNCTION("""COMPUTED_VALUE"""),23.0)</f>
        <v>23</v>
      </c>
    </row>
    <row r="6">
      <c r="A6" s="2" t="s">
        <v>6</v>
      </c>
      <c r="B6" s="3">
        <f>IFERROR(__xludf.DUMMYFUNCTION("""COMPUTED_VALUE"""),37652.645833333336)</f>
        <v>37652.64583</v>
      </c>
      <c r="C6" s="2">
        <f>IFERROR(__xludf.DUMMYFUNCTION("""COMPUTED_VALUE"""),23.2)</f>
        <v>23.2</v>
      </c>
    </row>
    <row r="7">
      <c r="A7" s="2" t="s">
        <v>7</v>
      </c>
      <c r="B7" s="3">
        <f>IFERROR(__xludf.DUMMYFUNCTION("""COMPUTED_VALUE"""),37659.645833333336)</f>
        <v>37659.64583</v>
      </c>
      <c r="C7" s="2">
        <f>IFERROR(__xludf.DUMMYFUNCTION("""COMPUTED_VALUE"""),24.29)</f>
        <v>24.29</v>
      </c>
    </row>
    <row r="8">
      <c r="B8" s="3">
        <f>IFERROR(__xludf.DUMMYFUNCTION("""COMPUTED_VALUE"""),37666.645833333336)</f>
        <v>37666.64583</v>
      </c>
      <c r="C8" s="2">
        <f>IFERROR(__xludf.DUMMYFUNCTION("""COMPUTED_VALUE"""),24.25)</f>
        <v>24.25</v>
      </c>
    </row>
    <row r="9">
      <c r="B9" s="3">
        <f>IFERROR(__xludf.DUMMYFUNCTION("""COMPUTED_VALUE"""),37673.645833333336)</f>
        <v>37673.64583</v>
      </c>
      <c r="C9" s="2">
        <f>IFERROR(__xludf.DUMMYFUNCTION("""COMPUTED_VALUE"""),23.0)</f>
        <v>23</v>
      </c>
    </row>
    <row r="10">
      <c r="B10" s="3">
        <f>IFERROR(__xludf.DUMMYFUNCTION("""COMPUTED_VALUE"""),37680.645833333336)</f>
        <v>37680.64583</v>
      </c>
      <c r="C10" s="2">
        <f>IFERROR(__xludf.DUMMYFUNCTION("""COMPUTED_VALUE"""),22.75)</f>
        <v>22.75</v>
      </c>
    </row>
    <row r="11">
      <c r="B11" s="3">
        <f>IFERROR(__xludf.DUMMYFUNCTION("""COMPUTED_VALUE"""),37687.645833333336)</f>
        <v>37687.64583</v>
      </c>
      <c r="C11" s="2">
        <f>IFERROR(__xludf.DUMMYFUNCTION("""COMPUTED_VALUE"""),22.0)</f>
        <v>22</v>
      </c>
    </row>
    <row r="12">
      <c r="B12" s="3">
        <f>IFERROR(__xludf.DUMMYFUNCTION("""COMPUTED_VALUE"""),37693.645833333336)</f>
        <v>37693.64583</v>
      </c>
      <c r="C12" s="2">
        <f>IFERROR(__xludf.DUMMYFUNCTION("""COMPUTED_VALUE"""),21.05)</f>
        <v>21.05</v>
      </c>
    </row>
    <row r="13">
      <c r="B13" s="3">
        <f>IFERROR(__xludf.DUMMYFUNCTION("""COMPUTED_VALUE"""),37708.645833333336)</f>
        <v>37708.64583</v>
      </c>
      <c r="C13" s="2">
        <f>IFERROR(__xludf.DUMMYFUNCTION("""COMPUTED_VALUE"""),20.0)</f>
        <v>20</v>
      </c>
    </row>
    <row r="14">
      <c r="B14" s="3">
        <f>IFERROR(__xludf.DUMMYFUNCTION("""COMPUTED_VALUE"""),37715.645833333336)</f>
        <v>37715.64583</v>
      </c>
      <c r="C14" s="2">
        <f>IFERROR(__xludf.DUMMYFUNCTION("""COMPUTED_VALUE"""),21.05)</f>
        <v>21.05</v>
      </c>
    </row>
    <row r="15">
      <c r="B15" s="3">
        <f>IFERROR(__xludf.DUMMYFUNCTION("""COMPUTED_VALUE"""),37722.645833333336)</f>
        <v>37722.64583</v>
      </c>
      <c r="C15" s="2">
        <f>IFERROR(__xludf.DUMMYFUNCTION("""COMPUTED_VALUE"""),21.98)</f>
        <v>21.98</v>
      </c>
    </row>
    <row r="16">
      <c r="B16" s="3">
        <f>IFERROR(__xludf.DUMMYFUNCTION("""COMPUTED_VALUE"""),37728.645833333336)</f>
        <v>37728.64583</v>
      </c>
      <c r="C16" s="2">
        <f>IFERROR(__xludf.DUMMYFUNCTION("""COMPUTED_VALUE"""),21.53)</f>
        <v>21.53</v>
      </c>
    </row>
    <row r="17">
      <c r="B17" s="3">
        <f>IFERROR(__xludf.DUMMYFUNCTION("""COMPUTED_VALUE"""),37736.645833333336)</f>
        <v>37736.64583</v>
      </c>
      <c r="C17" s="2">
        <f>IFERROR(__xludf.DUMMYFUNCTION("""COMPUTED_VALUE"""),22.33)</f>
        <v>22.33</v>
      </c>
    </row>
    <row r="18">
      <c r="B18" s="3">
        <f>IFERROR(__xludf.DUMMYFUNCTION("""COMPUTED_VALUE"""),37743.645833333336)</f>
        <v>37743.64583</v>
      </c>
      <c r="C18" s="2">
        <f>IFERROR(__xludf.DUMMYFUNCTION("""COMPUTED_VALUE"""),22.25)</f>
        <v>22.25</v>
      </c>
    </row>
    <row r="19">
      <c r="B19" s="3">
        <f>IFERROR(__xludf.DUMMYFUNCTION("""COMPUTED_VALUE"""),37750.645833333336)</f>
        <v>37750.64583</v>
      </c>
      <c r="C19" s="2">
        <f>IFERROR(__xludf.DUMMYFUNCTION("""COMPUTED_VALUE"""),23.35)</f>
        <v>23.35</v>
      </c>
    </row>
    <row r="20">
      <c r="B20" s="3">
        <f>IFERROR(__xludf.DUMMYFUNCTION("""COMPUTED_VALUE"""),37757.645833333336)</f>
        <v>37757.64583</v>
      </c>
      <c r="C20" s="2">
        <f>IFERROR(__xludf.DUMMYFUNCTION("""COMPUTED_VALUE"""),23.75)</f>
        <v>23.75</v>
      </c>
    </row>
    <row r="21" ht="15.75" customHeight="1">
      <c r="B21" s="3">
        <f>IFERROR(__xludf.DUMMYFUNCTION("""COMPUTED_VALUE"""),37764.645833333336)</f>
        <v>37764.64583</v>
      </c>
      <c r="C21" s="2">
        <f>IFERROR(__xludf.DUMMYFUNCTION("""COMPUTED_VALUE"""),23.0)</f>
        <v>23</v>
      </c>
    </row>
    <row r="22" ht="15.75" customHeight="1">
      <c r="B22" s="3">
        <f>IFERROR(__xludf.DUMMYFUNCTION("""COMPUTED_VALUE"""),37771.645833333336)</f>
        <v>37771.64583</v>
      </c>
      <c r="C22" s="2">
        <f>IFERROR(__xludf.DUMMYFUNCTION("""COMPUTED_VALUE"""),25.1)</f>
        <v>25.1</v>
      </c>
    </row>
    <row r="23" ht="15.75" customHeight="1">
      <c r="B23" s="3">
        <f>IFERROR(__xludf.DUMMYFUNCTION("""COMPUTED_VALUE"""),37778.645833333336)</f>
        <v>37778.64583</v>
      </c>
      <c r="C23" s="2">
        <f>IFERROR(__xludf.DUMMYFUNCTION("""COMPUTED_VALUE"""),25.88)</f>
        <v>25.88</v>
      </c>
    </row>
    <row r="24" ht="15.75" customHeight="1">
      <c r="B24" s="3">
        <f>IFERROR(__xludf.DUMMYFUNCTION("""COMPUTED_VALUE"""),37785.645833333336)</f>
        <v>37785.64583</v>
      </c>
      <c r="C24" s="2">
        <f>IFERROR(__xludf.DUMMYFUNCTION("""COMPUTED_VALUE"""),25.85)</f>
        <v>25.85</v>
      </c>
    </row>
    <row r="25" ht="15.75" customHeight="1">
      <c r="B25" s="3">
        <f>IFERROR(__xludf.DUMMYFUNCTION("""COMPUTED_VALUE"""),37792.645833333336)</f>
        <v>37792.64583</v>
      </c>
      <c r="C25" s="2">
        <f>IFERROR(__xludf.DUMMYFUNCTION("""COMPUTED_VALUE"""),26.81)</f>
        <v>26.81</v>
      </c>
    </row>
    <row r="26" ht="15.75" customHeight="1">
      <c r="B26" s="3">
        <f>IFERROR(__xludf.DUMMYFUNCTION("""COMPUTED_VALUE"""),37799.645833333336)</f>
        <v>37799.64583</v>
      </c>
      <c r="C26" s="2">
        <f>IFERROR(__xludf.DUMMYFUNCTION("""COMPUTED_VALUE"""),29.15)</f>
        <v>29.15</v>
      </c>
    </row>
    <row r="27" ht="15.75" customHeight="1">
      <c r="B27" s="3">
        <f>IFERROR(__xludf.DUMMYFUNCTION("""COMPUTED_VALUE"""),37806.645833333336)</f>
        <v>37806.64583</v>
      </c>
      <c r="C27" s="2">
        <f>IFERROR(__xludf.DUMMYFUNCTION("""COMPUTED_VALUE"""),28.75)</f>
        <v>28.75</v>
      </c>
    </row>
    <row r="28" ht="15.75" customHeight="1">
      <c r="B28" s="3">
        <f>IFERROR(__xludf.DUMMYFUNCTION("""COMPUTED_VALUE"""),37813.645833333336)</f>
        <v>37813.64583</v>
      </c>
      <c r="C28" s="2">
        <f>IFERROR(__xludf.DUMMYFUNCTION("""COMPUTED_VALUE"""),30.16)</f>
        <v>30.16</v>
      </c>
    </row>
    <row r="29" ht="15.75" customHeight="1">
      <c r="B29" s="3">
        <f>IFERROR(__xludf.DUMMYFUNCTION("""COMPUTED_VALUE"""),37820.645833333336)</f>
        <v>37820.64583</v>
      </c>
      <c r="C29" s="2">
        <f>IFERROR(__xludf.DUMMYFUNCTION("""COMPUTED_VALUE"""),29.25)</f>
        <v>29.25</v>
      </c>
    </row>
    <row r="30" ht="15.75" customHeight="1">
      <c r="B30" s="3">
        <f>IFERROR(__xludf.DUMMYFUNCTION("""COMPUTED_VALUE"""),37827.645833333336)</f>
        <v>37827.64583</v>
      </c>
      <c r="C30" s="2">
        <f>IFERROR(__xludf.DUMMYFUNCTION("""COMPUTED_VALUE"""),27.3)</f>
        <v>27.3</v>
      </c>
    </row>
    <row r="31" ht="15.75" customHeight="1">
      <c r="B31" s="3">
        <f>IFERROR(__xludf.DUMMYFUNCTION("""COMPUTED_VALUE"""),37834.645833333336)</f>
        <v>37834.64583</v>
      </c>
      <c r="C31" s="2">
        <f>IFERROR(__xludf.DUMMYFUNCTION("""COMPUTED_VALUE"""),29.13)</f>
        <v>29.13</v>
      </c>
    </row>
    <row r="32" ht="15.75" customHeight="1">
      <c r="B32" s="3">
        <f>IFERROR(__xludf.DUMMYFUNCTION("""COMPUTED_VALUE"""),37841.645833333336)</f>
        <v>37841.64583</v>
      </c>
      <c r="C32" s="2">
        <f>IFERROR(__xludf.DUMMYFUNCTION("""COMPUTED_VALUE"""),31.0)</f>
        <v>31</v>
      </c>
    </row>
    <row r="33" ht="15.75" customHeight="1">
      <c r="B33" s="3">
        <f>IFERROR(__xludf.DUMMYFUNCTION("""COMPUTED_VALUE"""),37847.645833333336)</f>
        <v>37847.64583</v>
      </c>
      <c r="C33" s="2">
        <f>IFERROR(__xludf.DUMMYFUNCTION("""COMPUTED_VALUE"""),32.41)</f>
        <v>32.41</v>
      </c>
    </row>
    <row r="34" ht="15.75" customHeight="1">
      <c r="B34" s="3">
        <f>IFERROR(__xludf.DUMMYFUNCTION("""COMPUTED_VALUE"""),37855.645833333336)</f>
        <v>37855.64583</v>
      </c>
      <c r="C34" s="2">
        <f>IFERROR(__xludf.DUMMYFUNCTION("""COMPUTED_VALUE"""),34.23)</f>
        <v>34.23</v>
      </c>
    </row>
    <row r="35" ht="15.75" customHeight="1">
      <c r="B35" s="3">
        <f>IFERROR(__xludf.DUMMYFUNCTION("""COMPUTED_VALUE"""),37862.645833333336)</f>
        <v>37862.64583</v>
      </c>
      <c r="C35" s="2">
        <f>IFERROR(__xludf.DUMMYFUNCTION("""COMPUTED_VALUE"""),35.48)</f>
        <v>35.48</v>
      </c>
    </row>
    <row r="36" ht="15.75" customHeight="1">
      <c r="B36" s="3">
        <f>IFERROR(__xludf.DUMMYFUNCTION("""COMPUTED_VALUE"""),37869.645833333336)</f>
        <v>37869.64583</v>
      </c>
      <c r="C36" s="2">
        <f>IFERROR(__xludf.DUMMYFUNCTION("""COMPUTED_VALUE"""),33.75)</f>
        <v>33.75</v>
      </c>
    </row>
    <row r="37" ht="15.75" customHeight="1">
      <c r="B37" s="3">
        <f>IFERROR(__xludf.DUMMYFUNCTION("""COMPUTED_VALUE"""),37876.645833333336)</f>
        <v>37876.64583</v>
      </c>
      <c r="C37" s="2">
        <f>IFERROR(__xludf.DUMMYFUNCTION("""COMPUTED_VALUE"""),32.38)</f>
        <v>32.38</v>
      </c>
    </row>
    <row r="38" ht="15.75" customHeight="1">
      <c r="B38" s="3">
        <f>IFERROR(__xludf.DUMMYFUNCTION("""COMPUTED_VALUE"""),37883.645833333336)</f>
        <v>37883.64583</v>
      </c>
      <c r="C38" s="2">
        <f>IFERROR(__xludf.DUMMYFUNCTION("""COMPUTED_VALUE"""),28.75)</f>
        <v>28.75</v>
      </c>
    </row>
    <row r="39" ht="15.75" customHeight="1">
      <c r="B39" s="3">
        <f>IFERROR(__xludf.DUMMYFUNCTION("""COMPUTED_VALUE"""),37890.645833333336)</f>
        <v>37890.64583</v>
      </c>
      <c r="C39" s="2">
        <f>IFERROR(__xludf.DUMMYFUNCTION("""COMPUTED_VALUE"""),29.7)</f>
        <v>29.7</v>
      </c>
    </row>
    <row r="40" ht="15.75" customHeight="1">
      <c r="B40" s="3">
        <f>IFERROR(__xludf.DUMMYFUNCTION("""COMPUTED_VALUE"""),37897.645833333336)</f>
        <v>37897.64583</v>
      </c>
      <c r="C40" s="2">
        <f>IFERROR(__xludf.DUMMYFUNCTION("""COMPUTED_VALUE"""),31.75)</f>
        <v>31.75</v>
      </c>
    </row>
    <row r="41" ht="15.75" customHeight="1">
      <c r="B41" s="3">
        <f>IFERROR(__xludf.DUMMYFUNCTION("""COMPUTED_VALUE"""),37904.645833333336)</f>
        <v>37904.64583</v>
      </c>
      <c r="C41" s="2">
        <f>IFERROR(__xludf.DUMMYFUNCTION("""COMPUTED_VALUE"""),38.7)</f>
        <v>38.7</v>
      </c>
    </row>
    <row r="42" ht="15.75" customHeight="1">
      <c r="B42" s="3">
        <f>IFERROR(__xludf.DUMMYFUNCTION("""COMPUTED_VALUE"""),37911.645833333336)</f>
        <v>37911.64583</v>
      </c>
      <c r="C42" s="2">
        <f>IFERROR(__xludf.DUMMYFUNCTION("""COMPUTED_VALUE"""),38.11)</f>
        <v>38.11</v>
      </c>
    </row>
    <row r="43" ht="15.75" customHeight="1">
      <c r="B43" s="3">
        <f>IFERROR(__xludf.DUMMYFUNCTION("""COMPUTED_VALUE"""),37925.645833333336)</f>
        <v>37925.64583</v>
      </c>
      <c r="C43" s="2">
        <f>IFERROR(__xludf.DUMMYFUNCTION("""COMPUTED_VALUE"""),34.63)</f>
        <v>34.63</v>
      </c>
    </row>
    <row r="44" ht="15.75" customHeight="1">
      <c r="B44" s="3">
        <f>IFERROR(__xludf.DUMMYFUNCTION("""COMPUTED_VALUE"""),37932.645833333336)</f>
        <v>37932.64583</v>
      </c>
      <c r="C44" s="2">
        <f>IFERROR(__xludf.DUMMYFUNCTION("""COMPUTED_VALUE"""),39.5)</f>
        <v>39.5</v>
      </c>
    </row>
    <row r="45" ht="15.75" customHeight="1">
      <c r="B45" s="3">
        <f>IFERROR(__xludf.DUMMYFUNCTION("""COMPUTED_VALUE"""),37946.645833333336)</f>
        <v>37946.64583</v>
      </c>
      <c r="C45" s="2">
        <f>IFERROR(__xludf.DUMMYFUNCTION("""COMPUTED_VALUE"""),37.73)</f>
        <v>37.73</v>
      </c>
    </row>
    <row r="46" ht="15.75" customHeight="1">
      <c r="B46" s="3">
        <f>IFERROR(__xludf.DUMMYFUNCTION("""COMPUTED_VALUE"""),37953.645833333336)</f>
        <v>37953.64583</v>
      </c>
      <c r="C46" s="2">
        <f>IFERROR(__xludf.DUMMYFUNCTION("""COMPUTED_VALUE"""),38.8)</f>
        <v>38.8</v>
      </c>
    </row>
    <row r="47" ht="15.75" customHeight="1">
      <c r="B47" s="3">
        <f>IFERROR(__xludf.DUMMYFUNCTION("""COMPUTED_VALUE"""),37960.645833333336)</f>
        <v>37960.64583</v>
      </c>
      <c r="C47" s="2">
        <f>IFERROR(__xludf.DUMMYFUNCTION("""COMPUTED_VALUE"""),43.59)</f>
        <v>43.59</v>
      </c>
    </row>
    <row r="48" ht="15.75" customHeight="1">
      <c r="B48" s="3">
        <f>IFERROR(__xludf.DUMMYFUNCTION("""COMPUTED_VALUE"""),37967.645833333336)</f>
        <v>37967.64583</v>
      </c>
      <c r="C48" s="2">
        <f>IFERROR(__xludf.DUMMYFUNCTION("""COMPUTED_VALUE"""),43.34)</f>
        <v>43.34</v>
      </c>
    </row>
    <row r="49" ht="15.75" customHeight="1">
      <c r="B49" s="3">
        <f>IFERROR(__xludf.DUMMYFUNCTION("""COMPUTED_VALUE"""),37974.645833333336)</f>
        <v>37974.64583</v>
      </c>
      <c r="C49" s="2">
        <f>IFERROR(__xludf.DUMMYFUNCTION("""COMPUTED_VALUE"""),45.13)</f>
        <v>45.13</v>
      </c>
    </row>
    <row r="50" ht="15.75" customHeight="1">
      <c r="B50" s="3">
        <f>IFERROR(__xludf.DUMMYFUNCTION("""COMPUTED_VALUE"""),37981.645833333336)</f>
        <v>37981.64583</v>
      </c>
      <c r="C50" s="2">
        <f>IFERROR(__xludf.DUMMYFUNCTION("""COMPUTED_VALUE"""),49.25)</f>
        <v>49.25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2" t="str">
        <f>IFERROR(__xludf.DUMMYFUNCTION("GOOGLEFINANCE(""NSE:NATIONALUM"", ""high"",DATE(2004,1,1),DATE(2005,1,1),""weekly"")"),"Date")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IFERROR(__xludf.DUMMYFUNCTION("""COMPUTED_VALUE"""),37988.645833333336)</f>
        <v>37988.64583</v>
      </c>
      <c r="C57" s="2">
        <f>IFERROR(__xludf.DUMMYFUNCTION("""COMPUTED_VALUE"""),50.81)</f>
        <v>50.81</v>
      </c>
    </row>
    <row r="58" ht="15.75" customHeight="1">
      <c r="B58" s="3">
        <f>IFERROR(__xludf.DUMMYFUNCTION("""COMPUTED_VALUE"""),37995.645833333336)</f>
        <v>37995.64583</v>
      </c>
      <c r="C58" s="2">
        <f>IFERROR(__xludf.DUMMYFUNCTION("""COMPUTED_VALUE"""),51.48)</f>
        <v>51.48</v>
      </c>
    </row>
    <row r="59" ht="15.75" customHeight="1">
      <c r="B59" s="3">
        <f>IFERROR(__xludf.DUMMYFUNCTION("""COMPUTED_VALUE"""),38002.645833333336)</f>
        <v>38002.64583</v>
      </c>
      <c r="C59" s="2">
        <f>IFERROR(__xludf.DUMMYFUNCTION("""COMPUTED_VALUE"""),47.98)</f>
        <v>47.98</v>
      </c>
    </row>
    <row r="60" ht="15.75" customHeight="1">
      <c r="B60" s="3">
        <f>IFERROR(__xludf.DUMMYFUNCTION("""COMPUTED_VALUE"""),38009.645833333336)</f>
        <v>38009.64583</v>
      </c>
      <c r="C60" s="2">
        <f>IFERROR(__xludf.DUMMYFUNCTION("""COMPUTED_VALUE"""),44.63)</f>
        <v>44.63</v>
      </c>
    </row>
    <row r="61" ht="15.75" customHeight="1">
      <c r="B61" s="3">
        <f>IFERROR(__xludf.DUMMYFUNCTION("""COMPUTED_VALUE"""),38016.645833333336)</f>
        <v>38016.64583</v>
      </c>
      <c r="C61" s="2">
        <f>IFERROR(__xludf.DUMMYFUNCTION("""COMPUTED_VALUE"""),42.5)</f>
        <v>42.5</v>
      </c>
    </row>
    <row r="62" ht="15.75" customHeight="1">
      <c r="B62" s="3">
        <f>IFERROR(__xludf.DUMMYFUNCTION("""COMPUTED_VALUE"""),38023.645833333336)</f>
        <v>38023.64583</v>
      </c>
      <c r="C62" s="2">
        <f>IFERROR(__xludf.DUMMYFUNCTION("""COMPUTED_VALUE"""),41.76)</f>
        <v>41.76</v>
      </c>
    </row>
    <row r="63" ht="15.75" customHeight="1">
      <c r="B63" s="3">
        <f>IFERROR(__xludf.DUMMYFUNCTION("""COMPUTED_VALUE"""),38030.645833333336)</f>
        <v>38030.64583</v>
      </c>
      <c r="C63" s="2">
        <f>IFERROR(__xludf.DUMMYFUNCTION("""COMPUTED_VALUE"""),46.0)</f>
        <v>46</v>
      </c>
    </row>
    <row r="64" ht="15.75" customHeight="1">
      <c r="B64" s="3">
        <f>IFERROR(__xludf.DUMMYFUNCTION("""COMPUTED_VALUE"""),38037.645833333336)</f>
        <v>38037.64583</v>
      </c>
      <c r="C64" s="2">
        <f>IFERROR(__xludf.DUMMYFUNCTION("""COMPUTED_VALUE"""),46.5)</f>
        <v>46.5</v>
      </c>
    </row>
    <row r="65" ht="15.75" customHeight="1">
      <c r="B65" s="3">
        <f>IFERROR(__xludf.DUMMYFUNCTION("""COMPUTED_VALUE"""),38044.645833333336)</f>
        <v>38044.64583</v>
      </c>
      <c r="C65" s="2">
        <f>IFERROR(__xludf.DUMMYFUNCTION("""COMPUTED_VALUE"""),45.01)</f>
        <v>45.01</v>
      </c>
    </row>
    <row r="66" ht="15.75" customHeight="1">
      <c r="B66" s="3">
        <f>IFERROR(__xludf.DUMMYFUNCTION("""COMPUTED_VALUE"""),38051.645833333336)</f>
        <v>38051.64583</v>
      </c>
      <c r="C66" s="2">
        <f>IFERROR(__xludf.DUMMYFUNCTION("""COMPUTED_VALUE"""),46.43)</f>
        <v>46.43</v>
      </c>
    </row>
    <row r="67" ht="15.75" customHeight="1">
      <c r="B67" s="3">
        <f>IFERROR(__xludf.DUMMYFUNCTION("""COMPUTED_VALUE"""),38058.645833333336)</f>
        <v>38058.64583</v>
      </c>
      <c r="C67" s="2">
        <f>IFERROR(__xludf.DUMMYFUNCTION("""COMPUTED_VALUE"""),47.13)</f>
        <v>47.13</v>
      </c>
    </row>
    <row r="68" ht="15.75" customHeight="1">
      <c r="B68" s="3">
        <f>IFERROR(__xludf.DUMMYFUNCTION("""COMPUTED_VALUE"""),38065.645833333336)</f>
        <v>38065.64583</v>
      </c>
      <c r="C68" s="2">
        <f>IFERROR(__xludf.DUMMYFUNCTION("""COMPUTED_VALUE"""),47.23)</f>
        <v>47.23</v>
      </c>
    </row>
    <row r="69" ht="15.75" customHeight="1">
      <c r="B69" s="3">
        <f>IFERROR(__xludf.DUMMYFUNCTION("""COMPUTED_VALUE"""),38072.645833333336)</f>
        <v>38072.64583</v>
      </c>
      <c r="C69" s="2">
        <f>IFERROR(__xludf.DUMMYFUNCTION("""COMPUTED_VALUE"""),47.5)</f>
        <v>47.5</v>
      </c>
    </row>
    <row r="70" ht="15.75" customHeight="1">
      <c r="B70" s="3">
        <f>IFERROR(__xludf.DUMMYFUNCTION("""COMPUTED_VALUE"""),38079.645833333336)</f>
        <v>38079.64583</v>
      </c>
      <c r="C70" s="2">
        <f>IFERROR(__xludf.DUMMYFUNCTION("""COMPUTED_VALUE"""),48.75)</f>
        <v>48.75</v>
      </c>
    </row>
    <row r="71" ht="15.75" customHeight="1">
      <c r="B71" s="3">
        <f>IFERROR(__xludf.DUMMYFUNCTION("""COMPUTED_VALUE"""),38085.645833333336)</f>
        <v>38085.64583</v>
      </c>
      <c r="C71" s="2">
        <f>IFERROR(__xludf.DUMMYFUNCTION("""COMPUTED_VALUE"""),50.91)</f>
        <v>50.91</v>
      </c>
    </row>
    <row r="72" ht="15.75" customHeight="1">
      <c r="B72" s="3">
        <f>IFERROR(__xludf.DUMMYFUNCTION("""COMPUTED_VALUE"""),38100.645833333336)</f>
        <v>38100.64583</v>
      </c>
      <c r="C72" s="2">
        <f>IFERROR(__xludf.DUMMYFUNCTION("""COMPUTED_VALUE"""),52.23)</f>
        <v>52.23</v>
      </c>
    </row>
    <row r="73" ht="15.75" customHeight="1">
      <c r="B73" s="3">
        <f>IFERROR(__xludf.DUMMYFUNCTION("""COMPUTED_VALUE"""),38107.645833333336)</f>
        <v>38107.64583</v>
      </c>
      <c r="C73" s="2">
        <f>IFERROR(__xludf.DUMMYFUNCTION("""COMPUTED_VALUE"""),50.48)</f>
        <v>50.48</v>
      </c>
    </row>
    <row r="74" ht="15.75" customHeight="1">
      <c r="B74" s="3">
        <f>IFERROR(__xludf.DUMMYFUNCTION("""COMPUTED_VALUE"""),38114.645833333336)</f>
        <v>38114.64583</v>
      </c>
      <c r="C74" s="2">
        <f>IFERROR(__xludf.DUMMYFUNCTION("""COMPUTED_VALUE"""),49.5)</f>
        <v>49.5</v>
      </c>
    </row>
    <row r="75" ht="15.75" customHeight="1">
      <c r="B75" s="3">
        <f>IFERROR(__xludf.DUMMYFUNCTION("""COMPUTED_VALUE"""),38121.645833333336)</f>
        <v>38121.64583</v>
      </c>
      <c r="C75" s="2">
        <f>IFERROR(__xludf.DUMMYFUNCTION("""COMPUTED_VALUE"""),42.75)</f>
        <v>42.75</v>
      </c>
    </row>
    <row r="76" ht="15.75" customHeight="1">
      <c r="B76" s="3">
        <f>IFERROR(__xludf.DUMMYFUNCTION("""COMPUTED_VALUE"""),38128.645833333336)</f>
        <v>38128.64583</v>
      </c>
      <c r="C76" s="2">
        <f>IFERROR(__xludf.DUMMYFUNCTION("""COMPUTED_VALUE"""),33.0)</f>
        <v>33</v>
      </c>
    </row>
    <row r="77" ht="15.75" customHeight="1">
      <c r="B77" s="3">
        <f>IFERROR(__xludf.DUMMYFUNCTION("""COMPUTED_VALUE"""),38135.645833333336)</f>
        <v>38135.64583</v>
      </c>
      <c r="C77" s="2">
        <f>IFERROR(__xludf.DUMMYFUNCTION("""COMPUTED_VALUE"""),34.6)</f>
        <v>34.6</v>
      </c>
    </row>
    <row r="78" ht="15.75" customHeight="1">
      <c r="B78" s="3">
        <f>IFERROR(__xludf.DUMMYFUNCTION("""COMPUTED_VALUE"""),38142.645833333336)</f>
        <v>38142.64583</v>
      </c>
      <c r="C78" s="2">
        <f>IFERROR(__xludf.DUMMYFUNCTION("""COMPUTED_VALUE"""),34.79)</f>
        <v>34.79</v>
      </c>
    </row>
    <row r="79" ht="15.75" customHeight="1">
      <c r="B79" s="3">
        <f>IFERROR(__xludf.DUMMYFUNCTION("""COMPUTED_VALUE"""),38149.645833333336)</f>
        <v>38149.64583</v>
      </c>
      <c r="C79" s="2">
        <f>IFERROR(__xludf.DUMMYFUNCTION("""COMPUTED_VALUE"""),34.5)</f>
        <v>34.5</v>
      </c>
    </row>
    <row r="80" ht="15.75" customHeight="1">
      <c r="B80" s="3">
        <f>IFERROR(__xludf.DUMMYFUNCTION("""COMPUTED_VALUE"""),38156.645833333336)</f>
        <v>38156.64583</v>
      </c>
      <c r="C80" s="2">
        <f>IFERROR(__xludf.DUMMYFUNCTION("""COMPUTED_VALUE"""),32.0)</f>
        <v>32</v>
      </c>
    </row>
    <row r="81" ht="15.75" customHeight="1">
      <c r="B81" s="3">
        <f>IFERROR(__xludf.DUMMYFUNCTION("""COMPUTED_VALUE"""),38163.645833333336)</f>
        <v>38163.64583</v>
      </c>
      <c r="C81" s="2">
        <f>IFERROR(__xludf.DUMMYFUNCTION("""COMPUTED_VALUE"""),34.0)</f>
        <v>34</v>
      </c>
    </row>
    <row r="82" ht="15.75" customHeight="1">
      <c r="B82" s="3">
        <f>IFERROR(__xludf.DUMMYFUNCTION("""COMPUTED_VALUE"""),38170.645833333336)</f>
        <v>38170.64583</v>
      </c>
      <c r="C82" s="2">
        <f>IFERROR(__xludf.DUMMYFUNCTION("""COMPUTED_VALUE"""),35.44)</f>
        <v>35.44</v>
      </c>
    </row>
    <row r="83" ht="15.75" customHeight="1">
      <c r="B83" s="3">
        <f>IFERROR(__xludf.DUMMYFUNCTION("""COMPUTED_VALUE"""),38177.645833333336)</f>
        <v>38177.64583</v>
      </c>
      <c r="C83" s="2">
        <f>IFERROR(__xludf.DUMMYFUNCTION("""COMPUTED_VALUE"""),37.1)</f>
        <v>37.1</v>
      </c>
    </row>
    <row r="84" ht="15.75" customHeight="1">
      <c r="B84" s="3">
        <f>IFERROR(__xludf.DUMMYFUNCTION("""COMPUTED_VALUE"""),38184.645833333336)</f>
        <v>38184.64583</v>
      </c>
      <c r="C84" s="2">
        <f>IFERROR(__xludf.DUMMYFUNCTION("""COMPUTED_VALUE"""),35.63)</f>
        <v>35.63</v>
      </c>
    </row>
    <row r="85" ht="15.75" customHeight="1">
      <c r="B85" s="3">
        <f>IFERROR(__xludf.DUMMYFUNCTION("""COMPUTED_VALUE"""),38191.645833333336)</f>
        <v>38191.64583</v>
      </c>
      <c r="C85" s="2">
        <f>IFERROR(__xludf.DUMMYFUNCTION("""COMPUTED_VALUE"""),37.0)</f>
        <v>37</v>
      </c>
    </row>
    <row r="86" ht="15.75" customHeight="1">
      <c r="B86" s="3">
        <f>IFERROR(__xludf.DUMMYFUNCTION("""COMPUTED_VALUE"""),38198.645833333336)</f>
        <v>38198.64583</v>
      </c>
      <c r="C86" s="2">
        <f>IFERROR(__xludf.DUMMYFUNCTION("""COMPUTED_VALUE"""),37.98)</f>
        <v>37.98</v>
      </c>
    </row>
    <row r="87" ht="15.75" customHeight="1">
      <c r="B87" s="3">
        <f>IFERROR(__xludf.DUMMYFUNCTION("""COMPUTED_VALUE"""),38205.645833333336)</f>
        <v>38205.64583</v>
      </c>
      <c r="C87" s="2">
        <f>IFERROR(__xludf.DUMMYFUNCTION("""COMPUTED_VALUE"""),36.8)</f>
        <v>36.8</v>
      </c>
    </row>
    <row r="88" ht="15.75" customHeight="1">
      <c r="B88" s="3">
        <f>IFERROR(__xludf.DUMMYFUNCTION("""COMPUTED_VALUE"""),38212.645833333336)</f>
        <v>38212.64583</v>
      </c>
      <c r="C88" s="2">
        <f>IFERROR(__xludf.DUMMYFUNCTION("""COMPUTED_VALUE"""),37.4)</f>
        <v>37.4</v>
      </c>
    </row>
    <row r="89" ht="15.75" customHeight="1">
      <c r="B89" s="3">
        <f>IFERROR(__xludf.DUMMYFUNCTION("""COMPUTED_VALUE"""),38219.645833333336)</f>
        <v>38219.64583</v>
      </c>
      <c r="C89" s="2">
        <f>IFERROR(__xludf.DUMMYFUNCTION("""COMPUTED_VALUE"""),36.9)</f>
        <v>36.9</v>
      </c>
    </row>
    <row r="90" ht="15.75" customHeight="1">
      <c r="B90" s="3">
        <f>IFERROR(__xludf.DUMMYFUNCTION("""COMPUTED_VALUE"""),38226.645833333336)</f>
        <v>38226.64583</v>
      </c>
      <c r="C90" s="2">
        <f>IFERROR(__xludf.DUMMYFUNCTION("""COMPUTED_VALUE"""),37.75)</f>
        <v>37.75</v>
      </c>
    </row>
    <row r="91" ht="15.75" customHeight="1">
      <c r="B91" s="3">
        <f>IFERROR(__xludf.DUMMYFUNCTION("""COMPUTED_VALUE"""),38233.645833333336)</f>
        <v>38233.64583</v>
      </c>
      <c r="C91" s="2">
        <f>IFERROR(__xludf.DUMMYFUNCTION("""COMPUTED_VALUE"""),38.49)</f>
        <v>38.49</v>
      </c>
    </row>
    <row r="92" ht="15.75" customHeight="1">
      <c r="B92" s="3">
        <f>IFERROR(__xludf.DUMMYFUNCTION("""COMPUTED_VALUE"""),38240.645833333336)</f>
        <v>38240.64583</v>
      </c>
      <c r="C92" s="2">
        <f>IFERROR(__xludf.DUMMYFUNCTION("""COMPUTED_VALUE"""),40.38)</f>
        <v>40.38</v>
      </c>
    </row>
    <row r="93" ht="15.75" customHeight="1">
      <c r="B93" s="3">
        <f>IFERROR(__xludf.DUMMYFUNCTION("""COMPUTED_VALUE"""),38247.645833333336)</f>
        <v>38247.64583</v>
      </c>
      <c r="C93" s="2">
        <f>IFERROR(__xludf.DUMMYFUNCTION("""COMPUTED_VALUE"""),40.95)</f>
        <v>40.95</v>
      </c>
    </row>
    <row r="94" ht="15.75" customHeight="1">
      <c r="B94" s="3">
        <f>IFERROR(__xludf.DUMMYFUNCTION("""COMPUTED_VALUE"""),38254.645833333336)</f>
        <v>38254.64583</v>
      </c>
      <c r="C94" s="2">
        <f>IFERROR(__xludf.DUMMYFUNCTION("""COMPUTED_VALUE"""),42.5)</f>
        <v>42.5</v>
      </c>
    </row>
    <row r="95" ht="15.75" customHeight="1">
      <c r="B95" s="3">
        <f>IFERROR(__xludf.DUMMYFUNCTION("""COMPUTED_VALUE"""),38261.645833333336)</f>
        <v>38261.64583</v>
      </c>
      <c r="C95" s="2">
        <f>IFERROR(__xludf.DUMMYFUNCTION("""COMPUTED_VALUE"""),44.13)</f>
        <v>44.13</v>
      </c>
    </row>
    <row r="96" ht="15.75" customHeight="1">
      <c r="B96" s="3">
        <f>IFERROR(__xludf.DUMMYFUNCTION("""COMPUTED_VALUE"""),38275.645833333336)</f>
        <v>38275.64583</v>
      </c>
      <c r="C96" s="2">
        <f>IFERROR(__xludf.DUMMYFUNCTION("""COMPUTED_VALUE"""),45.78)</f>
        <v>45.78</v>
      </c>
    </row>
    <row r="97" ht="15.75" customHeight="1">
      <c r="B97" s="3">
        <f>IFERROR(__xludf.DUMMYFUNCTION("""COMPUTED_VALUE"""),38281.645833333336)</f>
        <v>38281.64583</v>
      </c>
      <c r="C97" s="2">
        <f>IFERROR(__xludf.DUMMYFUNCTION("""COMPUTED_VALUE"""),44.23)</f>
        <v>44.23</v>
      </c>
    </row>
    <row r="98" ht="15.75" customHeight="1">
      <c r="B98" s="3">
        <f>IFERROR(__xludf.DUMMYFUNCTION("""COMPUTED_VALUE"""),38289.645833333336)</f>
        <v>38289.64583</v>
      </c>
      <c r="C98" s="2">
        <f>IFERROR(__xludf.DUMMYFUNCTION("""COMPUTED_VALUE"""),43.99)</f>
        <v>43.99</v>
      </c>
    </row>
    <row r="99" ht="15.75" customHeight="1">
      <c r="B99" s="3">
        <f>IFERROR(__xludf.DUMMYFUNCTION("""COMPUTED_VALUE"""),38296.645833333336)</f>
        <v>38296.64583</v>
      </c>
      <c r="C99" s="2">
        <f>IFERROR(__xludf.DUMMYFUNCTION("""COMPUTED_VALUE"""),43.91)</f>
        <v>43.91</v>
      </c>
    </row>
    <row r="100" ht="15.75" customHeight="1">
      <c r="B100" s="3">
        <f>IFERROR(__xludf.DUMMYFUNCTION("""COMPUTED_VALUE"""),38303.645833333336)</f>
        <v>38303.64583</v>
      </c>
      <c r="C100" s="2">
        <f>IFERROR(__xludf.DUMMYFUNCTION("""COMPUTED_VALUE"""),44.0)</f>
        <v>44</v>
      </c>
    </row>
    <row r="101" ht="15.75" customHeight="1">
      <c r="B101" s="3">
        <f>IFERROR(__xludf.DUMMYFUNCTION("""COMPUTED_VALUE"""),38310.645833333336)</f>
        <v>38310.64583</v>
      </c>
      <c r="C101" s="2">
        <f>IFERROR(__xludf.DUMMYFUNCTION("""COMPUTED_VALUE"""),44.03)</f>
        <v>44.03</v>
      </c>
    </row>
    <row r="102" ht="15.75" customHeight="1">
      <c r="B102" s="3">
        <f>IFERROR(__xludf.DUMMYFUNCTION("""COMPUTED_VALUE"""),38316.645833333336)</f>
        <v>38316.64583</v>
      </c>
      <c r="C102" s="2">
        <f>IFERROR(__xludf.DUMMYFUNCTION("""COMPUTED_VALUE"""),46.63)</f>
        <v>46.63</v>
      </c>
    </row>
    <row r="103" ht="15.75" customHeight="1">
      <c r="B103" s="3">
        <f>IFERROR(__xludf.DUMMYFUNCTION("""COMPUTED_VALUE"""),38324.645833333336)</f>
        <v>38324.64583</v>
      </c>
      <c r="C103" s="2">
        <f>IFERROR(__xludf.DUMMYFUNCTION("""COMPUTED_VALUE"""),46.5)</f>
        <v>46.5</v>
      </c>
    </row>
    <row r="104" ht="15.75" customHeight="1">
      <c r="B104" s="3">
        <f>IFERROR(__xludf.DUMMYFUNCTION("""COMPUTED_VALUE"""),38331.645833333336)</f>
        <v>38331.64583</v>
      </c>
      <c r="C104" s="2">
        <f>IFERROR(__xludf.DUMMYFUNCTION("""COMPUTED_VALUE"""),47.0)</f>
        <v>47</v>
      </c>
    </row>
    <row r="105" ht="15.75" customHeight="1">
      <c r="B105" s="3">
        <f>IFERROR(__xludf.DUMMYFUNCTION("""COMPUTED_VALUE"""),38338.645833333336)</f>
        <v>38338.64583</v>
      </c>
      <c r="C105" s="2">
        <f>IFERROR(__xludf.DUMMYFUNCTION("""COMPUTED_VALUE"""),46.53)</f>
        <v>46.53</v>
      </c>
    </row>
    <row r="106" ht="15.75" customHeight="1">
      <c r="B106" s="3">
        <f>IFERROR(__xludf.DUMMYFUNCTION("""COMPUTED_VALUE"""),38345.645833333336)</f>
        <v>38345.64583</v>
      </c>
      <c r="C106" s="2">
        <f>IFERROR(__xludf.DUMMYFUNCTION("""COMPUTED_VALUE"""),48.08)</f>
        <v>48.08</v>
      </c>
    </row>
    <row r="107" ht="15.75" customHeight="1">
      <c r="B107" s="3">
        <f>IFERROR(__xludf.DUMMYFUNCTION("""COMPUTED_VALUE"""),38352.645833333336)</f>
        <v>38352.64583</v>
      </c>
      <c r="C107" s="2">
        <f>IFERROR(__xludf.DUMMYFUNCTION("""COMPUTED_VALUE"""),51.11)</f>
        <v>51.11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IFERROR(__xludf.DUMMYFUNCTION("GOOGLEFINANCE(""NSE:NATIONALUM"", ""high"",DATE(2005,1,1),DATE(2006,1,1),""weekly"")"),"Date")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IFERROR(__xludf.DUMMYFUNCTION("""COMPUTED_VALUE"""),38359.645833333336)</f>
        <v>38359.64583</v>
      </c>
      <c r="C112" s="2">
        <f>IFERROR(__xludf.DUMMYFUNCTION("""COMPUTED_VALUE"""),52.23)</f>
        <v>52.23</v>
      </c>
    </row>
    <row r="113" ht="15.75" customHeight="1">
      <c r="B113" s="3">
        <f>IFERROR(__xludf.DUMMYFUNCTION("""COMPUTED_VALUE"""),38366.645833333336)</f>
        <v>38366.64583</v>
      </c>
      <c r="C113" s="2">
        <f>IFERROR(__xludf.DUMMYFUNCTION("""COMPUTED_VALUE"""),45.8)</f>
        <v>45.8</v>
      </c>
    </row>
    <row r="114" ht="15.75" customHeight="1">
      <c r="B114" s="3">
        <f>IFERROR(__xludf.DUMMYFUNCTION("""COMPUTED_VALUE"""),38372.645833333336)</f>
        <v>38372.64583</v>
      </c>
      <c r="C114" s="2">
        <f>IFERROR(__xludf.DUMMYFUNCTION("""COMPUTED_VALUE"""),42.24)</f>
        <v>42.24</v>
      </c>
    </row>
    <row r="115" ht="15.75" customHeight="1">
      <c r="B115" s="3">
        <f>IFERROR(__xludf.DUMMYFUNCTION("""COMPUTED_VALUE"""),38380.645833333336)</f>
        <v>38380.64583</v>
      </c>
      <c r="C115" s="2">
        <f>IFERROR(__xludf.DUMMYFUNCTION("""COMPUTED_VALUE"""),44.38)</f>
        <v>44.38</v>
      </c>
    </row>
    <row r="116" ht="15.75" customHeight="1">
      <c r="B116" s="3">
        <f>IFERROR(__xludf.DUMMYFUNCTION("""COMPUTED_VALUE"""),38387.645833333336)</f>
        <v>38387.64583</v>
      </c>
      <c r="C116" s="2">
        <f>IFERROR(__xludf.DUMMYFUNCTION("""COMPUTED_VALUE"""),46.3)</f>
        <v>46.3</v>
      </c>
    </row>
    <row r="117" ht="15.75" customHeight="1">
      <c r="B117" s="3">
        <f>IFERROR(__xludf.DUMMYFUNCTION("""COMPUTED_VALUE"""),38394.645833333336)</f>
        <v>38394.64583</v>
      </c>
      <c r="C117" s="2">
        <f>IFERROR(__xludf.DUMMYFUNCTION("""COMPUTED_VALUE"""),45.63)</f>
        <v>45.63</v>
      </c>
    </row>
    <row r="118" ht="15.75" customHeight="1">
      <c r="B118" s="3">
        <f>IFERROR(__xludf.DUMMYFUNCTION("""COMPUTED_VALUE"""),38401.645833333336)</f>
        <v>38401.64583</v>
      </c>
      <c r="C118" s="2">
        <f>IFERROR(__xludf.DUMMYFUNCTION("""COMPUTED_VALUE"""),45.88)</f>
        <v>45.88</v>
      </c>
    </row>
    <row r="119" ht="15.75" customHeight="1">
      <c r="B119" s="3">
        <f>IFERROR(__xludf.DUMMYFUNCTION("""COMPUTED_VALUE"""),38408.645833333336)</f>
        <v>38408.64583</v>
      </c>
      <c r="C119" s="2">
        <f>IFERROR(__xludf.DUMMYFUNCTION("""COMPUTED_VALUE"""),44.5)</f>
        <v>44.5</v>
      </c>
    </row>
    <row r="120" ht="15.75" customHeight="1">
      <c r="B120" s="3">
        <f>IFERROR(__xludf.DUMMYFUNCTION("""COMPUTED_VALUE"""),38415.645833333336)</f>
        <v>38415.64583</v>
      </c>
      <c r="C120" s="2">
        <f>IFERROR(__xludf.DUMMYFUNCTION("""COMPUTED_VALUE"""),44.49)</f>
        <v>44.49</v>
      </c>
    </row>
    <row r="121" ht="15.75" customHeight="1">
      <c r="B121" s="3">
        <f>IFERROR(__xludf.DUMMYFUNCTION("""COMPUTED_VALUE"""),38422.645833333336)</f>
        <v>38422.64583</v>
      </c>
      <c r="C121" s="2">
        <f>IFERROR(__xludf.DUMMYFUNCTION("""COMPUTED_VALUE"""),48.48)</f>
        <v>48.48</v>
      </c>
    </row>
    <row r="122" ht="15.75" customHeight="1">
      <c r="B122" s="3">
        <f>IFERROR(__xludf.DUMMYFUNCTION("""COMPUTED_VALUE"""),38429.645833333336)</f>
        <v>38429.64583</v>
      </c>
      <c r="C122" s="2">
        <f>IFERROR(__xludf.DUMMYFUNCTION("""COMPUTED_VALUE"""),48.5)</f>
        <v>48.5</v>
      </c>
    </row>
    <row r="123" ht="15.75" customHeight="1">
      <c r="B123" s="3">
        <f>IFERROR(__xludf.DUMMYFUNCTION("""COMPUTED_VALUE"""),38435.645833333336)</f>
        <v>38435.64583</v>
      </c>
      <c r="C123" s="2">
        <f>IFERROR(__xludf.DUMMYFUNCTION("""COMPUTED_VALUE"""),46.48)</f>
        <v>46.48</v>
      </c>
    </row>
    <row r="124" ht="15.75" customHeight="1">
      <c r="B124" s="3">
        <f>IFERROR(__xludf.DUMMYFUNCTION("""COMPUTED_VALUE"""),38443.645833333336)</f>
        <v>38443.64583</v>
      </c>
      <c r="C124" s="2">
        <f>IFERROR(__xludf.DUMMYFUNCTION("""COMPUTED_VALUE"""),45.35)</f>
        <v>45.35</v>
      </c>
    </row>
    <row r="125" ht="15.75" customHeight="1">
      <c r="B125" s="3">
        <f>IFERROR(__xludf.DUMMYFUNCTION("""COMPUTED_VALUE"""),38450.645833333336)</f>
        <v>38450.64583</v>
      </c>
      <c r="C125" s="2">
        <f>IFERROR(__xludf.DUMMYFUNCTION("""COMPUTED_VALUE"""),45.63)</f>
        <v>45.63</v>
      </c>
    </row>
    <row r="126" ht="15.75" customHeight="1">
      <c r="B126" s="3">
        <f>IFERROR(__xludf.DUMMYFUNCTION("""COMPUTED_VALUE"""),38457.645833333336)</f>
        <v>38457.64583</v>
      </c>
      <c r="C126" s="2">
        <f>IFERROR(__xludf.DUMMYFUNCTION("""COMPUTED_VALUE"""),43.5)</f>
        <v>43.5</v>
      </c>
    </row>
    <row r="127" ht="15.75" customHeight="1">
      <c r="B127" s="3">
        <f>IFERROR(__xludf.DUMMYFUNCTION("""COMPUTED_VALUE"""),38464.645833333336)</f>
        <v>38464.64583</v>
      </c>
      <c r="C127" s="2">
        <f>IFERROR(__xludf.DUMMYFUNCTION("""COMPUTED_VALUE"""),41.25)</f>
        <v>41.25</v>
      </c>
    </row>
    <row r="128" ht="15.75" customHeight="1">
      <c r="B128" s="3">
        <f>IFERROR(__xludf.DUMMYFUNCTION("""COMPUTED_VALUE"""),38471.645833333336)</f>
        <v>38471.64583</v>
      </c>
      <c r="C128" s="2">
        <f>IFERROR(__xludf.DUMMYFUNCTION("""COMPUTED_VALUE"""),40.49)</f>
        <v>40.49</v>
      </c>
    </row>
    <row r="129" ht="15.75" customHeight="1">
      <c r="B129" s="3">
        <f>IFERROR(__xludf.DUMMYFUNCTION("""COMPUTED_VALUE"""),38478.645833333336)</f>
        <v>38478.64583</v>
      </c>
      <c r="C129" s="2">
        <f>IFERROR(__xludf.DUMMYFUNCTION("""COMPUTED_VALUE"""),37.99)</f>
        <v>37.99</v>
      </c>
    </row>
    <row r="130" ht="15.75" customHeight="1">
      <c r="B130" s="3">
        <f>IFERROR(__xludf.DUMMYFUNCTION("""COMPUTED_VALUE"""),38485.645833333336)</f>
        <v>38485.64583</v>
      </c>
      <c r="C130" s="2">
        <f>IFERROR(__xludf.DUMMYFUNCTION("""COMPUTED_VALUE"""),38.38)</f>
        <v>38.38</v>
      </c>
    </row>
    <row r="131" ht="15.75" customHeight="1">
      <c r="B131" s="3">
        <f>IFERROR(__xludf.DUMMYFUNCTION("""COMPUTED_VALUE"""),38492.645833333336)</f>
        <v>38492.64583</v>
      </c>
      <c r="C131" s="2">
        <f>IFERROR(__xludf.DUMMYFUNCTION("""COMPUTED_VALUE"""),37.88)</f>
        <v>37.88</v>
      </c>
    </row>
    <row r="132" ht="15.75" customHeight="1">
      <c r="B132" s="3">
        <f>IFERROR(__xludf.DUMMYFUNCTION("""COMPUTED_VALUE"""),38499.645833333336)</f>
        <v>38499.64583</v>
      </c>
      <c r="C132" s="2">
        <f>IFERROR(__xludf.DUMMYFUNCTION("""COMPUTED_VALUE"""),37.88)</f>
        <v>37.88</v>
      </c>
    </row>
    <row r="133" ht="15.75" customHeight="1">
      <c r="B133" s="3">
        <f>IFERROR(__xludf.DUMMYFUNCTION("""COMPUTED_VALUE"""),38513.645833333336)</f>
        <v>38513.64583</v>
      </c>
      <c r="C133" s="2">
        <f>IFERROR(__xludf.DUMMYFUNCTION("""COMPUTED_VALUE"""),37.94)</f>
        <v>37.94</v>
      </c>
    </row>
    <row r="134" ht="15.75" customHeight="1">
      <c r="B134" s="3">
        <f>IFERROR(__xludf.DUMMYFUNCTION("""COMPUTED_VALUE"""),38520.645833333336)</f>
        <v>38520.64583</v>
      </c>
      <c r="C134" s="2">
        <f>IFERROR(__xludf.DUMMYFUNCTION("""COMPUTED_VALUE"""),37.48)</f>
        <v>37.48</v>
      </c>
    </row>
    <row r="135" ht="15.75" customHeight="1">
      <c r="B135" s="3">
        <f>IFERROR(__xludf.DUMMYFUNCTION("""COMPUTED_VALUE"""),38527.645833333336)</f>
        <v>38527.64583</v>
      </c>
      <c r="C135" s="2">
        <f>IFERROR(__xludf.DUMMYFUNCTION("""COMPUTED_VALUE"""),36.65)</f>
        <v>36.65</v>
      </c>
    </row>
    <row r="136" ht="15.75" customHeight="1">
      <c r="B136" s="3">
        <f>IFERROR(__xludf.DUMMYFUNCTION("""COMPUTED_VALUE"""),38534.645833333336)</f>
        <v>38534.64583</v>
      </c>
      <c r="C136" s="2">
        <f>IFERROR(__xludf.DUMMYFUNCTION("""COMPUTED_VALUE"""),36.13)</f>
        <v>36.13</v>
      </c>
    </row>
    <row r="137" ht="15.75" customHeight="1">
      <c r="B137" s="3">
        <f>IFERROR(__xludf.DUMMYFUNCTION("""COMPUTED_VALUE"""),38541.645833333336)</f>
        <v>38541.64583</v>
      </c>
      <c r="C137" s="2">
        <f>IFERROR(__xludf.DUMMYFUNCTION("""COMPUTED_VALUE"""),36.75)</f>
        <v>36.75</v>
      </c>
    </row>
    <row r="138" ht="15.75" customHeight="1">
      <c r="B138" s="3">
        <f>IFERROR(__xludf.DUMMYFUNCTION("""COMPUTED_VALUE"""),38548.645833333336)</f>
        <v>38548.64583</v>
      </c>
      <c r="C138" s="2">
        <f>IFERROR(__xludf.DUMMYFUNCTION("""COMPUTED_VALUE"""),39.17)</f>
        <v>39.17</v>
      </c>
    </row>
    <row r="139" ht="15.75" customHeight="1">
      <c r="B139" s="3">
        <f>IFERROR(__xludf.DUMMYFUNCTION("""COMPUTED_VALUE"""),38555.645833333336)</f>
        <v>38555.64583</v>
      </c>
      <c r="C139" s="2">
        <f>IFERROR(__xludf.DUMMYFUNCTION("""COMPUTED_VALUE"""),41.0)</f>
        <v>41</v>
      </c>
    </row>
    <row r="140" ht="15.75" customHeight="1">
      <c r="B140" s="3">
        <f>IFERROR(__xludf.DUMMYFUNCTION("""COMPUTED_VALUE"""),38562.645833333336)</f>
        <v>38562.64583</v>
      </c>
      <c r="C140" s="2">
        <f>IFERROR(__xludf.DUMMYFUNCTION("""COMPUTED_VALUE"""),41.0)</f>
        <v>41</v>
      </c>
    </row>
    <row r="141" ht="15.75" customHeight="1">
      <c r="B141" s="3">
        <f>IFERROR(__xludf.DUMMYFUNCTION("""COMPUTED_VALUE"""),38569.645833333336)</f>
        <v>38569.64583</v>
      </c>
      <c r="C141" s="2">
        <f>IFERROR(__xludf.DUMMYFUNCTION("""COMPUTED_VALUE"""),42.19)</f>
        <v>42.19</v>
      </c>
    </row>
    <row r="142" ht="15.75" customHeight="1">
      <c r="B142" s="3">
        <f>IFERROR(__xludf.DUMMYFUNCTION("""COMPUTED_VALUE"""),38576.645833333336)</f>
        <v>38576.64583</v>
      </c>
      <c r="C142" s="2">
        <f>IFERROR(__xludf.DUMMYFUNCTION("""COMPUTED_VALUE"""),42.6)</f>
        <v>42.6</v>
      </c>
    </row>
    <row r="143" ht="15.75" customHeight="1">
      <c r="B143" s="3">
        <f>IFERROR(__xludf.DUMMYFUNCTION("""COMPUTED_VALUE"""),38583.645833333336)</f>
        <v>38583.64583</v>
      </c>
      <c r="C143" s="2">
        <f>IFERROR(__xludf.DUMMYFUNCTION("""COMPUTED_VALUE"""),43.46)</f>
        <v>43.46</v>
      </c>
    </row>
    <row r="144" ht="15.75" customHeight="1">
      <c r="B144" s="3">
        <f>IFERROR(__xludf.DUMMYFUNCTION("""COMPUTED_VALUE"""),38590.645833333336)</f>
        <v>38590.64583</v>
      </c>
      <c r="C144" s="2">
        <f>IFERROR(__xludf.DUMMYFUNCTION("""COMPUTED_VALUE"""),43.0)</f>
        <v>43</v>
      </c>
    </row>
    <row r="145" ht="15.75" customHeight="1">
      <c r="B145" s="3">
        <f>IFERROR(__xludf.DUMMYFUNCTION("""COMPUTED_VALUE"""),38597.645833333336)</f>
        <v>38597.64583</v>
      </c>
      <c r="C145" s="2">
        <f>IFERROR(__xludf.DUMMYFUNCTION("""COMPUTED_VALUE"""),43.73)</f>
        <v>43.73</v>
      </c>
    </row>
    <row r="146" ht="15.75" customHeight="1">
      <c r="B146" s="3">
        <f>IFERROR(__xludf.DUMMYFUNCTION("""COMPUTED_VALUE"""),38604.645833333336)</f>
        <v>38604.64583</v>
      </c>
      <c r="C146" s="2">
        <f>IFERROR(__xludf.DUMMYFUNCTION("""COMPUTED_VALUE"""),45.0)</f>
        <v>45</v>
      </c>
    </row>
    <row r="147" ht="15.75" customHeight="1">
      <c r="B147" s="3">
        <f>IFERROR(__xludf.DUMMYFUNCTION("""COMPUTED_VALUE"""),38611.645833333336)</f>
        <v>38611.64583</v>
      </c>
      <c r="C147" s="2">
        <f>IFERROR(__xludf.DUMMYFUNCTION("""COMPUTED_VALUE"""),46.48)</f>
        <v>46.48</v>
      </c>
    </row>
    <row r="148" ht="15.75" customHeight="1">
      <c r="B148" s="3">
        <f>IFERROR(__xludf.DUMMYFUNCTION("""COMPUTED_VALUE"""),38618.645833333336)</f>
        <v>38618.64583</v>
      </c>
      <c r="C148" s="2">
        <f>IFERROR(__xludf.DUMMYFUNCTION("""COMPUTED_VALUE"""),45.73)</f>
        <v>45.73</v>
      </c>
    </row>
    <row r="149" ht="15.75" customHeight="1">
      <c r="B149" s="3">
        <f>IFERROR(__xludf.DUMMYFUNCTION("""COMPUTED_VALUE"""),38625.645833333336)</f>
        <v>38625.64583</v>
      </c>
      <c r="C149" s="2">
        <f>IFERROR(__xludf.DUMMYFUNCTION("""COMPUTED_VALUE"""),46.0)</f>
        <v>46</v>
      </c>
    </row>
    <row r="150" ht="15.75" customHeight="1">
      <c r="B150" s="3">
        <f>IFERROR(__xludf.DUMMYFUNCTION("""COMPUTED_VALUE"""),38632.645833333336)</f>
        <v>38632.64583</v>
      </c>
      <c r="C150" s="2">
        <f>IFERROR(__xludf.DUMMYFUNCTION("""COMPUTED_VALUE"""),46.0)</f>
        <v>46</v>
      </c>
    </row>
    <row r="151" ht="15.75" customHeight="1">
      <c r="B151" s="3">
        <f>IFERROR(__xludf.DUMMYFUNCTION("""COMPUTED_VALUE"""),38639.645833333336)</f>
        <v>38639.64583</v>
      </c>
      <c r="C151" s="2">
        <f>IFERROR(__xludf.DUMMYFUNCTION("""COMPUTED_VALUE"""),43.73)</f>
        <v>43.73</v>
      </c>
    </row>
    <row r="152" ht="15.75" customHeight="1">
      <c r="B152" s="3">
        <f>IFERROR(__xludf.DUMMYFUNCTION("""COMPUTED_VALUE"""),38646.645833333336)</f>
        <v>38646.64583</v>
      </c>
      <c r="C152" s="2">
        <f>IFERROR(__xludf.DUMMYFUNCTION("""COMPUTED_VALUE"""),44.25)</f>
        <v>44.25</v>
      </c>
    </row>
    <row r="153" ht="15.75" customHeight="1">
      <c r="B153" s="3">
        <f>IFERROR(__xludf.DUMMYFUNCTION("""COMPUTED_VALUE"""),38653.645833333336)</f>
        <v>38653.64583</v>
      </c>
      <c r="C153" s="2">
        <f>IFERROR(__xludf.DUMMYFUNCTION("""COMPUTED_VALUE"""),44.0)</f>
        <v>44</v>
      </c>
    </row>
    <row r="154" ht="15.75" customHeight="1">
      <c r="B154" s="3">
        <f>IFERROR(__xludf.DUMMYFUNCTION("""COMPUTED_VALUE"""),38658.645833333336)</f>
        <v>38658.64583</v>
      </c>
      <c r="C154" s="2">
        <f>IFERROR(__xludf.DUMMYFUNCTION("""COMPUTED_VALUE"""),42.6)</f>
        <v>42.6</v>
      </c>
    </row>
    <row r="155" ht="15.75" customHeight="1">
      <c r="B155" s="3">
        <f>IFERROR(__xludf.DUMMYFUNCTION("""COMPUTED_VALUE"""),38667.645833333336)</f>
        <v>38667.64583</v>
      </c>
      <c r="C155" s="2">
        <f>IFERROR(__xludf.DUMMYFUNCTION("""COMPUTED_VALUE"""),47.11)</f>
        <v>47.11</v>
      </c>
    </row>
    <row r="156" ht="15.75" customHeight="1">
      <c r="B156" s="3">
        <f>IFERROR(__xludf.DUMMYFUNCTION("""COMPUTED_VALUE"""),38674.645833333336)</f>
        <v>38674.64583</v>
      </c>
      <c r="C156" s="2">
        <f>IFERROR(__xludf.DUMMYFUNCTION("""COMPUTED_VALUE"""),48.23)</f>
        <v>48.23</v>
      </c>
    </row>
    <row r="157" ht="15.75" customHeight="1">
      <c r="B157" s="3">
        <f>IFERROR(__xludf.DUMMYFUNCTION("""COMPUTED_VALUE"""),38688.645833333336)</f>
        <v>38688.64583</v>
      </c>
      <c r="C157" s="2">
        <f>IFERROR(__xludf.DUMMYFUNCTION("""COMPUTED_VALUE"""),54.25)</f>
        <v>54.25</v>
      </c>
    </row>
    <row r="158" ht="15.75" customHeight="1">
      <c r="B158" s="3">
        <f>IFERROR(__xludf.DUMMYFUNCTION("""COMPUTED_VALUE"""),38695.645833333336)</f>
        <v>38695.64583</v>
      </c>
      <c r="C158" s="2">
        <f>IFERROR(__xludf.DUMMYFUNCTION("""COMPUTED_VALUE"""),52.78)</f>
        <v>52.78</v>
      </c>
    </row>
    <row r="159" ht="15.75" customHeight="1">
      <c r="B159" s="3">
        <f>IFERROR(__xludf.DUMMYFUNCTION("""COMPUTED_VALUE"""),38702.645833333336)</f>
        <v>38702.64583</v>
      </c>
      <c r="C159" s="2">
        <f>IFERROR(__xludf.DUMMYFUNCTION("""COMPUTED_VALUE"""),57.99)</f>
        <v>57.99</v>
      </c>
    </row>
    <row r="160" ht="15.75" customHeight="1">
      <c r="B160" s="3">
        <f>IFERROR(__xludf.DUMMYFUNCTION("""COMPUTED_VALUE"""),38709.645833333336)</f>
        <v>38709.64583</v>
      </c>
      <c r="C160" s="2">
        <f>IFERROR(__xludf.DUMMYFUNCTION("""COMPUTED_VALUE"""),57.49)</f>
        <v>57.49</v>
      </c>
    </row>
    <row r="161" ht="15.75" customHeight="1">
      <c r="B161" s="3">
        <f>IFERROR(__xludf.DUMMYFUNCTION("""COMPUTED_VALUE"""),38716.645833333336)</f>
        <v>38716.64583</v>
      </c>
      <c r="C161" s="2">
        <f>IFERROR(__xludf.DUMMYFUNCTION("""COMPUTED_VALUE"""),55.73)</f>
        <v>55.73</v>
      </c>
    </row>
    <row r="162" ht="15.75" customHeight="1"/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IFERROR(__xludf.DUMMYFUNCTION("GOOGLEFINANCE(""NSE:NATIONALUM"", ""high"",DATE(2006,1,1),DATE(2007,1,1),""weekly"")"),"Date")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IFERROR(__xludf.DUMMYFUNCTION("""COMPUTED_VALUE"""),38723.645833333336)</f>
        <v>38723.64583</v>
      </c>
      <c r="C167" s="2">
        <f>IFERROR(__xludf.DUMMYFUNCTION("""COMPUTED_VALUE"""),60.25)</f>
        <v>60.25</v>
      </c>
    </row>
    <row r="168" ht="15.75" customHeight="1">
      <c r="B168" s="3">
        <f>IFERROR(__xludf.DUMMYFUNCTION("""COMPUTED_VALUE"""),38730.645833333336)</f>
        <v>38730.64583</v>
      </c>
      <c r="C168" s="2">
        <f>IFERROR(__xludf.DUMMYFUNCTION("""COMPUTED_VALUE"""),62.5)</f>
        <v>62.5</v>
      </c>
    </row>
    <row r="169" ht="15.75" customHeight="1">
      <c r="B169" s="3">
        <f>IFERROR(__xludf.DUMMYFUNCTION("""COMPUTED_VALUE"""),38737.645833333336)</f>
        <v>38737.64583</v>
      </c>
      <c r="C169" s="2">
        <f>IFERROR(__xludf.DUMMYFUNCTION("""COMPUTED_VALUE"""),60.5)</f>
        <v>60.5</v>
      </c>
    </row>
    <row r="170" ht="15.75" customHeight="1">
      <c r="B170" s="3">
        <f>IFERROR(__xludf.DUMMYFUNCTION("""COMPUTED_VALUE"""),38744.645833333336)</f>
        <v>38744.64583</v>
      </c>
      <c r="C170" s="2">
        <f>IFERROR(__xludf.DUMMYFUNCTION("""COMPUTED_VALUE"""),64.0)</f>
        <v>64</v>
      </c>
    </row>
    <row r="171" ht="15.75" customHeight="1">
      <c r="B171" s="3">
        <f>IFERROR(__xludf.DUMMYFUNCTION("""COMPUTED_VALUE"""),38751.645833333336)</f>
        <v>38751.64583</v>
      </c>
      <c r="C171" s="2">
        <f>IFERROR(__xludf.DUMMYFUNCTION("""COMPUTED_VALUE"""),77.6)</f>
        <v>77.6</v>
      </c>
    </row>
    <row r="172" ht="15.75" customHeight="1">
      <c r="B172" s="3">
        <f>IFERROR(__xludf.DUMMYFUNCTION("""COMPUTED_VALUE"""),38758.645833333336)</f>
        <v>38758.64583</v>
      </c>
      <c r="C172" s="2">
        <f>IFERROR(__xludf.DUMMYFUNCTION("""COMPUTED_VALUE"""),76.35)</f>
        <v>76.35</v>
      </c>
    </row>
    <row r="173" ht="15.75" customHeight="1">
      <c r="B173" s="3">
        <f>IFERROR(__xludf.DUMMYFUNCTION("""COMPUTED_VALUE"""),38765.645833333336)</f>
        <v>38765.64583</v>
      </c>
      <c r="C173" s="2">
        <f>IFERROR(__xludf.DUMMYFUNCTION("""COMPUTED_VALUE"""),74.5)</f>
        <v>74.5</v>
      </c>
    </row>
    <row r="174" ht="15.75" customHeight="1">
      <c r="B174" s="3">
        <f>IFERROR(__xludf.DUMMYFUNCTION("""COMPUTED_VALUE"""),38772.645833333336)</f>
        <v>38772.64583</v>
      </c>
      <c r="C174" s="2">
        <f>IFERROR(__xludf.DUMMYFUNCTION("""COMPUTED_VALUE"""),75.25)</f>
        <v>75.25</v>
      </c>
    </row>
    <row r="175" ht="15.75" customHeight="1">
      <c r="B175" s="3">
        <f>IFERROR(__xludf.DUMMYFUNCTION("""COMPUTED_VALUE"""),38779.645833333336)</f>
        <v>38779.64583</v>
      </c>
      <c r="C175" s="2">
        <f>IFERROR(__xludf.DUMMYFUNCTION("""COMPUTED_VALUE"""),73.13)</f>
        <v>73.13</v>
      </c>
    </row>
    <row r="176" ht="15.75" customHeight="1">
      <c r="B176" s="3">
        <f>IFERROR(__xludf.DUMMYFUNCTION("""COMPUTED_VALUE"""),38786.645833333336)</f>
        <v>38786.64583</v>
      </c>
      <c r="C176" s="2">
        <f>IFERROR(__xludf.DUMMYFUNCTION("""COMPUTED_VALUE"""),74.47)</f>
        <v>74.47</v>
      </c>
    </row>
    <row r="177" ht="15.75" customHeight="1">
      <c r="B177" s="3">
        <f>IFERROR(__xludf.DUMMYFUNCTION("""COMPUTED_VALUE"""),38793.645833333336)</f>
        <v>38793.64583</v>
      </c>
      <c r="C177" s="2">
        <f>IFERROR(__xludf.DUMMYFUNCTION("""COMPUTED_VALUE"""),71.11)</f>
        <v>71.11</v>
      </c>
    </row>
    <row r="178" ht="15.75" customHeight="1">
      <c r="B178" s="3">
        <f>IFERROR(__xludf.DUMMYFUNCTION("""COMPUTED_VALUE"""),38800.645833333336)</f>
        <v>38800.64583</v>
      </c>
      <c r="C178" s="2">
        <f>IFERROR(__xludf.DUMMYFUNCTION("""COMPUTED_VALUE"""),69.5)</f>
        <v>69.5</v>
      </c>
    </row>
    <row r="179" ht="15.75" customHeight="1">
      <c r="B179" s="3">
        <f>IFERROR(__xludf.DUMMYFUNCTION("""COMPUTED_VALUE"""),38807.645833333336)</f>
        <v>38807.64583</v>
      </c>
      <c r="C179" s="2">
        <f>IFERROR(__xludf.DUMMYFUNCTION("""COMPUTED_VALUE"""),76.28)</f>
        <v>76.28</v>
      </c>
    </row>
    <row r="180" ht="15.75" customHeight="1">
      <c r="B180" s="3">
        <f>IFERROR(__xludf.DUMMYFUNCTION("""COMPUTED_VALUE"""),38814.645833333336)</f>
        <v>38814.64583</v>
      </c>
      <c r="C180" s="2">
        <f>IFERROR(__xludf.DUMMYFUNCTION("""COMPUTED_VALUE"""),80.24)</f>
        <v>80.24</v>
      </c>
    </row>
    <row r="181" ht="15.75" customHeight="1">
      <c r="B181" s="3">
        <f>IFERROR(__xludf.DUMMYFUNCTION("""COMPUTED_VALUE"""),38820.645833333336)</f>
        <v>38820.64583</v>
      </c>
      <c r="C181" s="2">
        <f>IFERROR(__xludf.DUMMYFUNCTION("""COMPUTED_VALUE"""),80.47)</f>
        <v>80.47</v>
      </c>
    </row>
    <row r="182" ht="15.75" customHeight="1">
      <c r="B182" s="3">
        <f>IFERROR(__xludf.DUMMYFUNCTION("""COMPUTED_VALUE"""),38828.645833333336)</f>
        <v>38828.64583</v>
      </c>
      <c r="C182" s="2">
        <f>IFERROR(__xludf.DUMMYFUNCTION("""COMPUTED_VALUE"""),83.0)</f>
        <v>83</v>
      </c>
    </row>
    <row r="183" ht="15.75" customHeight="1">
      <c r="B183" s="3">
        <f>IFERROR(__xludf.DUMMYFUNCTION("""COMPUTED_VALUE"""),38842.645833333336)</f>
        <v>38842.64583</v>
      </c>
      <c r="C183" s="2">
        <f>IFERROR(__xludf.DUMMYFUNCTION("""COMPUTED_VALUE"""),83.25)</f>
        <v>83.25</v>
      </c>
    </row>
    <row r="184" ht="15.75" customHeight="1">
      <c r="B184" s="3">
        <f>IFERROR(__xludf.DUMMYFUNCTION("""COMPUTED_VALUE"""),38849.645833333336)</f>
        <v>38849.64583</v>
      </c>
      <c r="C184" s="2">
        <f>IFERROR(__xludf.DUMMYFUNCTION("""COMPUTED_VALUE"""),84.45)</f>
        <v>84.45</v>
      </c>
    </row>
    <row r="185" ht="15.75" customHeight="1">
      <c r="B185" s="3">
        <f>IFERROR(__xludf.DUMMYFUNCTION("""COMPUTED_VALUE"""),38856.645833333336)</f>
        <v>38856.64583</v>
      </c>
      <c r="C185" s="2">
        <f>IFERROR(__xludf.DUMMYFUNCTION("""COMPUTED_VALUE"""),82.0)</f>
        <v>82</v>
      </c>
    </row>
    <row r="186" ht="15.75" customHeight="1">
      <c r="B186" s="3">
        <f>IFERROR(__xludf.DUMMYFUNCTION("""COMPUTED_VALUE"""),38863.645833333336)</f>
        <v>38863.64583</v>
      </c>
      <c r="C186" s="2">
        <f>IFERROR(__xludf.DUMMYFUNCTION("""COMPUTED_VALUE"""),67.25)</f>
        <v>67.25</v>
      </c>
    </row>
    <row r="187" ht="15.75" customHeight="1">
      <c r="B187" s="3">
        <f>IFERROR(__xludf.DUMMYFUNCTION("""COMPUTED_VALUE"""),38870.645833333336)</f>
        <v>38870.64583</v>
      </c>
      <c r="C187" s="2">
        <f>IFERROR(__xludf.DUMMYFUNCTION("""COMPUTED_VALUE"""),65.71)</f>
        <v>65.71</v>
      </c>
    </row>
    <row r="188" ht="15.75" customHeight="1">
      <c r="B188" s="3">
        <f>IFERROR(__xludf.DUMMYFUNCTION("""COMPUTED_VALUE"""),38877.645833333336)</f>
        <v>38877.64583</v>
      </c>
      <c r="C188" s="2">
        <f>IFERROR(__xludf.DUMMYFUNCTION("""COMPUTED_VALUE"""),58.48)</f>
        <v>58.48</v>
      </c>
    </row>
    <row r="189" ht="15.75" customHeight="1">
      <c r="B189" s="3">
        <f>IFERROR(__xludf.DUMMYFUNCTION("""COMPUTED_VALUE"""),38884.645833333336)</f>
        <v>38884.64583</v>
      </c>
      <c r="C189" s="2">
        <f>IFERROR(__xludf.DUMMYFUNCTION("""COMPUTED_VALUE"""),59.5)</f>
        <v>59.5</v>
      </c>
    </row>
    <row r="190" ht="15.75" customHeight="1">
      <c r="B190" s="3">
        <f>IFERROR(__xludf.DUMMYFUNCTION("""COMPUTED_VALUE"""),38891.645833333336)</f>
        <v>38891.64583</v>
      </c>
      <c r="C190" s="2">
        <f>IFERROR(__xludf.DUMMYFUNCTION("""COMPUTED_VALUE"""),66.0)</f>
        <v>66</v>
      </c>
    </row>
    <row r="191" ht="15.75" customHeight="1">
      <c r="B191" s="3">
        <f>IFERROR(__xludf.DUMMYFUNCTION("""COMPUTED_VALUE"""),38898.645833333336)</f>
        <v>38898.64583</v>
      </c>
      <c r="C191" s="2">
        <f>IFERROR(__xludf.DUMMYFUNCTION("""COMPUTED_VALUE"""),59.68)</f>
        <v>59.68</v>
      </c>
    </row>
    <row r="192" ht="15.75" customHeight="1">
      <c r="B192" s="3">
        <f>IFERROR(__xludf.DUMMYFUNCTION("""COMPUTED_VALUE"""),38905.645833333336)</f>
        <v>38905.64583</v>
      </c>
      <c r="C192" s="2">
        <f>IFERROR(__xludf.DUMMYFUNCTION("""COMPUTED_VALUE"""),60.9)</f>
        <v>60.9</v>
      </c>
    </row>
    <row r="193" ht="15.75" customHeight="1">
      <c r="B193" s="3">
        <f>IFERROR(__xludf.DUMMYFUNCTION("""COMPUTED_VALUE"""),38912.645833333336)</f>
        <v>38912.64583</v>
      </c>
      <c r="C193" s="2">
        <f>IFERROR(__xludf.DUMMYFUNCTION("""COMPUTED_VALUE"""),55.63)</f>
        <v>55.63</v>
      </c>
    </row>
    <row r="194" ht="15.75" customHeight="1">
      <c r="B194" s="3">
        <f>IFERROR(__xludf.DUMMYFUNCTION("""COMPUTED_VALUE"""),38919.645833333336)</f>
        <v>38919.64583</v>
      </c>
      <c r="C194" s="2">
        <f>IFERROR(__xludf.DUMMYFUNCTION("""COMPUTED_VALUE"""),55.35)</f>
        <v>55.35</v>
      </c>
    </row>
    <row r="195" ht="15.75" customHeight="1">
      <c r="B195" s="3">
        <f>IFERROR(__xludf.DUMMYFUNCTION("""COMPUTED_VALUE"""),38926.645833333336)</f>
        <v>38926.64583</v>
      </c>
      <c r="C195" s="2">
        <f>IFERROR(__xludf.DUMMYFUNCTION("""COMPUTED_VALUE"""),54.98)</f>
        <v>54.98</v>
      </c>
    </row>
    <row r="196" ht="15.75" customHeight="1">
      <c r="B196" s="3">
        <f>IFERROR(__xludf.DUMMYFUNCTION("""COMPUTED_VALUE"""),38933.645833333336)</f>
        <v>38933.64583</v>
      </c>
      <c r="C196" s="2">
        <f>IFERROR(__xludf.DUMMYFUNCTION("""COMPUTED_VALUE"""),51.43)</f>
        <v>51.43</v>
      </c>
    </row>
    <row r="197" ht="15.75" customHeight="1">
      <c r="B197" s="3">
        <f>IFERROR(__xludf.DUMMYFUNCTION("""COMPUTED_VALUE"""),38940.645833333336)</f>
        <v>38940.64583</v>
      </c>
      <c r="C197" s="2">
        <f>IFERROR(__xludf.DUMMYFUNCTION("""COMPUTED_VALUE"""),52.5)</f>
        <v>52.5</v>
      </c>
    </row>
    <row r="198" ht="15.75" customHeight="1">
      <c r="B198" s="3">
        <f>IFERROR(__xludf.DUMMYFUNCTION("""COMPUTED_VALUE"""),38947.645833333336)</f>
        <v>38947.64583</v>
      </c>
      <c r="C198" s="2">
        <f>IFERROR(__xludf.DUMMYFUNCTION("""COMPUTED_VALUE"""),51.5)</f>
        <v>51.5</v>
      </c>
    </row>
    <row r="199" ht="15.75" customHeight="1">
      <c r="B199" s="3">
        <f>IFERROR(__xludf.DUMMYFUNCTION("""COMPUTED_VALUE"""),38954.645833333336)</f>
        <v>38954.64583</v>
      </c>
      <c r="C199" s="2">
        <f>IFERROR(__xludf.DUMMYFUNCTION("""COMPUTED_VALUE"""),51.25)</f>
        <v>51.25</v>
      </c>
    </row>
    <row r="200" ht="15.75" customHeight="1">
      <c r="B200" s="3">
        <f>IFERROR(__xludf.DUMMYFUNCTION("""COMPUTED_VALUE"""),38961.645833333336)</f>
        <v>38961.64583</v>
      </c>
      <c r="C200" s="2">
        <f>IFERROR(__xludf.DUMMYFUNCTION("""COMPUTED_VALUE"""),53.13)</f>
        <v>53.13</v>
      </c>
    </row>
    <row r="201" ht="15.75" customHeight="1">
      <c r="B201" s="3">
        <f>IFERROR(__xludf.DUMMYFUNCTION("""COMPUTED_VALUE"""),38968.645833333336)</f>
        <v>38968.64583</v>
      </c>
      <c r="C201" s="2">
        <f>IFERROR(__xludf.DUMMYFUNCTION("""COMPUTED_VALUE"""),53.73)</f>
        <v>53.73</v>
      </c>
    </row>
    <row r="202" ht="15.75" customHeight="1">
      <c r="B202" s="3">
        <f>IFERROR(__xludf.DUMMYFUNCTION("""COMPUTED_VALUE"""),38975.645833333336)</f>
        <v>38975.64583</v>
      </c>
      <c r="C202" s="2">
        <f>IFERROR(__xludf.DUMMYFUNCTION("""COMPUTED_VALUE"""),53.69)</f>
        <v>53.69</v>
      </c>
    </row>
    <row r="203" ht="15.75" customHeight="1">
      <c r="B203" s="3">
        <f>IFERROR(__xludf.DUMMYFUNCTION("""COMPUTED_VALUE"""),38982.645833333336)</f>
        <v>38982.64583</v>
      </c>
      <c r="C203" s="2">
        <f>IFERROR(__xludf.DUMMYFUNCTION("""COMPUTED_VALUE"""),51.73)</f>
        <v>51.73</v>
      </c>
    </row>
    <row r="204" ht="15.75" customHeight="1">
      <c r="B204" s="3">
        <f>IFERROR(__xludf.DUMMYFUNCTION("""COMPUTED_VALUE"""),38989.645833333336)</f>
        <v>38989.64583</v>
      </c>
      <c r="C204" s="2">
        <f>IFERROR(__xludf.DUMMYFUNCTION("""COMPUTED_VALUE"""),56.25)</f>
        <v>56.25</v>
      </c>
    </row>
    <row r="205" ht="15.75" customHeight="1">
      <c r="B205" s="3">
        <f>IFERROR(__xludf.DUMMYFUNCTION("""COMPUTED_VALUE"""),38996.645833333336)</f>
        <v>38996.64583</v>
      </c>
      <c r="C205" s="2">
        <f>IFERROR(__xludf.DUMMYFUNCTION("""COMPUTED_VALUE"""),54.63)</f>
        <v>54.63</v>
      </c>
    </row>
    <row r="206" ht="15.75" customHeight="1">
      <c r="B206" s="3">
        <f>IFERROR(__xludf.DUMMYFUNCTION("""COMPUTED_VALUE"""),39003.645833333336)</f>
        <v>39003.64583</v>
      </c>
      <c r="C206" s="2">
        <f>IFERROR(__xludf.DUMMYFUNCTION("""COMPUTED_VALUE"""),54.98)</f>
        <v>54.98</v>
      </c>
    </row>
    <row r="207" ht="15.75" customHeight="1">
      <c r="B207" s="3">
        <f>IFERROR(__xludf.DUMMYFUNCTION("""COMPUTED_VALUE"""),39017.645833333336)</f>
        <v>39017.64583</v>
      </c>
      <c r="C207" s="2">
        <f>IFERROR(__xludf.DUMMYFUNCTION("""COMPUTED_VALUE"""),57.73)</f>
        <v>57.73</v>
      </c>
    </row>
    <row r="208" ht="15.75" customHeight="1">
      <c r="B208" s="3">
        <f>IFERROR(__xludf.DUMMYFUNCTION("""COMPUTED_VALUE"""),39024.645833333336)</f>
        <v>39024.64583</v>
      </c>
      <c r="C208" s="2">
        <f>IFERROR(__xludf.DUMMYFUNCTION("""COMPUTED_VALUE"""),60.35)</f>
        <v>60.35</v>
      </c>
    </row>
    <row r="209" ht="15.75" customHeight="1">
      <c r="B209" s="3">
        <f>IFERROR(__xludf.DUMMYFUNCTION("""COMPUTED_VALUE"""),39031.645833333336)</f>
        <v>39031.64583</v>
      </c>
      <c r="C209" s="2">
        <f>IFERROR(__xludf.DUMMYFUNCTION("""COMPUTED_VALUE"""),57.63)</f>
        <v>57.63</v>
      </c>
    </row>
    <row r="210" ht="15.75" customHeight="1">
      <c r="B210" s="3">
        <f>IFERROR(__xludf.DUMMYFUNCTION("""COMPUTED_VALUE"""),39038.645833333336)</f>
        <v>39038.64583</v>
      </c>
      <c r="C210" s="2">
        <f>IFERROR(__xludf.DUMMYFUNCTION("""COMPUTED_VALUE"""),55.25)</f>
        <v>55.25</v>
      </c>
    </row>
    <row r="211" ht="15.75" customHeight="1">
      <c r="B211" s="3">
        <f>IFERROR(__xludf.DUMMYFUNCTION("""COMPUTED_VALUE"""),39045.645833333336)</f>
        <v>39045.64583</v>
      </c>
      <c r="C211" s="2">
        <f>IFERROR(__xludf.DUMMYFUNCTION("""COMPUTED_VALUE"""),56.68)</f>
        <v>56.68</v>
      </c>
    </row>
    <row r="212" ht="15.75" customHeight="1">
      <c r="B212" s="3">
        <f>IFERROR(__xludf.DUMMYFUNCTION("""COMPUTED_VALUE"""),39052.645833333336)</f>
        <v>39052.64583</v>
      </c>
      <c r="C212" s="2">
        <f>IFERROR(__xludf.DUMMYFUNCTION("""COMPUTED_VALUE"""),56.5)</f>
        <v>56.5</v>
      </c>
    </row>
    <row r="213" ht="15.75" customHeight="1">
      <c r="B213" s="3">
        <f>IFERROR(__xludf.DUMMYFUNCTION("""COMPUTED_VALUE"""),39059.645833333336)</f>
        <v>39059.64583</v>
      </c>
      <c r="C213" s="2">
        <f>IFERROR(__xludf.DUMMYFUNCTION("""COMPUTED_VALUE"""),56.25)</f>
        <v>56.25</v>
      </c>
    </row>
    <row r="214" ht="15.75" customHeight="1">
      <c r="B214" s="3">
        <f>IFERROR(__xludf.DUMMYFUNCTION("""COMPUTED_VALUE"""),39066.645833333336)</f>
        <v>39066.64583</v>
      </c>
      <c r="C214" s="2">
        <f>IFERROR(__xludf.DUMMYFUNCTION("""COMPUTED_VALUE"""),54.15)</f>
        <v>54.15</v>
      </c>
    </row>
    <row r="215" ht="15.75" customHeight="1">
      <c r="B215" s="3">
        <f>IFERROR(__xludf.DUMMYFUNCTION("""COMPUTED_VALUE"""),39073.645833333336)</f>
        <v>39073.64583</v>
      </c>
      <c r="C215" s="2">
        <f>IFERROR(__xludf.DUMMYFUNCTION("""COMPUTED_VALUE"""),54.63)</f>
        <v>54.63</v>
      </c>
    </row>
    <row r="216" ht="15.75" customHeight="1">
      <c r="B216" s="3">
        <f>IFERROR(__xludf.DUMMYFUNCTION("""COMPUTED_VALUE"""),39080.645833333336)</f>
        <v>39080.64583</v>
      </c>
      <c r="C216" s="2">
        <f>IFERROR(__xludf.DUMMYFUNCTION("""COMPUTED_VALUE"""),54.98)</f>
        <v>54.98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IFERROR(__xludf.DUMMYFUNCTION("GOOGLEFINANCE(""NSE:NATIONALUM"", ""high"",DATE(2007,1,1),DATE(2008,1,1),""weekly"")"),"Date")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IFERROR(__xludf.DUMMYFUNCTION("""COMPUTED_VALUE"""),39087.645833333336)</f>
        <v>39087.64583</v>
      </c>
      <c r="C222" s="2">
        <f>IFERROR(__xludf.DUMMYFUNCTION("""COMPUTED_VALUE"""),53.75)</f>
        <v>53.75</v>
      </c>
    </row>
    <row r="223" ht="15.75" customHeight="1">
      <c r="B223" s="3">
        <f>IFERROR(__xludf.DUMMYFUNCTION("""COMPUTED_VALUE"""),39094.645833333336)</f>
        <v>39094.64583</v>
      </c>
      <c r="C223" s="2">
        <f>IFERROR(__xludf.DUMMYFUNCTION("""COMPUTED_VALUE"""),53.63)</f>
        <v>53.63</v>
      </c>
    </row>
    <row r="224" ht="15.75" customHeight="1">
      <c r="B224" s="3">
        <f>IFERROR(__xludf.DUMMYFUNCTION("""COMPUTED_VALUE"""),39101.645833333336)</f>
        <v>39101.64583</v>
      </c>
      <c r="C224" s="2">
        <f>IFERROR(__xludf.DUMMYFUNCTION("""COMPUTED_VALUE"""),54.25)</f>
        <v>54.25</v>
      </c>
    </row>
    <row r="225" ht="15.75" customHeight="1">
      <c r="B225" s="3">
        <f>IFERROR(__xludf.DUMMYFUNCTION("""COMPUTED_VALUE"""),39107.645833333336)</f>
        <v>39107.64583</v>
      </c>
      <c r="C225" s="2">
        <f>IFERROR(__xludf.DUMMYFUNCTION("""COMPUTED_VALUE"""),58.48)</f>
        <v>58.48</v>
      </c>
    </row>
    <row r="226" ht="15.75" customHeight="1">
      <c r="B226" s="3">
        <f>IFERROR(__xludf.DUMMYFUNCTION("""COMPUTED_VALUE"""),39115.645833333336)</f>
        <v>39115.64583</v>
      </c>
      <c r="C226" s="2">
        <f>IFERROR(__xludf.DUMMYFUNCTION("""COMPUTED_VALUE"""),62.98)</f>
        <v>62.98</v>
      </c>
    </row>
    <row r="227" ht="15.75" customHeight="1">
      <c r="B227" s="3">
        <f>IFERROR(__xludf.DUMMYFUNCTION("""COMPUTED_VALUE"""),39122.645833333336)</f>
        <v>39122.64583</v>
      </c>
      <c r="C227" s="2">
        <f>IFERROR(__xludf.DUMMYFUNCTION("""COMPUTED_VALUE"""),60.25)</f>
        <v>60.25</v>
      </c>
    </row>
    <row r="228" ht="15.75" customHeight="1">
      <c r="B228" s="3">
        <f>IFERROR(__xludf.DUMMYFUNCTION("""COMPUTED_VALUE"""),39128.645833333336)</f>
        <v>39128.64583</v>
      </c>
      <c r="C228" s="2">
        <f>IFERROR(__xludf.DUMMYFUNCTION("""COMPUTED_VALUE"""),61.5)</f>
        <v>61.5</v>
      </c>
    </row>
    <row r="229" ht="15.75" customHeight="1">
      <c r="B229" s="3">
        <f>IFERROR(__xludf.DUMMYFUNCTION("""COMPUTED_VALUE"""),39136.645833333336)</f>
        <v>39136.64583</v>
      </c>
      <c r="C229" s="2">
        <f>IFERROR(__xludf.DUMMYFUNCTION("""COMPUTED_VALUE"""),62.38)</f>
        <v>62.38</v>
      </c>
    </row>
    <row r="230" ht="15.75" customHeight="1">
      <c r="B230" s="3">
        <f>IFERROR(__xludf.DUMMYFUNCTION("""COMPUTED_VALUE"""),39143.645833333336)</f>
        <v>39143.64583</v>
      </c>
      <c r="C230" s="2">
        <f>IFERROR(__xludf.DUMMYFUNCTION("""COMPUTED_VALUE"""),60.0)</f>
        <v>60</v>
      </c>
    </row>
    <row r="231" ht="15.75" customHeight="1">
      <c r="B231" s="3">
        <f>IFERROR(__xludf.DUMMYFUNCTION("""COMPUTED_VALUE"""),39150.645833333336)</f>
        <v>39150.64583</v>
      </c>
      <c r="C231" s="2">
        <f>IFERROR(__xludf.DUMMYFUNCTION("""COMPUTED_VALUE"""),57.5)</f>
        <v>57.5</v>
      </c>
    </row>
    <row r="232" ht="15.75" customHeight="1">
      <c r="B232" s="3">
        <f>IFERROR(__xludf.DUMMYFUNCTION("""COMPUTED_VALUE"""),39157.645833333336)</f>
        <v>39157.64583</v>
      </c>
      <c r="C232" s="2">
        <f>IFERROR(__xludf.DUMMYFUNCTION("""COMPUTED_VALUE"""),59.5)</f>
        <v>59.5</v>
      </c>
    </row>
    <row r="233" ht="15.75" customHeight="1">
      <c r="B233" s="3">
        <f>IFERROR(__xludf.DUMMYFUNCTION("""COMPUTED_VALUE"""),39164.645833333336)</f>
        <v>39164.64583</v>
      </c>
      <c r="C233" s="2">
        <f>IFERROR(__xludf.DUMMYFUNCTION("""COMPUTED_VALUE"""),59.13)</f>
        <v>59.13</v>
      </c>
    </row>
    <row r="234" ht="15.75" customHeight="1">
      <c r="B234" s="3">
        <f>IFERROR(__xludf.DUMMYFUNCTION("""COMPUTED_VALUE"""),39171.645833333336)</f>
        <v>39171.64583</v>
      </c>
      <c r="C234" s="2">
        <f>IFERROR(__xludf.DUMMYFUNCTION("""COMPUTED_VALUE"""),58.75)</f>
        <v>58.75</v>
      </c>
    </row>
    <row r="235" ht="15.75" customHeight="1">
      <c r="B235" s="3">
        <f>IFERROR(__xludf.DUMMYFUNCTION("""COMPUTED_VALUE"""),39177.645833333336)</f>
        <v>39177.64583</v>
      </c>
      <c r="C235" s="2">
        <f>IFERROR(__xludf.DUMMYFUNCTION("""COMPUTED_VALUE"""),59.25)</f>
        <v>59.25</v>
      </c>
    </row>
    <row r="236" ht="15.75" customHeight="1">
      <c r="B236" s="3">
        <f>IFERROR(__xludf.DUMMYFUNCTION("""COMPUTED_VALUE"""),39185.645833333336)</f>
        <v>39185.64583</v>
      </c>
      <c r="C236" s="2">
        <f>IFERROR(__xludf.DUMMYFUNCTION("""COMPUTED_VALUE"""),62.98)</f>
        <v>62.98</v>
      </c>
    </row>
    <row r="237" ht="15.75" customHeight="1">
      <c r="B237" s="3">
        <f>IFERROR(__xludf.DUMMYFUNCTION("""COMPUTED_VALUE"""),39192.645833333336)</f>
        <v>39192.64583</v>
      </c>
      <c r="C237" s="2">
        <f>IFERROR(__xludf.DUMMYFUNCTION("""COMPUTED_VALUE"""),61.5)</f>
        <v>61.5</v>
      </c>
    </row>
    <row r="238" ht="15.75" customHeight="1">
      <c r="B238" s="3">
        <f>IFERROR(__xludf.DUMMYFUNCTION("""COMPUTED_VALUE"""),39199.645833333336)</f>
        <v>39199.64583</v>
      </c>
      <c r="C238" s="2">
        <f>IFERROR(__xludf.DUMMYFUNCTION("""COMPUTED_VALUE"""),63.75)</f>
        <v>63.75</v>
      </c>
    </row>
    <row r="239" ht="15.75" customHeight="1">
      <c r="B239" s="3">
        <f>IFERROR(__xludf.DUMMYFUNCTION("""COMPUTED_VALUE"""),39206.645833333336)</f>
        <v>39206.64583</v>
      </c>
      <c r="C239" s="2">
        <f>IFERROR(__xludf.DUMMYFUNCTION("""COMPUTED_VALUE"""),62.5)</f>
        <v>62.5</v>
      </c>
    </row>
    <row r="240" ht="15.75" customHeight="1">
      <c r="B240" s="3">
        <f>IFERROR(__xludf.DUMMYFUNCTION("""COMPUTED_VALUE"""),39213.645833333336)</f>
        <v>39213.64583</v>
      </c>
      <c r="C240" s="2">
        <f>IFERROR(__xludf.DUMMYFUNCTION("""COMPUTED_VALUE"""),64.94)</f>
        <v>64.94</v>
      </c>
    </row>
    <row r="241" ht="15.75" customHeight="1">
      <c r="B241" s="3">
        <f>IFERROR(__xludf.DUMMYFUNCTION("""COMPUTED_VALUE"""),39220.645833333336)</f>
        <v>39220.64583</v>
      </c>
      <c r="C241" s="2">
        <f>IFERROR(__xludf.DUMMYFUNCTION("""COMPUTED_VALUE"""),65.0)</f>
        <v>65</v>
      </c>
    </row>
    <row r="242" ht="15.75" customHeight="1">
      <c r="B242" s="3">
        <f>IFERROR(__xludf.DUMMYFUNCTION("""COMPUTED_VALUE"""),39227.645833333336)</f>
        <v>39227.64583</v>
      </c>
      <c r="C242" s="2">
        <f>IFERROR(__xludf.DUMMYFUNCTION("""COMPUTED_VALUE"""),63.75)</f>
        <v>63.75</v>
      </c>
    </row>
    <row r="243" ht="15.75" customHeight="1">
      <c r="B243" s="3">
        <f>IFERROR(__xludf.DUMMYFUNCTION("""COMPUTED_VALUE"""),39234.645833333336)</f>
        <v>39234.64583</v>
      </c>
      <c r="C243" s="2">
        <f>IFERROR(__xludf.DUMMYFUNCTION("""COMPUTED_VALUE"""),64.97)</f>
        <v>64.97</v>
      </c>
    </row>
    <row r="244" ht="15.75" customHeight="1">
      <c r="B244" s="3">
        <f>IFERROR(__xludf.DUMMYFUNCTION("""COMPUTED_VALUE"""),39241.645833333336)</f>
        <v>39241.64583</v>
      </c>
      <c r="C244" s="2">
        <f>IFERROR(__xludf.DUMMYFUNCTION("""COMPUTED_VALUE"""),65.56)</f>
        <v>65.56</v>
      </c>
    </row>
    <row r="245" ht="15.75" customHeight="1">
      <c r="B245" s="3">
        <f>IFERROR(__xludf.DUMMYFUNCTION("""COMPUTED_VALUE"""),39248.645833333336)</f>
        <v>39248.64583</v>
      </c>
      <c r="C245" s="2">
        <f>IFERROR(__xludf.DUMMYFUNCTION("""COMPUTED_VALUE"""),66.5)</f>
        <v>66.5</v>
      </c>
    </row>
    <row r="246" ht="15.75" customHeight="1">
      <c r="B246" s="3">
        <f>IFERROR(__xludf.DUMMYFUNCTION("""COMPUTED_VALUE"""),39255.645833333336)</f>
        <v>39255.64583</v>
      </c>
      <c r="C246" s="2">
        <f>IFERROR(__xludf.DUMMYFUNCTION("""COMPUTED_VALUE"""),66.35)</f>
        <v>66.35</v>
      </c>
    </row>
    <row r="247" ht="15.75" customHeight="1">
      <c r="B247" s="3">
        <f>IFERROR(__xludf.DUMMYFUNCTION("""COMPUTED_VALUE"""),39262.645833333336)</f>
        <v>39262.64583</v>
      </c>
      <c r="C247" s="2">
        <f>IFERROR(__xludf.DUMMYFUNCTION("""COMPUTED_VALUE"""),65.95)</f>
        <v>65.95</v>
      </c>
    </row>
    <row r="248" ht="15.75" customHeight="1">
      <c r="B248" s="3">
        <f>IFERROR(__xludf.DUMMYFUNCTION("""COMPUTED_VALUE"""),39269.645833333336)</f>
        <v>39269.64583</v>
      </c>
      <c r="C248" s="2">
        <f>IFERROR(__xludf.DUMMYFUNCTION("""COMPUTED_VALUE"""),66.25)</f>
        <v>66.25</v>
      </c>
    </row>
    <row r="249" ht="15.75" customHeight="1">
      <c r="B249" s="3">
        <f>IFERROR(__xludf.DUMMYFUNCTION("""COMPUTED_VALUE"""),39276.645833333336)</f>
        <v>39276.64583</v>
      </c>
      <c r="C249" s="2">
        <f>IFERROR(__xludf.DUMMYFUNCTION("""COMPUTED_VALUE"""),72.5)</f>
        <v>72.5</v>
      </c>
    </row>
    <row r="250" ht="15.75" customHeight="1">
      <c r="B250" s="3">
        <f>IFERROR(__xludf.DUMMYFUNCTION("""COMPUTED_VALUE"""),39283.645833333336)</f>
        <v>39283.64583</v>
      </c>
      <c r="C250" s="2">
        <f>IFERROR(__xludf.DUMMYFUNCTION("""COMPUTED_VALUE"""),76.63)</f>
        <v>76.63</v>
      </c>
    </row>
    <row r="251" ht="15.75" customHeight="1">
      <c r="B251" s="3">
        <f>IFERROR(__xludf.DUMMYFUNCTION("""COMPUTED_VALUE"""),39290.645833333336)</f>
        <v>39290.64583</v>
      </c>
      <c r="C251" s="2">
        <f>IFERROR(__xludf.DUMMYFUNCTION("""COMPUTED_VALUE"""),73.89)</f>
        <v>73.89</v>
      </c>
    </row>
    <row r="252" ht="15.75" customHeight="1">
      <c r="B252" s="3">
        <f>IFERROR(__xludf.DUMMYFUNCTION("""COMPUTED_VALUE"""),39297.645833333336)</f>
        <v>39297.64583</v>
      </c>
      <c r="C252" s="2">
        <f>IFERROR(__xludf.DUMMYFUNCTION("""COMPUTED_VALUE"""),70.21)</f>
        <v>70.21</v>
      </c>
    </row>
    <row r="253" ht="15.75" customHeight="1">
      <c r="B253" s="3">
        <f>IFERROR(__xludf.DUMMYFUNCTION("""COMPUTED_VALUE"""),39304.645833333336)</f>
        <v>39304.64583</v>
      </c>
      <c r="C253" s="2">
        <f>IFERROR(__xludf.DUMMYFUNCTION("""COMPUTED_VALUE"""),66.96)</f>
        <v>66.96</v>
      </c>
    </row>
    <row r="254" ht="15.75" customHeight="1">
      <c r="B254" s="3">
        <f>IFERROR(__xludf.DUMMYFUNCTION("""COMPUTED_VALUE"""),39311.645833333336)</f>
        <v>39311.64583</v>
      </c>
      <c r="C254" s="2">
        <f>IFERROR(__xludf.DUMMYFUNCTION("""COMPUTED_VALUE"""),65.0)</f>
        <v>65</v>
      </c>
    </row>
    <row r="255" ht="15.75" customHeight="1">
      <c r="B255" s="3">
        <f>IFERROR(__xludf.DUMMYFUNCTION("""COMPUTED_VALUE"""),39318.645833333336)</f>
        <v>39318.64583</v>
      </c>
      <c r="C255" s="2">
        <f>IFERROR(__xludf.DUMMYFUNCTION("""COMPUTED_VALUE"""),65.25)</f>
        <v>65.25</v>
      </c>
    </row>
    <row r="256" ht="15.75" customHeight="1">
      <c r="B256" s="3">
        <f>IFERROR(__xludf.DUMMYFUNCTION("""COMPUTED_VALUE"""),39325.645833333336)</f>
        <v>39325.64583</v>
      </c>
      <c r="C256" s="2">
        <f>IFERROR(__xludf.DUMMYFUNCTION("""COMPUTED_VALUE"""),68.0)</f>
        <v>68</v>
      </c>
    </row>
    <row r="257" ht="15.75" customHeight="1">
      <c r="B257" s="3">
        <f>IFERROR(__xludf.DUMMYFUNCTION("""COMPUTED_VALUE"""),39332.645833333336)</f>
        <v>39332.64583</v>
      </c>
      <c r="C257" s="2">
        <f>IFERROR(__xludf.DUMMYFUNCTION("""COMPUTED_VALUE"""),68.0)</f>
        <v>68</v>
      </c>
    </row>
    <row r="258" ht="15.75" customHeight="1">
      <c r="B258" s="3">
        <f>IFERROR(__xludf.DUMMYFUNCTION("""COMPUTED_VALUE"""),39339.645833333336)</f>
        <v>39339.64583</v>
      </c>
      <c r="C258" s="2">
        <f>IFERROR(__xludf.DUMMYFUNCTION("""COMPUTED_VALUE"""),69.75)</f>
        <v>69.75</v>
      </c>
    </row>
    <row r="259" ht="15.75" customHeight="1">
      <c r="B259" s="3">
        <f>IFERROR(__xludf.DUMMYFUNCTION("""COMPUTED_VALUE"""),39346.645833333336)</f>
        <v>39346.64583</v>
      </c>
      <c r="C259" s="2">
        <f>IFERROR(__xludf.DUMMYFUNCTION("""COMPUTED_VALUE"""),71.0)</f>
        <v>71</v>
      </c>
    </row>
    <row r="260" ht="15.75" customHeight="1">
      <c r="B260" s="3">
        <f>IFERROR(__xludf.DUMMYFUNCTION("""COMPUTED_VALUE"""),39353.645833333336)</f>
        <v>39353.64583</v>
      </c>
      <c r="C260" s="2">
        <f>IFERROR(__xludf.DUMMYFUNCTION("""COMPUTED_VALUE"""),79.45)</f>
        <v>79.45</v>
      </c>
    </row>
    <row r="261" ht="15.75" customHeight="1">
      <c r="B261" s="3">
        <f>IFERROR(__xludf.DUMMYFUNCTION("""COMPUTED_VALUE"""),39360.645833333336)</f>
        <v>39360.64583</v>
      </c>
      <c r="C261" s="2">
        <f>IFERROR(__xludf.DUMMYFUNCTION("""COMPUTED_VALUE"""),75.5)</f>
        <v>75.5</v>
      </c>
    </row>
    <row r="262" ht="15.75" customHeight="1">
      <c r="B262" s="3">
        <f>IFERROR(__xludf.DUMMYFUNCTION("""COMPUTED_VALUE"""),39367.645833333336)</f>
        <v>39367.64583</v>
      </c>
      <c r="C262" s="2">
        <f>IFERROR(__xludf.DUMMYFUNCTION("""COMPUTED_VALUE"""),80.93)</f>
        <v>80.93</v>
      </c>
    </row>
    <row r="263" ht="15.75" customHeight="1">
      <c r="B263" s="3">
        <f>IFERROR(__xludf.DUMMYFUNCTION("""COMPUTED_VALUE"""),39374.645833333336)</f>
        <v>39374.64583</v>
      </c>
      <c r="C263" s="2">
        <f>IFERROR(__xludf.DUMMYFUNCTION("""COMPUTED_VALUE"""),83.61)</f>
        <v>83.61</v>
      </c>
    </row>
    <row r="264" ht="15.75" customHeight="1">
      <c r="B264" s="3">
        <f>IFERROR(__xludf.DUMMYFUNCTION("""COMPUTED_VALUE"""),39381.645833333336)</f>
        <v>39381.64583</v>
      </c>
      <c r="C264" s="2">
        <f>IFERROR(__xludf.DUMMYFUNCTION("""COMPUTED_VALUE"""),81.25)</f>
        <v>81.25</v>
      </c>
    </row>
    <row r="265" ht="15.75" customHeight="1">
      <c r="B265" s="3">
        <f>IFERROR(__xludf.DUMMYFUNCTION("""COMPUTED_VALUE"""),39388.645833333336)</f>
        <v>39388.64583</v>
      </c>
      <c r="C265" s="2">
        <f>IFERROR(__xludf.DUMMYFUNCTION("""COMPUTED_VALUE"""),83.93)</f>
        <v>83.93</v>
      </c>
    </row>
    <row r="266" ht="15.75" customHeight="1">
      <c r="B266" s="3">
        <f>IFERROR(__xludf.DUMMYFUNCTION("""COMPUTED_VALUE"""),39402.645833333336)</f>
        <v>39402.64583</v>
      </c>
      <c r="C266" s="2">
        <f>IFERROR(__xludf.DUMMYFUNCTION("""COMPUTED_VALUE"""),110.73)</f>
        <v>110.73</v>
      </c>
    </row>
    <row r="267" ht="15.75" customHeight="1">
      <c r="B267" s="3">
        <f>IFERROR(__xludf.DUMMYFUNCTION("""COMPUTED_VALUE"""),39409.645833333336)</f>
        <v>39409.64583</v>
      </c>
      <c r="C267" s="2">
        <f>IFERROR(__xludf.DUMMYFUNCTION("""COMPUTED_VALUE"""),105.65)</f>
        <v>105.65</v>
      </c>
    </row>
    <row r="268" ht="15.75" customHeight="1">
      <c r="B268" s="3">
        <f>IFERROR(__xludf.DUMMYFUNCTION("""COMPUTED_VALUE"""),39416.645833333336)</f>
        <v>39416.64583</v>
      </c>
      <c r="C268" s="2">
        <f>IFERROR(__xludf.DUMMYFUNCTION("""COMPUTED_VALUE"""),97.5)</f>
        <v>97.5</v>
      </c>
    </row>
    <row r="269" ht="15.75" customHeight="1">
      <c r="B269" s="3">
        <f>IFERROR(__xludf.DUMMYFUNCTION("""COMPUTED_VALUE"""),39423.645833333336)</f>
        <v>39423.64583</v>
      </c>
      <c r="C269" s="2">
        <f>IFERROR(__xludf.DUMMYFUNCTION("""COMPUTED_VALUE"""),96.5)</f>
        <v>96.5</v>
      </c>
    </row>
    <row r="270" ht="15.75" customHeight="1">
      <c r="B270" s="3">
        <f>IFERROR(__xludf.DUMMYFUNCTION("""COMPUTED_VALUE"""),39430.645833333336)</f>
        <v>39430.64583</v>
      </c>
      <c r="C270" s="2">
        <f>IFERROR(__xludf.DUMMYFUNCTION("""COMPUTED_VALUE"""),116.51)</f>
        <v>116.51</v>
      </c>
    </row>
    <row r="271" ht="15.75" customHeight="1">
      <c r="B271" s="3">
        <f>IFERROR(__xludf.DUMMYFUNCTION("""COMPUTED_VALUE"""),39436.645833333336)</f>
        <v>39436.64583</v>
      </c>
      <c r="C271" s="2">
        <f>IFERROR(__xludf.DUMMYFUNCTION("""COMPUTED_VALUE"""),112.18)</f>
        <v>112.18</v>
      </c>
    </row>
    <row r="272" ht="15.75" customHeight="1">
      <c r="B272" s="3">
        <f>IFERROR(__xludf.DUMMYFUNCTION("""COMPUTED_VALUE"""),39444.645833333336)</f>
        <v>39444.64583</v>
      </c>
      <c r="C272" s="2">
        <f>IFERROR(__xludf.DUMMYFUNCTION("""COMPUTED_VALUE"""),128.18)</f>
        <v>128.18</v>
      </c>
    </row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IFERROR(__xludf.DUMMYFUNCTION("GOOGLEFINANCE(""NSE:NATIONALUM"", ""high"",DATE(2008,1,1),DATE(2009,1,1),""weekly"")"),"Date")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IFERROR(__xludf.DUMMYFUNCTION("""COMPUTED_VALUE"""),39451.645833333336)</f>
        <v>39451.64583</v>
      </c>
      <c r="C277" s="2">
        <f>IFERROR(__xludf.DUMMYFUNCTION("""COMPUTED_VALUE"""),136.25)</f>
        <v>136.25</v>
      </c>
    </row>
    <row r="278" ht="15.75" customHeight="1">
      <c r="B278" s="3">
        <f>IFERROR(__xludf.DUMMYFUNCTION("""COMPUTED_VALUE"""),39458.645833333336)</f>
        <v>39458.64583</v>
      </c>
      <c r="C278" s="2">
        <f>IFERROR(__xludf.DUMMYFUNCTION("""COMPUTED_VALUE"""),134.0)</f>
        <v>134</v>
      </c>
    </row>
    <row r="279" ht="15.75" customHeight="1">
      <c r="B279" s="3">
        <f>IFERROR(__xludf.DUMMYFUNCTION("""COMPUTED_VALUE"""),39465.645833333336)</f>
        <v>39465.64583</v>
      </c>
      <c r="C279" s="2">
        <f>IFERROR(__xludf.DUMMYFUNCTION("""COMPUTED_VALUE"""),126.25)</f>
        <v>126.25</v>
      </c>
    </row>
    <row r="280" ht="15.75" customHeight="1">
      <c r="B280" s="3">
        <f>IFERROR(__xludf.DUMMYFUNCTION("""COMPUTED_VALUE"""),39472.645833333336)</f>
        <v>39472.64583</v>
      </c>
      <c r="C280" s="2">
        <f>IFERROR(__xludf.DUMMYFUNCTION("""COMPUTED_VALUE"""),122.5)</f>
        <v>122.5</v>
      </c>
    </row>
    <row r="281" ht="15.75" customHeight="1">
      <c r="B281" s="3">
        <f>IFERROR(__xludf.DUMMYFUNCTION("""COMPUTED_VALUE"""),39479.645833333336)</f>
        <v>39479.64583</v>
      </c>
      <c r="C281" s="2">
        <f>IFERROR(__xludf.DUMMYFUNCTION("""COMPUTED_VALUE"""),112.25)</f>
        <v>112.25</v>
      </c>
    </row>
    <row r="282" ht="15.75" customHeight="1">
      <c r="B282" s="3">
        <f>IFERROR(__xludf.DUMMYFUNCTION("""COMPUTED_VALUE"""),39486.645833333336)</f>
        <v>39486.64583</v>
      </c>
      <c r="C282" s="2">
        <f>IFERROR(__xludf.DUMMYFUNCTION("""COMPUTED_VALUE"""),109.0)</f>
        <v>109</v>
      </c>
    </row>
    <row r="283" ht="15.75" customHeight="1">
      <c r="B283" s="3">
        <f>IFERROR(__xludf.DUMMYFUNCTION("""COMPUTED_VALUE"""),39493.645833333336)</f>
        <v>39493.64583</v>
      </c>
      <c r="C283" s="2">
        <f>IFERROR(__xludf.DUMMYFUNCTION("""COMPUTED_VALUE"""),92.99)</f>
        <v>92.99</v>
      </c>
    </row>
    <row r="284" ht="15.75" customHeight="1">
      <c r="B284" s="3">
        <f>IFERROR(__xludf.DUMMYFUNCTION("""COMPUTED_VALUE"""),39500.645833333336)</f>
        <v>39500.64583</v>
      </c>
      <c r="C284" s="2">
        <f>IFERROR(__xludf.DUMMYFUNCTION("""COMPUTED_VALUE"""),104.7)</f>
        <v>104.7</v>
      </c>
    </row>
    <row r="285" ht="15.75" customHeight="1">
      <c r="B285" s="3">
        <f>IFERROR(__xludf.DUMMYFUNCTION("""COMPUTED_VALUE"""),39507.645833333336)</f>
        <v>39507.64583</v>
      </c>
      <c r="C285" s="2">
        <f>IFERROR(__xludf.DUMMYFUNCTION("""COMPUTED_VALUE"""),124.24)</f>
        <v>124.24</v>
      </c>
    </row>
    <row r="286" ht="15.75" customHeight="1">
      <c r="B286" s="3">
        <f>IFERROR(__xludf.DUMMYFUNCTION("""COMPUTED_VALUE"""),39514.645833333336)</f>
        <v>39514.64583</v>
      </c>
      <c r="C286" s="2">
        <f>IFERROR(__xludf.DUMMYFUNCTION("""COMPUTED_VALUE"""),119.73)</f>
        <v>119.73</v>
      </c>
    </row>
    <row r="287" ht="15.75" customHeight="1">
      <c r="B287" s="3">
        <f>IFERROR(__xludf.DUMMYFUNCTION("""COMPUTED_VALUE"""),39521.645833333336)</f>
        <v>39521.64583</v>
      </c>
      <c r="C287" s="2">
        <f>IFERROR(__xludf.DUMMYFUNCTION("""COMPUTED_VALUE"""),126.0)</f>
        <v>126</v>
      </c>
    </row>
    <row r="288" ht="15.75" customHeight="1">
      <c r="B288" s="3">
        <f>IFERROR(__xludf.DUMMYFUNCTION("""COMPUTED_VALUE"""),39526.645833333336)</f>
        <v>39526.64583</v>
      </c>
      <c r="C288" s="2">
        <f>IFERROR(__xludf.DUMMYFUNCTION("""COMPUTED_VALUE"""),113.06)</f>
        <v>113.06</v>
      </c>
    </row>
    <row r="289" ht="15.75" customHeight="1">
      <c r="B289" s="3">
        <f>IFERROR(__xludf.DUMMYFUNCTION("""COMPUTED_VALUE"""),39535.645833333336)</f>
        <v>39535.64583</v>
      </c>
      <c r="C289" s="2">
        <f>IFERROR(__xludf.DUMMYFUNCTION("""COMPUTED_VALUE"""),128.25)</f>
        <v>128.25</v>
      </c>
    </row>
    <row r="290" ht="15.75" customHeight="1">
      <c r="B290" s="3">
        <f>IFERROR(__xludf.DUMMYFUNCTION("""COMPUTED_VALUE"""),39542.645833333336)</f>
        <v>39542.64583</v>
      </c>
      <c r="C290" s="2">
        <f>IFERROR(__xludf.DUMMYFUNCTION("""COMPUTED_VALUE"""),117.5)</f>
        <v>117.5</v>
      </c>
    </row>
    <row r="291" ht="15.75" customHeight="1">
      <c r="B291" s="3">
        <f>IFERROR(__xludf.DUMMYFUNCTION("""COMPUTED_VALUE"""),39549.645833333336)</f>
        <v>39549.64583</v>
      </c>
      <c r="C291" s="2">
        <f>IFERROR(__xludf.DUMMYFUNCTION("""COMPUTED_VALUE"""),115.0)</f>
        <v>115</v>
      </c>
    </row>
    <row r="292" ht="15.75" customHeight="1">
      <c r="B292" s="3">
        <f>IFERROR(__xludf.DUMMYFUNCTION("""COMPUTED_VALUE"""),39555.645833333336)</f>
        <v>39555.64583</v>
      </c>
      <c r="C292" s="2">
        <f>IFERROR(__xludf.DUMMYFUNCTION("""COMPUTED_VALUE"""),107.73)</f>
        <v>107.73</v>
      </c>
    </row>
    <row r="293" ht="15.75" customHeight="1">
      <c r="B293" s="3">
        <f>IFERROR(__xludf.DUMMYFUNCTION("""COMPUTED_VALUE"""),39563.645833333336)</f>
        <v>39563.64583</v>
      </c>
      <c r="C293" s="2">
        <f>IFERROR(__xludf.DUMMYFUNCTION("""COMPUTED_VALUE"""),117.0)</f>
        <v>117</v>
      </c>
    </row>
    <row r="294" ht="15.75" customHeight="1">
      <c r="B294" s="3">
        <f>IFERROR(__xludf.DUMMYFUNCTION("""COMPUTED_VALUE"""),39570.645833333336)</f>
        <v>39570.64583</v>
      </c>
      <c r="C294" s="2">
        <f>IFERROR(__xludf.DUMMYFUNCTION("""COMPUTED_VALUE"""),116.23)</f>
        <v>116.23</v>
      </c>
    </row>
    <row r="295" ht="15.75" customHeight="1">
      <c r="B295" s="3">
        <f>IFERROR(__xludf.DUMMYFUNCTION("""COMPUTED_VALUE"""),39577.645833333336)</f>
        <v>39577.64583</v>
      </c>
      <c r="C295" s="2">
        <f>IFERROR(__xludf.DUMMYFUNCTION("""COMPUTED_VALUE"""),112.13)</f>
        <v>112.13</v>
      </c>
    </row>
    <row r="296" ht="15.75" customHeight="1">
      <c r="B296" s="3">
        <f>IFERROR(__xludf.DUMMYFUNCTION("""COMPUTED_VALUE"""),39584.645833333336)</f>
        <v>39584.64583</v>
      </c>
      <c r="C296" s="2">
        <f>IFERROR(__xludf.DUMMYFUNCTION("""COMPUTED_VALUE"""),132.5)</f>
        <v>132.5</v>
      </c>
    </row>
    <row r="297" ht="15.75" customHeight="1">
      <c r="B297" s="3">
        <f>IFERROR(__xludf.DUMMYFUNCTION("""COMPUTED_VALUE"""),39591.645833333336)</f>
        <v>39591.64583</v>
      </c>
      <c r="C297" s="2">
        <f>IFERROR(__xludf.DUMMYFUNCTION("""COMPUTED_VALUE"""),136.25)</f>
        <v>136.25</v>
      </c>
    </row>
    <row r="298" ht="15.75" customHeight="1">
      <c r="B298" s="3">
        <f>IFERROR(__xludf.DUMMYFUNCTION("""COMPUTED_VALUE"""),39598.645833333336)</f>
        <v>39598.64583</v>
      </c>
      <c r="C298" s="2">
        <f>IFERROR(__xludf.DUMMYFUNCTION("""COMPUTED_VALUE"""),141.61)</f>
        <v>141.61</v>
      </c>
    </row>
    <row r="299" ht="15.75" customHeight="1">
      <c r="B299" s="3">
        <f>IFERROR(__xludf.DUMMYFUNCTION("""COMPUTED_VALUE"""),39605.645833333336)</f>
        <v>39605.64583</v>
      </c>
      <c r="C299" s="2">
        <f>IFERROR(__xludf.DUMMYFUNCTION("""COMPUTED_VALUE"""),136.75)</f>
        <v>136.75</v>
      </c>
    </row>
    <row r="300" ht="15.75" customHeight="1">
      <c r="B300" s="3">
        <f>IFERROR(__xludf.DUMMYFUNCTION("""COMPUTED_VALUE"""),39612.645833333336)</f>
        <v>39612.64583</v>
      </c>
      <c r="C300" s="2">
        <f>IFERROR(__xludf.DUMMYFUNCTION("""COMPUTED_VALUE"""),131.25)</f>
        <v>131.25</v>
      </c>
    </row>
    <row r="301" ht="15.75" customHeight="1">
      <c r="B301" s="3">
        <f>IFERROR(__xludf.DUMMYFUNCTION("""COMPUTED_VALUE"""),39619.645833333336)</f>
        <v>39619.64583</v>
      </c>
      <c r="C301" s="2">
        <f>IFERROR(__xludf.DUMMYFUNCTION("""COMPUTED_VALUE"""),124.71)</f>
        <v>124.71</v>
      </c>
    </row>
    <row r="302" ht="15.75" customHeight="1">
      <c r="B302" s="3">
        <f>IFERROR(__xludf.DUMMYFUNCTION("""COMPUTED_VALUE"""),39626.645833333336)</f>
        <v>39626.64583</v>
      </c>
      <c r="C302" s="2">
        <f>IFERROR(__xludf.DUMMYFUNCTION("""COMPUTED_VALUE"""),106.25)</f>
        <v>106.25</v>
      </c>
    </row>
    <row r="303" ht="15.75" customHeight="1">
      <c r="B303" s="3">
        <f>IFERROR(__xludf.DUMMYFUNCTION("""COMPUTED_VALUE"""),39633.645833333336)</f>
        <v>39633.64583</v>
      </c>
      <c r="C303" s="2">
        <f>IFERROR(__xludf.DUMMYFUNCTION("""COMPUTED_VALUE"""),91.18)</f>
        <v>91.18</v>
      </c>
    </row>
    <row r="304" ht="15.75" customHeight="1">
      <c r="B304" s="3">
        <f>IFERROR(__xludf.DUMMYFUNCTION("""COMPUTED_VALUE"""),39640.645833333336)</f>
        <v>39640.64583</v>
      </c>
      <c r="C304" s="2">
        <f>IFERROR(__xludf.DUMMYFUNCTION("""COMPUTED_VALUE"""),96.23)</f>
        <v>96.23</v>
      </c>
    </row>
    <row r="305" ht="15.75" customHeight="1">
      <c r="B305" s="3">
        <f>IFERROR(__xludf.DUMMYFUNCTION("""COMPUTED_VALUE"""),39647.645833333336)</f>
        <v>39647.64583</v>
      </c>
      <c r="C305" s="2">
        <f>IFERROR(__xludf.DUMMYFUNCTION("""COMPUTED_VALUE"""),99.75)</f>
        <v>99.75</v>
      </c>
    </row>
    <row r="306" ht="15.75" customHeight="1">
      <c r="B306" s="3">
        <f>IFERROR(__xludf.DUMMYFUNCTION("""COMPUTED_VALUE"""),39654.645833333336)</f>
        <v>39654.64583</v>
      </c>
      <c r="C306" s="2">
        <f>IFERROR(__xludf.DUMMYFUNCTION("""COMPUTED_VALUE"""),111.93)</f>
        <v>111.93</v>
      </c>
    </row>
    <row r="307" ht="15.75" customHeight="1">
      <c r="B307" s="3">
        <f>IFERROR(__xludf.DUMMYFUNCTION("""COMPUTED_VALUE"""),39661.645833333336)</f>
        <v>39661.64583</v>
      </c>
      <c r="C307" s="2">
        <f>IFERROR(__xludf.DUMMYFUNCTION("""COMPUTED_VALUE"""),112.5)</f>
        <v>112.5</v>
      </c>
    </row>
    <row r="308" ht="15.75" customHeight="1">
      <c r="B308" s="3">
        <f>IFERROR(__xludf.DUMMYFUNCTION("""COMPUTED_VALUE"""),39668.645833333336)</f>
        <v>39668.64583</v>
      </c>
      <c r="C308" s="2">
        <f>IFERROR(__xludf.DUMMYFUNCTION("""COMPUTED_VALUE"""),110.88)</f>
        <v>110.88</v>
      </c>
    </row>
    <row r="309" ht="15.75" customHeight="1">
      <c r="B309" s="3">
        <f>IFERROR(__xludf.DUMMYFUNCTION("""COMPUTED_VALUE"""),39674.645833333336)</f>
        <v>39674.64583</v>
      </c>
      <c r="C309" s="2">
        <f>IFERROR(__xludf.DUMMYFUNCTION("""COMPUTED_VALUE"""),103.38)</f>
        <v>103.38</v>
      </c>
    </row>
    <row r="310" ht="15.75" customHeight="1">
      <c r="B310" s="3">
        <f>IFERROR(__xludf.DUMMYFUNCTION("""COMPUTED_VALUE"""),39682.645833333336)</f>
        <v>39682.64583</v>
      </c>
      <c r="C310" s="2">
        <f>IFERROR(__xludf.DUMMYFUNCTION("""COMPUTED_VALUE"""),101.75)</f>
        <v>101.75</v>
      </c>
    </row>
    <row r="311" ht="15.75" customHeight="1">
      <c r="B311" s="3">
        <f>IFERROR(__xludf.DUMMYFUNCTION("""COMPUTED_VALUE"""),39689.645833333336)</f>
        <v>39689.64583</v>
      </c>
      <c r="C311" s="2">
        <f>IFERROR(__xludf.DUMMYFUNCTION("""COMPUTED_VALUE"""),99.43)</f>
        <v>99.43</v>
      </c>
    </row>
    <row r="312" ht="15.75" customHeight="1">
      <c r="B312" s="3">
        <f>IFERROR(__xludf.DUMMYFUNCTION("""COMPUTED_VALUE"""),39696.645833333336)</f>
        <v>39696.64583</v>
      </c>
      <c r="C312" s="2">
        <f>IFERROR(__xludf.DUMMYFUNCTION("""COMPUTED_VALUE"""),101.46)</f>
        <v>101.46</v>
      </c>
    </row>
    <row r="313" ht="15.75" customHeight="1">
      <c r="B313" s="3">
        <f>IFERROR(__xludf.DUMMYFUNCTION("""COMPUTED_VALUE"""),39703.645833333336)</f>
        <v>39703.64583</v>
      </c>
      <c r="C313" s="2">
        <f>IFERROR(__xludf.DUMMYFUNCTION("""COMPUTED_VALUE"""),102.5)</f>
        <v>102.5</v>
      </c>
    </row>
    <row r="314" ht="15.75" customHeight="1">
      <c r="B314" s="3">
        <f>IFERROR(__xludf.DUMMYFUNCTION("""COMPUTED_VALUE"""),39710.645833333336)</f>
        <v>39710.64583</v>
      </c>
      <c r="C314" s="2">
        <f>IFERROR(__xludf.DUMMYFUNCTION("""COMPUTED_VALUE"""),106.0)</f>
        <v>106</v>
      </c>
    </row>
    <row r="315" ht="15.75" customHeight="1">
      <c r="B315" s="3">
        <f>IFERROR(__xludf.DUMMYFUNCTION("""COMPUTED_VALUE"""),39717.645833333336)</f>
        <v>39717.64583</v>
      </c>
      <c r="C315" s="2">
        <f>IFERROR(__xludf.DUMMYFUNCTION("""COMPUTED_VALUE"""),106.95)</f>
        <v>106.95</v>
      </c>
    </row>
    <row r="316" ht="15.75" customHeight="1">
      <c r="B316" s="3">
        <f>IFERROR(__xludf.DUMMYFUNCTION("""COMPUTED_VALUE"""),39724.645833333336)</f>
        <v>39724.64583</v>
      </c>
      <c r="C316" s="2">
        <f>IFERROR(__xludf.DUMMYFUNCTION("""COMPUTED_VALUE"""),96.5)</f>
        <v>96.5</v>
      </c>
    </row>
    <row r="317" ht="15.75" customHeight="1">
      <c r="B317" s="3">
        <f>IFERROR(__xludf.DUMMYFUNCTION("""COMPUTED_VALUE"""),39731.645833333336)</f>
        <v>39731.64583</v>
      </c>
      <c r="C317" s="2">
        <f>IFERROR(__xludf.DUMMYFUNCTION("""COMPUTED_VALUE"""),96.25)</f>
        <v>96.25</v>
      </c>
    </row>
    <row r="318" ht="15.75" customHeight="1">
      <c r="B318" s="3">
        <f>IFERROR(__xludf.DUMMYFUNCTION("""COMPUTED_VALUE"""),39738.645833333336)</f>
        <v>39738.64583</v>
      </c>
      <c r="C318" s="2">
        <f>IFERROR(__xludf.DUMMYFUNCTION("""COMPUTED_VALUE"""),95.43)</f>
        <v>95.43</v>
      </c>
    </row>
    <row r="319" ht="15.75" customHeight="1">
      <c r="B319" s="3">
        <f>IFERROR(__xludf.DUMMYFUNCTION("""COMPUTED_VALUE"""),39745.645833333336)</f>
        <v>39745.64583</v>
      </c>
      <c r="C319" s="2">
        <f>IFERROR(__xludf.DUMMYFUNCTION("""COMPUTED_VALUE"""),70.75)</f>
        <v>70.75</v>
      </c>
    </row>
    <row r="320" ht="15.75" customHeight="1">
      <c r="B320" s="3">
        <f>IFERROR(__xludf.DUMMYFUNCTION("""COMPUTED_VALUE"""),39752.645833333336)</f>
        <v>39752.64583</v>
      </c>
      <c r="C320" s="2">
        <f>IFERROR(__xludf.DUMMYFUNCTION("""COMPUTED_VALUE"""),43.06)</f>
        <v>43.06</v>
      </c>
    </row>
    <row r="321" ht="15.75" customHeight="1">
      <c r="B321" s="3">
        <f>IFERROR(__xludf.DUMMYFUNCTION("""COMPUTED_VALUE"""),39759.645833333336)</f>
        <v>39759.64583</v>
      </c>
      <c r="C321" s="2">
        <f>IFERROR(__xludf.DUMMYFUNCTION("""COMPUTED_VALUE"""),43.0)</f>
        <v>43</v>
      </c>
    </row>
    <row r="322" ht="15.75" customHeight="1">
      <c r="B322" s="3">
        <f>IFERROR(__xludf.DUMMYFUNCTION("""COMPUTED_VALUE"""),39766.645833333336)</f>
        <v>39766.64583</v>
      </c>
      <c r="C322" s="2">
        <f>IFERROR(__xludf.DUMMYFUNCTION("""COMPUTED_VALUE"""),48.0)</f>
        <v>48</v>
      </c>
    </row>
    <row r="323" ht="15.75" customHeight="1">
      <c r="B323" s="3">
        <f>IFERROR(__xludf.DUMMYFUNCTION("""COMPUTED_VALUE"""),39773.645833333336)</f>
        <v>39773.64583</v>
      </c>
      <c r="C323" s="2">
        <f>IFERROR(__xludf.DUMMYFUNCTION("""COMPUTED_VALUE"""),47.46)</f>
        <v>47.46</v>
      </c>
    </row>
    <row r="324" ht="15.75" customHeight="1">
      <c r="B324" s="3">
        <f>IFERROR(__xludf.DUMMYFUNCTION("""COMPUTED_VALUE"""),39780.645833333336)</f>
        <v>39780.64583</v>
      </c>
      <c r="C324" s="2">
        <f>IFERROR(__xludf.DUMMYFUNCTION("""COMPUTED_VALUE"""),47.48)</f>
        <v>47.48</v>
      </c>
    </row>
    <row r="325" ht="15.75" customHeight="1">
      <c r="B325" s="3">
        <f>IFERROR(__xludf.DUMMYFUNCTION("""COMPUTED_VALUE"""),39787.645833333336)</f>
        <v>39787.64583</v>
      </c>
      <c r="C325" s="2">
        <f>IFERROR(__xludf.DUMMYFUNCTION("""COMPUTED_VALUE"""),45.78)</f>
        <v>45.78</v>
      </c>
    </row>
    <row r="326" ht="15.75" customHeight="1">
      <c r="B326" s="3">
        <f>IFERROR(__xludf.DUMMYFUNCTION("""COMPUTED_VALUE"""),39794.645833333336)</f>
        <v>39794.64583</v>
      </c>
      <c r="C326" s="2">
        <f>IFERROR(__xludf.DUMMYFUNCTION("""COMPUTED_VALUE"""),50.75)</f>
        <v>50.75</v>
      </c>
    </row>
    <row r="327" ht="15.75" customHeight="1">
      <c r="B327" s="3">
        <f>IFERROR(__xludf.DUMMYFUNCTION("""COMPUTED_VALUE"""),39801.645833333336)</f>
        <v>39801.64583</v>
      </c>
      <c r="C327" s="2">
        <f>IFERROR(__xludf.DUMMYFUNCTION("""COMPUTED_VALUE"""),51.73)</f>
        <v>51.73</v>
      </c>
    </row>
    <row r="328" ht="15.75" customHeight="1">
      <c r="B328" s="3">
        <f>IFERROR(__xludf.DUMMYFUNCTION("""COMPUTED_VALUE"""),39808.645833333336)</f>
        <v>39808.64583</v>
      </c>
      <c r="C328" s="2">
        <f>IFERROR(__xludf.DUMMYFUNCTION("""COMPUTED_VALUE"""),48.35)</f>
        <v>48.35</v>
      </c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IFERROR(__xludf.DUMMYFUNCTION("GOOGLEFINANCE(""NSE:SAIL"", ""high"",DATE(2003,1,1),DATE(2004,1,1),""weekly"")"),"Date")</f>
        <v>Date</v>
      </c>
      <c r="C1" s="2" t="str">
        <f>IFERROR(__xludf.DUMMYFUNCTION("""COMPUTED_VALUE"""),"High")</f>
        <v>High</v>
      </c>
    </row>
    <row r="2">
      <c r="A2" s="2" t="s">
        <v>2</v>
      </c>
      <c r="B2" s="3">
        <f>IFERROR(__xludf.DUMMYFUNCTION("""COMPUTED_VALUE"""),37624.645833333336)</f>
        <v>37624.64583</v>
      </c>
      <c r="C2" s="2">
        <f>IFERROR(__xludf.DUMMYFUNCTION("""COMPUTED_VALUE"""),10.45)</f>
        <v>10.45</v>
      </c>
    </row>
    <row r="3">
      <c r="A3" s="2" t="s">
        <v>3</v>
      </c>
      <c r="B3" s="3">
        <f>IFERROR(__xludf.DUMMYFUNCTION("""COMPUTED_VALUE"""),37631.645833333336)</f>
        <v>37631.64583</v>
      </c>
      <c r="C3" s="2">
        <f>IFERROR(__xludf.DUMMYFUNCTION("""COMPUTED_VALUE"""),10.15)</f>
        <v>10.15</v>
      </c>
    </row>
    <row r="4">
      <c r="A4" s="2" t="s">
        <v>4</v>
      </c>
      <c r="B4" s="3">
        <f>IFERROR(__xludf.DUMMYFUNCTION("""COMPUTED_VALUE"""),37638.645833333336)</f>
        <v>37638.64583</v>
      </c>
      <c r="C4" s="2">
        <f>IFERROR(__xludf.DUMMYFUNCTION("""COMPUTED_VALUE"""),10.1)</f>
        <v>10.1</v>
      </c>
    </row>
    <row r="5">
      <c r="A5" s="2" t="s">
        <v>5</v>
      </c>
      <c r="B5" s="3">
        <f>IFERROR(__xludf.DUMMYFUNCTION("""COMPUTED_VALUE"""),37645.645833333336)</f>
        <v>37645.64583</v>
      </c>
      <c r="C5" s="2">
        <f>IFERROR(__xludf.DUMMYFUNCTION("""COMPUTED_VALUE"""),11.7)</f>
        <v>11.7</v>
      </c>
    </row>
    <row r="6">
      <c r="A6" s="2" t="s">
        <v>6</v>
      </c>
      <c r="B6" s="3">
        <f>IFERROR(__xludf.DUMMYFUNCTION("""COMPUTED_VALUE"""),37652.645833333336)</f>
        <v>37652.64583</v>
      </c>
      <c r="C6" s="2">
        <f>IFERROR(__xludf.DUMMYFUNCTION("""COMPUTED_VALUE"""),11.1)</f>
        <v>11.1</v>
      </c>
    </row>
    <row r="7">
      <c r="A7" s="2" t="s">
        <v>7</v>
      </c>
      <c r="B7" s="3">
        <f>IFERROR(__xludf.DUMMYFUNCTION("""COMPUTED_VALUE"""),37659.645833333336)</f>
        <v>37659.64583</v>
      </c>
      <c r="C7" s="2">
        <f>IFERROR(__xludf.DUMMYFUNCTION("""COMPUTED_VALUE"""),11.1)</f>
        <v>11.1</v>
      </c>
    </row>
    <row r="8">
      <c r="A8" s="2" t="s">
        <v>8</v>
      </c>
      <c r="B8" s="3">
        <f>IFERROR(__xludf.DUMMYFUNCTION("""COMPUTED_VALUE"""),37666.645833333336)</f>
        <v>37666.64583</v>
      </c>
      <c r="C8" s="2">
        <f>IFERROR(__xludf.DUMMYFUNCTION("""COMPUTED_VALUE"""),10.4)</f>
        <v>10.4</v>
      </c>
    </row>
    <row r="9">
      <c r="A9" s="2" t="s">
        <v>9</v>
      </c>
      <c r="B9" s="3">
        <f>IFERROR(__xludf.DUMMYFUNCTION("""COMPUTED_VALUE"""),37673.645833333336)</f>
        <v>37673.64583</v>
      </c>
      <c r="C9" s="2">
        <f>IFERROR(__xludf.DUMMYFUNCTION("""COMPUTED_VALUE"""),11.5)</f>
        <v>11.5</v>
      </c>
    </row>
    <row r="10">
      <c r="A10" s="2" t="s">
        <v>10</v>
      </c>
      <c r="B10" s="3">
        <f>IFERROR(__xludf.DUMMYFUNCTION("""COMPUTED_VALUE"""),37680.645833333336)</f>
        <v>37680.64583</v>
      </c>
      <c r="C10" s="2">
        <f>IFERROR(__xludf.DUMMYFUNCTION("""COMPUTED_VALUE"""),11.4)</f>
        <v>11.4</v>
      </c>
    </row>
    <row r="11">
      <c r="B11" s="3">
        <f>IFERROR(__xludf.DUMMYFUNCTION("""COMPUTED_VALUE"""),37687.645833333336)</f>
        <v>37687.64583</v>
      </c>
      <c r="C11" s="2">
        <f>IFERROR(__xludf.DUMMYFUNCTION("""COMPUTED_VALUE"""),10.75)</f>
        <v>10.75</v>
      </c>
    </row>
    <row r="12">
      <c r="B12" s="3">
        <f>IFERROR(__xludf.DUMMYFUNCTION("""COMPUTED_VALUE"""),37693.645833333336)</f>
        <v>37693.64583</v>
      </c>
      <c r="C12" s="2">
        <f>IFERROR(__xludf.DUMMYFUNCTION("""COMPUTED_VALUE"""),9.5)</f>
        <v>9.5</v>
      </c>
    </row>
    <row r="13">
      <c r="B13" s="3">
        <f>IFERROR(__xludf.DUMMYFUNCTION("""COMPUTED_VALUE"""),37708.645833333336)</f>
        <v>37708.64583</v>
      </c>
      <c r="C13" s="2">
        <f>IFERROR(__xludf.DUMMYFUNCTION("""COMPUTED_VALUE"""),10.2)</f>
        <v>10.2</v>
      </c>
    </row>
    <row r="14">
      <c r="B14" s="3">
        <f>IFERROR(__xludf.DUMMYFUNCTION("""COMPUTED_VALUE"""),37715.645833333336)</f>
        <v>37715.64583</v>
      </c>
      <c r="C14" s="2">
        <f>IFERROR(__xludf.DUMMYFUNCTION("""COMPUTED_VALUE"""),9.75)</f>
        <v>9.75</v>
      </c>
    </row>
    <row r="15">
      <c r="B15" s="3">
        <f>IFERROR(__xludf.DUMMYFUNCTION("""COMPUTED_VALUE"""),37722.645833333336)</f>
        <v>37722.64583</v>
      </c>
      <c r="C15" s="2">
        <f>IFERROR(__xludf.DUMMYFUNCTION("""COMPUTED_VALUE"""),11.0)</f>
        <v>11</v>
      </c>
    </row>
    <row r="16">
      <c r="B16" s="3">
        <f>IFERROR(__xludf.DUMMYFUNCTION("""COMPUTED_VALUE"""),37728.645833333336)</f>
        <v>37728.64583</v>
      </c>
      <c r="C16" s="2">
        <f>IFERROR(__xludf.DUMMYFUNCTION("""COMPUTED_VALUE"""),9.4)</f>
        <v>9.4</v>
      </c>
    </row>
    <row r="17">
      <c r="B17" s="3">
        <f>IFERROR(__xludf.DUMMYFUNCTION("""COMPUTED_VALUE"""),37736.645833333336)</f>
        <v>37736.64583</v>
      </c>
      <c r="C17" s="2">
        <f>IFERROR(__xludf.DUMMYFUNCTION("""COMPUTED_VALUE"""),9.25)</f>
        <v>9.25</v>
      </c>
    </row>
    <row r="18">
      <c r="B18" s="3">
        <f>IFERROR(__xludf.DUMMYFUNCTION("""COMPUTED_VALUE"""),37743.645833333336)</f>
        <v>37743.64583</v>
      </c>
      <c r="C18" s="2">
        <f>IFERROR(__xludf.DUMMYFUNCTION("""COMPUTED_VALUE"""),9.35)</f>
        <v>9.35</v>
      </c>
    </row>
    <row r="19">
      <c r="B19" s="3">
        <f>IFERROR(__xludf.DUMMYFUNCTION("""COMPUTED_VALUE"""),37750.645833333336)</f>
        <v>37750.64583</v>
      </c>
      <c r="C19" s="2">
        <f>IFERROR(__xludf.DUMMYFUNCTION("""COMPUTED_VALUE"""),9.6)</f>
        <v>9.6</v>
      </c>
    </row>
    <row r="20">
      <c r="B20" s="3">
        <f>IFERROR(__xludf.DUMMYFUNCTION("""COMPUTED_VALUE"""),37757.645833333336)</f>
        <v>37757.64583</v>
      </c>
      <c r="C20" s="2">
        <f>IFERROR(__xludf.DUMMYFUNCTION("""COMPUTED_VALUE"""),10.1)</f>
        <v>10.1</v>
      </c>
    </row>
    <row r="21" ht="15.75" customHeight="1">
      <c r="B21" s="3">
        <f>IFERROR(__xludf.DUMMYFUNCTION("""COMPUTED_VALUE"""),37764.645833333336)</f>
        <v>37764.64583</v>
      </c>
      <c r="C21" s="2">
        <f>IFERROR(__xludf.DUMMYFUNCTION("""COMPUTED_VALUE"""),11.5)</f>
        <v>11.5</v>
      </c>
    </row>
    <row r="22" ht="15.75" customHeight="1">
      <c r="B22" s="3">
        <f>IFERROR(__xludf.DUMMYFUNCTION("""COMPUTED_VALUE"""),37771.645833333336)</f>
        <v>37771.64583</v>
      </c>
      <c r="C22" s="2">
        <f>IFERROR(__xludf.DUMMYFUNCTION("""COMPUTED_VALUE"""),12.6)</f>
        <v>12.6</v>
      </c>
    </row>
    <row r="23" ht="15.75" customHeight="1">
      <c r="B23" s="3">
        <f>IFERROR(__xludf.DUMMYFUNCTION("""COMPUTED_VALUE"""),37778.645833333336)</f>
        <v>37778.64583</v>
      </c>
      <c r="C23" s="2">
        <f>IFERROR(__xludf.DUMMYFUNCTION("""COMPUTED_VALUE"""),12.75)</f>
        <v>12.75</v>
      </c>
    </row>
    <row r="24" ht="15.75" customHeight="1">
      <c r="B24" s="3">
        <f>IFERROR(__xludf.DUMMYFUNCTION("""COMPUTED_VALUE"""),37785.645833333336)</f>
        <v>37785.64583</v>
      </c>
      <c r="C24" s="2">
        <f>IFERROR(__xludf.DUMMYFUNCTION("""COMPUTED_VALUE"""),14.6)</f>
        <v>14.6</v>
      </c>
    </row>
    <row r="25" ht="15.75" customHeight="1">
      <c r="B25" s="3">
        <f>IFERROR(__xludf.DUMMYFUNCTION("""COMPUTED_VALUE"""),37792.645833333336)</f>
        <v>37792.64583</v>
      </c>
      <c r="C25" s="2">
        <f>IFERROR(__xludf.DUMMYFUNCTION("""COMPUTED_VALUE"""),16.2)</f>
        <v>16.2</v>
      </c>
    </row>
    <row r="26" ht="15.75" customHeight="1">
      <c r="B26" s="3">
        <f>IFERROR(__xludf.DUMMYFUNCTION("""COMPUTED_VALUE"""),37799.645833333336)</f>
        <v>37799.64583</v>
      </c>
      <c r="C26" s="2">
        <f>IFERROR(__xludf.DUMMYFUNCTION("""COMPUTED_VALUE"""),17.55)</f>
        <v>17.55</v>
      </c>
    </row>
    <row r="27" ht="15.75" customHeight="1">
      <c r="B27" s="3">
        <f>IFERROR(__xludf.DUMMYFUNCTION("""COMPUTED_VALUE"""),37806.645833333336)</f>
        <v>37806.64583</v>
      </c>
      <c r="C27" s="2">
        <f>IFERROR(__xludf.DUMMYFUNCTION("""COMPUTED_VALUE"""),19.85)</f>
        <v>19.85</v>
      </c>
    </row>
    <row r="28" ht="15.75" customHeight="1">
      <c r="B28" s="3">
        <f>IFERROR(__xludf.DUMMYFUNCTION("""COMPUTED_VALUE"""),37813.645833333336)</f>
        <v>37813.64583</v>
      </c>
      <c r="C28" s="2">
        <f>IFERROR(__xludf.DUMMYFUNCTION("""COMPUTED_VALUE"""),20.0)</f>
        <v>20</v>
      </c>
    </row>
    <row r="29" ht="15.75" customHeight="1">
      <c r="B29" s="3">
        <f>IFERROR(__xludf.DUMMYFUNCTION("""COMPUTED_VALUE"""),37820.645833333336)</f>
        <v>37820.64583</v>
      </c>
      <c r="C29" s="2">
        <f>IFERROR(__xludf.DUMMYFUNCTION("""COMPUTED_VALUE"""),21.4)</f>
        <v>21.4</v>
      </c>
    </row>
    <row r="30" ht="15.75" customHeight="1">
      <c r="B30" s="3">
        <f>IFERROR(__xludf.DUMMYFUNCTION("""COMPUTED_VALUE"""),37827.645833333336)</f>
        <v>37827.64583</v>
      </c>
      <c r="C30" s="2">
        <f>IFERROR(__xludf.DUMMYFUNCTION("""COMPUTED_VALUE"""),21.15)</f>
        <v>21.15</v>
      </c>
    </row>
    <row r="31" ht="15.75" customHeight="1">
      <c r="B31" s="3">
        <f>IFERROR(__xludf.DUMMYFUNCTION("""COMPUTED_VALUE"""),37834.645833333336)</f>
        <v>37834.64583</v>
      </c>
      <c r="C31" s="2">
        <f>IFERROR(__xludf.DUMMYFUNCTION("""COMPUTED_VALUE"""),23.85)</f>
        <v>23.85</v>
      </c>
    </row>
    <row r="32" ht="15.75" customHeight="1">
      <c r="B32" s="3">
        <f>IFERROR(__xludf.DUMMYFUNCTION("""COMPUTED_VALUE"""),37841.645833333336)</f>
        <v>37841.64583</v>
      </c>
      <c r="C32" s="2">
        <f>IFERROR(__xludf.DUMMYFUNCTION("""COMPUTED_VALUE"""),26.9)</f>
        <v>26.9</v>
      </c>
    </row>
    <row r="33" ht="15.75" customHeight="1">
      <c r="B33" s="3">
        <f>IFERROR(__xludf.DUMMYFUNCTION("""COMPUTED_VALUE"""),37847.645833333336)</f>
        <v>37847.64583</v>
      </c>
      <c r="C33" s="2">
        <f>IFERROR(__xludf.DUMMYFUNCTION("""COMPUTED_VALUE"""),40.4)</f>
        <v>40.4</v>
      </c>
    </row>
    <row r="34" ht="15.75" customHeight="1">
      <c r="B34" s="3">
        <f>IFERROR(__xludf.DUMMYFUNCTION("""COMPUTED_VALUE"""),37855.645833333336)</f>
        <v>37855.64583</v>
      </c>
      <c r="C34" s="2">
        <f>IFERROR(__xludf.DUMMYFUNCTION("""COMPUTED_VALUE"""),46.9)</f>
        <v>46.9</v>
      </c>
    </row>
    <row r="35" ht="15.75" customHeight="1">
      <c r="B35" s="3">
        <f>IFERROR(__xludf.DUMMYFUNCTION("""COMPUTED_VALUE"""),37862.645833333336)</f>
        <v>37862.64583</v>
      </c>
      <c r="C35" s="2">
        <f>IFERROR(__xludf.DUMMYFUNCTION("""COMPUTED_VALUE"""),45.0)</f>
        <v>45</v>
      </c>
    </row>
    <row r="36" ht="15.75" customHeight="1">
      <c r="B36" s="3">
        <f>IFERROR(__xludf.DUMMYFUNCTION("""COMPUTED_VALUE"""),37869.645833333336)</f>
        <v>37869.64583</v>
      </c>
      <c r="C36" s="2">
        <f>IFERROR(__xludf.DUMMYFUNCTION("""COMPUTED_VALUE"""),41.45)</f>
        <v>41.45</v>
      </c>
    </row>
    <row r="37" ht="15.75" customHeight="1">
      <c r="B37" s="3">
        <f>IFERROR(__xludf.DUMMYFUNCTION("""COMPUTED_VALUE"""),37876.645833333336)</f>
        <v>37876.64583</v>
      </c>
      <c r="C37" s="2">
        <f>IFERROR(__xludf.DUMMYFUNCTION("""COMPUTED_VALUE"""),40.4)</f>
        <v>40.4</v>
      </c>
    </row>
    <row r="38" ht="15.75" customHeight="1">
      <c r="B38" s="3">
        <f>IFERROR(__xludf.DUMMYFUNCTION("""COMPUTED_VALUE"""),37883.645833333336)</f>
        <v>37883.64583</v>
      </c>
      <c r="C38" s="2">
        <f>IFERROR(__xludf.DUMMYFUNCTION("""COMPUTED_VALUE"""),38.75)</f>
        <v>38.75</v>
      </c>
    </row>
    <row r="39" ht="15.75" customHeight="1">
      <c r="B39" s="3">
        <f>IFERROR(__xludf.DUMMYFUNCTION("""COMPUTED_VALUE"""),37890.645833333336)</f>
        <v>37890.64583</v>
      </c>
      <c r="C39" s="2">
        <f>IFERROR(__xludf.DUMMYFUNCTION("""COMPUTED_VALUE"""),38.6)</f>
        <v>38.6</v>
      </c>
    </row>
    <row r="40" ht="15.75" customHeight="1">
      <c r="B40" s="3">
        <f>IFERROR(__xludf.DUMMYFUNCTION("""COMPUTED_VALUE"""),37897.645833333336)</f>
        <v>37897.64583</v>
      </c>
      <c r="C40" s="2">
        <f>IFERROR(__xludf.DUMMYFUNCTION("""COMPUTED_VALUE"""),39.4)</f>
        <v>39.4</v>
      </c>
    </row>
    <row r="41" ht="15.75" customHeight="1">
      <c r="B41" s="3">
        <f>IFERROR(__xludf.DUMMYFUNCTION("""COMPUTED_VALUE"""),37904.645833333336)</f>
        <v>37904.64583</v>
      </c>
      <c r="C41" s="2">
        <f>IFERROR(__xludf.DUMMYFUNCTION("""COMPUTED_VALUE"""),48.0)</f>
        <v>48</v>
      </c>
    </row>
    <row r="42" ht="15.75" customHeight="1">
      <c r="B42" s="3">
        <f>IFERROR(__xludf.DUMMYFUNCTION("""COMPUTED_VALUE"""),37911.645833333336)</f>
        <v>37911.64583</v>
      </c>
      <c r="C42" s="2">
        <f>IFERROR(__xludf.DUMMYFUNCTION("""COMPUTED_VALUE"""),46.45)</f>
        <v>46.45</v>
      </c>
    </row>
    <row r="43" ht="15.75" customHeight="1">
      <c r="B43" s="3">
        <f>IFERROR(__xludf.DUMMYFUNCTION("""COMPUTED_VALUE"""),37925.645833333336)</f>
        <v>37925.64583</v>
      </c>
      <c r="C43" s="2">
        <f>IFERROR(__xludf.DUMMYFUNCTION("""COMPUTED_VALUE"""),45.9)</f>
        <v>45.9</v>
      </c>
    </row>
    <row r="44" ht="15.75" customHeight="1">
      <c r="B44" s="3">
        <f>IFERROR(__xludf.DUMMYFUNCTION("""COMPUTED_VALUE"""),37932.645833333336)</f>
        <v>37932.64583</v>
      </c>
      <c r="C44" s="2">
        <f>IFERROR(__xludf.DUMMYFUNCTION("""COMPUTED_VALUE"""),48.9)</f>
        <v>48.9</v>
      </c>
    </row>
    <row r="45" ht="15.75" customHeight="1">
      <c r="B45" s="3">
        <f>IFERROR(__xludf.DUMMYFUNCTION("""COMPUTED_VALUE"""),37946.645833333336)</f>
        <v>37946.64583</v>
      </c>
      <c r="C45" s="2">
        <f>IFERROR(__xludf.DUMMYFUNCTION("""COMPUTED_VALUE"""),43.45)</f>
        <v>43.45</v>
      </c>
    </row>
    <row r="46" ht="15.75" customHeight="1">
      <c r="B46" s="3">
        <f>IFERROR(__xludf.DUMMYFUNCTION("""COMPUTED_VALUE"""),37953.645833333336)</f>
        <v>37953.64583</v>
      </c>
      <c r="C46" s="2">
        <f>IFERROR(__xludf.DUMMYFUNCTION("""COMPUTED_VALUE"""),43.1)</f>
        <v>43.1</v>
      </c>
    </row>
    <row r="47" ht="15.75" customHeight="1">
      <c r="B47" s="3">
        <f>IFERROR(__xludf.DUMMYFUNCTION("""COMPUTED_VALUE"""),37960.645833333336)</f>
        <v>37960.64583</v>
      </c>
      <c r="C47" s="2">
        <f>IFERROR(__xludf.DUMMYFUNCTION("""COMPUTED_VALUE"""),44.7)</f>
        <v>44.7</v>
      </c>
    </row>
    <row r="48" ht="15.75" customHeight="1">
      <c r="B48" s="3">
        <f>IFERROR(__xludf.DUMMYFUNCTION("""COMPUTED_VALUE"""),37967.645833333336)</f>
        <v>37967.64583</v>
      </c>
      <c r="C48" s="2">
        <f>IFERROR(__xludf.DUMMYFUNCTION("""COMPUTED_VALUE"""),43.2)</f>
        <v>43.2</v>
      </c>
    </row>
    <row r="49" ht="15.75" customHeight="1">
      <c r="B49" s="3">
        <f>IFERROR(__xludf.DUMMYFUNCTION("""COMPUTED_VALUE"""),37974.645833333336)</f>
        <v>37974.64583</v>
      </c>
      <c r="C49" s="2">
        <f>IFERROR(__xludf.DUMMYFUNCTION("""COMPUTED_VALUE"""),47.8)</f>
        <v>47.8</v>
      </c>
    </row>
    <row r="50" ht="15.75" customHeight="1">
      <c r="B50" s="3">
        <f>IFERROR(__xludf.DUMMYFUNCTION("""COMPUTED_VALUE"""),37981.645833333336)</f>
        <v>37981.64583</v>
      </c>
      <c r="C50" s="2">
        <f>IFERROR(__xludf.DUMMYFUNCTION("""COMPUTED_VALUE"""),52.8)</f>
        <v>52.8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2" t="str">
        <f>IFERROR(__xludf.DUMMYFUNCTION("GOOGLEFINANCE(""NSE:SAIL"", ""high"",DATE(2004,1,1),DATE(2005,1,1),""weekly"")"),"Date")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IFERROR(__xludf.DUMMYFUNCTION("""COMPUTED_VALUE"""),37988.645833333336)</f>
        <v>37988.64583</v>
      </c>
      <c r="C57" s="2">
        <f>IFERROR(__xludf.DUMMYFUNCTION("""COMPUTED_VALUE"""),55.5)</f>
        <v>55.5</v>
      </c>
    </row>
    <row r="58" ht="15.75" customHeight="1">
      <c r="B58" s="3">
        <f>IFERROR(__xludf.DUMMYFUNCTION("""COMPUTED_VALUE"""),37995.645833333336)</f>
        <v>37995.64583</v>
      </c>
      <c r="C58" s="2">
        <f>IFERROR(__xludf.DUMMYFUNCTION("""COMPUTED_VALUE"""),55.25)</f>
        <v>55.25</v>
      </c>
    </row>
    <row r="59" ht="15.75" customHeight="1">
      <c r="B59" s="3">
        <f>IFERROR(__xludf.DUMMYFUNCTION("""COMPUTED_VALUE"""),38002.645833333336)</f>
        <v>38002.64583</v>
      </c>
      <c r="C59" s="2">
        <f>IFERROR(__xludf.DUMMYFUNCTION("""COMPUTED_VALUE"""),52.0)</f>
        <v>52</v>
      </c>
    </row>
    <row r="60" ht="15.75" customHeight="1">
      <c r="B60" s="3">
        <f>IFERROR(__xludf.DUMMYFUNCTION("""COMPUTED_VALUE"""),38009.645833333336)</f>
        <v>38009.64583</v>
      </c>
      <c r="C60" s="2">
        <f>IFERROR(__xludf.DUMMYFUNCTION("""COMPUTED_VALUE"""),51.4)</f>
        <v>51.4</v>
      </c>
    </row>
    <row r="61" ht="15.75" customHeight="1">
      <c r="B61" s="3">
        <f>IFERROR(__xludf.DUMMYFUNCTION("""COMPUTED_VALUE"""),38016.645833333336)</f>
        <v>38016.64583</v>
      </c>
      <c r="C61" s="2">
        <f>IFERROR(__xludf.DUMMYFUNCTION("""COMPUTED_VALUE"""),47.85)</f>
        <v>47.85</v>
      </c>
    </row>
    <row r="62" ht="15.75" customHeight="1">
      <c r="B62" s="3">
        <f>IFERROR(__xludf.DUMMYFUNCTION("""COMPUTED_VALUE"""),38023.645833333336)</f>
        <v>38023.64583</v>
      </c>
      <c r="C62" s="2">
        <f>IFERROR(__xludf.DUMMYFUNCTION("""COMPUTED_VALUE"""),45.75)</f>
        <v>45.75</v>
      </c>
    </row>
    <row r="63" ht="15.75" customHeight="1">
      <c r="B63" s="3">
        <f>IFERROR(__xludf.DUMMYFUNCTION("""COMPUTED_VALUE"""),38030.645833333336)</f>
        <v>38030.64583</v>
      </c>
      <c r="C63" s="2">
        <f>IFERROR(__xludf.DUMMYFUNCTION("""COMPUTED_VALUE"""),47.45)</f>
        <v>47.45</v>
      </c>
    </row>
    <row r="64" ht="15.75" customHeight="1">
      <c r="B64" s="3">
        <f>IFERROR(__xludf.DUMMYFUNCTION("""COMPUTED_VALUE"""),38037.645833333336)</f>
        <v>38037.64583</v>
      </c>
      <c r="C64" s="2">
        <f>IFERROR(__xludf.DUMMYFUNCTION("""COMPUTED_VALUE"""),48.4)</f>
        <v>48.4</v>
      </c>
    </row>
    <row r="65" ht="15.75" customHeight="1">
      <c r="B65" s="3">
        <f>IFERROR(__xludf.DUMMYFUNCTION("""COMPUTED_VALUE"""),38044.645833333336)</f>
        <v>38044.64583</v>
      </c>
      <c r="C65" s="2">
        <f>IFERROR(__xludf.DUMMYFUNCTION("""COMPUTED_VALUE"""),47.0)</f>
        <v>47</v>
      </c>
    </row>
    <row r="66" ht="15.75" customHeight="1">
      <c r="B66" s="3">
        <f>IFERROR(__xludf.DUMMYFUNCTION("""COMPUTED_VALUE"""),38051.645833333336)</f>
        <v>38051.64583</v>
      </c>
      <c r="C66" s="2">
        <f>IFERROR(__xludf.DUMMYFUNCTION("""COMPUTED_VALUE"""),42.75)</f>
        <v>42.75</v>
      </c>
    </row>
    <row r="67" ht="15.75" customHeight="1">
      <c r="B67" s="3">
        <f>IFERROR(__xludf.DUMMYFUNCTION("""COMPUTED_VALUE"""),38058.645833333336)</f>
        <v>38058.64583</v>
      </c>
      <c r="C67" s="2">
        <f>IFERROR(__xludf.DUMMYFUNCTION("""COMPUTED_VALUE"""),44.1)</f>
        <v>44.1</v>
      </c>
    </row>
    <row r="68" ht="15.75" customHeight="1">
      <c r="B68" s="3">
        <f>IFERROR(__xludf.DUMMYFUNCTION("""COMPUTED_VALUE"""),38065.645833333336)</f>
        <v>38065.64583</v>
      </c>
      <c r="C68" s="2">
        <f>IFERROR(__xludf.DUMMYFUNCTION("""COMPUTED_VALUE"""),41.45)</f>
        <v>41.45</v>
      </c>
    </row>
    <row r="69" ht="15.75" customHeight="1">
      <c r="B69" s="3">
        <f>IFERROR(__xludf.DUMMYFUNCTION("""COMPUTED_VALUE"""),38072.645833333336)</f>
        <v>38072.64583</v>
      </c>
      <c r="C69" s="2">
        <f>IFERROR(__xludf.DUMMYFUNCTION("""COMPUTED_VALUE"""),35.35)</f>
        <v>35.35</v>
      </c>
    </row>
    <row r="70" ht="15.75" customHeight="1">
      <c r="B70" s="3">
        <f>IFERROR(__xludf.DUMMYFUNCTION("""COMPUTED_VALUE"""),38079.645833333336)</f>
        <v>38079.64583</v>
      </c>
      <c r="C70" s="2">
        <f>IFERROR(__xludf.DUMMYFUNCTION("""COMPUTED_VALUE"""),35.85)</f>
        <v>35.85</v>
      </c>
    </row>
    <row r="71" ht="15.75" customHeight="1">
      <c r="B71" s="3">
        <f>IFERROR(__xludf.DUMMYFUNCTION("""COMPUTED_VALUE"""),38085.645833333336)</f>
        <v>38085.64583</v>
      </c>
      <c r="C71" s="2">
        <f>IFERROR(__xludf.DUMMYFUNCTION("""COMPUTED_VALUE"""),37.6)</f>
        <v>37.6</v>
      </c>
    </row>
    <row r="72" ht="15.75" customHeight="1">
      <c r="B72" s="3">
        <f>IFERROR(__xludf.DUMMYFUNCTION("""COMPUTED_VALUE"""),38100.645833333336)</f>
        <v>38100.64583</v>
      </c>
      <c r="C72" s="2">
        <f>IFERROR(__xludf.DUMMYFUNCTION("""COMPUTED_VALUE"""),42.0)</f>
        <v>42</v>
      </c>
    </row>
    <row r="73" ht="15.75" customHeight="1">
      <c r="B73" s="3">
        <f>IFERROR(__xludf.DUMMYFUNCTION("""COMPUTED_VALUE"""),38107.645833333336)</f>
        <v>38107.64583</v>
      </c>
      <c r="C73" s="2">
        <f>IFERROR(__xludf.DUMMYFUNCTION("""COMPUTED_VALUE"""),39.8)</f>
        <v>39.8</v>
      </c>
    </row>
    <row r="74" ht="15.75" customHeight="1">
      <c r="B74" s="3">
        <f>IFERROR(__xludf.DUMMYFUNCTION("""COMPUTED_VALUE"""),38114.645833333336)</f>
        <v>38114.64583</v>
      </c>
      <c r="C74" s="2">
        <f>IFERROR(__xludf.DUMMYFUNCTION("""COMPUTED_VALUE"""),36.45)</f>
        <v>36.45</v>
      </c>
    </row>
    <row r="75" ht="15.75" customHeight="1">
      <c r="B75" s="3">
        <f>IFERROR(__xludf.DUMMYFUNCTION("""COMPUTED_VALUE"""),38121.645833333336)</f>
        <v>38121.64583</v>
      </c>
      <c r="C75" s="2">
        <f>IFERROR(__xludf.DUMMYFUNCTION("""COMPUTED_VALUE"""),35.9)</f>
        <v>35.9</v>
      </c>
    </row>
    <row r="76" ht="15.75" customHeight="1">
      <c r="B76" s="3">
        <f>IFERROR(__xludf.DUMMYFUNCTION("""COMPUTED_VALUE"""),38128.645833333336)</f>
        <v>38128.64583</v>
      </c>
      <c r="C76" s="2">
        <f>IFERROR(__xludf.DUMMYFUNCTION("""COMPUTED_VALUE"""),31.75)</f>
        <v>31.75</v>
      </c>
    </row>
    <row r="77" ht="15.75" customHeight="1">
      <c r="B77" s="3">
        <f>IFERROR(__xludf.DUMMYFUNCTION("""COMPUTED_VALUE"""),38135.645833333336)</f>
        <v>38135.64583</v>
      </c>
      <c r="C77" s="2">
        <f>IFERROR(__xludf.DUMMYFUNCTION("""COMPUTED_VALUE"""),32.45)</f>
        <v>32.45</v>
      </c>
    </row>
    <row r="78" ht="15.75" customHeight="1">
      <c r="B78" s="3">
        <f>IFERROR(__xludf.DUMMYFUNCTION("""COMPUTED_VALUE"""),38142.645833333336)</f>
        <v>38142.64583</v>
      </c>
      <c r="C78" s="2">
        <f>IFERROR(__xludf.DUMMYFUNCTION("""COMPUTED_VALUE"""),30.8)</f>
        <v>30.8</v>
      </c>
    </row>
    <row r="79" ht="15.75" customHeight="1">
      <c r="B79" s="3">
        <f>IFERROR(__xludf.DUMMYFUNCTION("""COMPUTED_VALUE"""),38149.645833333336)</f>
        <v>38149.64583</v>
      </c>
      <c r="C79" s="2">
        <f>IFERROR(__xludf.DUMMYFUNCTION("""COMPUTED_VALUE"""),30.5)</f>
        <v>30.5</v>
      </c>
    </row>
    <row r="80" ht="15.75" customHeight="1">
      <c r="B80" s="3">
        <f>IFERROR(__xludf.DUMMYFUNCTION("""COMPUTED_VALUE"""),38156.645833333336)</f>
        <v>38156.64583</v>
      </c>
      <c r="C80" s="2">
        <f>IFERROR(__xludf.DUMMYFUNCTION("""COMPUTED_VALUE"""),28.9)</f>
        <v>28.9</v>
      </c>
    </row>
    <row r="81" ht="15.75" customHeight="1">
      <c r="B81" s="3">
        <f>IFERROR(__xludf.DUMMYFUNCTION("""COMPUTED_VALUE"""),38163.645833333336)</f>
        <v>38163.64583</v>
      </c>
      <c r="C81" s="2">
        <f>IFERROR(__xludf.DUMMYFUNCTION("""COMPUTED_VALUE"""),26.7)</f>
        <v>26.7</v>
      </c>
    </row>
    <row r="82" ht="15.75" customHeight="1">
      <c r="B82" s="3">
        <f>IFERROR(__xludf.DUMMYFUNCTION("""COMPUTED_VALUE"""),38170.645833333336)</f>
        <v>38170.64583</v>
      </c>
      <c r="C82" s="2">
        <f>IFERROR(__xludf.DUMMYFUNCTION("""COMPUTED_VALUE"""),28.6)</f>
        <v>28.6</v>
      </c>
    </row>
    <row r="83" ht="15.75" customHeight="1">
      <c r="B83" s="3">
        <f>IFERROR(__xludf.DUMMYFUNCTION("""COMPUTED_VALUE"""),38177.645833333336)</f>
        <v>38177.64583</v>
      </c>
      <c r="C83" s="2">
        <f>IFERROR(__xludf.DUMMYFUNCTION("""COMPUTED_VALUE"""),32.15)</f>
        <v>32.15</v>
      </c>
    </row>
    <row r="84" ht="15.75" customHeight="1">
      <c r="B84" s="3">
        <f>IFERROR(__xludf.DUMMYFUNCTION("""COMPUTED_VALUE"""),38184.645833333336)</f>
        <v>38184.64583</v>
      </c>
      <c r="C84" s="2">
        <f>IFERROR(__xludf.DUMMYFUNCTION("""COMPUTED_VALUE"""),33.2)</f>
        <v>33.2</v>
      </c>
    </row>
    <row r="85" ht="15.75" customHeight="1">
      <c r="B85" s="3">
        <f>IFERROR(__xludf.DUMMYFUNCTION("""COMPUTED_VALUE"""),38191.645833333336)</f>
        <v>38191.64583</v>
      </c>
      <c r="C85" s="2">
        <f>IFERROR(__xludf.DUMMYFUNCTION("""COMPUTED_VALUE"""),37.5)</f>
        <v>37.5</v>
      </c>
    </row>
    <row r="86" ht="15.75" customHeight="1">
      <c r="B86" s="3">
        <f>IFERROR(__xludf.DUMMYFUNCTION("""COMPUTED_VALUE"""),38198.645833333336)</f>
        <v>38198.64583</v>
      </c>
      <c r="C86" s="2">
        <f>IFERROR(__xludf.DUMMYFUNCTION("""COMPUTED_VALUE"""),40.9)</f>
        <v>40.9</v>
      </c>
    </row>
    <row r="87" ht="15.75" customHeight="1">
      <c r="B87" s="3">
        <f>IFERROR(__xludf.DUMMYFUNCTION("""COMPUTED_VALUE"""),38205.645833333336)</f>
        <v>38205.64583</v>
      </c>
      <c r="C87" s="2">
        <f>IFERROR(__xludf.DUMMYFUNCTION("""COMPUTED_VALUE"""),42.15)</f>
        <v>42.15</v>
      </c>
    </row>
    <row r="88" ht="15.75" customHeight="1">
      <c r="B88" s="3">
        <f>IFERROR(__xludf.DUMMYFUNCTION("""COMPUTED_VALUE"""),38212.645833333336)</f>
        <v>38212.64583</v>
      </c>
      <c r="C88" s="2">
        <f>IFERROR(__xludf.DUMMYFUNCTION("""COMPUTED_VALUE"""),41.55)</f>
        <v>41.55</v>
      </c>
    </row>
    <row r="89" ht="15.75" customHeight="1">
      <c r="B89" s="3">
        <f>IFERROR(__xludf.DUMMYFUNCTION("""COMPUTED_VALUE"""),38219.645833333336)</f>
        <v>38219.64583</v>
      </c>
      <c r="C89" s="2">
        <f>IFERROR(__xludf.DUMMYFUNCTION("""COMPUTED_VALUE"""),42.1)</f>
        <v>42.1</v>
      </c>
    </row>
    <row r="90" ht="15.75" customHeight="1">
      <c r="B90" s="3">
        <f>IFERROR(__xludf.DUMMYFUNCTION("""COMPUTED_VALUE"""),38226.645833333336)</f>
        <v>38226.64583</v>
      </c>
      <c r="C90" s="2">
        <f>IFERROR(__xludf.DUMMYFUNCTION("""COMPUTED_VALUE"""),39.8)</f>
        <v>39.8</v>
      </c>
    </row>
    <row r="91" ht="15.75" customHeight="1">
      <c r="B91" s="3">
        <f>IFERROR(__xludf.DUMMYFUNCTION("""COMPUTED_VALUE"""),38233.645833333336)</f>
        <v>38233.64583</v>
      </c>
      <c r="C91" s="2">
        <f>IFERROR(__xludf.DUMMYFUNCTION("""COMPUTED_VALUE"""),41.05)</f>
        <v>41.05</v>
      </c>
    </row>
    <row r="92" ht="15.75" customHeight="1">
      <c r="B92" s="3">
        <f>IFERROR(__xludf.DUMMYFUNCTION("""COMPUTED_VALUE"""),38240.645833333336)</f>
        <v>38240.64583</v>
      </c>
      <c r="C92" s="2">
        <f>IFERROR(__xludf.DUMMYFUNCTION("""COMPUTED_VALUE"""),40.0)</f>
        <v>40</v>
      </c>
    </row>
    <row r="93" ht="15.75" customHeight="1">
      <c r="B93" s="3">
        <f>IFERROR(__xludf.DUMMYFUNCTION("""COMPUTED_VALUE"""),38247.645833333336)</f>
        <v>38247.64583</v>
      </c>
      <c r="C93" s="2">
        <f>IFERROR(__xludf.DUMMYFUNCTION("""COMPUTED_VALUE"""),43.6)</f>
        <v>43.6</v>
      </c>
    </row>
    <row r="94" ht="15.75" customHeight="1">
      <c r="B94" s="3">
        <f>IFERROR(__xludf.DUMMYFUNCTION("""COMPUTED_VALUE"""),38254.645833333336)</f>
        <v>38254.64583</v>
      </c>
      <c r="C94" s="2">
        <f>IFERROR(__xludf.DUMMYFUNCTION("""COMPUTED_VALUE"""),45.6)</f>
        <v>45.6</v>
      </c>
    </row>
    <row r="95" ht="15.75" customHeight="1">
      <c r="B95" s="3">
        <f>IFERROR(__xludf.DUMMYFUNCTION("""COMPUTED_VALUE"""),38261.645833333336)</f>
        <v>38261.64583</v>
      </c>
      <c r="C95" s="2">
        <f>IFERROR(__xludf.DUMMYFUNCTION("""COMPUTED_VALUE"""),47.5)</f>
        <v>47.5</v>
      </c>
    </row>
    <row r="96" ht="15.75" customHeight="1">
      <c r="B96" s="3">
        <f>IFERROR(__xludf.DUMMYFUNCTION("""COMPUTED_VALUE"""),38275.645833333336)</f>
        <v>38275.64583</v>
      </c>
      <c r="C96" s="2">
        <f>IFERROR(__xludf.DUMMYFUNCTION("""COMPUTED_VALUE"""),51.55)</f>
        <v>51.55</v>
      </c>
    </row>
    <row r="97" ht="15.75" customHeight="1">
      <c r="B97" s="3">
        <f>IFERROR(__xludf.DUMMYFUNCTION("""COMPUTED_VALUE"""),38281.645833333336)</f>
        <v>38281.64583</v>
      </c>
      <c r="C97" s="2">
        <f>IFERROR(__xludf.DUMMYFUNCTION("""COMPUTED_VALUE"""),49.65)</f>
        <v>49.65</v>
      </c>
    </row>
    <row r="98" ht="15.75" customHeight="1">
      <c r="B98" s="3">
        <f>IFERROR(__xludf.DUMMYFUNCTION("""COMPUTED_VALUE"""),38289.645833333336)</f>
        <v>38289.64583</v>
      </c>
      <c r="C98" s="2">
        <f>IFERROR(__xludf.DUMMYFUNCTION("""COMPUTED_VALUE"""),50.8)</f>
        <v>50.8</v>
      </c>
    </row>
    <row r="99" ht="15.75" customHeight="1">
      <c r="B99" s="3">
        <f>IFERROR(__xludf.DUMMYFUNCTION("""COMPUTED_VALUE"""),38296.645833333336)</f>
        <v>38296.64583</v>
      </c>
      <c r="C99" s="2">
        <f>IFERROR(__xludf.DUMMYFUNCTION("""COMPUTED_VALUE"""),51.05)</f>
        <v>51.05</v>
      </c>
    </row>
    <row r="100" ht="15.75" customHeight="1">
      <c r="B100" s="3">
        <f>IFERROR(__xludf.DUMMYFUNCTION("""COMPUTED_VALUE"""),38303.645833333336)</f>
        <v>38303.64583</v>
      </c>
      <c r="C100" s="2">
        <f>IFERROR(__xludf.DUMMYFUNCTION("""COMPUTED_VALUE"""),50.65)</f>
        <v>50.65</v>
      </c>
    </row>
    <row r="101" ht="15.75" customHeight="1">
      <c r="B101" s="3">
        <f>IFERROR(__xludf.DUMMYFUNCTION("""COMPUTED_VALUE"""),38310.645833333336)</f>
        <v>38310.64583</v>
      </c>
      <c r="C101" s="2">
        <f>IFERROR(__xludf.DUMMYFUNCTION("""COMPUTED_VALUE"""),52.5)</f>
        <v>52.5</v>
      </c>
    </row>
    <row r="102" ht="15.75" customHeight="1">
      <c r="B102" s="3">
        <f>IFERROR(__xludf.DUMMYFUNCTION("""COMPUTED_VALUE"""),38316.645833333336)</f>
        <v>38316.64583</v>
      </c>
      <c r="C102" s="2">
        <f>IFERROR(__xludf.DUMMYFUNCTION("""COMPUTED_VALUE"""),53.2)</f>
        <v>53.2</v>
      </c>
    </row>
    <row r="103" ht="15.75" customHeight="1">
      <c r="B103" s="3">
        <f>IFERROR(__xludf.DUMMYFUNCTION("""COMPUTED_VALUE"""),38324.645833333336)</f>
        <v>38324.64583</v>
      </c>
      <c r="C103" s="2">
        <f>IFERROR(__xludf.DUMMYFUNCTION("""COMPUTED_VALUE"""),57.45)</f>
        <v>57.45</v>
      </c>
    </row>
    <row r="104" ht="15.75" customHeight="1">
      <c r="B104" s="3">
        <f>IFERROR(__xludf.DUMMYFUNCTION("""COMPUTED_VALUE"""),38331.645833333336)</f>
        <v>38331.64583</v>
      </c>
      <c r="C104" s="2">
        <f>IFERROR(__xludf.DUMMYFUNCTION("""COMPUTED_VALUE"""),58.6)</f>
        <v>58.6</v>
      </c>
    </row>
    <row r="105" ht="15.75" customHeight="1">
      <c r="B105" s="3">
        <f>IFERROR(__xludf.DUMMYFUNCTION("""COMPUTED_VALUE"""),38338.645833333336)</f>
        <v>38338.64583</v>
      </c>
      <c r="C105" s="2">
        <f>IFERROR(__xludf.DUMMYFUNCTION("""COMPUTED_VALUE"""),58.75)</f>
        <v>58.75</v>
      </c>
    </row>
    <row r="106" ht="15.75" customHeight="1">
      <c r="B106" s="3">
        <f>IFERROR(__xludf.DUMMYFUNCTION("""COMPUTED_VALUE"""),38345.645833333336)</f>
        <v>38345.64583</v>
      </c>
      <c r="C106" s="2">
        <f>IFERROR(__xludf.DUMMYFUNCTION("""COMPUTED_VALUE"""),61.0)</f>
        <v>61</v>
      </c>
    </row>
    <row r="107" ht="15.75" customHeight="1">
      <c r="B107" s="3">
        <f>IFERROR(__xludf.DUMMYFUNCTION("""COMPUTED_VALUE"""),38352.645833333336)</f>
        <v>38352.64583</v>
      </c>
      <c r="C107" s="2">
        <f>IFERROR(__xludf.DUMMYFUNCTION("""COMPUTED_VALUE"""),65.4)</f>
        <v>65.4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IFERROR(__xludf.DUMMYFUNCTION("GOOGLEFINANCE(""NSE:SAIL"", ""high"",DATE(2005,1,1),DATE(2006,1,1),""weekly"")"),"Date")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IFERROR(__xludf.DUMMYFUNCTION("""COMPUTED_VALUE"""),38359.645833333336)</f>
        <v>38359.64583</v>
      </c>
      <c r="C112" s="2">
        <f>IFERROR(__xludf.DUMMYFUNCTION("""COMPUTED_VALUE"""),64.8)</f>
        <v>64.8</v>
      </c>
    </row>
    <row r="113" ht="15.75" customHeight="1">
      <c r="B113" s="3">
        <f>IFERROR(__xludf.DUMMYFUNCTION("""COMPUTED_VALUE"""),38366.645833333336)</f>
        <v>38366.64583</v>
      </c>
      <c r="C113" s="2">
        <f>IFERROR(__xludf.DUMMYFUNCTION("""COMPUTED_VALUE"""),63.0)</f>
        <v>63</v>
      </c>
    </row>
    <row r="114" ht="15.75" customHeight="1">
      <c r="B114" s="3">
        <f>IFERROR(__xludf.DUMMYFUNCTION("""COMPUTED_VALUE"""),38372.645833333336)</f>
        <v>38372.64583</v>
      </c>
      <c r="C114" s="2">
        <f>IFERROR(__xludf.DUMMYFUNCTION("""COMPUTED_VALUE"""),59.0)</f>
        <v>59</v>
      </c>
    </row>
    <row r="115" ht="15.75" customHeight="1">
      <c r="B115" s="3">
        <f>IFERROR(__xludf.DUMMYFUNCTION("""COMPUTED_VALUE"""),38380.645833333336)</f>
        <v>38380.64583</v>
      </c>
      <c r="C115" s="2">
        <f>IFERROR(__xludf.DUMMYFUNCTION("""COMPUTED_VALUE"""),65.0)</f>
        <v>65</v>
      </c>
    </row>
    <row r="116" ht="15.75" customHeight="1">
      <c r="B116" s="3">
        <f>IFERROR(__xludf.DUMMYFUNCTION("""COMPUTED_VALUE"""),38387.645833333336)</f>
        <v>38387.64583</v>
      </c>
      <c r="C116" s="2">
        <f>IFERROR(__xludf.DUMMYFUNCTION("""COMPUTED_VALUE"""),66.6)</f>
        <v>66.6</v>
      </c>
    </row>
    <row r="117" ht="15.75" customHeight="1">
      <c r="B117" s="3">
        <f>IFERROR(__xludf.DUMMYFUNCTION("""COMPUTED_VALUE"""),38394.645833333336)</f>
        <v>38394.64583</v>
      </c>
      <c r="C117" s="2">
        <f>IFERROR(__xludf.DUMMYFUNCTION("""COMPUTED_VALUE"""),65.65)</f>
        <v>65.65</v>
      </c>
    </row>
    <row r="118" ht="15.75" customHeight="1">
      <c r="B118" s="3">
        <f>IFERROR(__xludf.DUMMYFUNCTION("""COMPUTED_VALUE"""),38401.645833333336)</f>
        <v>38401.64583</v>
      </c>
      <c r="C118" s="2">
        <f>IFERROR(__xludf.DUMMYFUNCTION("""COMPUTED_VALUE"""),67.15)</f>
        <v>67.15</v>
      </c>
    </row>
    <row r="119" ht="15.75" customHeight="1">
      <c r="B119" s="3">
        <f>IFERROR(__xludf.DUMMYFUNCTION("""COMPUTED_VALUE"""),38408.645833333336)</f>
        <v>38408.64583</v>
      </c>
      <c r="C119" s="2">
        <f>IFERROR(__xludf.DUMMYFUNCTION("""COMPUTED_VALUE"""),64.45)</f>
        <v>64.45</v>
      </c>
    </row>
    <row r="120" ht="15.75" customHeight="1">
      <c r="B120" s="3">
        <f>IFERROR(__xludf.DUMMYFUNCTION("""COMPUTED_VALUE"""),38415.645833333336)</f>
        <v>38415.64583</v>
      </c>
      <c r="C120" s="2">
        <f>IFERROR(__xludf.DUMMYFUNCTION("""COMPUTED_VALUE"""),67.6)</f>
        <v>67.6</v>
      </c>
    </row>
    <row r="121" ht="15.75" customHeight="1">
      <c r="B121" s="3">
        <f>IFERROR(__xludf.DUMMYFUNCTION("""COMPUTED_VALUE"""),38422.645833333336)</f>
        <v>38422.64583</v>
      </c>
      <c r="C121" s="2">
        <f>IFERROR(__xludf.DUMMYFUNCTION("""COMPUTED_VALUE"""),67.7)</f>
        <v>67.7</v>
      </c>
    </row>
    <row r="122" ht="15.75" customHeight="1">
      <c r="B122" s="3">
        <f>IFERROR(__xludf.DUMMYFUNCTION("""COMPUTED_VALUE"""),38429.645833333336)</f>
        <v>38429.64583</v>
      </c>
      <c r="C122" s="2">
        <f>IFERROR(__xludf.DUMMYFUNCTION("""COMPUTED_VALUE"""),69.55)</f>
        <v>69.55</v>
      </c>
    </row>
    <row r="123" ht="15.75" customHeight="1">
      <c r="B123" s="3">
        <f>IFERROR(__xludf.DUMMYFUNCTION("""COMPUTED_VALUE"""),38435.645833333336)</f>
        <v>38435.64583</v>
      </c>
      <c r="C123" s="2">
        <f>IFERROR(__xludf.DUMMYFUNCTION("""COMPUTED_VALUE"""),70.35)</f>
        <v>70.35</v>
      </c>
    </row>
    <row r="124" ht="15.75" customHeight="1">
      <c r="B124" s="3">
        <f>IFERROR(__xludf.DUMMYFUNCTION("""COMPUTED_VALUE"""),38443.645833333336)</f>
        <v>38443.64583</v>
      </c>
      <c r="C124" s="2">
        <f>IFERROR(__xludf.DUMMYFUNCTION("""COMPUTED_VALUE"""),65.6)</f>
        <v>65.6</v>
      </c>
    </row>
    <row r="125" ht="15.75" customHeight="1">
      <c r="B125" s="3">
        <f>IFERROR(__xludf.DUMMYFUNCTION("""COMPUTED_VALUE"""),38450.645833333336)</f>
        <v>38450.64583</v>
      </c>
      <c r="C125" s="2">
        <f>IFERROR(__xludf.DUMMYFUNCTION("""COMPUTED_VALUE"""),65.3)</f>
        <v>65.3</v>
      </c>
    </row>
    <row r="126" ht="15.75" customHeight="1">
      <c r="B126" s="3">
        <f>IFERROR(__xludf.DUMMYFUNCTION("""COMPUTED_VALUE"""),38457.645833333336)</f>
        <v>38457.64583</v>
      </c>
      <c r="C126" s="2">
        <f>IFERROR(__xludf.DUMMYFUNCTION("""COMPUTED_VALUE"""),64.25)</f>
        <v>64.25</v>
      </c>
    </row>
    <row r="127" ht="15.75" customHeight="1">
      <c r="B127" s="3">
        <f>IFERROR(__xludf.DUMMYFUNCTION("""COMPUTED_VALUE"""),38464.645833333336)</f>
        <v>38464.64583</v>
      </c>
      <c r="C127" s="2">
        <f>IFERROR(__xludf.DUMMYFUNCTION("""COMPUTED_VALUE"""),58.0)</f>
        <v>58</v>
      </c>
    </row>
    <row r="128" ht="15.75" customHeight="1">
      <c r="B128" s="3">
        <f>IFERROR(__xludf.DUMMYFUNCTION("""COMPUTED_VALUE"""),38471.645833333336)</f>
        <v>38471.64583</v>
      </c>
      <c r="C128" s="2">
        <f>IFERROR(__xludf.DUMMYFUNCTION("""COMPUTED_VALUE"""),56.75)</f>
        <v>56.75</v>
      </c>
    </row>
    <row r="129" ht="15.75" customHeight="1">
      <c r="B129" s="3">
        <f>IFERROR(__xludf.DUMMYFUNCTION("""COMPUTED_VALUE"""),38478.645833333336)</f>
        <v>38478.64583</v>
      </c>
      <c r="C129" s="2">
        <f>IFERROR(__xludf.DUMMYFUNCTION("""COMPUTED_VALUE"""),54.5)</f>
        <v>54.5</v>
      </c>
    </row>
    <row r="130" ht="15.75" customHeight="1">
      <c r="B130" s="3">
        <f>IFERROR(__xludf.DUMMYFUNCTION("""COMPUTED_VALUE"""),38485.645833333336)</f>
        <v>38485.64583</v>
      </c>
      <c r="C130" s="2">
        <f>IFERROR(__xludf.DUMMYFUNCTION("""COMPUTED_VALUE"""),55.25)</f>
        <v>55.25</v>
      </c>
    </row>
    <row r="131" ht="15.75" customHeight="1">
      <c r="B131" s="3">
        <f>IFERROR(__xludf.DUMMYFUNCTION("""COMPUTED_VALUE"""),38492.645833333336)</f>
        <v>38492.64583</v>
      </c>
      <c r="C131" s="2">
        <f>IFERROR(__xludf.DUMMYFUNCTION("""COMPUTED_VALUE"""),53.45)</f>
        <v>53.45</v>
      </c>
    </row>
    <row r="132" ht="15.75" customHeight="1">
      <c r="B132" s="3">
        <f>IFERROR(__xludf.DUMMYFUNCTION("""COMPUTED_VALUE"""),38499.645833333336)</f>
        <v>38499.64583</v>
      </c>
      <c r="C132" s="2">
        <f>IFERROR(__xludf.DUMMYFUNCTION("""COMPUTED_VALUE"""),55.25)</f>
        <v>55.25</v>
      </c>
    </row>
    <row r="133" ht="15.75" customHeight="1">
      <c r="B133" s="3">
        <f>IFERROR(__xludf.DUMMYFUNCTION("""COMPUTED_VALUE"""),38513.645833333336)</f>
        <v>38513.64583</v>
      </c>
      <c r="C133" s="2">
        <f>IFERROR(__xludf.DUMMYFUNCTION("""COMPUTED_VALUE"""),53.35)</f>
        <v>53.35</v>
      </c>
    </row>
    <row r="134" ht="15.75" customHeight="1">
      <c r="B134" s="3">
        <f>IFERROR(__xludf.DUMMYFUNCTION("""COMPUTED_VALUE"""),38520.645833333336)</f>
        <v>38520.64583</v>
      </c>
      <c r="C134" s="2">
        <f>IFERROR(__xludf.DUMMYFUNCTION("""COMPUTED_VALUE"""),54.1)</f>
        <v>54.1</v>
      </c>
    </row>
    <row r="135" ht="15.75" customHeight="1">
      <c r="B135" s="3">
        <f>IFERROR(__xludf.DUMMYFUNCTION("""COMPUTED_VALUE"""),38527.645833333336)</f>
        <v>38527.64583</v>
      </c>
      <c r="C135" s="2">
        <f>IFERROR(__xludf.DUMMYFUNCTION("""COMPUTED_VALUE"""),54.5)</f>
        <v>54.5</v>
      </c>
    </row>
    <row r="136" ht="15.75" customHeight="1">
      <c r="B136" s="3">
        <f>IFERROR(__xludf.DUMMYFUNCTION("""COMPUTED_VALUE"""),38534.645833333336)</f>
        <v>38534.64583</v>
      </c>
      <c r="C136" s="2">
        <f>IFERROR(__xludf.DUMMYFUNCTION("""COMPUTED_VALUE"""),52.25)</f>
        <v>52.25</v>
      </c>
    </row>
    <row r="137" ht="15.75" customHeight="1">
      <c r="B137" s="3">
        <f>IFERROR(__xludf.DUMMYFUNCTION("""COMPUTED_VALUE"""),38541.645833333336)</f>
        <v>38541.64583</v>
      </c>
      <c r="C137" s="2">
        <f>IFERROR(__xludf.DUMMYFUNCTION("""COMPUTED_VALUE"""),51.5)</f>
        <v>51.5</v>
      </c>
    </row>
    <row r="138" ht="15.75" customHeight="1">
      <c r="B138" s="3">
        <f>IFERROR(__xludf.DUMMYFUNCTION("""COMPUTED_VALUE"""),38548.645833333336)</f>
        <v>38548.64583</v>
      </c>
      <c r="C138" s="2">
        <f>IFERROR(__xludf.DUMMYFUNCTION("""COMPUTED_VALUE"""),53.45)</f>
        <v>53.45</v>
      </c>
    </row>
    <row r="139" ht="15.75" customHeight="1">
      <c r="B139" s="3">
        <f>IFERROR(__xludf.DUMMYFUNCTION("""COMPUTED_VALUE"""),38555.645833333336)</f>
        <v>38555.64583</v>
      </c>
      <c r="C139" s="2">
        <f>IFERROR(__xludf.DUMMYFUNCTION("""COMPUTED_VALUE"""),54.95)</f>
        <v>54.95</v>
      </c>
    </row>
    <row r="140" ht="15.75" customHeight="1">
      <c r="B140" s="3">
        <f>IFERROR(__xludf.DUMMYFUNCTION("""COMPUTED_VALUE"""),38562.645833333336)</f>
        <v>38562.64583</v>
      </c>
      <c r="C140" s="2">
        <f>IFERROR(__xludf.DUMMYFUNCTION("""COMPUTED_VALUE"""),58.75)</f>
        <v>58.75</v>
      </c>
    </row>
    <row r="141" ht="15.75" customHeight="1">
      <c r="B141" s="3">
        <f>IFERROR(__xludf.DUMMYFUNCTION("""COMPUTED_VALUE"""),38569.645833333336)</f>
        <v>38569.64583</v>
      </c>
      <c r="C141" s="2">
        <f>IFERROR(__xludf.DUMMYFUNCTION("""COMPUTED_VALUE"""),61.0)</f>
        <v>61</v>
      </c>
    </row>
    <row r="142" ht="15.75" customHeight="1">
      <c r="B142" s="3">
        <f>IFERROR(__xludf.DUMMYFUNCTION("""COMPUTED_VALUE"""),38576.645833333336)</f>
        <v>38576.64583</v>
      </c>
      <c r="C142" s="2">
        <f>IFERROR(__xludf.DUMMYFUNCTION("""COMPUTED_VALUE"""),65.25)</f>
        <v>65.25</v>
      </c>
    </row>
    <row r="143" ht="15.75" customHeight="1">
      <c r="B143" s="3">
        <f>IFERROR(__xludf.DUMMYFUNCTION("""COMPUTED_VALUE"""),38583.645833333336)</f>
        <v>38583.64583</v>
      </c>
      <c r="C143" s="2">
        <f>IFERROR(__xludf.DUMMYFUNCTION("""COMPUTED_VALUE"""),66.2)</f>
        <v>66.2</v>
      </c>
    </row>
    <row r="144" ht="15.75" customHeight="1">
      <c r="B144" s="3">
        <f>IFERROR(__xludf.DUMMYFUNCTION("""COMPUTED_VALUE"""),38590.645833333336)</f>
        <v>38590.64583</v>
      </c>
      <c r="C144" s="2">
        <f>IFERROR(__xludf.DUMMYFUNCTION("""COMPUTED_VALUE"""),65.9)</f>
        <v>65.9</v>
      </c>
    </row>
    <row r="145" ht="15.75" customHeight="1">
      <c r="B145" s="3">
        <f>IFERROR(__xludf.DUMMYFUNCTION("""COMPUTED_VALUE"""),38597.645833333336)</f>
        <v>38597.64583</v>
      </c>
      <c r="C145" s="2">
        <f>IFERROR(__xludf.DUMMYFUNCTION("""COMPUTED_VALUE"""),65.5)</f>
        <v>65.5</v>
      </c>
    </row>
    <row r="146" ht="15.75" customHeight="1">
      <c r="B146" s="3">
        <f>IFERROR(__xludf.DUMMYFUNCTION("""COMPUTED_VALUE"""),38604.645833333336)</f>
        <v>38604.64583</v>
      </c>
      <c r="C146" s="2">
        <f>IFERROR(__xludf.DUMMYFUNCTION("""COMPUTED_VALUE"""),63.9)</f>
        <v>63.9</v>
      </c>
    </row>
    <row r="147" ht="15.75" customHeight="1">
      <c r="B147" s="3">
        <f>IFERROR(__xludf.DUMMYFUNCTION("""COMPUTED_VALUE"""),38611.645833333336)</f>
        <v>38611.64583</v>
      </c>
      <c r="C147" s="2">
        <f>IFERROR(__xludf.DUMMYFUNCTION("""COMPUTED_VALUE"""),65.9)</f>
        <v>65.9</v>
      </c>
    </row>
    <row r="148" ht="15.75" customHeight="1">
      <c r="B148" s="3">
        <f>IFERROR(__xludf.DUMMYFUNCTION("""COMPUTED_VALUE"""),38618.645833333336)</f>
        <v>38618.64583</v>
      </c>
      <c r="C148" s="2">
        <f>IFERROR(__xludf.DUMMYFUNCTION("""COMPUTED_VALUE"""),69.0)</f>
        <v>69</v>
      </c>
    </row>
    <row r="149" ht="15.75" customHeight="1">
      <c r="B149" s="3">
        <f>IFERROR(__xludf.DUMMYFUNCTION("""COMPUTED_VALUE"""),38625.645833333336)</f>
        <v>38625.64583</v>
      </c>
      <c r="C149" s="2">
        <f>IFERROR(__xludf.DUMMYFUNCTION("""COMPUTED_VALUE"""),67.0)</f>
        <v>67</v>
      </c>
    </row>
    <row r="150" ht="15.75" customHeight="1">
      <c r="B150" s="3">
        <f>IFERROR(__xludf.DUMMYFUNCTION("""COMPUTED_VALUE"""),38632.645833333336)</f>
        <v>38632.64583</v>
      </c>
      <c r="C150" s="2">
        <f>IFERROR(__xludf.DUMMYFUNCTION("""COMPUTED_VALUE"""),68.0)</f>
        <v>68</v>
      </c>
    </row>
    <row r="151" ht="15.75" customHeight="1">
      <c r="B151" s="3">
        <f>IFERROR(__xludf.DUMMYFUNCTION("""COMPUTED_VALUE"""),38639.645833333336)</f>
        <v>38639.64583</v>
      </c>
      <c r="C151" s="2">
        <f>IFERROR(__xludf.DUMMYFUNCTION("""COMPUTED_VALUE"""),63.25)</f>
        <v>63.25</v>
      </c>
    </row>
    <row r="152" ht="15.75" customHeight="1">
      <c r="B152" s="3">
        <f>IFERROR(__xludf.DUMMYFUNCTION("""COMPUTED_VALUE"""),38646.645833333336)</f>
        <v>38646.64583</v>
      </c>
      <c r="C152" s="2">
        <f>IFERROR(__xludf.DUMMYFUNCTION("""COMPUTED_VALUE"""),59.4)</f>
        <v>59.4</v>
      </c>
    </row>
    <row r="153" ht="15.75" customHeight="1">
      <c r="B153" s="3">
        <f>IFERROR(__xludf.DUMMYFUNCTION("""COMPUTED_VALUE"""),38653.645833333336)</f>
        <v>38653.64583</v>
      </c>
      <c r="C153" s="2">
        <f>IFERROR(__xludf.DUMMYFUNCTION("""COMPUTED_VALUE"""),52.9)</f>
        <v>52.9</v>
      </c>
    </row>
    <row r="154" ht="15.75" customHeight="1">
      <c r="B154" s="3">
        <f>IFERROR(__xludf.DUMMYFUNCTION("""COMPUTED_VALUE"""),38658.645833333336)</f>
        <v>38658.64583</v>
      </c>
      <c r="C154" s="2">
        <f>IFERROR(__xludf.DUMMYFUNCTION("""COMPUTED_VALUE"""),54.0)</f>
        <v>54</v>
      </c>
    </row>
    <row r="155" ht="15.75" customHeight="1">
      <c r="B155" s="3">
        <f>IFERROR(__xludf.DUMMYFUNCTION("""COMPUTED_VALUE"""),38667.645833333336)</f>
        <v>38667.64583</v>
      </c>
      <c r="C155" s="2">
        <f>IFERROR(__xludf.DUMMYFUNCTION("""COMPUTED_VALUE"""),54.4)</f>
        <v>54.4</v>
      </c>
    </row>
    <row r="156" ht="15.75" customHeight="1">
      <c r="B156" s="3">
        <f>IFERROR(__xludf.DUMMYFUNCTION("""COMPUTED_VALUE"""),38674.645833333336)</f>
        <v>38674.64583</v>
      </c>
      <c r="C156" s="2">
        <f>IFERROR(__xludf.DUMMYFUNCTION("""COMPUTED_VALUE"""),54.5)</f>
        <v>54.5</v>
      </c>
    </row>
    <row r="157" ht="15.75" customHeight="1">
      <c r="B157" s="3">
        <f>IFERROR(__xludf.DUMMYFUNCTION("""COMPUTED_VALUE"""),38688.645833333336)</f>
        <v>38688.64583</v>
      </c>
      <c r="C157" s="2">
        <f>IFERROR(__xludf.DUMMYFUNCTION("""COMPUTED_VALUE"""),51.95)</f>
        <v>51.95</v>
      </c>
    </row>
    <row r="158" ht="15.75" customHeight="1">
      <c r="B158" s="3">
        <f>IFERROR(__xludf.DUMMYFUNCTION("""COMPUTED_VALUE"""),38695.645833333336)</f>
        <v>38695.64583</v>
      </c>
      <c r="C158" s="2">
        <f>IFERROR(__xludf.DUMMYFUNCTION("""COMPUTED_VALUE"""),51.75)</f>
        <v>51.75</v>
      </c>
    </row>
    <row r="159" ht="15.75" customHeight="1">
      <c r="B159" s="3">
        <f>IFERROR(__xludf.DUMMYFUNCTION("""COMPUTED_VALUE"""),38702.645833333336)</f>
        <v>38702.64583</v>
      </c>
      <c r="C159" s="2">
        <f>IFERROR(__xludf.DUMMYFUNCTION("""COMPUTED_VALUE"""),57.1)</f>
        <v>57.1</v>
      </c>
    </row>
    <row r="160" ht="15.75" customHeight="1">
      <c r="B160" s="3">
        <f>IFERROR(__xludf.DUMMYFUNCTION("""COMPUTED_VALUE"""),38709.645833333336)</f>
        <v>38709.64583</v>
      </c>
      <c r="C160" s="2">
        <f>IFERROR(__xludf.DUMMYFUNCTION("""COMPUTED_VALUE"""),59.9)</f>
        <v>59.9</v>
      </c>
    </row>
    <row r="161" ht="15.75" customHeight="1">
      <c r="B161" s="3">
        <f>IFERROR(__xludf.DUMMYFUNCTION("""COMPUTED_VALUE"""),38716.645833333336)</f>
        <v>38716.64583</v>
      </c>
      <c r="C161" s="2">
        <f>IFERROR(__xludf.DUMMYFUNCTION("""COMPUTED_VALUE"""),54.8)</f>
        <v>54.8</v>
      </c>
    </row>
    <row r="162" ht="15.75" customHeight="1"/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IFERROR(__xludf.DUMMYFUNCTION("GOOGLEFINANCE(""NSE:SAIL"", ""high"",DATE(2006,1,1),DATE(2007,1,1),""weekly"")"),"Date")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IFERROR(__xludf.DUMMYFUNCTION("""COMPUTED_VALUE"""),38723.645833333336)</f>
        <v>38723.64583</v>
      </c>
      <c r="C167" s="2">
        <f>IFERROR(__xludf.DUMMYFUNCTION("""COMPUTED_VALUE"""),55.8)</f>
        <v>55.8</v>
      </c>
    </row>
    <row r="168" ht="15.75" customHeight="1">
      <c r="B168" s="3">
        <f>IFERROR(__xludf.DUMMYFUNCTION("""COMPUTED_VALUE"""),38730.645833333336)</f>
        <v>38730.64583</v>
      </c>
      <c r="C168" s="2">
        <f>IFERROR(__xludf.DUMMYFUNCTION("""COMPUTED_VALUE"""),55.7)</f>
        <v>55.7</v>
      </c>
    </row>
    <row r="169" ht="15.75" customHeight="1">
      <c r="B169" s="3">
        <f>IFERROR(__xludf.DUMMYFUNCTION("""COMPUTED_VALUE"""),38737.645833333336)</f>
        <v>38737.64583</v>
      </c>
      <c r="C169" s="2">
        <f>IFERROR(__xludf.DUMMYFUNCTION("""COMPUTED_VALUE"""),54.35)</f>
        <v>54.35</v>
      </c>
    </row>
    <row r="170" ht="15.75" customHeight="1">
      <c r="B170" s="3">
        <f>IFERROR(__xludf.DUMMYFUNCTION("""COMPUTED_VALUE"""),38744.645833333336)</f>
        <v>38744.64583</v>
      </c>
      <c r="C170" s="2">
        <f>IFERROR(__xludf.DUMMYFUNCTION("""COMPUTED_VALUE"""),59.4)</f>
        <v>59.4</v>
      </c>
    </row>
    <row r="171" ht="15.75" customHeight="1">
      <c r="B171" s="3">
        <f>IFERROR(__xludf.DUMMYFUNCTION("""COMPUTED_VALUE"""),38751.645833333336)</f>
        <v>38751.64583</v>
      </c>
      <c r="C171" s="2">
        <f>IFERROR(__xludf.DUMMYFUNCTION("""COMPUTED_VALUE"""),58.0)</f>
        <v>58</v>
      </c>
    </row>
    <row r="172" ht="15.75" customHeight="1">
      <c r="B172" s="3">
        <f>IFERROR(__xludf.DUMMYFUNCTION("""COMPUTED_VALUE"""),38758.645833333336)</f>
        <v>38758.64583</v>
      </c>
      <c r="C172" s="2">
        <f>IFERROR(__xludf.DUMMYFUNCTION("""COMPUTED_VALUE"""),57.9)</f>
        <v>57.9</v>
      </c>
    </row>
    <row r="173" ht="15.75" customHeight="1">
      <c r="B173" s="3">
        <f>IFERROR(__xludf.DUMMYFUNCTION("""COMPUTED_VALUE"""),38765.645833333336)</f>
        <v>38765.64583</v>
      </c>
      <c r="C173" s="2">
        <f>IFERROR(__xludf.DUMMYFUNCTION("""COMPUTED_VALUE"""),61.8)</f>
        <v>61.8</v>
      </c>
    </row>
    <row r="174" ht="15.75" customHeight="1">
      <c r="B174" s="3">
        <f>IFERROR(__xludf.DUMMYFUNCTION("""COMPUTED_VALUE"""),38772.645833333336)</f>
        <v>38772.64583</v>
      </c>
      <c r="C174" s="2">
        <f>IFERROR(__xludf.DUMMYFUNCTION("""COMPUTED_VALUE"""),65.85)</f>
        <v>65.85</v>
      </c>
    </row>
    <row r="175" ht="15.75" customHeight="1">
      <c r="B175" s="3">
        <f>IFERROR(__xludf.DUMMYFUNCTION("""COMPUTED_VALUE"""),38779.645833333336)</f>
        <v>38779.64583</v>
      </c>
      <c r="C175" s="2">
        <f>IFERROR(__xludf.DUMMYFUNCTION("""COMPUTED_VALUE"""),67.5)</f>
        <v>67.5</v>
      </c>
    </row>
    <row r="176" ht="15.75" customHeight="1">
      <c r="B176" s="3">
        <f>IFERROR(__xludf.DUMMYFUNCTION("""COMPUTED_VALUE"""),38786.645833333336)</f>
        <v>38786.64583</v>
      </c>
      <c r="C176" s="2">
        <f>IFERROR(__xludf.DUMMYFUNCTION("""COMPUTED_VALUE"""),69.9)</f>
        <v>69.9</v>
      </c>
    </row>
    <row r="177" ht="15.75" customHeight="1">
      <c r="B177" s="3">
        <f>IFERROR(__xludf.DUMMYFUNCTION("""COMPUTED_VALUE"""),38793.645833333336)</f>
        <v>38793.64583</v>
      </c>
      <c r="C177" s="2">
        <f>IFERROR(__xludf.DUMMYFUNCTION("""COMPUTED_VALUE"""),68.75)</f>
        <v>68.75</v>
      </c>
    </row>
    <row r="178" ht="15.75" customHeight="1">
      <c r="B178" s="3">
        <f>IFERROR(__xludf.DUMMYFUNCTION("""COMPUTED_VALUE"""),38800.645833333336)</f>
        <v>38800.64583</v>
      </c>
      <c r="C178" s="2">
        <f>IFERROR(__xludf.DUMMYFUNCTION("""COMPUTED_VALUE"""),81.9)</f>
        <v>81.9</v>
      </c>
    </row>
    <row r="179" ht="15.75" customHeight="1">
      <c r="B179" s="3">
        <f>IFERROR(__xludf.DUMMYFUNCTION("""COMPUTED_VALUE"""),38807.645833333336)</f>
        <v>38807.64583</v>
      </c>
      <c r="C179" s="2">
        <f>IFERROR(__xludf.DUMMYFUNCTION("""COMPUTED_VALUE"""),89.8)</f>
        <v>89.8</v>
      </c>
    </row>
    <row r="180" ht="15.75" customHeight="1">
      <c r="B180" s="3">
        <f>IFERROR(__xludf.DUMMYFUNCTION("""COMPUTED_VALUE"""),38814.645833333336)</f>
        <v>38814.64583</v>
      </c>
      <c r="C180" s="2">
        <f>IFERROR(__xludf.DUMMYFUNCTION("""COMPUTED_VALUE"""),85.9)</f>
        <v>85.9</v>
      </c>
    </row>
    <row r="181" ht="15.75" customHeight="1">
      <c r="B181" s="3">
        <f>IFERROR(__xludf.DUMMYFUNCTION("""COMPUTED_VALUE"""),38820.645833333336)</f>
        <v>38820.64583</v>
      </c>
      <c r="C181" s="2">
        <f>IFERROR(__xludf.DUMMYFUNCTION("""COMPUTED_VALUE"""),85.5)</f>
        <v>85.5</v>
      </c>
    </row>
    <row r="182" ht="15.75" customHeight="1">
      <c r="B182" s="3">
        <f>IFERROR(__xludf.DUMMYFUNCTION("""COMPUTED_VALUE"""),38828.645833333336)</f>
        <v>38828.64583</v>
      </c>
      <c r="C182" s="2">
        <f>IFERROR(__xludf.DUMMYFUNCTION("""COMPUTED_VALUE"""),89.9)</f>
        <v>89.9</v>
      </c>
    </row>
    <row r="183" ht="15.75" customHeight="1">
      <c r="B183" s="3">
        <f>IFERROR(__xludf.DUMMYFUNCTION("""COMPUTED_VALUE"""),38842.645833333336)</f>
        <v>38842.64583</v>
      </c>
      <c r="C183" s="2">
        <f>IFERROR(__xludf.DUMMYFUNCTION("""COMPUTED_VALUE"""),95.0)</f>
        <v>95</v>
      </c>
    </row>
    <row r="184" ht="15.75" customHeight="1">
      <c r="B184" s="3">
        <f>IFERROR(__xludf.DUMMYFUNCTION("""COMPUTED_VALUE"""),38849.645833333336)</f>
        <v>38849.64583</v>
      </c>
      <c r="C184" s="2">
        <f>IFERROR(__xludf.DUMMYFUNCTION("""COMPUTED_VALUE"""),96.2)</f>
        <v>96.2</v>
      </c>
    </row>
    <row r="185" ht="15.75" customHeight="1">
      <c r="B185" s="3">
        <f>IFERROR(__xludf.DUMMYFUNCTION("""COMPUTED_VALUE"""),38856.645833333336)</f>
        <v>38856.64583</v>
      </c>
      <c r="C185" s="2">
        <f>IFERROR(__xludf.DUMMYFUNCTION("""COMPUTED_VALUE"""),93.9)</f>
        <v>93.9</v>
      </c>
    </row>
    <row r="186" ht="15.75" customHeight="1">
      <c r="B186" s="3">
        <f>IFERROR(__xludf.DUMMYFUNCTION("""COMPUTED_VALUE"""),38863.645833333336)</f>
        <v>38863.64583</v>
      </c>
      <c r="C186" s="2">
        <f>IFERROR(__xludf.DUMMYFUNCTION("""COMPUTED_VALUE"""),83.5)</f>
        <v>83.5</v>
      </c>
    </row>
    <row r="187" ht="15.75" customHeight="1">
      <c r="B187" s="3">
        <f>IFERROR(__xludf.DUMMYFUNCTION("""COMPUTED_VALUE"""),38870.645833333336)</f>
        <v>38870.64583</v>
      </c>
      <c r="C187" s="2">
        <f>IFERROR(__xludf.DUMMYFUNCTION("""COMPUTED_VALUE"""),86.35)</f>
        <v>86.35</v>
      </c>
    </row>
    <row r="188" ht="15.75" customHeight="1">
      <c r="B188" s="3">
        <f>IFERROR(__xludf.DUMMYFUNCTION("""COMPUTED_VALUE"""),38877.645833333336)</f>
        <v>38877.64583</v>
      </c>
      <c r="C188" s="2">
        <f>IFERROR(__xludf.DUMMYFUNCTION("""COMPUTED_VALUE"""),82.65)</f>
        <v>82.65</v>
      </c>
    </row>
    <row r="189" ht="15.75" customHeight="1">
      <c r="B189" s="3">
        <f>IFERROR(__xludf.DUMMYFUNCTION("""COMPUTED_VALUE"""),38884.645833333336)</f>
        <v>38884.64583</v>
      </c>
      <c r="C189" s="2">
        <f>IFERROR(__xludf.DUMMYFUNCTION("""COMPUTED_VALUE"""),73.4)</f>
        <v>73.4</v>
      </c>
    </row>
    <row r="190" ht="15.75" customHeight="1">
      <c r="B190" s="3">
        <f>IFERROR(__xludf.DUMMYFUNCTION("""COMPUTED_VALUE"""),38891.645833333336)</f>
        <v>38891.64583</v>
      </c>
      <c r="C190" s="2">
        <f>IFERROR(__xludf.DUMMYFUNCTION("""COMPUTED_VALUE"""),79.75)</f>
        <v>79.75</v>
      </c>
    </row>
    <row r="191" ht="15.75" customHeight="1">
      <c r="B191" s="3">
        <f>IFERROR(__xludf.DUMMYFUNCTION("""COMPUTED_VALUE"""),38898.645833333336)</f>
        <v>38898.64583</v>
      </c>
      <c r="C191" s="2">
        <f>IFERROR(__xludf.DUMMYFUNCTION("""COMPUTED_VALUE"""),87.4)</f>
        <v>87.4</v>
      </c>
    </row>
    <row r="192" ht="15.75" customHeight="1">
      <c r="B192" s="3">
        <f>IFERROR(__xludf.DUMMYFUNCTION("""COMPUTED_VALUE"""),38905.645833333336)</f>
        <v>38905.64583</v>
      </c>
      <c r="C192" s="2">
        <f>IFERROR(__xludf.DUMMYFUNCTION("""COMPUTED_VALUE"""),85.45)</f>
        <v>85.45</v>
      </c>
    </row>
    <row r="193" ht="15.75" customHeight="1">
      <c r="B193" s="3">
        <f>IFERROR(__xludf.DUMMYFUNCTION("""COMPUTED_VALUE"""),38912.645833333336)</f>
        <v>38912.64583</v>
      </c>
      <c r="C193" s="2">
        <f>IFERROR(__xludf.DUMMYFUNCTION("""COMPUTED_VALUE"""),79.0)</f>
        <v>79</v>
      </c>
    </row>
    <row r="194" ht="15.75" customHeight="1">
      <c r="B194" s="3">
        <f>IFERROR(__xludf.DUMMYFUNCTION("""COMPUTED_VALUE"""),38919.645833333336)</f>
        <v>38919.64583</v>
      </c>
      <c r="C194" s="2">
        <f>IFERROR(__xludf.DUMMYFUNCTION("""COMPUTED_VALUE"""),74.6)</f>
        <v>74.6</v>
      </c>
    </row>
    <row r="195" ht="15.75" customHeight="1">
      <c r="B195" s="3">
        <f>IFERROR(__xludf.DUMMYFUNCTION("""COMPUTED_VALUE"""),38926.645833333336)</f>
        <v>38926.64583</v>
      </c>
      <c r="C195" s="2">
        <f>IFERROR(__xludf.DUMMYFUNCTION("""COMPUTED_VALUE"""),72.95)</f>
        <v>72.95</v>
      </c>
    </row>
    <row r="196" ht="15.75" customHeight="1">
      <c r="B196" s="3">
        <f>IFERROR(__xludf.DUMMYFUNCTION("""COMPUTED_VALUE"""),38933.645833333336)</f>
        <v>38933.64583</v>
      </c>
      <c r="C196" s="2">
        <f>IFERROR(__xludf.DUMMYFUNCTION("""COMPUTED_VALUE"""),73.25)</f>
        <v>73.25</v>
      </c>
    </row>
    <row r="197" ht="15.75" customHeight="1">
      <c r="B197" s="3">
        <f>IFERROR(__xludf.DUMMYFUNCTION("""COMPUTED_VALUE"""),38940.645833333336)</f>
        <v>38940.64583</v>
      </c>
      <c r="C197" s="2">
        <f>IFERROR(__xludf.DUMMYFUNCTION("""COMPUTED_VALUE"""),78.15)</f>
        <v>78.15</v>
      </c>
    </row>
    <row r="198" ht="15.75" customHeight="1">
      <c r="B198" s="3">
        <f>IFERROR(__xludf.DUMMYFUNCTION("""COMPUTED_VALUE"""),38947.645833333336)</f>
        <v>38947.64583</v>
      </c>
      <c r="C198" s="2">
        <f>IFERROR(__xludf.DUMMYFUNCTION("""COMPUTED_VALUE"""),79.6)</f>
        <v>79.6</v>
      </c>
    </row>
    <row r="199" ht="15.75" customHeight="1">
      <c r="B199" s="3">
        <f>IFERROR(__xludf.DUMMYFUNCTION("""COMPUTED_VALUE"""),38954.645833333336)</f>
        <v>38954.64583</v>
      </c>
      <c r="C199" s="2">
        <f>IFERROR(__xludf.DUMMYFUNCTION("""COMPUTED_VALUE"""),78.65)</f>
        <v>78.65</v>
      </c>
    </row>
    <row r="200" ht="15.75" customHeight="1">
      <c r="B200" s="3">
        <f>IFERROR(__xludf.DUMMYFUNCTION("""COMPUTED_VALUE"""),38961.645833333336)</f>
        <v>38961.64583</v>
      </c>
      <c r="C200" s="2">
        <f>IFERROR(__xludf.DUMMYFUNCTION("""COMPUTED_VALUE"""),79.35)</f>
        <v>79.35</v>
      </c>
    </row>
    <row r="201" ht="15.75" customHeight="1">
      <c r="B201" s="3">
        <f>IFERROR(__xludf.DUMMYFUNCTION("""COMPUTED_VALUE"""),38968.645833333336)</f>
        <v>38968.64583</v>
      </c>
      <c r="C201" s="2">
        <f>IFERROR(__xludf.DUMMYFUNCTION("""COMPUTED_VALUE"""),75.95)</f>
        <v>75.95</v>
      </c>
    </row>
    <row r="202" ht="15.75" customHeight="1">
      <c r="B202" s="3">
        <f>IFERROR(__xludf.DUMMYFUNCTION("""COMPUTED_VALUE"""),38975.645833333336)</f>
        <v>38975.64583</v>
      </c>
      <c r="C202" s="2">
        <f>IFERROR(__xludf.DUMMYFUNCTION("""COMPUTED_VALUE"""),77.1)</f>
        <v>77.1</v>
      </c>
    </row>
    <row r="203" ht="15.75" customHeight="1">
      <c r="B203" s="3">
        <f>IFERROR(__xludf.DUMMYFUNCTION("""COMPUTED_VALUE"""),38982.645833333336)</f>
        <v>38982.64583</v>
      </c>
      <c r="C203" s="2">
        <f>IFERROR(__xludf.DUMMYFUNCTION("""COMPUTED_VALUE"""),74.95)</f>
        <v>74.95</v>
      </c>
    </row>
    <row r="204" ht="15.75" customHeight="1">
      <c r="B204" s="3">
        <f>IFERROR(__xludf.DUMMYFUNCTION("""COMPUTED_VALUE"""),38989.645833333336)</f>
        <v>38989.64583</v>
      </c>
      <c r="C204" s="2">
        <f>IFERROR(__xludf.DUMMYFUNCTION("""COMPUTED_VALUE"""),78.35)</f>
        <v>78.35</v>
      </c>
    </row>
    <row r="205" ht="15.75" customHeight="1">
      <c r="B205" s="3">
        <f>IFERROR(__xludf.DUMMYFUNCTION("""COMPUTED_VALUE"""),38996.645833333336)</f>
        <v>38996.64583</v>
      </c>
      <c r="C205" s="2">
        <f>IFERROR(__xludf.DUMMYFUNCTION("""COMPUTED_VALUE"""),82.9)</f>
        <v>82.9</v>
      </c>
    </row>
    <row r="206" ht="15.75" customHeight="1">
      <c r="B206" s="3">
        <f>IFERROR(__xludf.DUMMYFUNCTION("""COMPUTED_VALUE"""),39003.645833333336)</f>
        <v>39003.64583</v>
      </c>
      <c r="C206" s="2">
        <f>IFERROR(__xludf.DUMMYFUNCTION("""COMPUTED_VALUE"""),85.3)</f>
        <v>85.3</v>
      </c>
    </row>
    <row r="207" ht="15.75" customHeight="1">
      <c r="B207" s="3">
        <f>IFERROR(__xludf.DUMMYFUNCTION("""COMPUTED_VALUE"""),39017.645833333336)</f>
        <v>39017.64583</v>
      </c>
      <c r="C207" s="2">
        <f>IFERROR(__xludf.DUMMYFUNCTION("""COMPUTED_VALUE"""),92.75)</f>
        <v>92.75</v>
      </c>
    </row>
    <row r="208" ht="15.75" customHeight="1">
      <c r="B208" s="3">
        <f>IFERROR(__xludf.DUMMYFUNCTION("""COMPUTED_VALUE"""),39024.645833333336)</f>
        <v>39024.64583</v>
      </c>
      <c r="C208" s="2">
        <f>IFERROR(__xludf.DUMMYFUNCTION("""COMPUTED_VALUE"""),92.65)</f>
        <v>92.65</v>
      </c>
    </row>
    <row r="209" ht="15.75" customHeight="1">
      <c r="B209" s="3">
        <f>IFERROR(__xludf.DUMMYFUNCTION("""COMPUTED_VALUE"""),39031.645833333336)</f>
        <v>39031.64583</v>
      </c>
      <c r="C209" s="2">
        <f>IFERROR(__xludf.DUMMYFUNCTION("""COMPUTED_VALUE"""),88.5)</f>
        <v>88.5</v>
      </c>
    </row>
    <row r="210" ht="15.75" customHeight="1">
      <c r="B210" s="3">
        <f>IFERROR(__xludf.DUMMYFUNCTION("""COMPUTED_VALUE"""),39038.645833333336)</f>
        <v>39038.64583</v>
      </c>
      <c r="C210" s="2">
        <f>IFERROR(__xludf.DUMMYFUNCTION("""COMPUTED_VALUE"""),95.0)</f>
        <v>95</v>
      </c>
    </row>
    <row r="211" ht="15.75" customHeight="1">
      <c r="B211" s="3">
        <f>IFERROR(__xludf.DUMMYFUNCTION("""COMPUTED_VALUE"""),39045.645833333336)</f>
        <v>39045.64583</v>
      </c>
      <c r="C211" s="2">
        <f>IFERROR(__xludf.DUMMYFUNCTION("""COMPUTED_VALUE"""),90.9)</f>
        <v>90.9</v>
      </c>
    </row>
    <row r="212" ht="15.75" customHeight="1">
      <c r="B212" s="3">
        <f>IFERROR(__xludf.DUMMYFUNCTION("""COMPUTED_VALUE"""),39052.645833333336)</f>
        <v>39052.64583</v>
      </c>
      <c r="C212" s="2">
        <f>IFERROR(__xludf.DUMMYFUNCTION("""COMPUTED_VALUE"""),90.7)</f>
        <v>90.7</v>
      </c>
    </row>
    <row r="213" ht="15.75" customHeight="1">
      <c r="B213" s="3">
        <f>IFERROR(__xludf.DUMMYFUNCTION("""COMPUTED_VALUE"""),39059.645833333336)</f>
        <v>39059.64583</v>
      </c>
      <c r="C213" s="2">
        <f>IFERROR(__xludf.DUMMYFUNCTION("""COMPUTED_VALUE"""),92.5)</f>
        <v>92.5</v>
      </c>
    </row>
    <row r="214" ht="15.75" customHeight="1">
      <c r="B214" s="3">
        <f>IFERROR(__xludf.DUMMYFUNCTION("""COMPUTED_VALUE"""),39066.645833333336)</f>
        <v>39066.64583</v>
      </c>
      <c r="C214" s="2">
        <f>IFERROR(__xludf.DUMMYFUNCTION("""COMPUTED_VALUE"""),95.0)</f>
        <v>95</v>
      </c>
    </row>
    <row r="215" ht="15.75" customHeight="1">
      <c r="B215" s="3">
        <f>IFERROR(__xludf.DUMMYFUNCTION("""COMPUTED_VALUE"""),39073.645833333336)</f>
        <v>39073.64583</v>
      </c>
      <c r="C215" s="2">
        <f>IFERROR(__xludf.DUMMYFUNCTION("""COMPUTED_VALUE"""),86.1)</f>
        <v>86.1</v>
      </c>
    </row>
    <row r="216" ht="15.75" customHeight="1">
      <c r="B216" s="3">
        <f>IFERROR(__xludf.DUMMYFUNCTION("""COMPUTED_VALUE"""),39080.645833333336)</f>
        <v>39080.64583</v>
      </c>
      <c r="C216" s="2">
        <f>IFERROR(__xludf.DUMMYFUNCTION("""COMPUTED_VALUE"""),89.45)</f>
        <v>89.45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IFERROR(__xludf.DUMMYFUNCTION("GOOGLEFINANCE(""NSE:SAIL"", ""high"",DATE(2007,1,1),DATE(2008,1,1),""weekly"")"),"Date")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IFERROR(__xludf.DUMMYFUNCTION("""COMPUTED_VALUE"""),39087.645833333336)</f>
        <v>39087.64583</v>
      </c>
      <c r="C222" s="2">
        <f>IFERROR(__xludf.DUMMYFUNCTION("""COMPUTED_VALUE"""),92.75)</f>
        <v>92.75</v>
      </c>
    </row>
    <row r="223" ht="15.75" customHeight="1">
      <c r="B223" s="3">
        <f>IFERROR(__xludf.DUMMYFUNCTION("""COMPUTED_VALUE"""),39094.645833333336)</f>
        <v>39094.64583</v>
      </c>
      <c r="C223" s="2">
        <f>IFERROR(__xludf.DUMMYFUNCTION("""COMPUTED_VALUE"""),91.9)</f>
        <v>91.9</v>
      </c>
    </row>
    <row r="224" ht="15.75" customHeight="1">
      <c r="B224" s="3">
        <f>IFERROR(__xludf.DUMMYFUNCTION("""COMPUTED_VALUE"""),39101.645833333336)</f>
        <v>39101.64583</v>
      </c>
      <c r="C224" s="2">
        <f>IFERROR(__xludf.DUMMYFUNCTION("""COMPUTED_VALUE"""),101.9)</f>
        <v>101.9</v>
      </c>
    </row>
    <row r="225" ht="15.75" customHeight="1">
      <c r="B225" s="3">
        <f>IFERROR(__xludf.DUMMYFUNCTION("""COMPUTED_VALUE"""),39107.645833333336)</f>
        <v>39107.64583</v>
      </c>
      <c r="C225" s="2">
        <f>IFERROR(__xludf.DUMMYFUNCTION("""COMPUTED_VALUE"""),114.0)</f>
        <v>114</v>
      </c>
    </row>
    <row r="226" ht="15.75" customHeight="1">
      <c r="B226" s="3">
        <f>IFERROR(__xludf.DUMMYFUNCTION("""COMPUTED_VALUE"""),39115.645833333336)</f>
        <v>39115.64583</v>
      </c>
      <c r="C226" s="2">
        <f>IFERROR(__xludf.DUMMYFUNCTION("""COMPUTED_VALUE"""),116.9)</f>
        <v>116.9</v>
      </c>
    </row>
    <row r="227" ht="15.75" customHeight="1">
      <c r="B227" s="3">
        <f>IFERROR(__xludf.DUMMYFUNCTION("""COMPUTED_VALUE"""),39122.645833333336)</f>
        <v>39122.64583</v>
      </c>
      <c r="C227" s="2">
        <f>IFERROR(__xludf.DUMMYFUNCTION("""COMPUTED_VALUE"""),118.45)</f>
        <v>118.45</v>
      </c>
    </row>
    <row r="228" ht="15.75" customHeight="1">
      <c r="B228" s="3">
        <f>IFERROR(__xludf.DUMMYFUNCTION("""COMPUTED_VALUE"""),39128.645833333336)</f>
        <v>39128.64583</v>
      </c>
      <c r="C228" s="2">
        <f>IFERROR(__xludf.DUMMYFUNCTION("""COMPUTED_VALUE"""),114.0)</f>
        <v>114</v>
      </c>
    </row>
    <row r="229" ht="15.75" customHeight="1">
      <c r="B229" s="3">
        <f>IFERROR(__xludf.DUMMYFUNCTION("""COMPUTED_VALUE"""),39136.645833333336)</f>
        <v>39136.64583</v>
      </c>
      <c r="C229" s="2">
        <f>IFERROR(__xludf.DUMMYFUNCTION("""COMPUTED_VALUE"""),121.0)</f>
        <v>121</v>
      </c>
    </row>
    <row r="230" ht="15.75" customHeight="1">
      <c r="B230" s="3">
        <f>IFERROR(__xludf.DUMMYFUNCTION("""COMPUTED_VALUE"""),39143.645833333336)</f>
        <v>39143.64583</v>
      </c>
      <c r="C230" s="2">
        <f>IFERROR(__xludf.DUMMYFUNCTION("""COMPUTED_VALUE"""),117.4)</f>
        <v>117.4</v>
      </c>
    </row>
    <row r="231" ht="15.75" customHeight="1">
      <c r="B231" s="3">
        <f>IFERROR(__xludf.DUMMYFUNCTION("""COMPUTED_VALUE"""),39150.645833333336)</f>
        <v>39150.64583</v>
      </c>
      <c r="C231" s="2">
        <f>IFERROR(__xludf.DUMMYFUNCTION("""COMPUTED_VALUE"""),109.5)</f>
        <v>109.5</v>
      </c>
    </row>
    <row r="232" ht="15.75" customHeight="1">
      <c r="B232" s="3">
        <f>IFERROR(__xludf.DUMMYFUNCTION("""COMPUTED_VALUE"""),39157.645833333336)</f>
        <v>39157.64583</v>
      </c>
      <c r="C232" s="2">
        <f>IFERROR(__xludf.DUMMYFUNCTION("""COMPUTED_VALUE"""),108.35)</f>
        <v>108.35</v>
      </c>
    </row>
    <row r="233" ht="15.75" customHeight="1">
      <c r="B233" s="3">
        <f>IFERROR(__xludf.DUMMYFUNCTION("""COMPUTED_VALUE"""),39164.645833333336)</f>
        <v>39164.64583</v>
      </c>
      <c r="C233" s="2">
        <f>IFERROR(__xludf.DUMMYFUNCTION("""COMPUTED_VALUE"""),114.35)</f>
        <v>114.35</v>
      </c>
    </row>
    <row r="234" ht="15.75" customHeight="1">
      <c r="B234" s="3">
        <f>IFERROR(__xludf.DUMMYFUNCTION("""COMPUTED_VALUE"""),39171.645833333336)</f>
        <v>39171.64583</v>
      </c>
      <c r="C234" s="2">
        <f>IFERROR(__xludf.DUMMYFUNCTION("""COMPUTED_VALUE"""),115.5)</f>
        <v>115.5</v>
      </c>
    </row>
    <row r="235" ht="15.75" customHeight="1">
      <c r="B235" s="3">
        <f>IFERROR(__xludf.DUMMYFUNCTION("""COMPUTED_VALUE"""),39177.645833333336)</f>
        <v>39177.64583</v>
      </c>
      <c r="C235" s="2">
        <f>IFERROR(__xludf.DUMMYFUNCTION("""COMPUTED_VALUE"""),115.95)</f>
        <v>115.95</v>
      </c>
    </row>
    <row r="236" ht="15.75" customHeight="1">
      <c r="B236" s="3">
        <f>IFERROR(__xludf.DUMMYFUNCTION("""COMPUTED_VALUE"""),39185.645833333336)</f>
        <v>39185.64583</v>
      </c>
      <c r="C236" s="2">
        <f>IFERROR(__xludf.DUMMYFUNCTION("""COMPUTED_VALUE"""),126.5)</f>
        <v>126.5</v>
      </c>
    </row>
    <row r="237" ht="15.75" customHeight="1">
      <c r="B237" s="3">
        <f>IFERROR(__xludf.DUMMYFUNCTION("""COMPUTED_VALUE"""),39192.645833333336)</f>
        <v>39192.64583</v>
      </c>
      <c r="C237" s="2">
        <f>IFERROR(__xludf.DUMMYFUNCTION("""COMPUTED_VALUE"""),136.3)</f>
        <v>136.3</v>
      </c>
    </row>
    <row r="238" ht="15.75" customHeight="1">
      <c r="B238" s="3">
        <f>IFERROR(__xludf.DUMMYFUNCTION("""COMPUTED_VALUE"""),39199.645833333336)</f>
        <v>39199.64583</v>
      </c>
      <c r="C238" s="2">
        <f>IFERROR(__xludf.DUMMYFUNCTION("""COMPUTED_VALUE"""),137.9)</f>
        <v>137.9</v>
      </c>
    </row>
    <row r="239" ht="15.75" customHeight="1">
      <c r="B239" s="3">
        <f>IFERROR(__xludf.DUMMYFUNCTION("""COMPUTED_VALUE"""),39206.645833333336)</f>
        <v>39206.64583</v>
      </c>
      <c r="C239" s="2">
        <f>IFERROR(__xludf.DUMMYFUNCTION("""COMPUTED_VALUE"""),144.4)</f>
        <v>144.4</v>
      </c>
    </row>
    <row r="240" ht="15.75" customHeight="1">
      <c r="B240" s="3">
        <f>IFERROR(__xludf.DUMMYFUNCTION("""COMPUTED_VALUE"""),39213.645833333336)</f>
        <v>39213.64583</v>
      </c>
      <c r="C240" s="2">
        <f>IFERROR(__xludf.DUMMYFUNCTION("""COMPUTED_VALUE"""),138.8)</f>
        <v>138.8</v>
      </c>
    </row>
    <row r="241" ht="15.75" customHeight="1">
      <c r="B241" s="3">
        <f>IFERROR(__xludf.DUMMYFUNCTION("""COMPUTED_VALUE"""),39220.645833333336)</f>
        <v>39220.64583</v>
      </c>
      <c r="C241" s="2">
        <f>IFERROR(__xludf.DUMMYFUNCTION("""COMPUTED_VALUE"""),142.45)</f>
        <v>142.45</v>
      </c>
    </row>
    <row r="242" ht="15.75" customHeight="1">
      <c r="B242" s="3">
        <f>IFERROR(__xludf.DUMMYFUNCTION("""COMPUTED_VALUE"""),39227.645833333336)</f>
        <v>39227.64583</v>
      </c>
      <c r="C242" s="2">
        <f>IFERROR(__xludf.DUMMYFUNCTION("""COMPUTED_VALUE"""),149.95)</f>
        <v>149.95</v>
      </c>
    </row>
    <row r="243" ht="15.75" customHeight="1">
      <c r="B243" s="3">
        <f>IFERROR(__xludf.DUMMYFUNCTION("""COMPUTED_VALUE"""),39234.645833333336)</f>
        <v>39234.64583</v>
      </c>
      <c r="C243" s="2">
        <f>IFERROR(__xludf.DUMMYFUNCTION("""COMPUTED_VALUE"""),149.9)</f>
        <v>149.9</v>
      </c>
    </row>
    <row r="244" ht="15.75" customHeight="1">
      <c r="B244" s="3">
        <f>IFERROR(__xludf.DUMMYFUNCTION("""COMPUTED_VALUE"""),39241.645833333336)</f>
        <v>39241.64583</v>
      </c>
      <c r="C244" s="2">
        <f>IFERROR(__xludf.DUMMYFUNCTION("""COMPUTED_VALUE"""),141.3)</f>
        <v>141.3</v>
      </c>
    </row>
    <row r="245" ht="15.75" customHeight="1">
      <c r="B245" s="3">
        <f>IFERROR(__xludf.DUMMYFUNCTION("""COMPUTED_VALUE"""),39248.645833333336)</f>
        <v>39248.64583</v>
      </c>
      <c r="C245" s="2">
        <f>IFERROR(__xludf.DUMMYFUNCTION("""COMPUTED_VALUE"""),137.6)</f>
        <v>137.6</v>
      </c>
    </row>
    <row r="246" ht="15.75" customHeight="1">
      <c r="B246" s="3">
        <f>IFERROR(__xludf.DUMMYFUNCTION("""COMPUTED_VALUE"""),39255.645833333336)</f>
        <v>39255.64583</v>
      </c>
      <c r="C246" s="2">
        <f>IFERROR(__xludf.DUMMYFUNCTION("""COMPUTED_VALUE"""),137.9)</f>
        <v>137.9</v>
      </c>
    </row>
    <row r="247" ht="15.75" customHeight="1">
      <c r="B247" s="3">
        <f>IFERROR(__xludf.DUMMYFUNCTION("""COMPUTED_VALUE"""),39262.645833333336)</f>
        <v>39262.64583</v>
      </c>
      <c r="C247" s="2">
        <f>IFERROR(__xludf.DUMMYFUNCTION("""COMPUTED_VALUE"""),134.9)</f>
        <v>134.9</v>
      </c>
    </row>
    <row r="248" ht="15.75" customHeight="1">
      <c r="B248" s="3">
        <f>IFERROR(__xludf.DUMMYFUNCTION("""COMPUTED_VALUE"""),39269.645833333336)</f>
        <v>39269.64583</v>
      </c>
      <c r="C248" s="2">
        <f>IFERROR(__xludf.DUMMYFUNCTION("""COMPUTED_VALUE"""),134.0)</f>
        <v>134</v>
      </c>
    </row>
    <row r="249" ht="15.75" customHeight="1">
      <c r="B249" s="3">
        <f>IFERROR(__xludf.DUMMYFUNCTION("""COMPUTED_VALUE"""),39276.645833333336)</f>
        <v>39276.64583</v>
      </c>
      <c r="C249" s="2">
        <f>IFERROR(__xludf.DUMMYFUNCTION("""COMPUTED_VALUE"""),165.0)</f>
        <v>165</v>
      </c>
    </row>
    <row r="250" ht="15.75" customHeight="1">
      <c r="B250" s="3">
        <f>IFERROR(__xludf.DUMMYFUNCTION("""COMPUTED_VALUE"""),39283.645833333336)</f>
        <v>39283.64583</v>
      </c>
      <c r="C250" s="2">
        <f>IFERROR(__xludf.DUMMYFUNCTION("""COMPUTED_VALUE"""),167.2)</f>
        <v>167.2</v>
      </c>
    </row>
    <row r="251" ht="15.75" customHeight="1">
      <c r="B251" s="3">
        <f>IFERROR(__xludf.DUMMYFUNCTION("""COMPUTED_VALUE"""),39290.645833333336)</f>
        <v>39290.64583</v>
      </c>
      <c r="C251" s="2">
        <f>IFERROR(__xludf.DUMMYFUNCTION("""COMPUTED_VALUE"""),162.45)</f>
        <v>162.45</v>
      </c>
    </row>
    <row r="252" ht="15.75" customHeight="1">
      <c r="B252" s="3">
        <f>IFERROR(__xludf.DUMMYFUNCTION("""COMPUTED_VALUE"""),39297.645833333336)</f>
        <v>39297.64583</v>
      </c>
      <c r="C252" s="2">
        <f>IFERROR(__xludf.DUMMYFUNCTION("""COMPUTED_VALUE"""),151.4)</f>
        <v>151.4</v>
      </c>
    </row>
    <row r="253" ht="15.75" customHeight="1">
      <c r="B253" s="3">
        <f>IFERROR(__xludf.DUMMYFUNCTION("""COMPUTED_VALUE"""),39304.645833333336)</f>
        <v>39304.64583</v>
      </c>
      <c r="C253" s="2">
        <f>IFERROR(__xludf.DUMMYFUNCTION("""COMPUTED_VALUE"""),155.2)</f>
        <v>155.2</v>
      </c>
    </row>
    <row r="254" ht="15.75" customHeight="1">
      <c r="B254" s="3">
        <f>IFERROR(__xludf.DUMMYFUNCTION("""COMPUTED_VALUE"""),39311.645833333336)</f>
        <v>39311.64583</v>
      </c>
      <c r="C254" s="2">
        <f>IFERROR(__xludf.DUMMYFUNCTION("""COMPUTED_VALUE"""),153.4)</f>
        <v>153.4</v>
      </c>
    </row>
    <row r="255" ht="15.75" customHeight="1">
      <c r="B255" s="3">
        <f>IFERROR(__xludf.DUMMYFUNCTION("""COMPUTED_VALUE"""),39318.645833333336)</f>
        <v>39318.64583</v>
      </c>
      <c r="C255" s="2">
        <f>IFERROR(__xludf.DUMMYFUNCTION("""COMPUTED_VALUE"""),148.4)</f>
        <v>148.4</v>
      </c>
    </row>
    <row r="256" ht="15.75" customHeight="1">
      <c r="B256" s="3">
        <f>IFERROR(__xludf.DUMMYFUNCTION("""COMPUTED_VALUE"""),39325.645833333336)</f>
        <v>39325.64583</v>
      </c>
      <c r="C256" s="2">
        <f>IFERROR(__xludf.DUMMYFUNCTION("""COMPUTED_VALUE"""),172.8)</f>
        <v>172.8</v>
      </c>
    </row>
    <row r="257" ht="15.75" customHeight="1">
      <c r="B257" s="3">
        <f>IFERROR(__xludf.DUMMYFUNCTION("""COMPUTED_VALUE"""),39332.645833333336)</f>
        <v>39332.64583</v>
      </c>
      <c r="C257" s="2">
        <f>IFERROR(__xludf.DUMMYFUNCTION("""COMPUTED_VALUE"""),173.0)</f>
        <v>173</v>
      </c>
    </row>
    <row r="258" ht="15.75" customHeight="1">
      <c r="B258" s="3">
        <f>IFERROR(__xludf.DUMMYFUNCTION("""COMPUTED_VALUE"""),39339.645833333336)</f>
        <v>39339.64583</v>
      </c>
      <c r="C258" s="2">
        <f>IFERROR(__xludf.DUMMYFUNCTION("""COMPUTED_VALUE"""),176.8)</f>
        <v>176.8</v>
      </c>
    </row>
    <row r="259" ht="15.75" customHeight="1">
      <c r="B259" s="3">
        <f>IFERROR(__xludf.DUMMYFUNCTION("""COMPUTED_VALUE"""),39346.645833333336)</f>
        <v>39346.64583</v>
      </c>
      <c r="C259" s="2">
        <f>IFERROR(__xludf.DUMMYFUNCTION("""COMPUTED_VALUE"""),196.45)</f>
        <v>196.45</v>
      </c>
    </row>
    <row r="260" ht="15.75" customHeight="1">
      <c r="B260" s="3">
        <f>IFERROR(__xludf.DUMMYFUNCTION("""COMPUTED_VALUE"""),39353.645833333336)</f>
        <v>39353.64583</v>
      </c>
      <c r="C260" s="2">
        <f>IFERROR(__xludf.DUMMYFUNCTION("""COMPUTED_VALUE"""),209.75)</f>
        <v>209.75</v>
      </c>
    </row>
    <row r="261" ht="15.75" customHeight="1">
      <c r="B261" s="3">
        <f>IFERROR(__xludf.DUMMYFUNCTION("""COMPUTED_VALUE"""),39360.645833333336)</f>
        <v>39360.64583</v>
      </c>
      <c r="C261" s="2">
        <f>IFERROR(__xludf.DUMMYFUNCTION("""COMPUTED_VALUE"""),214.2)</f>
        <v>214.2</v>
      </c>
    </row>
    <row r="262" ht="15.75" customHeight="1">
      <c r="B262" s="3">
        <f>IFERROR(__xludf.DUMMYFUNCTION("""COMPUTED_VALUE"""),39367.645833333336)</f>
        <v>39367.64583</v>
      </c>
      <c r="C262" s="2">
        <f>IFERROR(__xludf.DUMMYFUNCTION("""COMPUTED_VALUE"""),238.0)</f>
        <v>238</v>
      </c>
    </row>
    <row r="263" ht="15.75" customHeight="1">
      <c r="B263" s="3">
        <f>IFERROR(__xludf.DUMMYFUNCTION("""COMPUTED_VALUE"""),39374.645833333336)</f>
        <v>39374.64583</v>
      </c>
      <c r="C263" s="2">
        <f>IFERROR(__xludf.DUMMYFUNCTION("""COMPUTED_VALUE"""),268.0)</f>
        <v>268</v>
      </c>
    </row>
    <row r="264" ht="15.75" customHeight="1">
      <c r="B264" s="3">
        <f>IFERROR(__xludf.DUMMYFUNCTION("""COMPUTED_VALUE"""),39381.645833333336)</f>
        <v>39381.64583</v>
      </c>
      <c r="C264" s="2">
        <f>IFERROR(__xludf.DUMMYFUNCTION("""COMPUTED_VALUE"""),269.6)</f>
        <v>269.6</v>
      </c>
    </row>
    <row r="265" ht="15.75" customHeight="1">
      <c r="B265" s="3">
        <f>IFERROR(__xludf.DUMMYFUNCTION("""COMPUTED_VALUE"""),39388.645833333336)</f>
        <v>39388.64583</v>
      </c>
      <c r="C265" s="2">
        <f>IFERROR(__xludf.DUMMYFUNCTION("""COMPUTED_VALUE"""),280.0)</f>
        <v>280</v>
      </c>
    </row>
    <row r="266" ht="15.75" customHeight="1">
      <c r="B266" s="3">
        <f>IFERROR(__xludf.DUMMYFUNCTION("""COMPUTED_VALUE"""),39402.645833333336)</f>
        <v>39402.64583</v>
      </c>
      <c r="C266" s="2">
        <f>IFERROR(__xludf.DUMMYFUNCTION("""COMPUTED_VALUE"""),268.9)</f>
        <v>268.9</v>
      </c>
    </row>
    <row r="267" ht="15.75" customHeight="1">
      <c r="B267" s="3">
        <f>IFERROR(__xludf.DUMMYFUNCTION("""COMPUTED_VALUE"""),39409.645833333336)</f>
        <v>39409.64583</v>
      </c>
      <c r="C267" s="2">
        <f>IFERROR(__xludf.DUMMYFUNCTION("""COMPUTED_VALUE"""),272.85)</f>
        <v>272.85</v>
      </c>
    </row>
    <row r="268" ht="15.75" customHeight="1">
      <c r="B268" s="3">
        <f>IFERROR(__xludf.DUMMYFUNCTION("""COMPUTED_VALUE"""),39416.645833333336)</f>
        <v>39416.64583</v>
      </c>
      <c r="C268" s="2">
        <f>IFERROR(__xludf.DUMMYFUNCTION("""COMPUTED_VALUE"""),272.25)</f>
        <v>272.25</v>
      </c>
    </row>
    <row r="269" ht="15.75" customHeight="1">
      <c r="B269" s="3">
        <f>IFERROR(__xludf.DUMMYFUNCTION("""COMPUTED_VALUE"""),39423.645833333336)</f>
        <v>39423.64583</v>
      </c>
      <c r="C269" s="2">
        <f>IFERROR(__xludf.DUMMYFUNCTION("""COMPUTED_VALUE"""),293.0)</f>
        <v>293</v>
      </c>
    </row>
    <row r="270" ht="15.75" customHeight="1">
      <c r="B270" s="3">
        <f>IFERROR(__xludf.DUMMYFUNCTION("""COMPUTED_VALUE"""),39430.645833333336)</f>
        <v>39430.64583</v>
      </c>
      <c r="C270" s="2">
        <f>IFERROR(__xludf.DUMMYFUNCTION("""COMPUTED_VALUE"""),292.5)</f>
        <v>292.5</v>
      </c>
    </row>
    <row r="271" ht="15.75" customHeight="1">
      <c r="B271" s="3">
        <f>IFERROR(__xludf.DUMMYFUNCTION("""COMPUTED_VALUE"""),39436.645833333336)</f>
        <v>39436.64583</v>
      </c>
      <c r="C271" s="2">
        <f>IFERROR(__xludf.DUMMYFUNCTION("""COMPUTED_VALUE"""),279.4)</f>
        <v>279.4</v>
      </c>
    </row>
    <row r="272" ht="15.75" customHeight="1">
      <c r="B272" s="3">
        <f>IFERROR(__xludf.DUMMYFUNCTION("""COMPUTED_VALUE"""),39444.645833333336)</f>
        <v>39444.64583</v>
      </c>
      <c r="C272" s="2">
        <f>IFERROR(__xludf.DUMMYFUNCTION("""COMPUTED_VALUE"""),281.4)</f>
        <v>281.4</v>
      </c>
    </row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IFERROR(__xludf.DUMMYFUNCTION("GOOGLEFINANCE(""NSE:SAIL"", ""high"",DATE(2008,1,1),DATE(2009,1,1),""weekly"")"),"Date")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IFERROR(__xludf.DUMMYFUNCTION("""COMPUTED_VALUE"""),39451.645833333336)</f>
        <v>39451.64583</v>
      </c>
      <c r="C277" s="2">
        <f>IFERROR(__xludf.DUMMYFUNCTION("""COMPUTED_VALUE"""),290.4)</f>
        <v>290.4</v>
      </c>
    </row>
    <row r="278" ht="15.75" customHeight="1">
      <c r="B278" s="3">
        <f>IFERROR(__xludf.DUMMYFUNCTION("""COMPUTED_VALUE"""),39458.645833333336)</f>
        <v>39458.64583</v>
      </c>
      <c r="C278" s="2">
        <f>IFERROR(__xludf.DUMMYFUNCTION("""COMPUTED_VALUE"""),277.0)</f>
        <v>277</v>
      </c>
    </row>
    <row r="279" ht="15.75" customHeight="1">
      <c r="B279" s="3">
        <f>IFERROR(__xludf.DUMMYFUNCTION("""COMPUTED_VALUE"""),39465.645833333336)</f>
        <v>39465.64583</v>
      </c>
      <c r="C279" s="2">
        <f>IFERROR(__xludf.DUMMYFUNCTION("""COMPUTED_VALUE"""),255.0)</f>
        <v>255</v>
      </c>
    </row>
    <row r="280" ht="15.75" customHeight="1">
      <c r="B280" s="3">
        <f>IFERROR(__xludf.DUMMYFUNCTION("""COMPUTED_VALUE"""),39472.645833333336)</f>
        <v>39472.64583</v>
      </c>
      <c r="C280" s="2">
        <f>IFERROR(__xludf.DUMMYFUNCTION("""COMPUTED_VALUE"""),233.75)</f>
        <v>233.75</v>
      </c>
    </row>
    <row r="281" ht="15.75" customHeight="1">
      <c r="B281" s="3">
        <f>IFERROR(__xludf.DUMMYFUNCTION("""COMPUTED_VALUE"""),39479.645833333336)</f>
        <v>39479.64583</v>
      </c>
      <c r="C281" s="2">
        <f>IFERROR(__xludf.DUMMYFUNCTION("""COMPUTED_VALUE"""),227.0)</f>
        <v>227</v>
      </c>
    </row>
    <row r="282" ht="15.75" customHeight="1">
      <c r="B282" s="3">
        <f>IFERROR(__xludf.DUMMYFUNCTION("""COMPUTED_VALUE"""),39486.645833333336)</f>
        <v>39486.64583</v>
      </c>
      <c r="C282" s="2">
        <f>IFERROR(__xludf.DUMMYFUNCTION("""COMPUTED_VALUE"""),235.7)</f>
        <v>235.7</v>
      </c>
    </row>
    <row r="283" ht="15.75" customHeight="1">
      <c r="B283" s="3">
        <f>IFERROR(__xludf.DUMMYFUNCTION("""COMPUTED_VALUE"""),39493.645833333336)</f>
        <v>39493.64583</v>
      </c>
      <c r="C283" s="2">
        <f>IFERROR(__xludf.DUMMYFUNCTION("""COMPUTED_VALUE"""),223.0)</f>
        <v>223</v>
      </c>
    </row>
    <row r="284" ht="15.75" customHeight="1">
      <c r="B284" s="3">
        <f>IFERROR(__xludf.DUMMYFUNCTION("""COMPUTED_VALUE"""),39500.645833333336)</f>
        <v>39500.64583</v>
      </c>
      <c r="C284" s="2">
        <f>IFERROR(__xludf.DUMMYFUNCTION("""COMPUTED_VALUE"""),242.9)</f>
        <v>242.9</v>
      </c>
    </row>
    <row r="285" ht="15.75" customHeight="1">
      <c r="B285" s="3">
        <f>IFERROR(__xludf.DUMMYFUNCTION("""COMPUTED_VALUE"""),39507.645833333336)</f>
        <v>39507.64583</v>
      </c>
      <c r="C285" s="2">
        <f>IFERROR(__xludf.DUMMYFUNCTION("""COMPUTED_VALUE"""),263.0)</f>
        <v>263</v>
      </c>
    </row>
    <row r="286" ht="15.75" customHeight="1">
      <c r="B286" s="3">
        <f>IFERROR(__xludf.DUMMYFUNCTION("""COMPUTED_VALUE"""),39514.645833333336)</f>
        <v>39514.64583</v>
      </c>
      <c r="C286" s="2">
        <f>IFERROR(__xludf.DUMMYFUNCTION("""COMPUTED_VALUE"""),250.0)</f>
        <v>250</v>
      </c>
    </row>
    <row r="287" ht="15.75" customHeight="1">
      <c r="B287" s="3">
        <f>IFERROR(__xludf.DUMMYFUNCTION("""COMPUTED_VALUE"""),39521.645833333336)</f>
        <v>39521.64583</v>
      </c>
      <c r="C287" s="2">
        <f>IFERROR(__xludf.DUMMYFUNCTION("""COMPUTED_VALUE"""),240.3)</f>
        <v>240.3</v>
      </c>
    </row>
    <row r="288" ht="15.75" customHeight="1">
      <c r="B288" s="3">
        <f>IFERROR(__xludf.DUMMYFUNCTION("""COMPUTED_VALUE"""),39526.645833333336)</f>
        <v>39526.64583</v>
      </c>
      <c r="C288" s="2">
        <f>IFERROR(__xludf.DUMMYFUNCTION("""COMPUTED_VALUE"""),202.7)</f>
        <v>202.7</v>
      </c>
    </row>
    <row r="289" ht="15.75" customHeight="1">
      <c r="B289" s="3">
        <f>IFERROR(__xludf.DUMMYFUNCTION("""COMPUTED_VALUE"""),39535.645833333336)</f>
        <v>39535.64583</v>
      </c>
      <c r="C289" s="2">
        <f>IFERROR(__xludf.DUMMYFUNCTION("""COMPUTED_VALUE"""),206.0)</f>
        <v>206</v>
      </c>
    </row>
    <row r="290" ht="15.75" customHeight="1">
      <c r="B290" s="3">
        <f>IFERROR(__xludf.DUMMYFUNCTION("""COMPUTED_VALUE"""),39542.645833333336)</f>
        <v>39542.64583</v>
      </c>
      <c r="C290" s="2">
        <f>IFERROR(__xludf.DUMMYFUNCTION("""COMPUTED_VALUE"""),197.0)</f>
        <v>197</v>
      </c>
    </row>
    <row r="291" ht="15.75" customHeight="1">
      <c r="B291" s="3">
        <f>IFERROR(__xludf.DUMMYFUNCTION("""COMPUTED_VALUE"""),39549.645833333336)</f>
        <v>39549.64583</v>
      </c>
      <c r="C291" s="2">
        <f>IFERROR(__xludf.DUMMYFUNCTION("""COMPUTED_VALUE"""),170.65)</f>
        <v>170.65</v>
      </c>
    </row>
    <row r="292" ht="15.75" customHeight="1">
      <c r="B292" s="3">
        <f>IFERROR(__xludf.DUMMYFUNCTION("""COMPUTED_VALUE"""),39555.645833333336)</f>
        <v>39555.64583</v>
      </c>
      <c r="C292" s="2">
        <f>IFERROR(__xludf.DUMMYFUNCTION("""COMPUTED_VALUE"""),172.4)</f>
        <v>172.4</v>
      </c>
    </row>
    <row r="293" ht="15.75" customHeight="1">
      <c r="B293" s="3">
        <f>IFERROR(__xludf.DUMMYFUNCTION("""COMPUTED_VALUE"""),39563.645833333336)</f>
        <v>39563.64583</v>
      </c>
      <c r="C293" s="2">
        <f>IFERROR(__xludf.DUMMYFUNCTION("""COMPUTED_VALUE"""),185.0)</f>
        <v>185</v>
      </c>
    </row>
    <row r="294" ht="15.75" customHeight="1">
      <c r="B294" s="3">
        <f>IFERROR(__xludf.DUMMYFUNCTION("""COMPUTED_VALUE"""),39570.645833333336)</f>
        <v>39570.64583</v>
      </c>
      <c r="C294" s="2">
        <f>IFERROR(__xludf.DUMMYFUNCTION("""COMPUTED_VALUE"""),188.0)</f>
        <v>188</v>
      </c>
    </row>
    <row r="295" ht="15.75" customHeight="1">
      <c r="B295" s="3">
        <f>IFERROR(__xludf.DUMMYFUNCTION("""COMPUTED_VALUE"""),39577.645833333336)</f>
        <v>39577.64583</v>
      </c>
      <c r="C295" s="2">
        <f>IFERROR(__xludf.DUMMYFUNCTION("""COMPUTED_VALUE"""),186.9)</f>
        <v>186.9</v>
      </c>
    </row>
    <row r="296" ht="15.75" customHeight="1">
      <c r="B296" s="3">
        <f>IFERROR(__xludf.DUMMYFUNCTION("""COMPUTED_VALUE"""),39584.645833333336)</f>
        <v>39584.64583</v>
      </c>
      <c r="C296" s="2">
        <f>IFERROR(__xludf.DUMMYFUNCTION("""COMPUTED_VALUE"""),189.35)</f>
        <v>189.35</v>
      </c>
    </row>
    <row r="297" ht="15.75" customHeight="1">
      <c r="B297" s="3">
        <f>IFERROR(__xludf.DUMMYFUNCTION("""COMPUTED_VALUE"""),39591.645833333336)</f>
        <v>39591.64583</v>
      </c>
      <c r="C297" s="2">
        <f>IFERROR(__xludf.DUMMYFUNCTION("""COMPUTED_VALUE"""),190.95)</f>
        <v>190.95</v>
      </c>
    </row>
    <row r="298" ht="15.75" customHeight="1">
      <c r="B298" s="3">
        <f>IFERROR(__xludf.DUMMYFUNCTION("""COMPUTED_VALUE"""),39598.645833333336)</f>
        <v>39598.64583</v>
      </c>
      <c r="C298" s="2">
        <f>IFERROR(__xludf.DUMMYFUNCTION("""COMPUTED_VALUE"""),171.0)</f>
        <v>171</v>
      </c>
    </row>
    <row r="299" ht="15.75" customHeight="1">
      <c r="B299" s="3">
        <f>IFERROR(__xludf.DUMMYFUNCTION("""COMPUTED_VALUE"""),39605.645833333336)</f>
        <v>39605.64583</v>
      </c>
      <c r="C299" s="2">
        <f>IFERROR(__xludf.DUMMYFUNCTION("""COMPUTED_VALUE"""),166.45)</f>
        <v>166.45</v>
      </c>
    </row>
    <row r="300" ht="15.75" customHeight="1">
      <c r="B300" s="3">
        <f>IFERROR(__xludf.DUMMYFUNCTION("""COMPUTED_VALUE"""),39612.645833333336)</f>
        <v>39612.64583</v>
      </c>
      <c r="C300" s="2">
        <f>IFERROR(__xludf.DUMMYFUNCTION("""COMPUTED_VALUE"""),166.0)</f>
        <v>166</v>
      </c>
    </row>
    <row r="301" ht="15.75" customHeight="1">
      <c r="B301" s="3">
        <f>IFERROR(__xludf.DUMMYFUNCTION("""COMPUTED_VALUE"""),39619.645833333336)</f>
        <v>39619.64583</v>
      </c>
      <c r="C301" s="2">
        <f>IFERROR(__xludf.DUMMYFUNCTION("""COMPUTED_VALUE"""),170.4)</f>
        <v>170.4</v>
      </c>
    </row>
    <row r="302" ht="15.75" customHeight="1">
      <c r="B302" s="3">
        <f>IFERROR(__xludf.DUMMYFUNCTION("""COMPUTED_VALUE"""),39626.645833333336)</f>
        <v>39626.64583</v>
      </c>
      <c r="C302" s="2">
        <f>IFERROR(__xludf.DUMMYFUNCTION("""COMPUTED_VALUE"""),155.95)</f>
        <v>155.95</v>
      </c>
    </row>
    <row r="303" ht="15.75" customHeight="1">
      <c r="B303" s="3">
        <f>IFERROR(__xludf.DUMMYFUNCTION("""COMPUTED_VALUE"""),39633.645833333336)</f>
        <v>39633.64583</v>
      </c>
      <c r="C303" s="2">
        <f>IFERROR(__xludf.DUMMYFUNCTION("""COMPUTED_VALUE"""),145.65)</f>
        <v>145.65</v>
      </c>
    </row>
    <row r="304" ht="15.75" customHeight="1">
      <c r="B304" s="3">
        <f>IFERROR(__xludf.DUMMYFUNCTION("""COMPUTED_VALUE"""),39640.645833333336)</f>
        <v>39640.64583</v>
      </c>
      <c r="C304" s="2">
        <f>IFERROR(__xludf.DUMMYFUNCTION("""COMPUTED_VALUE"""),143.75)</f>
        <v>143.75</v>
      </c>
    </row>
    <row r="305" ht="15.75" customHeight="1">
      <c r="B305" s="3">
        <f>IFERROR(__xludf.DUMMYFUNCTION("""COMPUTED_VALUE"""),39647.645833333336)</f>
        <v>39647.64583</v>
      </c>
      <c r="C305" s="2">
        <f>IFERROR(__xludf.DUMMYFUNCTION("""COMPUTED_VALUE"""),147.3)</f>
        <v>147.3</v>
      </c>
    </row>
    <row r="306" ht="15.75" customHeight="1">
      <c r="B306" s="3">
        <f>IFERROR(__xludf.DUMMYFUNCTION("""COMPUTED_VALUE"""),39654.645833333336)</f>
        <v>39654.64583</v>
      </c>
      <c r="C306" s="2">
        <f>IFERROR(__xludf.DUMMYFUNCTION("""COMPUTED_VALUE"""),150.0)</f>
        <v>150</v>
      </c>
    </row>
    <row r="307" ht="15.75" customHeight="1">
      <c r="B307" s="3">
        <f>IFERROR(__xludf.DUMMYFUNCTION("""COMPUTED_VALUE"""),39661.645833333336)</f>
        <v>39661.64583</v>
      </c>
      <c r="C307" s="2">
        <f>IFERROR(__xludf.DUMMYFUNCTION("""COMPUTED_VALUE"""),145.0)</f>
        <v>145</v>
      </c>
    </row>
    <row r="308" ht="15.75" customHeight="1">
      <c r="B308" s="3">
        <f>IFERROR(__xludf.DUMMYFUNCTION("""COMPUTED_VALUE"""),39668.645833333336)</f>
        <v>39668.64583</v>
      </c>
      <c r="C308" s="2">
        <f>IFERROR(__xludf.DUMMYFUNCTION("""COMPUTED_VALUE"""),160.0)</f>
        <v>160</v>
      </c>
    </row>
    <row r="309" ht="15.75" customHeight="1">
      <c r="B309" s="3">
        <f>IFERROR(__xludf.DUMMYFUNCTION("""COMPUTED_VALUE"""),39674.645833333336)</f>
        <v>39674.64583</v>
      </c>
      <c r="C309" s="2">
        <f>IFERROR(__xludf.DUMMYFUNCTION("""COMPUTED_VALUE"""),149.0)</f>
        <v>149</v>
      </c>
    </row>
    <row r="310" ht="15.75" customHeight="1">
      <c r="B310" s="3">
        <f>IFERROR(__xludf.DUMMYFUNCTION("""COMPUTED_VALUE"""),39682.645833333336)</f>
        <v>39682.64583</v>
      </c>
      <c r="C310" s="2">
        <f>IFERROR(__xludf.DUMMYFUNCTION("""COMPUTED_VALUE"""),151.0)</f>
        <v>151</v>
      </c>
    </row>
    <row r="311" ht="15.75" customHeight="1">
      <c r="B311" s="3">
        <f>IFERROR(__xludf.DUMMYFUNCTION("""COMPUTED_VALUE"""),39689.645833333336)</f>
        <v>39689.64583</v>
      </c>
      <c r="C311" s="2">
        <f>IFERROR(__xludf.DUMMYFUNCTION("""COMPUTED_VALUE"""),158.3)</f>
        <v>158.3</v>
      </c>
    </row>
    <row r="312" ht="15.75" customHeight="1">
      <c r="B312" s="3">
        <f>IFERROR(__xludf.DUMMYFUNCTION("""COMPUTED_VALUE"""),39696.645833333336)</f>
        <v>39696.64583</v>
      </c>
      <c r="C312" s="2">
        <f>IFERROR(__xludf.DUMMYFUNCTION("""COMPUTED_VALUE"""),159.4)</f>
        <v>159.4</v>
      </c>
    </row>
    <row r="313" ht="15.75" customHeight="1">
      <c r="B313" s="3">
        <f>IFERROR(__xludf.DUMMYFUNCTION("""COMPUTED_VALUE"""),39703.645833333336)</f>
        <v>39703.64583</v>
      </c>
      <c r="C313" s="2">
        <f>IFERROR(__xludf.DUMMYFUNCTION("""COMPUTED_VALUE"""),153.8)</f>
        <v>153.8</v>
      </c>
    </row>
    <row r="314" ht="15.75" customHeight="1">
      <c r="B314" s="3">
        <f>IFERROR(__xludf.DUMMYFUNCTION("""COMPUTED_VALUE"""),39710.645833333336)</f>
        <v>39710.64583</v>
      </c>
      <c r="C314" s="2">
        <f>IFERROR(__xludf.DUMMYFUNCTION("""COMPUTED_VALUE"""),149.2)</f>
        <v>149.2</v>
      </c>
    </row>
    <row r="315" ht="15.75" customHeight="1">
      <c r="B315" s="3">
        <f>IFERROR(__xludf.DUMMYFUNCTION("""COMPUTED_VALUE"""),39717.645833333336)</f>
        <v>39717.64583</v>
      </c>
      <c r="C315" s="2">
        <f>IFERROR(__xludf.DUMMYFUNCTION("""COMPUTED_VALUE"""),149.8)</f>
        <v>149.8</v>
      </c>
    </row>
    <row r="316" ht="15.75" customHeight="1">
      <c r="B316" s="3">
        <f>IFERROR(__xludf.DUMMYFUNCTION("""COMPUTED_VALUE"""),39724.645833333336)</f>
        <v>39724.64583</v>
      </c>
      <c r="C316" s="2">
        <f>IFERROR(__xludf.DUMMYFUNCTION("""COMPUTED_VALUE"""),137.4)</f>
        <v>137.4</v>
      </c>
    </row>
    <row r="317" ht="15.75" customHeight="1">
      <c r="B317" s="3">
        <f>IFERROR(__xludf.DUMMYFUNCTION("""COMPUTED_VALUE"""),39731.645833333336)</f>
        <v>39731.64583</v>
      </c>
      <c r="C317" s="2">
        <f>IFERROR(__xludf.DUMMYFUNCTION("""COMPUTED_VALUE"""),118.8)</f>
        <v>118.8</v>
      </c>
    </row>
    <row r="318" ht="15.75" customHeight="1">
      <c r="B318" s="3">
        <f>IFERROR(__xludf.DUMMYFUNCTION("""COMPUTED_VALUE"""),39738.645833333336)</f>
        <v>39738.64583</v>
      </c>
      <c r="C318" s="2">
        <f>IFERROR(__xludf.DUMMYFUNCTION("""COMPUTED_VALUE"""),120.0)</f>
        <v>120</v>
      </c>
    </row>
    <row r="319" ht="15.75" customHeight="1">
      <c r="B319" s="3">
        <f>IFERROR(__xludf.DUMMYFUNCTION("""COMPUTED_VALUE"""),39745.645833333336)</f>
        <v>39745.64583</v>
      </c>
      <c r="C319" s="2">
        <f>IFERROR(__xludf.DUMMYFUNCTION("""COMPUTED_VALUE"""),115.9)</f>
        <v>115.9</v>
      </c>
    </row>
    <row r="320" ht="15.75" customHeight="1">
      <c r="B320" s="3">
        <f>IFERROR(__xludf.DUMMYFUNCTION("""COMPUTED_VALUE"""),39752.645833333336)</f>
        <v>39752.64583</v>
      </c>
      <c r="C320" s="2">
        <f>IFERROR(__xludf.DUMMYFUNCTION("""COMPUTED_VALUE"""),91.9)</f>
        <v>91.9</v>
      </c>
    </row>
    <row r="321" ht="15.75" customHeight="1">
      <c r="B321" s="3">
        <f>IFERROR(__xludf.DUMMYFUNCTION("""COMPUTED_VALUE"""),39759.645833333336)</f>
        <v>39759.64583</v>
      </c>
      <c r="C321" s="2">
        <f>IFERROR(__xludf.DUMMYFUNCTION("""COMPUTED_VALUE"""),102.8)</f>
        <v>102.8</v>
      </c>
    </row>
    <row r="322" ht="15.75" customHeight="1">
      <c r="B322" s="3">
        <f>IFERROR(__xludf.DUMMYFUNCTION("""COMPUTED_VALUE"""),39766.645833333336)</f>
        <v>39766.64583</v>
      </c>
      <c r="C322" s="2">
        <f>IFERROR(__xludf.DUMMYFUNCTION("""COMPUTED_VALUE"""),91.25)</f>
        <v>91.25</v>
      </c>
    </row>
    <row r="323" ht="15.75" customHeight="1">
      <c r="B323" s="3">
        <f>IFERROR(__xludf.DUMMYFUNCTION("""COMPUTED_VALUE"""),39773.645833333336)</f>
        <v>39773.64583</v>
      </c>
      <c r="C323" s="2">
        <f>IFERROR(__xludf.DUMMYFUNCTION("""COMPUTED_VALUE"""),70.65)</f>
        <v>70.65</v>
      </c>
    </row>
    <row r="324" ht="15.75" customHeight="1">
      <c r="B324" s="3">
        <f>IFERROR(__xludf.DUMMYFUNCTION("""COMPUTED_VALUE"""),39780.645833333336)</f>
        <v>39780.64583</v>
      </c>
      <c r="C324" s="2">
        <f>IFERROR(__xludf.DUMMYFUNCTION("""COMPUTED_VALUE"""),69.55)</f>
        <v>69.55</v>
      </c>
    </row>
    <row r="325" ht="15.75" customHeight="1">
      <c r="B325" s="3">
        <f>IFERROR(__xludf.DUMMYFUNCTION("""COMPUTED_VALUE"""),39787.645833333336)</f>
        <v>39787.64583</v>
      </c>
      <c r="C325" s="2">
        <f>IFERROR(__xludf.DUMMYFUNCTION("""COMPUTED_VALUE"""),72.6)</f>
        <v>72.6</v>
      </c>
    </row>
    <row r="326" ht="15.75" customHeight="1">
      <c r="B326" s="3">
        <f>IFERROR(__xludf.DUMMYFUNCTION("""COMPUTED_VALUE"""),39794.645833333336)</f>
        <v>39794.64583</v>
      </c>
      <c r="C326" s="2">
        <f>IFERROR(__xludf.DUMMYFUNCTION("""COMPUTED_VALUE"""),83.7)</f>
        <v>83.7</v>
      </c>
    </row>
    <row r="327" ht="15.75" customHeight="1">
      <c r="B327" s="3">
        <f>IFERROR(__xludf.DUMMYFUNCTION("""COMPUTED_VALUE"""),39801.645833333336)</f>
        <v>39801.64583</v>
      </c>
      <c r="C327" s="2">
        <f>IFERROR(__xludf.DUMMYFUNCTION("""COMPUTED_VALUE"""),90.6)</f>
        <v>90.6</v>
      </c>
    </row>
    <row r="328" ht="15.75" customHeight="1">
      <c r="B328" s="3">
        <f>IFERROR(__xludf.DUMMYFUNCTION("""COMPUTED_VALUE"""),39808.645833333336)</f>
        <v>39808.64583</v>
      </c>
      <c r="C328" s="2">
        <f>IFERROR(__xludf.DUMMYFUNCTION("""COMPUTED_VALUE"""),88.0)</f>
        <v>88</v>
      </c>
    </row>
    <row r="329" ht="15.75" customHeight="1"/>
    <row r="330" ht="15.75" customHeight="1"/>
    <row r="331" ht="15.75" customHeight="1">
      <c r="B331" s="2" t="str">
        <f>IFERROR(__xludf.DUMMYFUNCTION("GOOGLEFINANCE(""NSE:SAIL"", ""high"",DATE(2009,1,1),DATE(2010,1,1),""weekly"")"),"Date")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IFERROR(__xludf.DUMMYFUNCTION("""COMPUTED_VALUE"""),39815.645833333336)</f>
        <v>39815.64583</v>
      </c>
      <c r="C332" s="2">
        <f>IFERROR(__xludf.DUMMYFUNCTION("""COMPUTED_VALUE"""),86.35)</f>
        <v>86.35</v>
      </c>
    </row>
    <row r="333" ht="15.75" customHeight="1">
      <c r="B333" s="3">
        <f>IFERROR(__xludf.DUMMYFUNCTION("""COMPUTED_VALUE"""),39822.645833333336)</f>
        <v>39822.64583</v>
      </c>
      <c r="C333" s="2">
        <f>IFERROR(__xludf.DUMMYFUNCTION("""COMPUTED_VALUE"""),97.05)</f>
        <v>97.05</v>
      </c>
    </row>
    <row r="334" ht="15.75" customHeight="1">
      <c r="B334" s="3">
        <f>IFERROR(__xludf.DUMMYFUNCTION("""COMPUTED_VALUE"""),39829.645833333336)</f>
        <v>39829.64583</v>
      </c>
      <c r="C334" s="2">
        <f>IFERROR(__xludf.DUMMYFUNCTION("""COMPUTED_VALUE"""),81.5)</f>
        <v>81.5</v>
      </c>
    </row>
    <row r="335" ht="15.75" customHeight="1">
      <c r="B335" s="3">
        <f>IFERROR(__xludf.DUMMYFUNCTION("""COMPUTED_VALUE"""),39836.645833333336)</f>
        <v>39836.64583</v>
      </c>
      <c r="C335" s="2">
        <f>IFERROR(__xludf.DUMMYFUNCTION("""COMPUTED_VALUE"""),83.85)</f>
        <v>83.85</v>
      </c>
    </row>
    <row r="336" ht="15.75" customHeight="1">
      <c r="B336" s="3">
        <f>IFERROR(__xludf.DUMMYFUNCTION("""COMPUTED_VALUE"""),39843.645833333336)</f>
        <v>39843.64583</v>
      </c>
      <c r="C336" s="2">
        <f>IFERROR(__xludf.DUMMYFUNCTION("""COMPUTED_VALUE"""),83.6)</f>
        <v>83.6</v>
      </c>
    </row>
    <row r="337" ht="15.75" customHeight="1">
      <c r="B337" s="3">
        <f>IFERROR(__xludf.DUMMYFUNCTION("""COMPUTED_VALUE"""),39850.645833333336)</f>
        <v>39850.64583</v>
      </c>
      <c r="C337" s="2">
        <f>IFERROR(__xludf.DUMMYFUNCTION("""COMPUTED_VALUE"""),89.6)</f>
        <v>89.6</v>
      </c>
    </row>
    <row r="338" ht="15.75" customHeight="1">
      <c r="B338" s="3">
        <f>IFERROR(__xludf.DUMMYFUNCTION("""COMPUTED_VALUE"""),39857.645833333336)</f>
        <v>39857.64583</v>
      </c>
      <c r="C338" s="2">
        <f>IFERROR(__xludf.DUMMYFUNCTION("""COMPUTED_VALUE"""),92.3)</f>
        <v>92.3</v>
      </c>
    </row>
    <row r="339" ht="15.75" customHeight="1">
      <c r="B339" s="3">
        <f>IFERROR(__xludf.DUMMYFUNCTION("""COMPUTED_VALUE"""),39864.645833333336)</f>
        <v>39864.64583</v>
      </c>
      <c r="C339" s="2">
        <f>IFERROR(__xludf.DUMMYFUNCTION("""COMPUTED_VALUE"""),91.5)</f>
        <v>91.5</v>
      </c>
    </row>
    <row r="340" ht="15.75" customHeight="1">
      <c r="B340" s="3">
        <f>IFERROR(__xludf.DUMMYFUNCTION("""COMPUTED_VALUE"""),39871.645833333336)</f>
        <v>39871.64583</v>
      </c>
      <c r="C340" s="2">
        <f>IFERROR(__xludf.DUMMYFUNCTION("""COMPUTED_VALUE"""),79.35)</f>
        <v>79.35</v>
      </c>
    </row>
    <row r="341" ht="15.75" customHeight="1">
      <c r="B341" s="3">
        <f>IFERROR(__xludf.DUMMYFUNCTION("""COMPUTED_VALUE"""),39878.645833333336)</f>
        <v>39878.64583</v>
      </c>
      <c r="C341" s="2">
        <f>IFERROR(__xludf.DUMMYFUNCTION("""COMPUTED_VALUE"""),78.65)</f>
        <v>78.65</v>
      </c>
    </row>
    <row r="342" ht="15.75" customHeight="1">
      <c r="B342" s="3">
        <f>IFERROR(__xludf.DUMMYFUNCTION("""COMPUTED_VALUE"""),39885.645833333336)</f>
        <v>39885.64583</v>
      </c>
      <c r="C342" s="2">
        <f>IFERROR(__xludf.DUMMYFUNCTION("""COMPUTED_VALUE"""),82.75)</f>
        <v>82.75</v>
      </c>
    </row>
    <row r="343" ht="15.75" customHeight="1">
      <c r="B343" s="3">
        <f>IFERROR(__xludf.DUMMYFUNCTION("""COMPUTED_VALUE"""),39892.645833333336)</f>
        <v>39892.64583</v>
      </c>
      <c r="C343" s="2">
        <f>IFERROR(__xludf.DUMMYFUNCTION("""COMPUTED_VALUE"""),89.0)</f>
        <v>89</v>
      </c>
    </row>
    <row r="344" ht="15.75" customHeight="1">
      <c r="B344" s="3">
        <f>IFERROR(__xludf.DUMMYFUNCTION("""COMPUTED_VALUE"""),39899.645833333336)</f>
        <v>39899.64583</v>
      </c>
      <c r="C344" s="2">
        <f>IFERROR(__xludf.DUMMYFUNCTION("""COMPUTED_VALUE"""),103.65)</f>
        <v>103.65</v>
      </c>
    </row>
    <row r="345" ht="15.75" customHeight="1">
      <c r="B345" s="3">
        <f>IFERROR(__xludf.DUMMYFUNCTION("""COMPUTED_VALUE"""),39905.645833333336)</f>
        <v>39905.64583</v>
      </c>
      <c r="C345" s="2">
        <f>IFERROR(__xludf.DUMMYFUNCTION("""COMPUTED_VALUE"""),110.4)</f>
        <v>110.4</v>
      </c>
    </row>
    <row r="346" ht="15.75" customHeight="1">
      <c r="B346" s="3">
        <f>IFERROR(__xludf.DUMMYFUNCTION("""COMPUTED_VALUE"""),39912.645833333336)</f>
        <v>39912.64583</v>
      </c>
      <c r="C346" s="2">
        <f>IFERROR(__xludf.DUMMYFUNCTION("""COMPUTED_VALUE"""),114.0)</f>
        <v>114</v>
      </c>
    </row>
    <row r="347" ht="15.75" customHeight="1">
      <c r="B347" s="3">
        <f>IFERROR(__xludf.DUMMYFUNCTION("""COMPUTED_VALUE"""),39920.645833333336)</f>
        <v>39920.64583</v>
      </c>
      <c r="C347" s="2">
        <f>IFERROR(__xludf.DUMMYFUNCTION("""COMPUTED_VALUE"""),123.45)</f>
        <v>123.45</v>
      </c>
    </row>
    <row r="348" ht="15.75" customHeight="1">
      <c r="B348" s="3">
        <f>IFERROR(__xludf.DUMMYFUNCTION("""COMPUTED_VALUE"""),39927.645833333336)</f>
        <v>39927.64583</v>
      </c>
      <c r="C348" s="2">
        <f>IFERROR(__xludf.DUMMYFUNCTION("""COMPUTED_VALUE"""),116.9)</f>
        <v>116.9</v>
      </c>
    </row>
    <row r="349" ht="15.75" customHeight="1">
      <c r="B349" s="3">
        <f>IFERROR(__xludf.DUMMYFUNCTION("""COMPUTED_VALUE"""),39932.645833333336)</f>
        <v>39932.64583</v>
      </c>
      <c r="C349" s="2">
        <f>IFERROR(__xludf.DUMMYFUNCTION("""COMPUTED_VALUE"""),115.7)</f>
        <v>115.7</v>
      </c>
    </row>
    <row r="350" ht="15.75" customHeight="1">
      <c r="B350" s="3">
        <f>IFERROR(__xludf.DUMMYFUNCTION("""COMPUTED_VALUE"""),39941.645833333336)</f>
        <v>39941.64583</v>
      </c>
      <c r="C350" s="2">
        <f>IFERROR(__xludf.DUMMYFUNCTION("""COMPUTED_VALUE"""),129.8)</f>
        <v>129.8</v>
      </c>
    </row>
    <row r="351" ht="15.75" customHeight="1">
      <c r="B351" s="3">
        <f>IFERROR(__xludf.DUMMYFUNCTION("""COMPUTED_VALUE"""),39948.645833333336)</f>
        <v>39948.64583</v>
      </c>
      <c r="C351" s="2">
        <f>IFERROR(__xludf.DUMMYFUNCTION("""COMPUTED_VALUE"""),127.15)</f>
        <v>127.15</v>
      </c>
    </row>
    <row r="352" ht="15.75" customHeight="1">
      <c r="B352" s="3">
        <f>IFERROR(__xludf.DUMMYFUNCTION("""COMPUTED_VALUE"""),39955.645833333336)</f>
        <v>39955.64583</v>
      </c>
      <c r="C352" s="2">
        <f>IFERROR(__xludf.DUMMYFUNCTION("""COMPUTED_VALUE"""),182.0)</f>
        <v>182</v>
      </c>
    </row>
    <row r="353" ht="15.75" customHeight="1">
      <c r="B353" s="3">
        <f>IFERROR(__xludf.DUMMYFUNCTION("""COMPUTED_VALUE"""),39962.645833333336)</f>
        <v>39962.64583</v>
      </c>
      <c r="C353" s="2">
        <f>IFERROR(__xludf.DUMMYFUNCTION("""COMPUTED_VALUE"""),176.8)</f>
        <v>176.8</v>
      </c>
    </row>
    <row r="354" ht="15.75" customHeight="1">
      <c r="B354" s="3">
        <f>IFERROR(__xludf.DUMMYFUNCTION("""COMPUTED_VALUE"""),39969.645833333336)</f>
        <v>39969.64583</v>
      </c>
      <c r="C354" s="2">
        <f>IFERROR(__xludf.DUMMYFUNCTION("""COMPUTED_VALUE"""),188.0)</f>
        <v>188</v>
      </c>
    </row>
    <row r="355" ht="15.75" customHeight="1">
      <c r="B355" s="3">
        <f>IFERROR(__xludf.DUMMYFUNCTION("""COMPUTED_VALUE"""),39976.645833333336)</f>
        <v>39976.64583</v>
      </c>
      <c r="C355" s="2">
        <f>IFERROR(__xludf.DUMMYFUNCTION("""COMPUTED_VALUE"""),179.35)</f>
        <v>179.35</v>
      </c>
    </row>
    <row r="356" ht="15.75" customHeight="1">
      <c r="B356" s="3">
        <f>IFERROR(__xludf.DUMMYFUNCTION("""COMPUTED_VALUE"""),39983.645833333336)</f>
        <v>39983.64583</v>
      </c>
      <c r="C356" s="2">
        <f>IFERROR(__xludf.DUMMYFUNCTION("""COMPUTED_VALUE"""),171.7)</f>
        <v>171.7</v>
      </c>
    </row>
    <row r="357" ht="15.75" customHeight="1">
      <c r="B357" s="3">
        <f>IFERROR(__xludf.DUMMYFUNCTION("""COMPUTED_VALUE"""),39990.645833333336)</f>
        <v>39990.64583</v>
      </c>
      <c r="C357" s="2">
        <f>IFERROR(__xludf.DUMMYFUNCTION("""COMPUTED_VALUE"""),156.9)</f>
        <v>156.9</v>
      </c>
    </row>
    <row r="358" ht="15.75" customHeight="1">
      <c r="B358" s="3">
        <f>IFERROR(__xludf.DUMMYFUNCTION("""COMPUTED_VALUE"""),39997.645833333336)</f>
        <v>39997.64583</v>
      </c>
      <c r="C358" s="2">
        <f>IFERROR(__xludf.DUMMYFUNCTION("""COMPUTED_VALUE"""),163.9)</f>
        <v>163.9</v>
      </c>
    </row>
    <row r="359" ht="15.75" customHeight="1">
      <c r="B359" s="3">
        <f>IFERROR(__xludf.DUMMYFUNCTION("""COMPUTED_VALUE"""),40004.645833333336)</f>
        <v>40004.64583</v>
      </c>
      <c r="C359" s="2">
        <f>IFERROR(__xludf.DUMMYFUNCTION("""COMPUTED_VALUE"""),168.4)</f>
        <v>168.4</v>
      </c>
    </row>
    <row r="360" ht="15.75" customHeight="1">
      <c r="B360" s="3">
        <f>IFERROR(__xludf.DUMMYFUNCTION("""COMPUTED_VALUE"""),40011.645833333336)</f>
        <v>40011.64583</v>
      </c>
      <c r="C360" s="2">
        <f>IFERROR(__xludf.DUMMYFUNCTION("""COMPUTED_VALUE"""),170.0)</f>
        <v>170</v>
      </c>
    </row>
    <row r="361" ht="15.75" customHeight="1">
      <c r="B361" s="3">
        <f>IFERROR(__xludf.DUMMYFUNCTION("""COMPUTED_VALUE"""),40018.645833333336)</f>
        <v>40018.64583</v>
      </c>
      <c r="C361" s="2">
        <f>IFERROR(__xludf.DUMMYFUNCTION("""COMPUTED_VALUE"""),175.15)</f>
        <v>175.15</v>
      </c>
    </row>
    <row r="362" ht="15.75" customHeight="1">
      <c r="B362" s="3">
        <f>IFERROR(__xludf.DUMMYFUNCTION("""COMPUTED_VALUE"""),40025.645833333336)</f>
        <v>40025.64583</v>
      </c>
      <c r="C362" s="2">
        <f>IFERROR(__xludf.DUMMYFUNCTION("""COMPUTED_VALUE"""),181.55)</f>
        <v>181.55</v>
      </c>
    </row>
    <row r="363" ht="15.75" customHeight="1">
      <c r="B363" s="3">
        <f>IFERROR(__xludf.DUMMYFUNCTION("""COMPUTED_VALUE"""),40032.645833333336)</f>
        <v>40032.64583</v>
      </c>
      <c r="C363" s="2">
        <f>IFERROR(__xludf.DUMMYFUNCTION("""COMPUTED_VALUE"""),181.5)</f>
        <v>181.5</v>
      </c>
    </row>
    <row r="364" ht="15.75" customHeight="1">
      <c r="B364" s="3">
        <f>IFERROR(__xludf.DUMMYFUNCTION("""COMPUTED_VALUE"""),40039.645833333336)</f>
        <v>40039.64583</v>
      </c>
      <c r="C364" s="2">
        <f>IFERROR(__xludf.DUMMYFUNCTION("""COMPUTED_VALUE"""),174.8)</f>
        <v>174.8</v>
      </c>
    </row>
    <row r="365" ht="15.75" customHeight="1">
      <c r="B365" s="3">
        <f>IFERROR(__xludf.DUMMYFUNCTION("""COMPUTED_VALUE"""),40046.645833333336)</f>
        <v>40046.64583</v>
      </c>
      <c r="C365" s="2">
        <f>IFERROR(__xludf.DUMMYFUNCTION("""COMPUTED_VALUE"""),168.2)</f>
        <v>168.2</v>
      </c>
    </row>
    <row r="366" ht="15.75" customHeight="1">
      <c r="B366" s="3">
        <f>IFERROR(__xludf.DUMMYFUNCTION("""COMPUTED_VALUE"""),40053.645833333336)</f>
        <v>40053.64583</v>
      </c>
      <c r="C366" s="2">
        <f>IFERROR(__xludf.DUMMYFUNCTION("""COMPUTED_VALUE"""),168.0)</f>
        <v>168</v>
      </c>
    </row>
    <row r="367" ht="15.75" customHeight="1">
      <c r="B367" s="3">
        <f>IFERROR(__xludf.DUMMYFUNCTION("""COMPUTED_VALUE"""),40060.645833333336)</f>
        <v>40060.64583</v>
      </c>
      <c r="C367" s="2">
        <f>IFERROR(__xludf.DUMMYFUNCTION("""COMPUTED_VALUE"""),165.0)</f>
        <v>165</v>
      </c>
    </row>
    <row r="368" ht="15.75" customHeight="1">
      <c r="B368" s="3">
        <f>IFERROR(__xludf.DUMMYFUNCTION("""COMPUTED_VALUE"""),40067.645833333336)</f>
        <v>40067.64583</v>
      </c>
      <c r="C368" s="2">
        <f>IFERROR(__xludf.DUMMYFUNCTION("""COMPUTED_VALUE"""),172.0)</f>
        <v>172</v>
      </c>
    </row>
    <row r="369" ht="15.75" customHeight="1">
      <c r="B369" s="3">
        <f>IFERROR(__xludf.DUMMYFUNCTION("""COMPUTED_VALUE"""),40074.645833333336)</f>
        <v>40074.64583</v>
      </c>
      <c r="C369" s="2">
        <f>IFERROR(__xludf.DUMMYFUNCTION("""COMPUTED_VALUE"""),184.0)</f>
        <v>184</v>
      </c>
    </row>
    <row r="370" ht="15.75" customHeight="1">
      <c r="B370" s="3">
        <f>IFERROR(__xludf.DUMMYFUNCTION("""COMPUTED_VALUE"""),40081.645833333336)</f>
        <v>40081.64583</v>
      </c>
      <c r="C370" s="2">
        <f>IFERROR(__xludf.DUMMYFUNCTION("""COMPUTED_VALUE"""),180.05)</f>
        <v>180.05</v>
      </c>
    </row>
    <row r="371" ht="15.75" customHeight="1">
      <c r="B371" s="3">
        <f>IFERROR(__xludf.DUMMYFUNCTION("""COMPUTED_VALUE"""),40087.645833333336)</f>
        <v>40087.64583</v>
      </c>
      <c r="C371" s="2">
        <f>IFERROR(__xludf.DUMMYFUNCTION("""COMPUTED_VALUE"""),174.9)</f>
        <v>174.9</v>
      </c>
    </row>
    <row r="372" ht="15.75" customHeight="1">
      <c r="B372" s="3">
        <f>IFERROR(__xludf.DUMMYFUNCTION("""COMPUTED_VALUE"""),40095.645833333336)</f>
        <v>40095.64583</v>
      </c>
      <c r="C372" s="2">
        <f>IFERROR(__xludf.DUMMYFUNCTION("""COMPUTED_VALUE"""),177.25)</f>
        <v>177.25</v>
      </c>
    </row>
    <row r="373" ht="15.75" customHeight="1">
      <c r="B373" s="3">
        <f>IFERROR(__xludf.DUMMYFUNCTION("""COMPUTED_VALUE"""),40109.645833333336)</f>
        <v>40109.64583</v>
      </c>
      <c r="C373" s="2">
        <f>IFERROR(__xludf.DUMMYFUNCTION("""COMPUTED_VALUE"""),197.65)</f>
        <v>197.65</v>
      </c>
    </row>
    <row r="374" ht="15.75" customHeight="1">
      <c r="B374" s="3">
        <f>IFERROR(__xludf.DUMMYFUNCTION("""COMPUTED_VALUE"""),40116.645833333336)</f>
        <v>40116.64583</v>
      </c>
      <c r="C374" s="2">
        <f>IFERROR(__xludf.DUMMYFUNCTION("""COMPUTED_VALUE"""),189.8)</f>
        <v>189.8</v>
      </c>
    </row>
    <row r="375" ht="15.75" customHeight="1">
      <c r="B375" s="3">
        <f>IFERROR(__xludf.DUMMYFUNCTION("""COMPUTED_VALUE"""),40123.645833333336)</f>
        <v>40123.64583</v>
      </c>
      <c r="C375" s="2">
        <f>IFERROR(__xludf.DUMMYFUNCTION("""COMPUTED_VALUE"""),170.45)</f>
        <v>170.45</v>
      </c>
    </row>
    <row r="376" ht="15.75" customHeight="1">
      <c r="B376" s="3">
        <f>IFERROR(__xludf.DUMMYFUNCTION("""COMPUTED_VALUE"""),40130.645833333336)</f>
        <v>40130.64583</v>
      </c>
      <c r="C376" s="2">
        <f>IFERROR(__xludf.DUMMYFUNCTION("""COMPUTED_VALUE"""),184.6)</f>
        <v>184.6</v>
      </c>
    </row>
    <row r="377" ht="15.75" customHeight="1">
      <c r="B377" s="3">
        <f>IFERROR(__xludf.DUMMYFUNCTION("""COMPUTED_VALUE"""),40137.645833333336)</f>
        <v>40137.64583</v>
      </c>
      <c r="C377" s="2">
        <f>IFERROR(__xludf.DUMMYFUNCTION("""COMPUTED_VALUE"""),192.5)</f>
        <v>192.5</v>
      </c>
    </row>
    <row r="378" ht="15.75" customHeight="1">
      <c r="B378" s="3">
        <f>IFERROR(__xludf.DUMMYFUNCTION("""COMPUTED_VALUE"""),40144.645833333336)</f>
        <v>40144.64583</v>
      </c>
      <c r="C378" s="2">
        <f>IFERROR(__xludf.DUMMYFUNCTION("""COMPUTED_VALUE"""),200.25)</f>
        <v>200.25</v>
      </c>
    </row>
    <row r="379" ht="15.75" customHeight="1">
      <c r="B379" s="3">
        <f>IFERROR(__xludf.DUMMYFUNCTION("""COMPUTED_VALUE"""),40151.645833333336)</f>
        <v>40151.64583</v>
      </c>
      <c r="C379" s="2">
        <f>IFERROR(__xludf.DUMMYFUNCTION("""COMPUTED_VALUE"""),215.1)</f>
        <v>215.1</v>
      </c>
    </row>
    <row r="380" ht="15.75" customHeight="1">
      <c r="B380" s="3">
        <f>IFERROR(__xludf.DUMMYFUNCTION("""COMPUTED_VALUE"""),40158.645833333336)</f>
        <v>40158.64583</v>
      </c>
      <c r="C380" s="2">
        <f>IFERROR(__xludf.DUMMYFUNCTION("""COMPUTED_VALUE"""),213.9)</f>
        <v>213.9</v>
      </c>
    </row>
    <row r="381" ht="15.75" customHeight="1">
      <c r="B381" s="3">
        <f>IFERROR(__xludf.DUMMYFUNCTION("""COMPUTED_VALUE"""),40165.645833333336)</f>
        <v>40165.64583</v>
      </c>
      <c r="C381" s="2">
        <f>IFERROR(__xludf.DUMMYFUNCTION("""COMPUTED_VALUE"""),218.25)</f>
        <v>218.25</v>
      </c>
    </row>
    <row r="382" ht="15.75" customHeight="1">
      <c r="B382" s="3">
        <f>IFERROR(__xludf.DUMMYFUNCTION("""COMPUTED_VALUE"""),40171.645833333336)</f>
        <v>40171.64583</v>
      </c>
      <c r="C382" s="2">
        <f>IFERROR(__xludf.DUMMYFUNCTION("""COMPUTED_VALUE"""),239.45)</f>
        <v>239.45</v>
      </c>
    </row>
    <row r="383" ht="15.75" customHeight="1">
      <c r="B383" s="3">
        <f>IFERROR(__xludf.DUMMYFUNCTION("""COMPUTED_VALUE"""),40178.645833333336)</f>
        <v>40178.64583</v>
      </c>
      <c r="C383" s="2">
        <f>IFERROR(__xludf.DUMMYFUNCTION("""COMPUTED_VALUE"""),243.8)</f>
        <v>243.8</v>
      </c>
    </row>
    <row r="384" ht="15.75" customHeight="1"/>
    <row r="385" ht="15.75" customHeight="1"/>
    <row r="386" ht="15.75" customHeight="1">
      <c r="B386" s="2" t="str">
        <f>IFERROR(__xludf.DUMMYFUNCTION("GOOGLEFINANCE(""NSE:SAIL"", ""high"",DATE(2010,1,1),DATE(2011,1,1),""weekly"")"),"Date")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IFERROR(__xludf.DUMMYFUNCTION("""COMPUTED_VALUE"""),40186.645833333336)</f>
        <v>40186.64583</v>
      </c>
      <c r="C387" s="2">
        <f>IFERROR(__xludf.DUMMYFUNCTION("""COMPUTED_VALUE"""),267.0)</f>
        <v>267</v>
      </c>
    </row>
    <row r="388" ht="15.75" customHeight="1">
      <c r="B388" s="3">
        <f>IFERROR(__xludf.DUMMYFUNCTION("""COMPUTED_VALUE"""),40193.645833333336)</f>
        <v>40193.64583</v>
      </c>
      <c r="C388" s="2">
        <f>IFERROR(__xludf.DUMMYFUNCTION("""COMPUTED_VALUE"""),244.9)</f>
        <v>244.9</v>
      </c>
    </row>
    <row r="389" ht="15.75" customHeight="1">
      <c r="B389" s="3">
        <f>IFERROR(__xludf.DUMMYFUNCTION("""COMPUTED_VALUE"""),40200.645833333336)</f>
        <v>40200.64583</v>
      </c>
      <c r="C389" s="2">
        <f>IFERROR(__xludf.DUMMYFUNCTION("""COMPUTED_VALUE"""),241.3)</f>
        <v>241.3</v>
      </c>
    </row>
    <row r="390" ht="15.75" customHeight="1">
      <c r="B390" s="3">
        <f>IFERROR(__xludf.DUMMYFUNCTION("""COMPUTED_VALUE"""),40207.645833333336)</f>
        <v>40207.64583</v>
      </c>
      <c r="C390" s="2">
        <f>IFERROR(__xludf.DUMMYFUNCTION("""COMPUTED_VALUE"""),227.0)</f>
        <v>227</v>
      </c>
    </row>
    <row r="391" ht="15.75" customHeight="1">
      <c r="B391" s="3">
        <f>IFERROR(__xludf.DUMMYFUNCTION("""COMPUTED_VALUE"""),40220.645833333336)</f>
        <v>40220.64583</v>
      </c>
      <c r="C391" s="2">
        <f>IFERROR(__xludf.DUMMYFUNCTION("""COMPUTED_VALUE"""),213.85)</f>
        <v>213.85</v>
      </c>
    </row>
    <row r="392" ht="15.75" customHeight="1">
      <c r="B392" s="3">
        <f>IFERROR(__xludf.DUMMYFUNCTION("""COMPUTED_VALUE"""),40228.645833333336)</f>
        <v>40228.64583</v>
      </c>
      <c r="C392" s="2">
        <f>IFERROR(__xludf.DUMMYFUNCTION("""COMPUTED_VALUE"""),214.95)</f>
        <v>214.95</v>
      </c>
    </row>
    <row r="393" ht="15.75" customHeight="1">
      <c r="B393" s="3">
        <f>IFERROR(__xludf.DUMMYFUNCTION("""COMPUTED_VALUE"""),40235.645833333336)</f>
        <v>40235.64583</v>
      </c>
      <c r="C393" s="2">
        <f>IFERROR(__xludf.DUMMYFUNCTION("""COMPUTED_VALUE"""),222.3)</f>
        <v>222.3</v>
      </c>
    </row>
    <row r="394" ht="15.75" customHeight="1">
      <c r="B394" s="3">
        <f>IFERROR(__xludf.DUMMYFUNCTION("""COMPUTED_VALUE"""),40242.645833333336)</f>
        <v>40242.64583</v>
      </c>
      <c r="C394" s="2">
        <f>IFERROR(__xludf.DUMMYFUNCTION("""COMPUTED_VALUE"""),238.9)</f>
        <v>238.9</v>
      </c>
    </row>
    <row r="395" ht="15.75" customHeight="1">
      <c r="B395" s="3">
        <f>IFERROR(__xludf.DUMMYFUNCTION("""COMPUTED_VALUE"""),40249.645833333336)</f>
        <v>40249.64583</v>
      </c>
      <c r="C395" s="2">
        <f>IFERROR(__xludf.DUMMYFUNCTION("""COMPUTED_VALUE"""),239.8)</f>
        <v>239.8</v>
      </c>
    </row>
    <row r="396" ht="15.75" customHeight="1">
      <c r="B396" s="3">
        <f>IFERROR(__xludf.DUMMYFUNCTION("""COMPUTED_VALUE"""),40256.645833333336)</f>
        <v>40256.64583</v>
      </c>
      <c r="C396" s="2">
        <f>IFERROR(__xludf.DUMMYFUNCTION("""COMPUTED_VALUE"""),248.7)</f>
        <v>248.7</v>
      </c>
    </row>
    <row r="397" ht="15.75" customHeight="1">
      <c r="B397" s="3">
        <f>IFERROR(__xludf.DUMMYFUNCTION("""COMPUTED_VALUE"""),40263.645833333336)</f>
        <v>40263.64583</v>
      </c>
      <c r="C397" s="2">
        <f>IFERROR(__xludf.DUMMYFUNCTION("""COMPUTED_VALUE"""),246.45)</f>
        <v>246.45</v>
      </c>
    </row>
    <row r="398" ht="15.75" customHeight="1">
      <c r="B398" s="3">
        <f>IFERROR(__xludf.DUMMYFUNCTION("""COMPUTED_VALUE"""),40269.645833333336)</f>
        <v>40269.64583</v>
      </c>
      <c r="C398" s="2">
        <f>IFERROR(__xludf.DUMMYFUNCTION("""COMPUTED_VALUE"""),256.0)</f>
        <v>256</v>
      </c>
    </row>
    <row r="399" ht="15.75" customHeight="1">
      <c r="B399" s="3">
        <f>IFERROR(__xludf.DUMMYFUNCTION("""COMPUTED_VALUE"""),40277.645833333336)</f>
        <v>40277.64583</v>
      </c>
      <c r="C399" s="2">
        <f>IFERROR(__xludf.DUMMYFUNCTION("""COMPUTED_VALUE"""),258.45)</f>
        <v>258.45</v>
      </c>
    </row>
    <row r="400" ht="15.75" customHeight="1">
      <c r="B400" s="3">
        <f>IFERROR(__xludf.DUMMYFUNCTION("""COMPUTED_VALUE"""),40284.645833333336)</f>
        <v>40284.64583</v>
      </c>
      <c r="C400" s="2">
        <f>IFERROR(__xludf.DUMMYFUNCTION("""COMPUTED_VALUE"""),237.75)</f>
        <v>237.75</v>
      </c>
    </row>
    <row r="401" ht="15.75" customHeight="1">
      <c r="B401" s="3">
        <f>IFERROR(__xludf.DUMMYFUNCTION("""COMPUTED_VALUE"""),40291.645833333336)</f>
        <v>40291.64583</v>
      </c>
      <c r="C401" s="2">
        <f>IFERROR(__xludf.DUMMYFUNCTION("""COMPUTED_VALUE"""),228.6)</f>
        <v>228.6</v>
      </c>
    </row>
    <row r="402" ht="15.75" customHeight="1">
      <c r="B402" s="3">
        <f>IFERROR(__xludf.DUMMYFUNCTION("""COMPUTED_VALUE"""),40298.645833333336)</f>
        <v>40298.64583</v>
      </c>
      <c r="C402" s="2">
        <f>IFERROR(__xludf.DUMMYFUNCTION("""COMPUTED_VALUE"""),231.65)</f>
        <v>231.65</v>
      </c>
    </row>
    <row r="403" ht="15.75" customHeight="1">
      <c r="B403" s="3">
        <f>IFERROR(__xludf.DUMMYFUNCTION("""COMPUTED_VALUE"""),40305.645833333336)</f>
        <v>40305.64583</v>
      </c>
      <c r="C403" s="2">
        <f>IFERROR(__xludf.DUMMYFUNCTION("""COMPUTED_VALUE"""),221.1)</f>
        <v>221.1</v>
      </c>
    </row>
    <row r="404" ht="15.75" customHeight="1">
      <c r="B404" s="3">
        <f>IFERROR(__xludf.DUMMYFUNCTION("""COMPUTED_VALUE"""),40312.645833333336)</f>
        <v>40312.64583</v>
      </c>
      <c r="C404" s="2">
        <f>IFERROR(__xludf.DUMMYFUNCTION("""COMPUTED_VALUE"""),221.0)</f>
        <v>221</v>
      </c>
    </row>
    <row r="405" ht="15.75" customHeight="1">
      <c r="B405" s="3">
        <f>IFERROR(__xludf.DUMMYFUNCTION("""COMPUTED_VALUE"""),40319.645833333336)</f>
        <v>40319.64583</v>
      </c>
      <c r="C405" s="2">
        <f>IFERROR(__xludf.DUMMYFUNCTION("""COMPUTED_VALUE"""),213.0)</f>
        <v>213</v>
      </c>
    </row>
    <row r="406" ht="15.75" customHeight="1">
      <c r="B406" s="3">
        <f>IFERROR(__xludf.DUMMYFUNCTION("""COMPUTED_VALUE"""),40326.645833333336)</f>
        <v>40326.64583</v>
      </c>
      <c r="C406" s="2">
        <f>IFERROR(__xludf.DUMMYFUNCTION("""COMPUTED_VALUE"""),209.0)</f>
        <v>209</v>
      </c>
    </row>
    <row r="407" ht="15.75" customHeight="1">
      <c r="B407" s="3">
        <f>IFERROR(__xludf.DUMMYFUNCTION("""COMPUTED_VALUE"""),40333.645833333336)</f>
        <v>40333.64583</v>
      </c>
      <c r="C407" s="2">
        <f>IFERROR(__xludf.DUMMYFUNCTION("""COMPUTED_VALUE"""),207.8)</f>
        <v>207.8</v>
      </c>
    </row>
    <row r="408" ht="15.75" customHeight="1">
      <c r="B408" s="3">
        <f>IFERROR(__xludf.DUMMYFUNCTION("""COMPUTED_VALUE"""),40340.645833333336)</f>
        <v>40340.64583</v>
      </c>
      <c r="C408" s="2">
        <f>IFERROR(__xludf.DUMMYFUNCTION("""COMPUTED_VALUE"""),204.0)</f>
        <v>204</v>
      </c>
    </row>
    <row r="409" ht="15.75" customHeight="1">
      <c r="B409" s="3">
        <f>IFERROR(__xludf.DUMMYFUNCTION("""COMPUTED_VALUE"""),40347.645833333336)</f>
        <v>40347.64583</v>
      </c>
      <c r="C409" s="2">
        <f>IFERROR(__xludf.DUMMYFUNCTION("""COMPUTED_VALUE"""),203.9)</f>
        <v>203.9</v>
      </c>
    </row>
    <row r="410" ht="15.75" customHeight="1">
      <c r="B410" s="3">
        <f>IFERROR(__xludf.DUMMYFUNCTION("""COMPUTED_VALUE"""),40354.645833333336)</f>
        <v>40354.64583</v>
      </c>
      <c r="C410" s="2">
        <f>IFERROR(__xludf.DUMMYFUNCTION("""COMPUTED_VALUE"""),204.0)</f>
        <v>204</v>
      </c>
    </row>
    <row r="411" ht="15.75" customHeight="1">
      <c r="B411" s="3">
        <f>IFERROR(__xludf.DUMMYFUNCTION("""COMPUTED_VALUE"""),40361.645833333336)</f>
        <v>40361.64583</v>
      </c>
      <c r="C411" s="2">
        <f>IFERROR(__xludf.DUMMYFUNCTION("""COMPUTED_VALUE"""),199.4)</f>
        <v>199.4</v>
      </c>
    </row>
    <row r="412" ht="15.75" customHeight="1">
      <c r="B412" s="3">
        <f>IFERROR(__xludf.DUMMYFUNCTION("""COMPUTED_VALUE"""),40368.645833333336)</f>
        <v>40368.64583</v>
      </c>
      <c r="C412" s="2">
        <f>IFERROR(__xludf.DUMMYFUNCTION("""COMPUTED_VALUE"""),213.9)</f>
        <v>213.9</v>
      </c>
    </row>
    <row r="413" ht="15.75" customHeight="1">
      <c r="B413" s="3">
        <f>IFERROR(__xludf.DUMMYFUNCTION("""COMPUTED_VALUE"""),40375.645833333336)</f>
        <v>40375.64583</v>
      </c>
      <c r="C413" s="2">
        <f>IFERROR(__xludf.DUMMYFUNCTION("""COMPUTED_VALUE"""),202.2)</f>
        <v>202.2</v>
      </c>
    </row>
    <row r="414" ht="15.75" customHeight="1">
      <c r="B414" s="3">
        <f>IFERROR(__xludf.DUMMYFUNCTION("""COMPUTED_VALUE"""),40382.645833333336)</f>
        <v>40382.64583</v>
      </c>
      <c r="C414" s="2">
        <f>IFERROR(__xludf.DUMMYFUNCTION("""COMPUTED_VALUE"""),208.65)</f>
        <v>208.65</v>
      </c>
    </row>
    <row r="415" ht="15.75" customHeight="1">
      <c r="B415" s="3">
        <f>IFERROR(__xludf.DUMMYFUNCTION("""COMPUTED_VALUE"""),40389.645833333336)</f>
        <v>40389.64583</v>
      </c>
      <c r="C415" s="2">
        <f>IFERROR(__xludf.DUMMYFUNCTION("""COMPUTED_VALUE"""),210.8)</f>
        <v>210.8</v>
      </c>
    </row>
    <row r="416" ht="15.75" customHeight="1">
      <c r="B416" s="3">
        <f>IFERROR(__xludf.DUMMYFUNCTION("""COMPUTED_VALUE"""),40396.645833333336)</f>
        <v>40396.64583</v>
      </c>
      <c r="C416" s="2">
        <f>IFERROR(__xludf.DUMMYFUNCTION("""COMPUTED_VALUE"""),206.4)</f>
        <v>206.4</v>
      </c>
    </row>
    <row r="417" ht="15.75" customHeight="1">
      <c r="B417" s="3">
        <f>IFERROR(__xludf.DUMMYFUNCTION("""COMPUTED_VALUE"""),40403.645833333336)</f>
        <v>40403.64583</v>
      </c>
      <c r="C417" s="2">
        <f>IFERROR(__xludf.DUMMYFUNCTION("""COMPUTED_VALUE"""),200.9)</f>
        <v>200.9</v>
      </c>
    </row>
    <row r="418" ht="15.75" customHeight="1">
      <c r="B418" s="3">
        <f>IFERROR(__xludf.DUMMYFUNCTION("""COMPUTED_VALUE"""),40410.645833333336)</f>
        <v>40410.64583</v>
      </c>
      <c r="C418" s="2">
        <f>IFERROR(__xludf.DUMMYFUNCTION("""COMPUTED_VALUE"""),195.0)</f>
        <v>195</v>
      </c>
    </row>
    <row r="419" ht="15.75" customHeight="1">
      <c r="B419" s="3">
        <f>IFERROR(__xludf.DUMMYFUNCTION("""COMPUTED_VALUE"""),40417.645833333336)</f>
        <v>40417.64583</v>
      </c>
      <c r="C419" s="2">
        <f>IFERROR(__xludf.DUMMYFUNCTION("""COMPUTED_VALUE"""),193.0)</f>
        <v>193</v>
      </c>
    </row>
    <row r="420" ht="15.75" customHeight="1">
      <c r="B420" s="3">
        <f>IFERROR(__xludf.DUMMYFUNCTION("""COMPUTED_VALUE"""),40424.645833333336)</f>
        <v>40424.64583</v>
      </c>
      <c r="C420" s="2">
        <f>IFERROR(__xludf.DUMMYFUNCTION("""COMPUTED_VALUE"""),194.05)</f>
        <v>194.05</v>
      </c>
    </row>
    <row r="421" ht="15.75" customHeight="1">
      <c r="B421" s="3">
        <f>IFERROR(__xludf.DUMMYFUNCTION("""COMPUTED_VALUE"""),40430.645833333336)</f>
        <v>40430.64583</v>
      </c>
      <c r="C421" s="2">
        <f>IFERROR(__xludf.DUMMYFUNCTION("""COMPUTED_VALUE"""),202.2)</f>
        <v>202.2</v>
      </c>
    </row>
    <row r="422" ht="15.75" customHeight="1">
      <c r="B422" s="3">
        <f>IFERROR(__xludf.DUMMYFUNCTION("""COMPUTED_VALUE"""),40438.645833333336)</f>
        <v>40438.64583</v>
      </c>
      <c r="C422" s="2">
        <f>IFERROR(__xludf.DUMMYFUNCTION("""COMPUTED_VALUE"""),206.85)</f>
        <v>206.85</v>
      </c>
    </row>
    <row r="423" ht="15.75" customHeight="1">
      <c r="B423" s="3">
        <f>IFERROR(__xludf.DUMMYFUNCTION("""COMPUTED_VALUE"""),40445.645833333336)</f>
        <v>40445.64583</v>
      </c>
      <c r="C423" s="2">
        <f>IFERROR(__xludf.DUMMYFUNCTION("""COMPUTED_VALUE"""),209.9)</f>
        <v>209.9</v>
      </c>
    </row>
    <row r="424" ht="15.75" customHeight="1">
      <c r="B424" s="3">
        <f>IFERROR(__xludf.DUMMYFUNCTION("""COMPUTED_VALUE"""),40452.645833333336)</f>
        <v>40452.64583</v>
      </c>
      <c r="C424" s="2">
        <f>IFERROR(__xludf.DUMMYFUNCTION("""COMPUTED_VALUE"""),224.9)</f>
        <v>224.9</v>
      </c>
    </row>
    <row r="425" ht="15.75" customHeight="1">
      <c r="B425" s="3">
        <f>IFERROR(__xludf.DUMMYFUNCTION("""COMPUTED_VALUE"""),40459.645833333336)</f>
        <v>40459.64583</v>
      </c>
      <c r="C425" s="2">
        <f>IFERROR(__xludf.DUMMYFUNCTION("""COMPUTED_VALUE"""),234.35)</f>
        <v>234.35</v>
      </c>
    </row>
    <row r="426" ht="15.75" customHeight="1">
      <c r="B426" s="3">
        <f>IFERROR(__xludf.DUMMYFUNCTION("""COMPUTED_VALUE"""),40466.645833333336)</f>
        <v>40466.64583</v>
      </c>
      <c r="C426" s="2">
        <f>IFERROR(__xludf.DUMMYFUNCTION("""COMPUTED_VALUE"""),230.0)</f>
        <v>230</v>
      </c>
    </row>
    <row r="427" ht="15.75" customHeight="1">
      <c r="B427" s="3">
        <f>IFERROR(__xludf.DUMMYFUNCTION("""COMPUTED_VALUE"""),40473.645833333336)</f>
        <v>40473.64583</v>
      </c>
      <c r="C427" s="2">
        <f>IFERROR(__xludf.DUMMYFUNCTION("""COMPUTED_VALUE"""),225.3)</f>
        <v>225.3</v>
      </c>
    </row>
    <row r="428" ht="15.75" customHeight="1">
      <c r="B428" s="3">
        <f>IFERROR(__xludf.DUMMYFUNCTION("""COMPUTED_VALUE"""),40480.645833333336)</f>
        <v>40480.64583</v>
      </c>
      <c r="C428" s="2">
        <f>IFERROR(__xludf.DUMMYFUNCTION("""COMPUTED_VALUE"""),221.9)</f>
        <v>221.9</v>
      </c>
    </row>
    <row r="429" ht="15.75" customHeight="1">
      <c r="B429" s="3">
        <f>IFERROR(__xludf.DUMMYFUNCTION("""COMPUTED_VALUE"""),40487.645833333336)</f>
        <v>40487.64583</v>
      </c>
      <c r="C429" s="2">
        <f>IFERROR(__xludf.DUMMYFUNCTION("""COMPUTED_VALUE"""),198.5)</f>
        <v>198.5</v>
      </c>
    </row>
    <row r="430" ht="15.75" customHeight="1">
      <c r="B430" s="3">
        <f>IFERROR(__xludf.DUMMYFUNCTION("""COMPUTED_VALUE"""),40494.645833333336)</f>
        <v>40494.64583</v>
      </c>
      <c r="C430" s="2">
        <f>IFERROR(__xludf.DUMMYFUNCTION("""COMPUTED_VALUE"""),201.85)</f>
        <v>201.85</v>
      </c>
    </row>
    <row r="431" ht="15.75" customHeight="1">
      <c r="B431" s="3">
        <f>IFERROR(__xludf.DUMMYFUNCTION("""COMPUTED_VALUE"""),40501.645833333336)</f>
        <v>40501.64583</v>
      </c>
      <c r="C431" s="2">
        <f>IFERROR(__xludf.DUMMYFUNCTION("""COMPUTED_VALUE"""),195.7)</f>
        <v>195.7</v>
      </c>
    </row>
    <row r="432" ht="15.75" customHeight="1">
      <c r="B432" s="3">
        <f>IFERROR(__xludf.DUMMYFUNCTION("""COMPUTED_VALUE"""),40508.645833333336)</f>
        <v>40508.64583</v>
      </c>
      <c r="C432" s="2">
        <f>IFERROR(__xludf.DUMMYFUNCTION("""COMPUTED_VALUE"""),190.45)</f>
        <v>190.45</v>
      </c>
    </row>
    <row r="433" ht="15.75" customHeight="1">
      <c r="B433" s="3">
        <f>IFERROR(__xludf.DUMMYFUNCTION("""COMPUTED_VALUE"""),40515.645833333336)</f>
        <v>40515.64583</v>
      </c>
      <c r="C433" s="2">
        <f>IFERROR(__xludf.DUMMYFUNCTION("""COMPUTED_VALUE"""),184.45)</f>
        <v>184.45</v>
      </c>
    </row>
    <row r="434" ht="15.75" customHeight="1">
      <c r="B434" s="3">
        <f>IFERROR(__xludf.DUMMYFUNCTION("""COMPUTED_VALUE"""),40522.645833333336)</f>
        <v>40522.64583</v>
      </c>
      <c r="C434" s="2">
        <f>IFERROR(__xludf.DUMMYFUNCTION("""COMPUTED_VALUE"""),187.0)</f>
        <v>187</v>
      </c>
    </row>
    <row r="435" ht="15.75" customHeight="1">
      <c r="B435" s="3">
        <f>IFERROR(__xludf.DUMMYFUNCTION("""COMPUTED_VALUE"""),40528.645833333336)</f>
        <v>40528.64583</v>
      </c>
      <c r="C435" s="2">
        <f>IFERROR(__xludf.DUMMYFUNCTION("""COMPUTED_VALUE"""),188.95)</f>
        <v>188.95</v>
      </c>
    </row>
    <row r="436" ht="15.75" customHeight="1">
      <c r="B436" s="3">
        <f>IFERROR(__xludf.DUMMYFUNCTION("""COMPUTED_VALUE"""),40536.645833333336)</f>
        <v>40536.64583</v>
      </c>
      <c r="C436" s="2">
        <f>IFERROR(__xludf.DUMMYFUNCTION("""COMPUTED_VALUE"""),196.7)</f>
        <v>196.7</v>
      </c>
    </row>
    <row r="437" ht="15.75" customHeight="1">
      <c r="B437" s="3">
        <f>IFERROR(__xludf.DUMMYFUNCTION("""COMPUTED_VALUE"""),40543.645833333336)</f>
        <v>40543.64583</v>
      </c>
      <c r="C437" s="2">
        <f>IFERROR(__xludf.DUMMYFUNCTION("""COMPUTED_VALUE"""),186.65)</f>
        <v>186.65</v>
      </c>
    </row>
    <row r="438" ht="15.75" customHeight="1"/>
    <row r="439" ht="15.75" customHeight="1"/>
    <row r="440" ht="15.75" customHeight="1"/>
    <row r="441" ht="15.75" customHeight="1">
      <c r="B441" s="2" t="str">
        <f>IFERROR(__xludf.DUMMYFUNCTION("GOOGLEFINANCE(""NSE:SAIL"", ""high"",DATE(2011,1,1),DATE(2012,1,1),""weekly"")"),"Date")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IFERROR(__xludf.DUMMYFUNCTION("""COMPUTED_VALUE"""),40550.645833333336)</f>
        <v>40550.64583</v>
      </c>
      <c r="C442" s="2">
        <f>IFERROR(__xludf.DUMMYFUNCTION("""COMPUTED_VALUE"""),189.7)</f>
        <v>189.7</v>
      </c>
    </row>
    <row r="443" ht="15.75" customHeight="1">
      <c r="B443" s="3">
        <f>IFERROR(__xludf.DUMMYFUNCTION("""COMPUTED_VALUE"""),40557.645833333336)</f>
        <v>40557.64583</v>
      </c>
      <c r="C443" s="2">
        <f>IFERROR(__xludf.DUMMYFUNCTION("""COMPUTED_VALUE"""),179.8)</f>
        <v>179.8</v>
      </c>
    </row>
    <row r="444" ht="15.75" customHeight="1">
      <c r="B444" s="3">
        <f>IFERROR(__xludf.DUMMYFUNCTION("""COMPUTED_VALUE"""),40564.645833333336)</f>
        <v>40564.64583</v>
      </c>
      <c r="C444" s="2">
        <f>IFERROR(__xludf.DUMMYFUNCTION("""COMPUTED_VALUE"""),171.5)</f>
        <v>171.5</v>
      </c>
    </row>
    <row r="445" ht="15.75" customHeight="1">
      <c r="B445" s="3">
        <f>IFERROR(__xludf.DUMMYFUNCTION("""COMPUTED_VALUE"""),40571.645833333336)</f>
        <v>40571.64583</v>
      </c>
      <c r="C445" s="2">
        <f>IFERROR(__xludf.DUMMYFUNCTION("""COMPUTED_VALUE"""),169.0)</f>
        <v>169</v>
      </c>
    </row>
    <row r="446" ht="15.75" customHeight="1">
      <c r="B446" s="3">
        <f>IFERROR(__xludf.DUMMYFUNCTION("""COMPUTED_VALUE"""),40578.645833333336)</f>
        <v>40578.64583</v>
      </c>
      <c r="C446" s="2">
        <f>IFERROR(__xludf.DUMMYFUNCTION("""COMPUTED_VALUE"""),165.7)</f>
        <v>165.7</v>
      </c>
    </row>
    <row r="447" ht="15.75" customHeight="1">
      <c r="B447" s="3">
        <f>IFERROR(__xludf.DUMMYFUNCTION("""COMPUTED_VALUE"""),40585.645833333336)</f>
        <v>40585.64583</v>
      </c>
      <c r="C447" s="2">
        <f>IFERROR(__xludf.DUMMYFUNCTION("""COMPUTED_VALUE"""),163.85)</f>
        <v>163.85</v>
      </c>
    </row>
    <row r="448" ht="15.75" customHeight="1">
      <c r="B448" s="3">
        <f>IFERROR(__xludf.DUMMYFUNCTION("""COMPUTED_VALUE"""),40592.645833333336)</f>
        <v>40592.64583</v>
      </c>
      <c r="C448" s="2">
        <f>IFERROR(__xludf.DUMMYFUNCTION("""COMPUTED_VALUE"""),168.25)</f>
        <v>168.25</v>
      </c>
    </row>
    <row r="449" ht="15.75" customHeight="1">
      <c r="B449" s="3">
        <f>IFERROR(__xludf.DUMMYFUNCTION("""COMPUTED_VALUE"""),40599.645833333336)</f>
        <v>40599.64583</v>
      </c>
      <c r="C449" s="2">
        <f>IFERROR(__xludf.DUMMYFUNCTION("""COMPUTED_VALUE"""),162.2)</f>
        <v>162.2</v>
      </c>
    </row>
    <row r="450" ht="15.75" customHeight="1">
      <c r="B450" s="3">
        <f>IFERROR(__xludf.DUMMYFUNCTION("""COMPUTED_VALUE"""),40606.645833333336)</f>
        <v>40606.64583</v>
      </c>
      <c r="C450" s="2">
        <f>IFERROR(__xludf.DUMMYFUNCTION("""COMPUTED_VALUE"""),159.5)</f>
        <v>159.5</v>
      </c>
    </row>
    <row r="451" ht="15.75" customHeight="1">
      <c r="B451" s="3">
        <f>IFERROR(__xludf.DUMMYFUNCTION("""COMPUTED_VALUE"""),40613.645833333336)</f>
        <v>40613.64583</v>
      </c>
      <c r="C451" s="2">
        <f>IFERROR(__xludf.DUMMYFUNCTION("""COMPUTED_VALUE"""),158.2)</f>
        <v>158.2</v>
      </c>
    </row>
    <row r="452" ht="15.75" customHeight="1">
      <c r="B452" s="3">
        <f>IFERROR(__xludf.DUMMYFUNCTION("""COMPUTED_VALUE"""),40620.645833333336)</f>
        <v>40620.64583</v>
      </c>
      <c r="C452" s="2">
        <f>IFERROR(__xludf.DUMMYFUNCTION("""COMPUTED_VALUE"""),162.75)</f>
        <v>162.75</v>
      </c>
    </row>
    <row r="453" ht="15.75" customHeight="1">
      <c r="B453" s="3">
        <f>IFERROR(__xludf.DUMMYFUNCTION("""COMPUTED_VALUE"""),40627.645833333336)</f>
        <v>40627.64583</v>
      </c>
      <c r="C453" s="2">
        <f>IFERROR(__xludf.DUMMYFUNCTION("""COMPUTED_VALUE"""),168.45)</f>
        <v>168.45</v>
      </c>
    </row>
    <row r="454" ht="15.75" customHeight="1">
      <c r="B454" s="3">
        <f>IFERROR(__xludf.DUMMYFUNCTION("""COMPUTED_VALUE"""),40634.645833333336)</f>
        <v>40634.64583</v>
      </c>
      <c r="C454" s="2">
        <f>IFERROR(__xludf.DUMMYFUNCTION("""COMPUTED_VALUE"""),172.4)</f>
        <v>172.4</v>
      </c>
    </row>
    <row r="455" ht="15.75" customHeight="1">
      <c r="B455" s="3">
        <f>IFERROR(__xludf.DUMMYFUNCTION("""COMPUTED_VALUE"""),40641.645833333336)</f>
        <v>40641.64583</v>
      </c>
      <c r="C455" s="2">
        <f>IFERROR(__xludf.DUMMYFUNCTION("""COMPUTED_VALUE"""),177.3)</f>
        <v>177.3</v>
      </c>
    </row>
    <row r="456" ht="15.75" customHeight="1">
      <c r="B456" s="3">
        <f>IFERROR(__xludf.DUMMYFUNCTION("""COMPUTED_VALUE"""),40648.645833333336)</f>
        <v>40648.64583</v>
      </c>
      <c r="C456" s="2">
        <f>IFERROR(__xludf.DUMMYFUNCTION("""COMPUTED_VALUE"""),172.5)</f>
        <v>172.5</v>
      </c>
    </row>
    <row r="457" ht="15.75" customHeight="1">
      <c r="B457" s="3">
        <f>IFERROR(__xludf.DUMMYFUNCTION("""COMPUTED_VALUE"""),40654.645833333336)</f>
        <v>40654.64583</v>
      </c>
      <c r="C457" s="2">
        <f>IFERROR(__xludf.DUMMYFUNCTION("""COMPUTED_VALUE"""),174.9)</f>
        <v>174.9</v>
      </c>
    </row>
    <row r="458" ht="15.75" customHeight="1">
      <c r="B458" s="3">
        <f>IFERROR(__xludf.DUMMYFUNCTION("""COMPUTED_VALUE"""),40662.645833333336)</f>
        <v>40662.64583</v>
      </c>
      <c r="C458" s="2">
        <f>IFERROR(__xludf.DUMMYFUNCTION("""COMPUTED_VALUE"""),174.8)</f>
        <v>174.8</v>
      </c>
    </row>
    <row r="459" ht="15.75" customHeight="1">
      <c r="B459" s="3">
        <f>IFERROR(__xludf.DUMMYFUNCTION("""COMPUTED_VALUE"""),40669.645833333336)</f>
        <v>40669.64583</v>
      </c>
      <c r="C459" s="2">
        <f>IFERROR(__xludf.DUMMYFUNCTION("""COMPUTED_VALUE"""),162.85)</f>
        <v>162.85</v>
      </c>
    </row>
    <row r="460" ht="15.75" customHeight="1">
      <c r="B460" s="3">
        <f>IFERROR(__xludf.DUMMYFUNCTION("""COMPUTED_VALUE"""),40676.645833333336)</f>
        <v>40676.64583</v>
      </c>
      <c r="C460" s="2">
        <f>IFERROR(__xludf.DUMMYFUNCTION("""COMPUTED_VALUE"""),157.8)</f>
        <v>157.8</v>
      </c>
    </row>
    <row r="461" ht="15.75" customHeight="1">
      <c r="B461" s="3">
        <f>IFERROR(__xludf.DUMMYFUNCTION("""COMPUTED_VALUE"""),40683.645833333336)</f>
        <v>40683.64583</v>
      </c>
      <c r="C461" s="2">
        <f>IFERROR(__xludf.DUMMYFUNCTION("""COMPUTED_VALUE"""),154.5)</f>
        <v>154.5</v>
      </c>
    </row>
    <row r="462" ht="15.75" customHeight="1">
      <c r="B462" s="3">
        <f>IFERROR(__xludf.DUMMYFUNCTION("""COMPUTED_VALUE"""),40690.645833333336)</f>
        <v>40690.64583</v>
      </c>
      <c r="C462" s="2">
        <f>IFERROR(__xludf.DUMMYFUNCTION("""COMPUTED_VALUE"""),144.35)</f>
        <v>144.35</v>
      </c>
    </row>
    <row r="463" ht="15.75" customHeight="1">
      <c r="B463" s="3">
        <f>IFERROR(__xludf.DUMMYFUNCTION("""COMPUTED_VALUE"""),40697.645833333336)</f>
        <v>40697.64583</v>
      </c>
      <c r="C463" s="2">
        <f>IFERROR(__xludf.DUMMYFUNCTION("""COMPUTED_VALUE"""),150.95)</f>
        <v>150.95</v>
      </c>
    </row>
    <row r="464" ht="15.75" customHeight="1">
      <c r="B464" s="3">
        <f>IFERROR(__xludf.DUMMYFUNCTION("""COMPUTED_VALUE"""),40704.645833333336)</f>
        <v>40704.64583</v>
      </c>
      <c r="C464" s="2">
        <f>IFERROR(__xludf.DUMMYFUNCTION("""COMPUTED_VALUE"""),148.2)</f>
        <v>148.2</v>
      </c>
    </row>
    <row r="465" ht="15.75" customHeight="1">
      <c r="B465" s="3">
        <f>IFERROR(__xludf.DUMMYFUNCTION("""COMPUTED_VALUE"""),40711.645833333336)</f>
        <v>40711.64583</v>
      </c>
      <c r="C465" s="2">
        <f>IFERROR(__xludf.DUMMYFUNCTION("""COMPUTED_VALUE"""),145.45)</f>
        <v>145.45</v>
      </c>
    </row>
    <row r="466" ht="15.75" customHeight="1">
      <c r="B466" s="3">
        <f>IFERROR(__xludf.DUMMYFUNCTION("""COMPUTED_VALUE"""),40718.645833333336)</f>
        <v>40718.64583</v>
      </c>
      <c r="C466" s="2">
        <f>IFERROR(__xludf.DUMMYFUNCTION("""COMPUTED_VALUE"""),137.45)</f>
        <v>137.45</v>
      </c>
    </row>
    <row r="467" ht="15.75" customHeight="1">
      <c r="B467" s="3">
        <f>IFERROR(__xludf.DUMMYFUNCTION("""COMPUTED_VALUE"""),40725.645833333336)</f>
        <v>40725.64583</v>
      </c>
      <c r="C467" s="2">
        <f>IFERROR(__xludf.DUMMYFUNCTION("""COMPUTED_VALUE"""),140.9)</f>
        <v>140.9</v>
      </c>
    </row>
    <row r="468" ht="15.75" customHeight="1">
      <c r="B468" s="3">
        <f>IFERROR(__xludf.DUMMYFUNCTION("""COMPUTED_VALUE"""),40732.645833333336)</f>
        <v>40732.64583</v>
      </c>
      <c r="C468" s="2">
        <f>IFERROR(__xludf.DUMMYFUNCTION("""COMPUTED_VALUE"""),143.7)</f>
        <v>143.7</v>
      </c>
    </row>
    <row r="469" ht="15.75" customHeight="1">
      <c r="B469" s="3">
        <f>IFERROR(__xludf.DUMMYFUNCTION("""COMPUTED_VALUE"""),40739.645833333336)</f>
        <v>40739.64583</v>
      </c>
      <c r="C469" s="2">
        <f>IFERROR(__xludf.DUMMYFUNCTION("""COMPUTED_VALUE"""),136.7)</f>
        <v>136.7</v>
      </c>
    </row>
    <row r="470" ht="15.75" customHeight="1">
      <c r="B470" s="3">
        <f>IFERROR(__xludf.DUMMYFUNCTION("""COMPUTED_VALUE"""),40746.645833333336)</f>
        <v>40746.64583</v>
      </c>
      <c r="C470" s="2">
        <f>IFERROR(__xludf.DUMMYFUNCTION("""COMPUTED_VALUE"""),133.4)</f>
        <v>133.4</v>
      </c>
    </row>
    <row r="471" ht="15.75" customHeight="1">
      <c r="B471" s="3">
        <f>IFERROR(__xludf.DUMMYFUNCTION("""COMPUTED_VALUE"""),40753.645833333336)</f>
        <v>40753.64583</v>
      </c>
      <c r="C471" s="2">
        <f>IFERROR(__xludf.DUMMYFUNCTION("""COMPUTED_VALUE"""),135.25)</f>
        <v>135.25</v>
      </c>
    </row>
    <row r="472" ht="15.75" customHeight="1">
      <c r="B472" s="3">
        <f>IFERROR(__xludf.DUMMYFUNCTION("""COMPUTED_VALUE"""),40760.645833333336)</f>
        <v>40760.64583</v>
      </c>
      <c r="C472" s="2">
        <f>IFERROR(__xludf.DUMMYFUNCTION("""COMPUTED_VALUE"""),127.45)</f>
        <v>127.45</v>
      </c>
    </row>
    <row r="473" ht="15.75" customHeight="1">
      <c r="B473" s="3">
        <f>IFERROR(__xludf.DUMMYFUNCTION("""COMPUTED_VALUE"""),40767.645833333336)</f>
        <v>40767.64583</v>
      </c>
      <c r="C473" s="2">
        <f>IFERROR(__xludf.DUMMYFUNCTION("""COMPUTED_VALUE"""),114.35)</f>
        <v>114.35</v>
      </c>
    </row>
    <row r="474" ht="15.75" customHeight="1">
      <c r="B474" s="3">
        <f>IFERROR(__xludf.DUMMYFUNCTION("""COMPUTED_VALUE"""),40774.645833333336)</f>
        <v>40774.64583</v>
      </c>
      <c r="C474" s="2">
        <f>IFERROR(__xludf.DUMMYFUNCTION("""COMPUTED_VALUE"""),112.5)</f>
        <v>112.5</v>
      </c>
    </row>
    <row r="475" ht="15.75" customHeight="1">
      <c r="B475" s="3">
        <f>IFERROR(__xludf.DUMMYFUNCTION("""COMPUTED_VALUE"""),40781.645833333336)</f>
        <v>40781.64583</v>
      </c>
      <c r="C475" s="2">
        <f>IFERROR(__xludf.DUMMYFUNCTION("""COMPUTED_VALUE"""),113.15)</f>
        <v>113.15</v>
      </c>
    </row>
    <row r="476" ht="15.75" customHeight="1">
      <c r="B476" s="3">
        <f>IFERROR(__xludf.DUMMYFUNCTION("""COMPUTED_VALUE"""),40788.645833333336)</f>
        <v>40788.64583</v>
      </c>
      <c r="C476" s="2">
        <f>IFERROR(__xludf.DUMMYFUNCTION("""COMPUTED_VALUE"""),110.5)</f>
        <v>110.5</v>
      </c>
    </row>
    <row r="477" ht="15.75" customHeight="1">
      <c r="B477" s="3">
        <f>IFERROR(__xludf.DUMMYFUNCTION("""COMPUTED_VALUE"""),40795.645833333336)</f>
        <v>40795.64583</v>
      </c>
      <c r="C477" s="2">
        <f>IFERROR(__xludf.DUMMYFUNCTION("""COMPUTED_VALUE"""),123.0)</f>
        <v>123</v>
      </c>
    </row>
    <row r="478" ht="15.75" customHeight="1">
      <c r="B478" s="3">
        <f>IFERROR(__xludf.DUMMYFUNCTION("""COMPUTED_VALUE"""),40802.645833333336)</f>
        <v>40802.64583</v>
      </c>
      <c r="C478" s="2">
        <f>IFERROR(__xludf.DUMMYFUNCTION("""COMPUTED_VALUE"""),113.35)</f>
        <v>113.35</v>
      </c>
    </row>
    <row r="479" ht="15.75" customHeight="1">
      <c r="B479" s="3">
        <f>IFERROR(__xludf.DUMMYFUNCTION("""COMPUTED_VALUE"""),40809.645833333336)</f>
        <v>40809.64583</v>
      </c>
      <c r="C479" s="2">
        <f>IFERROR(__xludf.DUMMYFUNCTION("""COMPUTED_VALUE"""),114.1)</f>
        <v>114.1</v>
      </c>
    </row>
    <row r="480" ht="15.75" customHeight="1">
      <c r="B480" s="3">
        <f>IFERROR(__xludf.DUMMYFUNCTION("""COMPUTED_VALUE"""),40816.645833333336)</f>
        <v>40816.64583</v>
      </c>
      <c r="C480" s="2">
        <f>IFERROR(__xludf.DUMMYFUNCTION("""COMPUTED_VALUE"""),111.0)</f>
        <v>111</v>
      </c>
    </row>
    <row r="481" ht="15.75" customHeight="1">
      <c r="B481" s="3">
        <f>IFERROR(__xludf.DUMMYFUNCTION("""COMPUTED_VALUE"""),40823.645833333336)</f>
        <v>40823.64583</v>
      </c>
      <c r="C481" s="2">
        <f>IFERROR(__xludf.DUMMYFUNCTION("""COMPUTED_VALUE"""),104.95)</f>
        <v>104.95</v>
      </c>
    </row>
    <row r="482" ht="15.75" customHeight="1">
      <c r="B482" s="3">
        <f>IFERROR(__xludf.DUMMYFUNCTION("""COMPUTED_VALUE"""),40830.645833333336)</f>
        <v>40830.64583</v>
      </c>
      <c r="C482" s="2">
        <f>IFERROR(__xludf.DUMMYFUNCTION("""COMPUTED_VALUE"""),111.35)</f>
        <v>111.35</v>
      </c>
    </row>
    <row r="483" ht="15.75" customHeight="1">
      <c r="B483" s="3">
        <f>IFERROR(__xludf.DUMMYFUNCTION("""COMPUTED_VALUE"""),40837.645833333336)</f>
        <v>40837.64583</v>
      </c>
      <c r="C483" s="2">
        <f>IFERROR(__xludf.DUMMYFUNCTION("""COMPUTED_VALUE"""),108.85)</f>
        <v>108.85</v>
      </c>
    </row>
    <row r="484" ht="15.75" customHeight="1">
      <c r="B484" s="3">
        <f>IFERROR(__xludf.DUMMYFUNCTION("""COMPUTED_VALUE"""),40844.645833333336)</f>
        <v>40844.64583</v>
      </c>
      <c r="C484" s="2">
        <f>IFERROR(__xludf.DUMMYFUNCTION("""COMPUTED_VALUE"""),117.0)</f>
        <v>117</v>
      </c>
    </row>
    <row r="485" ht="15.75" customHeight="1">
      <c r="B485" s="3">
        <f>IFERROR(__xludf.DUMMYFUNCTION("""COMPUTED_VALUE"""),40851.645833333336)</f>
        <v>40851.64583</v>
      </c>
      <c r="C485" s="2">
        <f>IFERROR(__xludf.DUMMYFUNCTION("""COMPUTED_VALUE"""),116.25)</f>
        <v>116.25</v>
      </c>
    </row>
    <row r="486" ht="15.75" customHeight="1">
      <c r="B486" s="3">
        <f>IFERROR(__xludf.DUMMYFUNCTION("""COMPUTED_VALUE"""),40858.645833333336)</f>
        <v>40858.64583</v>
      </c>
      <c r="C486" s="2">
        <f>IFERROR(__xludf.DUMMYFUNCTION("""COMPUTED_VALUE"""),112.35)</f>
        <v>112.35</v>
      </c>
    </row>
    <row r="487" ht="15.75" customHeight="1">
      <c r="B487" s="3">
        <f>IFERROR(__xludf.DUMMYFUNCTION("""COMPUTED_VALUE"""),40865.645833333336)</f>
        <v>40865.64583</v>
      </c>
      <c r="C487" s="2">
        <f>IFERROR(__xludf.DUMMYFUNCTION("""COMPUTED_VALUE"""),107.2)</f>
        <v>107.2</v>
      </c>
    </row>
    <row r="488" ht="15.75" customHeight="1">
      <c r="B488" s="3">
        <f>IFERROR(__xludf.DUMMYFUNCTION("""COMPUTED_VALUE"""),40872.645833333336)</f>
        <v>40872.64583</v>
      </c>
      <c r="C488" s="2">
        <f>IFERROR(__xludf.DUMMYFUNCTION("""COMPUTED_VALUE"""),93.9)</f>
        <v>93.9</v>
      </c>
    </row>
    <row r="489" ht="15.75" customHeight="1">
      <c r="B489" s="3">
        <f>IFERROR(__xludf.DUMMYFUNCTION("""COMPUTED_VALUE"""),40879.645833333336)</f>
        <v>40879.64583</v>
      </c>
      <c r="C489" s="2">
        <f>IFERROR(__xludf.DUMMYFUNCTION("""COMPUTED_VALUE"""),87.95)</f>
        <v>87.95</v>
      </c>
    </row>
    <row r="490" ht="15.75" customHeight="1">
      <c r="B490" s="3">
        <f>IFERROR(__xludf.DUMMYFUNCTION("""COMPUTED_VALUE"""),40886.645833333336)</f>
        <v>40886.64583</v>
      </c>
      <c r="C490" s="2">
        <f>IFERROR(__xludf.DUMMYFUNCTION("""COMPUTED_VALUE"""),88.45)</f>
        <v>88.45</v>
      </c>
    </row>
    <row r="491" ht="15.75" customHeight="1">
      <c r="B491" s="3">
        <f>IFERROR(__xludf.DUMMYFUNCTION("""COMPUTED_VALUE"""),40893.645833333336)</f>
        <v>40893.64583</v>
      </c>
      <c r="C491" s="2">
        <f>IFERROR(__xludf.DUMMYFUNCTION("""COMPUTED_VALUE"""),84.0)</f>
        <v>84</v>
      </c>
    </row>
    <row r="492" ht="15.75" customHeight="1">
      <c r="B492" s="3">
        <f>IFERROR(__xludf.DUMMYFUNCTION("""COMPUTED_VALUE"""),40900.645833333336)</f>
        <v>40900.64583</v>
      </c>
      <c r="C492" s="2">
        <f>IFERROR(__xludf.DUMMYFUNCTION("""COMPUTED_VALUE"""),82.5)</f>
        <v>82.5</v>
      </c>
    </row>
    <row r="493" ht="15.75" customHeight="1">
      <c r="B493" s="3">
        <f>IFERROR(__xludf.DUMMYFUNCTION("""COMPUTED_VALUE"""),40907.645833333336)</f>
        <v>40907.64583</v>
      </c>
      <c r="C493" s="2">
        <f>IFERROR(__xludf.DUMMYFUNCTION("""COMPUTED_VALUE"""),82.25)</f>
        <v>82.25</v>
      </c>
    </row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IFERROR(__xludf.DUMMYFUNCTION("GOOGLEFINANCE(""NSE:MARUTI"", ""high"",DATE(2004,1,1),DATE(2005,1,1),""weekly"")"),"Date")</f>
        <v>Date</v>
      </c>
      <c r="C1" s="2" t="str">
        <f>IFERROR(__xludf.DUMMYFUNCTION("""COMPUTED_VALUE"""),"High")</f>
        <v>High</v>
      </c>
    </row>
    <row r="2">
      <c r="A2" s="2" t="s">
        <v>3</v>
      </c>
      <c r="B2" s="3">
        <f>IFERROR(__xludf.DUMMYFUNCTION("""COMPUTED_VALUE"""),37988.645833333336)</f>
        <v>37988.64583</v>
      </c>
      <c r="C2" s="2">
        <f>IFERROR(__xludf.DUMMYFUNCTION("""COMPUTED_VALUE"""),386.9)</f>
        <v>386.9</v>
      </c>
    </row>
    <row r="3">
      <c r="A3" s="2" t="s">
        <v>4</v>
      </c>
      <c r="B3" s="3">
        <f>IFERROR(__xludf.DUMMYFUNCTION("""COMPUTED_VALUE"""),37995.645833333336)</f>
        <v>37995.64583</v>
      </c>
      <c r="C3" s="2">
        <f>IFERROR(__xludf.DUMMYFUNCTION("""COMPUTED_VALUE"""),448.0)</f>
        <v>448</v>
      </c>
    </row>
    <row r="4">
      <c r="A4" s="2" t="s">
        <v>5</v>
      </c>
      <c r="B4" s="3">
        <f>IFERROR(__xludf.DUMMYFUNCTION("""COMPUTED_VALUE"""),38002.645833333336)</f>
        <v>38002.64583</v>
      </c>
      <c r="C4" s="2">
        <f>IFERROR(__xludf.DUMMYFUNCTION("""COMPUTED_VALUE"""),454.65)</f>
        <v>454.65</v>
      </c>
    </row>
    <row r="5">
      <c r="A5" s="2" t="s">
        <v>6</v>
      </c>
      <c r="B5" s="3">
        <f>IFERROR(__xludf.DUMMYFUNCTION("""COMPUTED_VALUE"""),38009.645833333336)</f>
        <v>38009.64583</v>
      </c>
      <c r="C5" s="2">
        <f>IFERROR(__xludf.DUMMYFUNCTION("""COMPUTED_VALUE"""),431.4)</f>
        <v>431.4</v>
      </c>
    </row>
    <row r="6">
      <c r="A6" s="2" t="s">
        <v>7</v>
      </c>
      <c r="B6" s="3">
        <f>IFERROR(__xludf.DUMMYFUNCTION("""COMPUTED_VALUE"""),38016.645833333336)</f>
        <v>38016.64583</v>
      </c>
      <c r="C6" s="2">
        <f>IFERROR(__xludf.DUMMYFUNCTION("""COMPUTED_VALUE"""),444.7)</f>
        <v>444.7</v>
      </c>
    </row>
    <row r="7">
      <c r="A7" s="2" t="s">
        <v>8</v>
      </c>
      <c r="B7" s="3">
        <f>IFERROR(__xludf.DUMMYFUNCTION("""COMPUTED_VALUE"""),38023.645833333336)</f>
        <v>38023.64583</v>
      </c>
      <c r="C7" s="2">
        <f>IFERROR(__xludf.DUMMYFUNCTION("""COMPUTED_VALUE"""),453.0)</f>
        <v>453</v>
      </c>
    </row>
    <row r="8">
      <c r="A8" s="2" t="s">
        <v>9</v>
      </c>
      <c r="B8" s="3">
        <f>IFERROR(__xludf.DUMMYFUNCTION("""COMPUTED_VALUE"""),38030.645833333336)</f>
        <v>38030.64583</v>
      </c>
      <c r="C8" s="2">
        <f>IFERROR(__xludf.DUMMYFUNCTION("""COMPUTED_VALUE"""),500.8)</f>
        <v>500.8</v>
      </c>
    </row>
    <row r="9">
      <c r="A9" s="2" t="s">
        <v>10</v>
      </c>
      <c r="B9" s="3">
        <f>IFERROR(__xludf.DUMMYFUNCTION("""COMPUTED_VALUE"""),38037.645833333336)</f>
        <v>38037.64583</v>
      </c>
      <c r="C9" s="2">
        <f>IFERROR(__xludf.DUMMYFUNCTION("""COMPUTED_VALUE"""),523.9)</f>
        <v>523.9</v>
      </c>
    </row>
    <row r="10">
      <c r="A10" s="2" t="s">
        <v>11</v>
      </c>
      <c r="B10" s="3">
        <f>IFERROR(__xludf.DUMMYFUNCTION("""COMPUTED_VALUE"""),38044.645833333336)</f>
        <v>38044.64583</v>
      </c>
      <c r="C10" s="2">
        <f>IFERROR(__xludf.DUMMYFUNCTION("""COMPUTED_VALUE"""),588.0)</f>
        <v>588</v>
      </c>
    </row>
    <row r="11">
      <c r="A11" s="2" t="s">
        <v>12</v>
      </c>
      <c r="B11" s="3">
        <f>IFERROR(__xludf.DUMMYFUNCTION("""COMPUTED_VALUE"""),38051.645833333336)</f>
        <v>38051.64583</v>
      </c>
      <c r="C11" s="2">
        <f>IFERROR(__xludf.DUMMYFUNCTION("""COMPUTED_VALUE"""),534.4)</f>
        <v>534.4</v>
      </c>
    </row>
    <row r="12">
      <c r="A12" s="2" t="s">
        <v>13</v>
      </c>
      <c r="B12" s="3">
        <f>IFERROR(__xludf.DUMMYFUNCTION("""COMPUTED_VALUE"""),38058.645833333336)</f>
        <v>38058.64583</v>
      </c>
      <c r="C12" s="2">
        <f>IFERROR(__xludf.DUMMYFUNCTION("""COMPUTED_VALUE"""),533.85)</f>
        <v>533.85</v>
      </c>
    </row>
    <row r="13">
      <c r="A13" s="2" t="s">
        <v>14</v>
      </c>
      <c r="B13" s="3">
        <f>IFERROR(__xludf.DUMMYFUNCTION("""COMPUTED_VALUE"""),38065.645833333336)</f>
        <v>38065.64583</v>
      </c>
      <c r="C13" s="2">
        <f>IFERROR(__xludf.DUMMYFUNCTION("""COMPUTED_VALUE"""),515.5)</f>
        <v>515.5</v>
      </c>
    </row>
    <row r="14">
      <c r="A14" s="2" t="s">
        <v>15</v>
      </c>
      <c r="B14" s="3">
        <f>IFERROR(__xludf.DUMMYFUNCTION("""COMPUTED_VALUE"""),38072.645833333336)</f>
        <v>38072.64583</v>
      </c>
      <c r="C14" s="2">
        <f>IFERROR(__xludf.DUMMYFUNCTION("""COMPUTED_VALUE"""),494.0)</f>
        <v>494</v>
      </c>
    </row>
    <row r="15">
      <c r="A15" s="2" t="s">
        <v>16</v>
      </c>
      <c r="B15" s="3">
        <f>IFERROR(__xludf.DUMMYFUNCTION("""COMPUTED_VALUE"""),38079.645833333336)</f>
        <v>38079.64583</v>
      </c>
      <c r="C15" s="2">
        <f>IFERROR(__xludf.DUMMYFUNCTION("""COMPUTED_VALUE"""),525.9)</f>
        <v>525.9</v>
      </c>
    </row>
    <row r="16">
      <c r="A16" s="2" t="s">
        <v>17</v>
      </c>
      <c r="B16" s="3">
        <f>IFERROR(__xludf.DUMMYFUNCTION("""COMPUTED_VALUE"""),38085.645833333336)</f>
        <v>38085.64583</v>
      </c>
      <c r="C16" s="2">
        <f>IFERROR(__xludf.DUMMYFUNCTION("""COMPUTED_VALUE"""),548.7)</f>
        <v>548.7</v>
      </c>
    </row>
    <row r="17">
      <c r="A17" s="2" t="s">
        <v>18</v>
      </c>
      <c r="B17" s="3">
        <f>IFERROR(__xludf.DUMMYFUNCTION("""COMPUTED_VALUE"""),38100.645833333336)</f>
        <v>38100.64583</v>
      </c>
      <c r="C17" s="2">
        <f>IFERROR(__xludf.DUMMYFUNCTION("""COMPUTED_VALUE"""),599.8)</f>
        <v>599.8</v>
      </c>
    </row>
    <row r="18">
      <c r="A18" s="2" t="s">
        <v>19</v>
      </c>
      <c r="B18" s="3">
        <f>IFERROR(__xludf.DUMMYFUNCTION("""COMPUTED_VALUE"""),38107.645833333336)</f>
        <v>38107.64583</v>
      </c>
      <c r="C18" s="2">
        <f>IFERROR(__xludf.DUMMYFUNCTION("""COMPUTED_VALUE"""),580.0)</f>
        <v>580</v>
      </c>
    </row>
    <row r="19">
      <c r="B19" s="3">
        <f>IFERROR(__xludf.DUMMYFUNCTION("""COMPUTED_VALUE"""),38114.645833333336)</f>
        <v>38114.64583</v>
      </c>
      <c r="C19" s="2">
        <f>IFERROR(__xludf.DUMMYFUNCTION("""COMPUTED_VALUE"""),558.7)</f>
        <v>558.7</v>
      </c>
    </row>
    <row r="20">
      <c r="B20" s="3">
        <f>IFERROR(__xludf.DUMMYFUNCTION("""COMPUTED_VALUE"""),38121.645833333336)</f>
        <v>38121.64583</v>
      </c>
      <c r="C20" s="2">
        <f>IFERROR(__xludf.DUMMYFUNCTION("""COMPUTED_VALUE"""),520.0)</f>
        <v>520</v>
      </c>
    </row>
    <row r="21" ht="15.75" customHeight="1">
      <c r="B21" s="3">
        <f>IFERROR(__xludf.DUMMYFUNCTION("""COMPUTED_VALUE"""),38128.645833333336)</f>
        <v>38128.64583</v>
      </c>
      <c r="C21" s="2">
        <f>IFERROR(__xludf.DUMMYFUNCTION("""COMPUTED_VALUE"""),488.0)</f>
        <v>488</v>
      </c>
    </row>
    <row r="22" ht="15.75" customHeight="1">
      <c r="B22" s="3">
        <f>IFERROR(__xludf.DUMMYFUNCTION("""COMPUTED_VALUE"""),38135.645833333336)</f>
        <v>38135.64583</v>
      </c>
      <c r="C22" s="2">
        <f>IFERROR(__xludf.DUMMYFUNCTION("""COMPUTED_VALUE"""),481.7)</f>
        <v>481.7</v>
      </c>
    </row>
    <row r="23" ht="15.75" customHeight="1">
      <c r="B23" s="3">
        <f>IFERROR(__xludf.DUMMYFUNCTION("""COMPUTED_VALUE"""),38142.645833333336)</f>
        <v>38142.64583</v>
      </c>
      <c r="C23" s="2">
        <f>IFERROR(__xludf.DUMMYFUNCTION("""COMPUTED_VALUE"""),412.0)</f>
        <v>412</v>
      </c>
    </row>
    <row r="24" ht="15.75" customHeight="1">
      <c r="B24" s="3">
        <f>IFERROR(__xludf.DUMMYFUNCTION("""COMPUTED_VALUE"""),38149.645833333336)</f>
        <v>38149.64583</v>
      </c>
      <c r="C24" s="2">
        <f>IFERROR(__xludf.DUMMYFUNCTION("""COMPUTED_VALUE"""),419.85)</f>
        <v>419.85</v>
      </c>
    </row>
    <row r="25" ht="15.75" customHeight="1">
      <c r="B25" s="3">
        <f>IFERROR(__xludf.DUMMYFUNCTION("""COMPUTED_VALUE"""),38156.645833333336)</f>
        <v>38156.64583</v>
      </c>
      <c r="C25" s="2">
        <f>IFERROR(__xludf.DUMMYFUNCTION("""COMPUTED_VALUE"""),402.4)</f>
        <v>402.4</v>
      </c>
    </row>
    <row r="26" ht="15.75" customHeight="1">
      <c r="B26" s="3">
        <f>IFERROR(__xludf.DUMMYFUNCTION("""COMPUTED_VALUE"""),38163.645833333336)</f>
        <v>38163.64583</v>
      </c>
      <c r="C26" s="2">
        <f>IFERROR(__xludf.DUMMYFUNCTION("""COMPUTED_VALUE"""),396.95)</f>
        <v>396.95</v>
      </c>
    </row>
    <row r="27" ht="15.75" customHeight="1">
      <c r="B27" s="3">
        <f>IFERROR(__xludf.DUMMYFUNCTION("""COMPUTED_VALUE"""),38170.645833333336)</f>
        <v>38170.64583</v>
      </c>
      <c r="C27" s="2">
        <f>IFERROR(__xludf.DUMMYFUNCTION("""COMPUTED_VALUE"""),409.0)</f>
        <v>409</v>
      </c>
    </row>
    <row r="28" ht="15.75" customHeight="1">
      <c r="B28" s="3">
        <f>IFERROR(__xludf.DUMMYFUNCTION("""COMPUTED_VALUE"""),38177.645833333336)</f>
        <v>38177.64583</v>
      </c>
      <c r="C28" s="2">
        <f>IFERROR(__xludf.DUMMYFUNCTION("""COMPUTED_VALUE"""),431.8)</f>
        <v>431.8</v>
      </c>
    </row>
    <row r="29" ht="15.75" customHeight="1">
      <c r="B29" s="3">
        <f>IFERROR(__xludf.DUMMYFUNCTION("""COMPUTED_VALUE"""),38184.645833333336)</f>
        <v>38184.64583</v>
      </c>
      <c r="C29" s="2">
        <f>IFERROR(__xludf.DUMMYFUNCTION("""COMPUTED_VALUE"""),433.8)</f>
        <v>433.8</v>
      </c>
    </row>
    <row r="30" ht="15.75" customHeight="1">
      <c r="B30" s="3">
        <f>IFERROR(__xludf.DUMMYFUNCTION("""COMPUTED_VALUE"""),38191.645833333336)</f>
        <v>38191.64583</v>
      </c>
      <c r="C30" s="2">
        <f>IFERROR(__xludf.DUMMYFUNCTION("""COMPUTED_VALUE"""),436.9)</f>
        <v>436.9</v>
      </c>
    </row>
    <row r="31" ht="15.75" customHeight="1">
      <c r="B31" s="3">
        <f>IFERROR(__xludf.DUMMYFUNCTION("""COMPUTED_VALUE"""),38198.645833333336)</f>
        <v>38198.64583</v>
      </c>
      <c r="C31" s="2">
        <f>IFERROR(__xludf.DUMMYFUNCTION("""COMPUTED_VALUE"""),440.0)</f>
        <v>440</v>
      </c>
    </row>
    <row r="32" ht="15.75" customHeight="1">
      <c r="B32" s="3">
        <f>IFERROR(__xludf.DUMMYFUNCTION("""COMPUTED_VALUE"""),38205.645833333336)</f>
        <v>38205.64583</v>
      </c>
      <c r="C32" s="2">
        <f>IFERROR(__xludf.DUMMYFUNCTION("""COMPUTED_VALUE"""),431.8)</f>
        <v>431.8</v>
      </c>
    </row>
    <row r="33" ht="15.75" customHeight="1">
      <c r="B33" s="3">
        <f>IFERROR(__xludf.DUMMYFUNCTION("""COMPUTED_VALUE"""),38212.645833333336)</f>
        <v>38212.64583</v>
      </c>
      <c r="C33" s="2">
        <f>IFERROR(__xludf.DUMMYFUNCTION("""COMPUTED_VALUE"""),416.4)</f>
        <v>416.4</v>
      </c>
    </row>
    <row r="34" ht="15.75" customHeight="1">
      <c r="B34" s="3">
        <f>IFERROR(__xludf.DUMMYFUNCTION("""COMPUTED_VALUE"""),38219.645833333336)</f>
        <v>38219.64583</v>
      </c>
      <c r="C34" s="2">
        <f>IFERROR(__xludf.DUMMYFUNCTION("""COMPUTED_VALUE"""),394.65)</f>
        <v>394.65</v>
      </c>
    </row>
    <row r="35" ht="15.75" customHeight="1">
      <c r="B35" s="3">
        <f>IFERROR(__xludf.DUMMYFUNCTION("""COMPUTED_VALUE"""),38226.645833333336)</f>
        <v>38226.64583</v>
      </c>
      <c r="C35" s="2">
        <f>IFERROR(__xludf.DUMMYFUNCTION("""COMPUTED_VALUE"""),379.4)</f>
        <v>379.4</v>
      </c>
    </row>
    <row r="36" ht="15.75" customHeight="1">
      <c r="B36" s="3">
        <f>IFERROR(__xludf.DUMMYFUNCTION("""COMPUTED_VALUE"""),38233.645833333336)</f>
        <v>38233.64583</v>
      </c>
      <c r="C36" s="2">
        <f>IFERROR(__xludf.DUMMYFUNCTION("""COMPUTED_VALUE"""),394.35)</f>
        <v>394.35</v>
      </c>
    </row>
    <row r="37" ht="15.75" customHeight="1">
      <c r="B37" s="3">
        <f>IFERROR(__xludf.DUMMYFUNCTION("""COMPUTED_VALUE"""),38240.645833333336)</f>
        <v>38240.64583</v>
      </c>
      <c r="C37" s="2">
        <f>IFERROR(__xludf.DUMMYFUNCTION("""COMPUTED_VALUE"""),401.4)</f>
        <v>401.4</v>
      </c>
    </row>
    <row r="38" ht="15.75" customHeight="1">
      <c r="B38" s="3">
        <f>IFERROR(__xludf.DUMMYFUNCTION("""COMPUTED_VALUE"""),38247.645833333336)</f>
        <v>38247.64583</v>
      </c>
      <c r="C38" s="2">
        <f>IFERROR(__xludf.DUMMYFUNCTION("""COMPUTED_VALUE"""),396.0)</f>
        <v>396</v>
      </c>
    </row>
    <row r="39" ht="15.75" customHeight="1">
      <c r="B39" s="3">
        <f>IFERROR(__xludf.DUMMYFUNCTION("""COMPUTED_VALUE"""),38254.645833333336)</f>
        <v>38254.64583</v>
      </c>
      <c r="C39" s="2">
        <f>IFERROR(__xludf.DUMMYFUNCTION("""COMPUTED_VALUE"""),375.9)</f>
        <v>375.9</v>
      </c>
    </row>
    <row r="40" ht="15.75" customHeight="1">
      <c r="B40" s="3">
        <f>IFERROR(__xludf.DUMMYFUNCTION("""COMPUTED_VALUE"""),38261.645833333336)</f>
        <v>38261.64583</v>
      </c>
      <c r="C40" s="2">
        <f>IFERROR(__xludf.DUMMYFUNCTION("""COMPUTED_VALUE"""),372.0)</f>
        <v>372</v>
      </c>
    </row>
    <row r="41" ht="15.75" customHeight="1">
      <c r="B41" s="3">
        <f>IFERROR(__xludf.DUMMYFUNCTION("""COMPUTED_VALUE"""),38275.645833333336)</f>
        <v>38275.64583</v>
      </c>
      <c r="C41" s="2">
        <f>IFERROR(__xludf.DUMMYFUNCTION("""COMPUTED_VALUE"""),369.25)</f>
        <v>369.25</v>
      </c>
    </row>
    <row r="42" ht="15.75" customHeight="1">
      <c r="B42" s="3">
        <f>IFERROR(__xludf.DUMMYFUNCTION("""COMPUTED_VALUE"""),38281.645833333336)</f>
        <v>38281.64583</v>
      </c>
      <c r="C42" s="2">
        <f>IFERROR(__xludf.DUMMYFUNCTION("""COMPUTED_VALUE"""),366.65)</f>
        <v>366.65</v>
      </c>
    </row>
    <row r="43" ht="15.75" customHeight="1">
      <c r="B43" s="3">
        <f>IFERROR(__xludf.DUMMYFUNCTION("""COMPUTED_VALUE"""),38289.645833333336)</f>
        <v>38289.64583</v>
      </c>
      <c r="C43" s="2">
        <f>IFERROR(__xludf.DUMMYFUNCTION("""COMPUTED_VALUE"""),378.85)</f>
        <v>378.85</v>
      </c>
    </row>
    <row r="44" ht="15.75" customHeight="1">
      <c r="B44" s="3">
        <f>IFERROR(__xludf.DUMMYFUNCTION("""COMPUTED_VALUE"""),38296.645833333336)</f>
        <v>38296.64583</v>
      </c>
      <c r="C44" s="2">
        <f>IFERROR(__xludf.DUMMYFUNCTION("""COMPUTED_VALUE"""),389.9)</f>
        <v>389.9</v>
      </c>
    </row>
    <row r="45" ht="15.75" customHeight="1">
      <c r="B45" s="3">
        <f>IFERROR(__xludf.DUMMYFUNCTION("""COMPUTED_VALUE"""),38303.645833333336)</f>
        <v>38303.64583</v>
      </c>
      <c r="C45" s="2">
        <f>IFERROR(__xludf.DUMMYFUNCTION("""COMPUTED_VALUE"""),390.0)</f>
        <v>390</v>
      </c>
    </row>
    <row r="46" ht="15.75" customHeight="1">
      <c r="B46" s="3">
        <f>IFERROR(__xludf.DUMMYFUNCTION("""COMPUTED_VALUE"""),38310.645833333336)</f>
        <v>38310.64583</v>
      </c>
      <c r="C46" s="2">
        <f>IFERROR(__xludf.DUMMYFUNCTION("""COMPUTED_VALUE"""),392.0)</f>
        <v>392</v>
      </c>
    </row>
    <row r="47" ht="15.75" customHeight="1">
      <c r="B47" s="3">
        <f>IFERROR(__xludf.DUMMYFUNCTION("""COMPUTED_VALUE"""),38316.645833333336)</f>
        <v>38316.64583</v>
      </c>
      <c r="C47" s="2">
        <f>IFERROR(__xludf.DUMMYFUNCTION("""COMPUTED_VALUE"""),404.8)</f>
        <v>404.8</v>
      </c>
    </row>
    <row r="48" ht="15.75" customHeight="1">
      <c r="B48" s="3">
        <f>IFERROR(__xludf.DUMMYFUNCTION("""COMPUTED_VALUE"""),38324.645833333336)</f>
        <v>38324.64583</v>
      </c>
      <c r="C48" s="2">
        <f>IFERROR(__xludf.DUMMYFUNCTION("""COMPUTED_VALUE"""),435.9)</f>
        <v>435.9</v>
      </c>
    </row>
    <row r="49" ht="15.75" customHeight="1">
      <c r="B49" s="3">
        <f>IFERROR(__xludf.DUMMYFUNCTION("""COMPUTED_VALUE"""),38331.645833333336)</f>
        <v>38331.64583</v>
      </c>
      <c r="C49" s="2">
        <f>IFERROR(__xludf.DUMMYFUNCTION("""COMPUTED_VALUE"""),454.9)</f>
        <v>454.9</v>
      </c>
    </row>
    <row r="50" ht="15.75" customHeight="1">
      <c r="B50" s="3">
        <f>IFERROR(__xludf.DUMMYFUNCTION("""COMPUTED_VALUE"""),38338.645833333336)</f>
        <v>38338.64583</v>
      </c>
      <c r="C50" s="2">
        <f>IFERROR(__xludf.DUMMYFUNCTION("""COMPUTED_VALUE"""),462.4)</f>
        <v>462.4</v>
      </c>
    </row>
    <row r="51" ht="15.75" customHeight="1">
      <c r="B51" s="3">
        <f>IFERROR(__xludf.DUMMYFUNCTION("""COMPUTED_VALUE"""),38345.645833333336)</f>
        <v>38345.64583</v>
      </c>
      <c r="C51" s="2">
        <f>IFERROR(__xludf.DUMMYFUNCTION("""COMPUTED_VALUE"""),476.4)</f>
        <v>476.4</v>
      </c>
    </row>
    <row r="52" ht="15.75" customHeight="1">
      <c r="B52" s="3">
        <f>IFERROR(__xludf.DUMMYFUNCTION("""COMPUTED_VALUE"""),38352.645833333336)</f>
        <v>38352.64583</v>
      </c>
      <c r="C52" s="2">
        <f>IFERROR(__xludf.DUMMYFUNCTION("""COMPUTED_VALUE"""),478.0)</f>
        <v>478</v>
      </c>
    </row>
    <row r="53" ht="15.75" customHeight="1"/>
    <row r="54" ht="15.75" customHeight="1"/>
    <row r="55" ht="15.75" customHeight="1"/>
    <row r="56" ht="15.75" customHeight="1">
      <c r="B56" s="2" t="str">
        <f>IFERROR(__xludf.DUMMYFUNCTION("GOOGLEFINANCE(""NSE:MARUTI"", ""high"",DATE(2005,1,1),DATE(2006,1,1),""weekly"")"),"Date")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IFERROR(__xludf.DUMMYFUNCTION("""COMPUTED_VALUE"""),38359.645833333336)</f>
        <v>38359.64583</v>
      </c>
      <c r="C57" s="2">
        <f>IFERROR(__xludf.DUMMYFUNCTION("""COMPUTED_VALUE"""),480.0)</f>
        <v>480</v>
      </c>
    </row>
    <row r="58" ht="15.75" customHeight="1">
      <c r="B58" s="3">
        <f>IFERROR(__xludf.DUMMYFUNCTION("""COMPUTED_VALUE"""),38366.645833333336)</f>
        <v>38366.64583</v>
      </c>
      <c r="C58" s="2">
        <f>IFERROR(__xludf.DUMMYFUNCTION("""COMPUTED_VALUE"""),444.0)</f>
        <v>444</v>
      </c>
    </row>
    <row r="59" ht="15.75" customHeight="1">
      <c r="B59" s="3">
        <f>IFERROR(__xludf.DUMMYFUNCTION("""COMPUTED_VALUE"""),38372.645833333336)</f>
        <v>38372.64583</v>
      </c>
      <c r="C59" s="2">
        <f>IFERROR(__xludf.DUMMYFUNCTION("""COMPUTED_VALUE"""),428.0)</f>
        <v>428</v>
      </c>
    </row>
    <row r="60" ht="15.75" customHeight="1">
      <c r="B60" s="3">
        <f>IFERROR(__xludf.DUMMYFUNCTION("""COMPUTED_VALUE"""),38380.645833333336)</f>
        <v>38380.64583</v>
      </c>
      <c r="C60" s="2">
        <f>IFERROR(__xludf.DUMMYFUNCTION("""COMPUTED_VALUE"""),450.4)</f>
        <v>450.4</v>
      </c>
    </row>
    <row r="61" ht="15.75" customHeight="1">
      <c r="B61" s="3">
        <f>IFERROR(__xludf.DUMMYFUNCTION("""COMPUTED_VALUE"""),38387.645833333336)</f>
        <v>38387.64583</v>
      </c>
      <c r="C61" s="2">
        <f>IFERROR(__xludf.DUMMYFUNCTION("""COMPUTED_VALUE"""),465.7)</f>
        <v>465.7</v>
      </c>
    </row>
    <row r="62" ht="15.75" customHeight="1">
      <c r="B62" s="3">
        <f>IFERROR(__xludf.DUMMYFUNCTION("""COMPUTED_VALUE"""),38394.645833333336)</f>
        <v>38394.64583</v>
      </c>
      <c r="C62" s="2">
        <f>IFERROR(__xludf.DUMMYFUNCTION("""COMPUTED_VALUE"""),502.5)</f>
        <v>502.5</v>
      </c>
    </row>
    <row r="63" ht="15.75" customHeight="1">
      <c r="B63" s="3">
        <f>IFERROR(__xludf.DUMMYFUNCTION("""COMPUTED_VALUE"""),38401.645833333336)</f>
        <v>38401.64583</v>
      </c>
      <c r="C63" s="2">
        <f>IFERROR(__xludf.DUMMYFUNCTION("""COMPUTED_VALUE"""),507.5)</f>
        <v>507.5</v>
      </c>
    </row>
    <row r="64" ht="15.75" customHeight="1">
      <c r="B64" s="3">
        <f>IFERROR(__xludf.DUMMYFUNCTION("""COMPUTED_VALUE"""),38408.645833333336)</f>
        <v>38408.64583</v>
      </c>
      <c r="C64" s="2">
        <f>IFERROR(__xludf.DUMMYFUNCTION("""COMPUTED_VALUE"""),479.35)</f>
        <v>479.35</v>
      </c>
    </row>
    <row r="65" ht="15.75" customHeight="1">
      <c r="B65" s="3">
        <f>IFERROR(__xludf.DUMMYFUNCTION("""COMPUTED_VALUE"""),38415.645833333336)</f>
        <v>38415.64583</v>
      </c>
      <c r="C65" s="2">
        <f>IFERROR(__xludf.DUMMYFUNCTION("""COMPUTED_VALUE"""),485.5)</f>
        <v>485.5</v>
      </c>
    </row>
    <row r="66" ht="15.75" customHeight="1">
      <c r="B66" s="3">
        <f>IFERROR(__xludf.DUMMYFUNCTION("""COMPUTED_VALUE"""),38422.645833333336)</f>
        <v>38422.64583</v>
      </c>
      <c r="C66" s="2">
        <f>IFERROR(__xludf.DUMMYFUNCTION("""COMPUTED_VALUE"""),485.0)</f>
        <v>485</v>
      </c>
    </row>
    <row r="67" ht="15.75" customHeight="1">
      <c r="B67" s="3">
        <f>IFERROR(__xludf.DUMMYFUNCTION("""COMPUTED_VALUE"""),38429.645833333336)</f>
        <v>38429.64583</v>
      </c>
      <c r="C67" s="2">
        <f>IFERROR(__xludf.DUMMYFUNCTION("""COMPUTED_VALUE"""),462.7)</f>
        <v>462.7</v>
      </c>
    </row>
    <row r="68" ht="15.75" customHeight="1">
      <c r="B68" s="3">
        <f>IFERROR(__xludf.DUMMYFUNCTION("""COMPUTED_VALUE"""),38435.645833333336)</f>
        <v>38435.64583</v>
      </c>
      <c r="C68" s="2">
        <f>IFERROR(__xludf.DUMMYFUNCTION("""COMPUTED_VALUE"""),451.0)</f>
        <v>451</v>
      </c>
    </row>
    <row r="69" ht="15.75" customHeight="1">
      <c r="B69" s="3">
        <f>IFERROR(__xludf.DUMMYFUNCTION("""COMPUTED_VALUE"""),38443.645833333336)</f>
        <v>38443.64583</v>
      </c>
      <c r="C69" s="2">
        <f>IFERROR(__xludf.DUMMYFUNCTION("""COMPUTED_VALUE"""),432.8)</f>
        <v>432.8</v>
      </c>
    </row>
    <row r="70" ht="15.75" customHeight="1">
      <c r="B70" s="3">
        <f>IFERROR(__xludf.DUMMYFUNCTION("""COMPUTED_VALUE"""),38450.645833333336)</f>
        <v>38450.64583</v>
      </c>
      <c r="C70" s="2">
        <f>IFERROR(__xludf.DUMMYFUNCTION("""COMPUTED_VALUE"""),432.0)</f>
        <v>432</v>
      </c>
    </row>
    <row r="71" ht="15.75" customHeight="1">
      <c r="B71" s="3">
        <f>IFERROR(__xludf.DUMMYFUNCTION("""COMPUTED_VALUE"""),38457.645833333336)</f>
        <v>38457.64583</v>
      </c>
      <c r="C71" s="2">
        <f>IFERROR(__xludf.DUMMYFUNCTION("""COMPUTED_VALUE"""),415.4)</f>
        <v>415.4</v>
      </c>
    </row>
    <row r="72" ht="15.75" customHeight="1">
      <c r="B72" s="3">
        <f>IFERROR(__xludf.DUMMYFUNCTION("""COMPUTED_VALUE"""),38464.645833333336)</f>
        <v>38464.64583</v>
      </c>
      <c r="C72" s="2">
        <f>IFERROR(__xludf.DUMMYFUNCTION("""COMPUTED_VALUE"""),441.8)</f>
        <v>441.8</v>
      </c>
    </row>
    <row r="73" ht="15.75" customHeight="1">
      <c r="B73" s="3">
        <f>IFERROR(__xludf.DUMMYFUNCTION("""COMPUTED_VALUE"""),38471.645833333336)</f>
        <v>38471.64583</v>
      </c>
      <c r="C73" s="2">
        <f>IFERROR(__xludf.DUMMYFUNCTION("""COMPUTED_VALUE"""),443.9)</f>
        <v>443.9</v>
      </c>
    </row>
    <row r="74" ht="15.75" customHeight="1">
      <c r="B74" s="3">
        <f>IFERROR(__xludf.DUMMYFUNCTION("""COMPUTED_VALUE"""),38478.645833333336)</f>
        <v>38478.64583</v>
      </c>
      <c r="C74" s="2">
        <f>IFERROR(__xludf.DUMMYFUNCTION("""COMPUTED_VALUE"""),436.9)</f>
        <v>436.9</v>
      </c>
    </row>
    <row r="75" ht="15.75" customHeight="1">
      <c r="B75" s="3">
        <f>IFERROR(__xludf.DUMMYFUNCTION("""COMPUTED_VALUE"""),38485.645833333336)</f>
        <v>38485.64583</v>
      </c>
      <c r="C75" s="2">
        <f>IFERROR(__xludf.DUMMYFUNCTION("""COMPUTED_VALUE"""),463.0)</f>
        <v>463</v>
      </c>
    </row>
    <row r="76" ht="15.75" customHeight="1">
      <c r="B76" s="3">
        <f>IFERROR(__xludf.DUMMYFUNCTION("""COMPUTED_VALUE"""),38492.645833333336)</f>
        <v>38492.64583</v>
      </c>
      <c r="C76" s="2">
        <f>IFERROR(__xludf.DUMMYFUNCTION("""COMPUTED_VALUE"""),456.75)</f>
        <v>456.75</v>
      </c>
    </row>
    <row r="77" ht="15.75" customHeight="1">
      <c r="B77" s="3">
        <f>IFERROR(__xludf.DUMMYFUNCTION("""COMPUTED_VALUE"""),38499.645833333336)</f>
        <v>38499.64583</v>
      </c>
      <c r="C77" s="2">
        <f>IFERROR(__xludf.DUMMYFUNCTION("""COMPUTED_VALUE"""),468.5)</f>
        <v>468.5</v>
      </c>
    </row>
    <row r="78" ht="15.75" customHeight="1">
      <c r="B78" s="3">
        <f>IFERROR(__xludf.DUMMYFUNCTION("""COMPUTED_VALUE"""),38513.645833333336)</f>
        <v>38513.64583</v>
      </c>
      <c r="C78" s="2">
        <f>IFERROR(__xludf.DUMMYFUNCTION("""COMPUTED_VALUE"""),467.0)</f>
        <v>467</v>
      </c>
    </row>
    <row r="79" ht="15.75" customHeight="1">
      <c r="B79" s="3">
        <f>IFERROR(__xludf.DUMMYFUNCTION("""COMPUTED_VALUE"""),38520.645833333336)</f>
        <v>38520.64583</v>
      </c>
      <c r="C79" s="2">
        <f>IFERROR(__xludf.DUMMYFUNCTION("""COMPUTED_VALUE"""),451.9)</f>
        <v>451.9</v>
      </c>
    </row>
    <row r="80" ht="15.75" customHeight="1">
      <c r="B80" s="3">
        <f>IFERROR(__xludf.DUMMYFUNCTION("""COMPUTED_VALUE"""),38527.645833333336)</f>
        <v>38527.64583</v>
      </c>
      <c r="C80" s="2">
        <f>IFERROR(__xludf.DUMMYFUNCTION("""COMPUTED_VALUE"""),474.4)</f>
        <v>474.4</v>
      </c>
    </row>
    <row r="81" ht="15.75" customHeight="1">
      <c r="B81" s="3">
        <f>IFERROR(__xludf.DUMMYFUNCTION("""COMPUTED_VALUE"""),38534.645833333336)</f>
        <v>38534.64583</v>
      </c>
      <c r="C81" s="2">
        <f>IFERROR(__xludf.DUMMYFUNCTION("""COMPUTED_VALUE"""),484.4)</f>
        <v>484.4</v>
      </c>
    </row>
    <row r="82" ht="15.75" customHeight="1">
      <c r="B82" s="3">
        <f>IFERROR(__xludf.DUMMYFUNCTION("""COMPUTED_VALUE"""),38541.645833333336)</f>
        <v>38541.64583</v>
      </c>
      <c r="C82" s="2">
        <f>IFERROR(__xludf.DUMMYFUNCTION("""COMPUTED_VALUE"""),473.05)</f>
        <v>473.05</v>
      </c>
    </row>
    <row r="83" ht="15.75" customHeight="1">
      <c r="B83" s="3">
        <f>IFERROR(__xludf.DUMMYFUNCTION("""COMPUTED_VALUE"""),38548.645833333336)</f>
        <v>38548.64583</v>
      </c>
      <c r="C83" s="2">
        <f>IFERROR(__xludf.DUMMYFUNCTION("""COMPUTED_VALUE"""),462.9)</f>
        <v>462.9</v>
      </c>
    </row>
    <row r="84" ht="15.75" customHeight="1">
      <c r="B84" s="3">
        <f>IFERROR(__xludf.DUMMYFUNCTION("""COMPUTED_VALUE"""),38555.645833333336)</f>
        <v>38555.64583</v>
      </c>
      <c r="C84" s="2">
        <f>IFERROR(__xludf.DUMMYFUNCTION("""COMPUTED_VALUE"""),469.0)</f>
        <v>469</v>
      </c>
    </row>
    <row r="85" ht="15.75" customHeight="1">
      <c r="B85" s="3">
        <f>IFERROR(__xludf.DUMMYFUNCTION("""COMPUTED_VALUE"""),38562.645833333336)</f>
        <v>38562.64583</v>
      </c>
      <c r="C85" s="2">
        <f>IFERROR(__xludf.DUMMYFUNCTION("""COMPUTED_VALUE"""),489.0)</f>
        <v>489</v>
      </c>
    </row>
    <row r="86" ht="15.75" customHeight="1">
      <c r="B86" s="3">
        <f>IFERROR(__xludf.DUMMYFUNCTION("""COMPUTED_VALUE"""),38569.645833333336)</f>
        <v>38569.64583</v>
      </c>
      <c r="C86" s="2">
        <f>IFERROR(__xludf.DUMMYFUNCTION("""COMPUTED_VALUE"""),512.4)</f>
        <v>512.4</v>
      </c>
    </row>
    <row r="87" ht="15.75" customHeight="1">
      <c r="B87" s="3">
        <f>IFERROR(__xludf.DUMMYFUNCTION("""COMPUTED_VALUE"""),38576.645833333336)</f>
        <v>38576.64583</v>
      </c>
      <c r="C87" s="2">
        <f>IFERROR(__xludf.DUMMYFUNCTION("""COMPUTED_VALUE"""),504.75)</f>
        <v>504.75</v>
      </c>
    </row>
    <row r="88" ht="15.75" customHeight="1">
      <c r="B88" s="3">
        <f>IFERROR(__xludf.DUMMYFUNCTION("""COMPUTED_VALUE"""),38583.645833333336)</f>
        <v>38583.64583</v>
      </c>
      <c r="C88" s="2">
        <f>IFERROR(__xludf.DUMMYFUNCTION("""COMPUTED_VALUE"""),488.0)</f>
        <v>488</v>
      </c>
    </row>
    <row r="89" ht="15.75" customHeight="1">
      <c r="B89" s="3">
        <f>IFERROR(__xludf.DUMMYFUNCTION("""COMPUTED_VALUE"""),38590.645833333336)</f>
        <v>38590.64583</v>
      </c>
      <c r="C89" s="2">
        <f>IFERROR(__xludf.DUMMYFUNCTION("""COMPUTED_VALUE"""),489.0)</f>
        <v>489</v>
      </c>
    </row>
    <row r="90" ht="15.75" customHeight="1">
      <c r="B90" s="3">
        <f>IFERROR(__xludf.DUMMYFUNCTION("""COMPUTED_VALUE"""),38597.645833333336)</f>
        <v>38597.64583</v>
      </c>
      <c r="C90" s="2">
        <f>IFERROR(__xludf.DUMMYFUNCTION("""COMPUTED_VALUE"""),522.0)</f>
        <v>522</v>
      </c>
    </row>
    <row r="91" ht="15.75" customHeight="1">
      <c r="B91" s="3">
        <f>IFERROR(__xludf.DUMMYFUNCTION("""COMPUTED_VALUE"""),38604.645833333336)</f>
        <v>38604.64583</v>
      </c>
      <c r="C91" s="2">
        <f>IFERROR(__xludf.DUMMYFUNCTION("""COMPUTED_VALUE"""),518.0)</f>
        <v>518</v>
      </c>
    </row>
    <row r="92" ht="15.75" customHeight="1">
      <c r="B92" s="3">
        <f>IFERROR(__xludf.DUMMYFUNCTION("""COMPUTED_VALUE"""),38611.645833333336)</f>
        <v>38611.64583</v>
      </c>
      <c r="C92" s="2">
        <f>IFERROR(__xludf.DUMMYFUNCTION("""COMPUTED_VALUE"""),584.0)</f>
        <v>584</v>
      </c>
    </row>
    <row r="93" ht="15.75" customHeight="1">
      <c r="B93" s="3">
        <f>IFERROR(__xludf.DUMMYFUNCTION("""COMPUTED_VALUE"""),38618.645833333336)</f>
        <v>38618.64583</v>
      </c>
      <c r="C93" s="2">
        <f>IFERROR(__xludf.DUMMYFUNCTION("""COMPUTED_VALUE"""),598.45)</f>
        <v>598.45</v>
      </c>
    </row>
    <row r="94" ht="15.75" customHeight="1">
      <c r="B94" s="3">
        <f>IFERROR(__xludf.DUMMYFUNCTION("""COMPUTED_VALUE"""),38625.645833333336)</f>
        <v>38625.64583</v>
      </c>
      <c r="C94" s="2">
        <f>IFERROR(__xludf.DUMMYFUNCTION("""COMPUTED_VALUE"""),580.45)</f>
        <v>580.45</v>
      </c>
    </row>
    <row r="95" ht="15.75" customHeight="1">
      <c r="B95" s="3">
        <f>IFERROR(__xludf.DUMMYFUNCTION("""COMPUTED_VALUE"""),38632.645833333336)</f>
        <v>38632.64583</v>
      </c>
      <c r="C95" s="2">
        <f>IFERROR(__xludf.DUMMYFUNCTION("""COMPUTED_VALUE"""),600.7)</f>
        <v>600.7</v>
      </c>
    </row>
    <row r="96" ht="15.75" customHeight="1">
      <c r="B96" s="3">
        <f>IFERROR(__xludf.DUMMYFUNCTION("""COMPUTED_VALUE"""),38639.645833333336)</f>
        <v>38639.64583</v>
      </c>
      <c r="C96" s="2">
        <f>IFERROR(__xludf.DUMMYFUNCTION("""COMPUTED_VALUE"""),577.1)</f>
        <v>577.1</v>
      </c>
    </row>
    <row r="97" ht="15.75" customHeight="1">
      <c r="B97" s="3">
        <f>IFERROR(__xludf.DUMMYFUNCTION("""COMPUTED_VALUE"""),38646.645833333336)</f>
        <v>38646.64583</v>
      </c>
      <c r="C97" s="2">
        <f>IFERROR(__xludf.DUMMYFUNCTION("""COMPUTED_VALUE"""),563.0)</f>
        <v>563</v>
      </c>
    </row>
    <row r="98" ht="15.75" customHeight="1">
      <c r="B98" s="3">
        <f>IFERROR(__xludf.DUMMYFUNCTION("""COMPUTED_VALUE"""),38653.645833333336)</f>
        <v>38653.64583</v>
      </c>
      <c r="C98" s="2">
        <f>IFERROR(__xludf.DUMMYFUNCTION("""COMPUTED_VALUE"""),581.0)</f>
        <v>581</v>
      </c>
    </row>
    <row r="99" ht="15.75" customHeight="1">
      <c r="B99" s="3">
        <f>IFERROR(__xludf.DUMMYFUNCTION("""COMPUTED_VALUE"""),38658.645833333336)</f>
        <v>38658.64583</v>
      </c>
      <c r="C99" s="2">
        <f>IFERROR(__xludf.DUMMYFUNCTION("""COMPUTED_VALUE"""),558.85)</f>
        <v>558.85</v>
      </c>
    </row>
    <row r="100" ht="15.75" customHeight="1">
      <c r="B100" s="3">
        <f>IFERROR(__xludf.DUMMYFUNCTION("""COMPUTED_VALUE"""),38667.645833333336)</f>
        <v>38667.64583</v>
      </c>
      <c r="C100" s="2">
        <f>IFERROR(__xludf.DUMMYFUNCTION("""COMPUTED_VALUE"""),586.0)</f>
        <v>586</v>
      </c>
    </row>
    <row r="101" ht="15.75" customHeight="1">
      <c r="B101" s="3">
        <f>IFERROR(__xludf.DUMMYFUNCTION("""COMPUTED_VALUE"""),38674.645833333336)</f>
        <v>38674.64583</v>
      </c>
      <c r="C101" s="2">
        <f>IFERROR(__xludf.DUMMYFUNCTION("""COMPUTED_VALUE"""),612.95)</f>
        <v>612.95</v>
      </c>
    </row>
    <row r="102" ht="15.75" customHeight="1">
      <c r="B102" s="3">
        <f>IFERROR(__xludf.DUMMYFUNCTION("""COMPUTED_VALUE"""),38688.645833333336)</f>
        <v>38688.64583</v>
      </c>
      <c r="C102" s="2">
        <f>IFERROR(__xludf.DUMMYFUNCTION("""COMPUTED_VALUE"""),634.2)</f>
        <v>634.2</v>
      </c>
    </row>
    <row r="103" ht="15.75" customHeight="1">
      <c r="B103" s="3">
        <f>IFERROR(__xludf.DUMMYFUNCTION("""COMPUTED_VALUE"""),38695.645833333336)</f>
        <v>38695.64583</v>
      </c>
      <c r="C103" s="2">
        <f>IFERROR(__xludf.DUMMYFUNCTION("""COMPUTED_VALUE"""),650.0)</f>
        <v>650</v>
      </c>
    </row>
    <row r="104" ht="15.75" customHeight="1">
      <c r="B104" s="3">
        <f>IFERROR(__xludf.DUMMYFUNCTION("""COMPUTED_VALUE"""),38702.645833333336)</f>
        <v>38702.64583</v>
      </c>
      <c r="C104" s="2">
        <f>IFERROR(__xludf.DUMMYFUNCTION("""COMPUTED_VALUE"""),686.95)</f>
        <v>686.95</v>
      </c>
    </row>
    <row r="105" ht="15.75" customHeight="1">
      <c r="B105" s="3">
        <f>IFERROR(__xludf.DUMMYFUNCTION("""COMPUTED_VALUE"""),38709.645833333336)</f>
        <v>38709.64583</v>
      </c>
      <c r="C105" s="2">
        <f>IFERROR(__xludf.DUMMYFUNCTION("""COMPUTED_VALUE"""),674.7)</f>
        <v>674.7</v>
      </c>
    </row>
    <row r="106" ht="15.75" customHeight="1">
      <c r="B106" s="3">
        <f>IFERROR(__xludf.DUMMYFUNCTION("""COMPUTED_VALUE"""),38716.645833333336)</f>
        <v>38716.64583</v>
      </c>
      <c r="C106" s="2">
        <f>IFERROR(__xludf.DUMMYFUNCTION("""COMPUTED_VALUE"""),645.45)</f>
        <v>645.45</v>
      </c>
    </row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IFERROR(__xludf.DUMMYFUNCTION("GOOGLEFINANCE(""NSE:MARUTI"", ""high"",DATE(2006,1,1),DATE(2007,1,1),""weekly"")"),"Date")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IFERROR(__xludf.DUMMYFUNCTION("""COMPUTED_VALUE"""),38723.645833333336)</f>
        <v>38723.64583</v>
      </c>
      <c r="C112" s="2">
        <f>IFERROR(__xludf.DUMMYFUNCTION("""COMPUTED_VALUE"""),678.45)</f>
        <v>678.45</v>
      </c>
    </row>
    <row r="113" ht="15.75" customHeight="1">
      <c r="B113" s="3">
        <f>IFERROR(__xludf.DUMMYFUNCTION("""COMPUTED_VALUE"""),38730.645833333336)</f>
        <v>38730.64583</v>
      </c>
      <c r="C113" s="2">
        <f>IFERROR(__xludf.DUMMYFUNCTION("""COMPUTED_VALUE"""),674.0)</f>
        <v>674</v>
      </c>
    </row>
    <row r="114" ht="15.75" customHeight="1">
      <c r="B114" s="3">
        <f>IFERROR(__xludf.DUMMYFUNCTION("""COMPUTED_VALUE"""),38737.645833333336)</f>
        <v>38737.64583</v>
      </c>
      <c r="C114" s="2">
        <f>IFERROR(__xludf.DUMMYFUNCTION("""COMPUTED_VALUE"""),712.0)</f>
        <v>712</v>
      </c>
    </row>
    <row r="115" ht="15.75" customHeight="1">
      <c r="B115" s="3">
        <f>IFERROR(__xludf.DUMMYFUNCTION("""COMPUTED_VALUE"""),38744.645833333336)</f>
        <v>38744.64583</v>
      </c>
      <c r="C115" s="2">
        <f>IFERROR(__xludf.DUMMYFUNCTION("""COMPUTED_VALUE"""),769.0)</f>
        <v>769</v>
      </c>
    </row>
    <row r="116" ht="15.75" customHeight="1">
      <c r="B116" s="3">
        <f>IFERROR(__xludf.DUMMYFUNCTION("""COMPUTED_VALUE"""),38751.645833333336)</f>
        <v>38751.64583</v>
      </c>
      <c r="C116" s="2">
        <f>IFERROR(__xludf.DUMMYFUNCTION("""COMPUTED_VALUE"""),770.0)</f>
        <v>770</v>
      </c>
    </row>
    <row r="117" ht="15.75" customHeight="1">
      <c r="B117" s="3">
        <f>IFERROR(__xludf.DUMMYFUNCTION("""COMPUTED_VALUE"""),38758.645833333336)</f>
        <v>38758.64583</v>
      </c>
      <c r="C117" s="2">
        <f>IFERROR(__xludf.DUMMYFUNCTION("""COMPUTED_VALUE"""),775.0)</f>
        <v>775</v>
      </c>
    </row>
    <row r="118" ht="15.75" customHeight="1">
      <c r="B118" s="3">
        <f>IFERROR(__xludf.DUMMYFUNCTION("""COMPUTED_VALUE"""),38765.645833333336)</f>
        <v>38765.64583</v>
      </c>
      <c r="C118" s="2">
        <f>IFERROR(__xludf.DUMMYFUNCTION("""COMPUTED_VALUE"""),787.4)</f>
        <v>787.4</v>
      </c>
    </row>
    <row r="119" ht="15.75" customHeight="1">
      <c r="B119" s="3">
        <f>IFERROR(__xludf.DUMMYFUNCTION("""COMPUTED_VALUE"""),38772.645833333336)</f>
        <v>38772.64583</v>
      </c>
      <c r="C119" s="2">
        <f>IFERROR(__xludf.DUMMYFUNCTION("""COMPUTED_VALUE"""),800.0)</f>
        <v>800</v>
      </c>
    </row>
    <row r="120" ht="15.75" customHeight="1">
      <c r="B120" s="3">
        <f>IFERROR(__xludf.DUMMYFUNCTION("""COMPUTED_VALUE"""),38779.645833333336)</f>
        <v>38779.64583</v>
      </c>
      <c r="C120" s="2">
        <f>IFERROR(__xludf.DUMMYFUNCTION("""COMPUTED_VALUE"""),939.7)</f>
        <v>939.7</v>
      </c>
    </row>
    <row r="121" ht="15.75" customHeight="1">
      <c r="B121" s="3">
        <f>IFERROR(__xludf.DUMMYFUNCTION("""COMPUTED_VALUE"""),38786.645833333336)</f>
        <v>38786.64583</v>
      </c>
      <c r="C121" s="2">
        <f>IFERROR(__xludf.DUMMYFUNCTION("""COMPUTED_VALUE"""),942.7)</f>
        <v>942.7</v>
      </c>
    </row>
    <row r="122" ht="15.75" customHeight="1">
      <c r="B122" s="3">
        <f>IFERROR(__xludf.DUMMYFUNCTION("""COMPUTED_VALUE"""),38793.645833333336)</f>
        <v>38793.64583</v>
      </c>
      <c r="C122" s="2">
        <f>IFERROR(__xludf.DUMMYFUNCTION("""COMPUTED_VALUE"""),895.9)</f>
        <v>895.9</v>
      </c>
    </row>
    <row r="123" ht="15.75" customHeight="1">
      <c r="B123" s="3">
        <f>IFERROR(__xludf.DUMMYFUNCTION("""COMPUTED_VALUE"""),38800.645833333336)</f>
        <v>38800.64583</v>
      </c>
      <c r="C123" s="2">
        <f>IFERROR(__xludf.DUMMYFUNCTION("""COMPUTED_VALUE"""),889.0)</f>
        <v>889</v>
      </c>
    </row>
    <row r="124" ht="15.75" customHeight="1">
      <c r="B124" s="3">
        <f>IFERROR(__xludf.DUMMYFUNCTION("""COMPUTED_VALUE"""),38807.645833333336)</f>
        <v>38807.64583</v>
      </c>
      <c r="C124" s="2">
        <f>IFERROR(__xludf.DUMMYFUNCTION("""COMPUTED_VALUE"""),882.0)</f>
        <v>882</v>
      </c>
    </row>
    <row r="125" ht="15.75" customHeight="1">
      <c r="B125" s="3">
        <f>IFERROR(__xludf.DUMMYFUNCTION("""COMPUTED_VALUE"""),38814.645833333336)</f>
        <v>38814.64583</v>
      </c>
      <c r="C125" s="2">
        <f>IFERROR(__xludf.DUMMYFUNCTION("""COMPUTED_VALUE"""),924.3)</f>
        <v>924.3</v>
      </c>
    </row>
    <row r="126" ht="15.75" customHeight="1">
      <c r="B126" s="3">
        <f>IFERROR(__xludf.DUMMYFUNCTION("""COMPUTED_VALUE"""),38820.645833333336)</f>
        <v>38820.64583</v>
      </c>
      <c r="C126" s="2">
        <f>IFERROR(__xludf.DUMMYFUNCTION("""COMPUTED_VALUE"""),907.0)</f>
        <v>907</v>
      </c>
    </row>
    <row r="127" ht="15.75" customHeight="1">
      <c r="B127" s="3">
        <f>IFERROR(__xludf.DUMMYFUNCTION("""COMPUTED_VALUE"""),38828.645833333336)</f>
        <v>38828.64583</v>
      </c>
      <c r="C127" s="2">
        <f>IFERROR(__xludf.DUMMYFUNCTION("""COMPUTED_VALUE"""),915.75)</f>
        <v>915.75</v>
      </c>
    </row>
    <row r="128" ht="15.75" customHeight="1">
      <c r="B128" s="3">
        <f>IFERROR(__xludf.DUMMYFUNCTION("""COMPUTED_VALUE"""),38842.645833333336)</f>
        <v>38842.64583</v>
      </c>
      <c r="C128" s="2">
        <f>IFERROR(__xludf.DUMMYFUNCTION("""COMPUTED_VALUE"""),967.85)</f>
        <v>967.85</v>
      </c>
    </row>
    <row r="129" ht="15.75" customHeight="1">
      <c r="B129" s="3">
        <f>IFERROR(__xludf.DUMMYFUNCTION("""COMPUTED_VALUE"""),38849.645833333336)</f>
        <v>38849.64583</v>
      </c>
      <c r="C129" s="2">
        <f>IFERROR(__xludf.DUMMYFUNCTION("""COMPUTED_VALUE"""),974.95)</f>
        <v>974.95</v>
      </c>
    </row>
    <row r="130" ht="15.75" customHeight="1">
      <c r="B130" s="3">
        <f>IFERROR(__xludf.DUMMYFUNCTION("""COMPUTED_VALUE"""),38856.645833333336)</f>
        <v>38856.64583</v>
      </c>
      <c r="C130" s="2">
        <f>IFERROR(__xludf.DUMMYFUNCTION("""COMPUTED_VALUE"""),939.45)</f>
        <v>939.45</v>
      </c>
    </row>
    <row r="131" ht="15.75" customHeight="1">
      <c r="B131" s="3">
        <f>IFERROR(__xludf.DUMMYFUNCTION("""COMPUTED_VALUE"""),38863.645833333336)</f>
        <v>38863.64583</v>
      </c>
      <c r="C131" s="2">
        <f>IFERROR(__xludf.DUMMYFUNCTION("""COMPUTED_VALUE"""),820.0)</f>
        <v>820</v>
      </c>
    </row>
    <row r="132" ht="15.75" customHeight="1">
      <c r="B132" s="3">
        <f>IFERROR(__xludf.DUMMYFUNCTION("""COMPUTED_VALUE"""),38870.645833333336)</f>
        <v>38870.64583</v>
      </c>
      <c r="C132" s="2">
        <f>IFERROR(__xludf.DUMMYFUNCTION("""COMPUTED_VALUE"""),819.4)</f>
        <v>819.4</v>
      </c>
    </row>
    <row r="133" ht="15.75" customHeight="1">
      <c r="B133" s="3">
        <f>IFERROR(__xludf.DUMMYFUNCTION("""COMPUTED_VALUE"""),38877.645833333336)</f>
        <v>38877.64583</v>
      </c>
      <c r="C133" s="2">
        <f>IFERROR(__xludf.DUMMYFUNCTION("""COMPUTED_VALUE"""),790.0)</f>
        <v>790</v>
      </c>
    </row>
    <row r="134" ht="15.75" customHeight="1">
      <c r="B134" s="3">
        <f>IFERROR(__xludf.DUMMYFUNCTION("""COMPUTED_VALUE"""),38884.645833333336)</f>
        <v>38884.64583</v>
      </c>
      <c r="C134" s="2">
        <f>IFERROR(__xludf.DUMMYFUNCTION("""COMPUTED_VALUE"""),789.5)</f>
        <v>789.5</v>
      </c>
    </row>
    <row r="135" ht="15.75" customHeight="1">
      <c r="B135" s="3">
        <f>IFERROR(__xludf.DUMMYFUNCTION("""COMPUTED_VALUE"""),38891.645833333336)</f>
        <v>38891.64583</v>
      </c>
      <c r="C135" s="2">
        <f>IFERROR(__xludf.DUMMYFUNCTION("""COMPUTED_VALUE"""),787.85)</f>
        <v>787.85</v>
      </c>
    </row>
    <row r="136" ht="15.75" customHeight="1">
      <c r="B136" s="3">
        <f>IFERROR(__xludf.DUMMYFUNCTION("""COMPUTED_VALUE"""),38898.645833333336)</f>
        <v>38898.64583</v>
      </c>
      <c r="C136" s="2">
        <f>IFERROR(__xludf.DUMMYFUNCTION("""COMPUTED_VALUE"""),802.0)</f>
        <v>802</v>
      </c>
    </row>
    <row r="137" ht="15.75" customHeight="1">
      <c r="B137" s="3">
        <f>IFERROR(__xludf.DUMMYFUNCTION("""COMPUTED_VALUE"""),38905.645833333336)</f>
        <v>38905.64583</v>
      </c>
      <c r="C137" s="2">
        <f>IFERROR(__xludf.DUMMYFUNCTION("""COMPUTED_VALUE"""),817.9)</f>
        <v>817.9</v>
      </c>
    </row>
    <row r="138" ht="15.75" customHeight="1">
      <c r="B138" s="3">
        <f>IFERROR(__xludf.DUMMYFUNCTION("""COMPUTED_VALUE"""),38912.645833333336)</f>
        <v>38912.64583</v>
      </c>
      <c r="C138" s="2">
        <f>IFERROR(__xludf.DUMMYFUNCTION("""COMPUTED_VALUE"""),831.2)</f>
        <v>831.2</v>
      </c>
    </row>
    <row r="139" ht="15.75" customHeight="1">
      <c r="B139" s="3">
        <f>IFERROR(__xludf.DUMMYFUNCTION("""COMPUTED_VALUE"""),38919.645833333336)</f>
        <v>38919.64583</v>
      </c>
      <c r="C139" s="2">
        <f>IFERROR(__xludf.DUMMYFUNCTION("""COMPUTED_VALUE"""),795.0)</f>
        <v>795</v>
      </c>
    </row>
    <row r="140" ht="15.75" customHeight="1">
      <c r="B140" s="3">
        <f>IFERROR(__xludf.DUMMYFUNCTION("""COMPUTED_VALUE"""),38926.645833333336)</f>
        <v>38926.64583</v>
      </c>
      <c r="C140" s="2">
        <f>IFERROR(__xludf.DUMMYFUNCTION("""COMPUTED_VALUE"""),795.0)</f>
        <v>795</v>
      </c>
    </row>
    <row r="141" ht="15.75" customHeight="1">
      <c r="B141" s="3">
        <f>IFERROR(__xludf.DUMMYFUNCTION("""COMPUTED_VALUE"""),38933.645833333336)</f>
        <v>38933.64583</v>
      </c>
      <c r="C141" s="2">
        <f>IFERROR(__xludf.DUMMYFUNCTION("""COMPUTED_VALUE"""),801.85)</f>
        <v>801.85</v>
      </c>
    </row>
    <row r="142" ht="15.75" customHeight="1">
      <c r="B142" s="3">
        <f>IFERROR(__xludf.DUMMYFUNCTION("""COMPUTED_VALUE"""),38940.645833333336)</f>
        <v>38940.64583</v>
      </c>
      <c r="C142" s="2">
        <f>IFERROR(__xludf.DUMMYFUNCTION("""COMPUTED_VALUE"""),812.0)</f>
        <v>812</v>
      </c>
    </row>
    <row r="143" ht="15.75" customHeight="1">
      <c r="B143" s="3">
        <f>IFERROR(__xludf.DUMMYFUNCTION("""COMPUTED_VALUE"""),38947.645833333336)</f>
        <v>38947.64583</v>
      </c>
      <c r="C143" s="2">
        <f>IFERROR(__xludf.DUMMYFUNCTION("""COMPUTED_VALUE"""),845.0)</f>
        <v>845</v>
      </c>
    </row>
    <row r="144" ht="15.75" customHeight="1">
      <c r="B144" s="3">
        <f>IFERROR(__xludf.DUMMYFUNCTION("""COMPUTED_VALUE"""),38954.645833333336)</f>
        <v>38954.64583</v>
      </c>
      <c r="C144" s="2">
        <f>IFERROR(__xludf.DUMMYFUNCTION("""COMPUTED_VALUE"""),869.0)</f>
        <v>869</v>
      </c>
    </row>
    <row r="145" ht="15.75" customHeight="1">
      <c r="B145" s="3">
        <f>IFERROR(__xludf.DUMMYFUNCTION("""COMPUTED_VALUE"""),38961.645833333336)</f>
        <v>38961.64583</v>
      </c>
      <c r="C145" s="2">
        <f>IFERROR(__xludf.DUMMYFUNCTION("""COMPUTED_VALUE"""),878.0)</f>
        <v>878</v>
      </c>
    </row>
    <row r="146" ht="15.75" customHeight="1">
      <c r="B146" s="3">
        <f>IFERROR(__xludf.DUMMYFUNCTION("""COMPUTED_VALUE"""),38968.645833333336)</f>
        <v>38968.64583</v>
      </c>
      <c r="C146" s="2">
        <f>IFERROR(__xludf.DUMMYFUNCTION("""COMPUTED_VALUE"""),951.25)</f>
        <v>951.25</v>
      </c>
    </row>
    <row r="147" ht="15.75" customHeight="1">
      <c r="B147" s="3">
        <f>IFERROR(__xludf.DUMMYFUNCTION("""COMPUTED_VALUE"""),38975.645833333336)</f>
        <v>38975.64583</v>
      </c>
      <c r="C147" s="2">
        <f>IFERROR(__xludf.DUMMYFUNCTION("""COMPUTED_VALUE"""),966.8)</f>
        <v>966.8</v>
      </c>
    </row>
    <row r="148" ht="15.75" customHeight="1">
      <c r="B148" s="3">
        <f>IFERROR(__xludf.DUMMYFUNCTION("""COMPUTED_VALUE"""),38982.645833333336)</f>
        <v>38982.64583</v>
      </c>
      <c r="C148" s="2">
        <f>IFERROR(__xludf.DUMMYFUNCTION("""COMPUTED_VALUE"""),955.7)</f>
        <v>955.7</v>
      </c>
    </row>
    <row r="149" ht="15.75" customHeight="1">
      <c r="B149" s="3">
        <f>IFERROR(__xludf.DUMMYFUNCTION("""COMPUTED_VALUE"""),38989.645833333336)</f>
        <v>38989.64583</v>
      </c>
      <c r="C149" s="2">
        <f>IFERROR(__xludf.DUMMYFUNCTION("""COMPUTED_VALUE"""),987.8)</f>
        <v>987.8</v>
      </c>
    </row>
    <row r="150" ht="15.75" customHeight="1">
      <c r="B150" s="3">
        <f>IFERROR(__xludf.DUMMYFUNCTION("""COMPUTED_VALUE"""),38996.645833333336)</f>
        <v>38996.64583</v>
      </c>
      <c r="C150" s="2">
        <f>IFERROR(__xludf.DUMMYFUNCTION("""COMPUTED_VALUE"""),990.7)</f>
        <v>990.7</v>
      </c>
    </row>
    <row r="151" ht="15.75" customHeight="1">
      <c r="B151" s="3">
        <f>IFERROR(__xludf.DUMMYFUNCTION("""COMPUTED_VALUE"""),39003.645833333336)</f>
        <v>39003.64583</v>
      </c>
      <c r="C151" s="2">
        <f>IFERROR(__xludf.DUMMYFUNCTION("""COMPUTED_VALUE"""),968.0)</f>
        <v>968</v>
      </c>
    </row>
    <row r="152" ht="15.75" customHeight="1">
      <c r="B152" s="3">
        <f>IFERROR(__xludf.DUMMYFUNCTION("""COMPUTED_VALUE"""),39017.645833333336)</f>
        <v>39017.64583</v>
      </c>
      <c r="C152" s="2">
        <f>IFERROR(__xludf.DUMMYFUNCTION("""COMPUTED_VALUE"""),968.8)</f>
        <v>968.8</v>
      </c>
    </row>
    <row r="153" ht="15.75" customHeight="1">
      <c r="B153" s="3">
        <f>IFERROR(__xludf.DUMMYFUNCTION("""COMPUTED_VALUE"""),39024.645833333336)</f>
        <v>39024.64583</v>
      </c>
      <c r="C153" s="2">
        <f>IFERROR(__xludf.DUMMYFUNCTION("""COMPUTED_VALUE"""),988.9)</f>
        <v>988.9</v>
      </c>
    </row>
    <row r="154" ht="15.75" customHeight="1">
      <c r="B154" s="3">
        <f>IFERROR(__xludf.DUMMYFUNCTION("""COMPUTED_VALUE"""),39031.645833333336)</f>
        <v>39031.64583</v>
      </c>
      <c r="C154" s="2">
        <f>IFERROR(__xludf.DUMMYFUNCTION("""COMPUTED_VALUE"""),977.0)</f>
        <v>977</v>
      </c>
    </row>
    <row r="155" ht="15.75" customHeight="1">
      <c r="B155" s="3">
        <f>IFERROR(__xludf.DUMMYFUNCTION("""COMPUTED_VALUE"""),39038.645833333336)</f>
        <v>39038.64583</v>
      </c>
      <c r="C155" s="2">
        <f>IFERROR(__xludf.DUMMYFUNCTION("""COMPUTED_VALUE"""),920.9)</f>
        <v>920.9</v>
      </c>
    </row>
    <row r="156" ht="15.75" customHeight="1">
      <c r="B156" s="3">
        <f>IFERROR(__xludf.DUMMYFUNCTION("""COMPUTED_VALUE"""),39045.645833333336)</f>
        <v>39045.64583</v>
      </c>
      <c r="C156" s="2">
        <f>IFERROR(__xludf.DUMMYFUNCTION("""COMPUTED_VALUE"""),916.9)</f>
        <v>916.9</v>
      </c>
    </row>
    <row r="157" ht="15.75" customHeight="1">
      <c r="B157" s="3">
        <f>IFERROR(__xludf.DUMMYFUNCTION("""COMPUTED_VALUE"""),39052.645833333336)</f>
        <v>39052.64583</v>
      </c>
      <c r="C157" s="2">
        <f>IFERROR(__xludf.DUMMYFUNCTION("""COMPUTED_VALUE"""),956.5)</f>
        <v>956.5</v>
      </c>
    </row>
    <row r="158" ht="15.75" customHeight="1">
      <c r="B158" s="3">
        <f>IFERROR(__xludf.DUMMYFUNCTION("""COMPUTED_VALUE"""),39059.645833333336)</f>
        <v>39059.64583</v>
      </c>
      <c r="C158" s="2">
        <f>IFERROR(__xludf.DUMMYFUNCTION("""COMPUTED_VALUE"""),973.75)</f>
        <v>973.75</v>
      </c>
    </row>
    <row r="159" ht="15.75" customHeight="1">
      <c r="B159" s="3">
        <f>IFERROR(__xludf.DUMMYFUNCTION("""COMPUTED_VALUE"""),39066.645833333336)</f>
        <v>39066.64583</v>
      </c>
      <c r="C159" s="2">
        <f>IFERROR(__xludf.DUMMYFUNCTION("""COMPUTED_VALUE"""),939.9)</f>
        <v>939.9</v>
      </c>
    </row>
    <row r="160" ht="15.75" customHeight="1">
      <c r="B160" s="3">
        <f>IFERROR(__xludf.DUMMYFUNCTION("""COMPUTED_VALUE"""),39073.645833333336)</f>
        <v>39073.64583</v>
      </c>
      <c r="C160" s="2">
        <f>IFERROR(__xludf.DUMMYFUNCTION("""COMPUTED_VALUE"""),965.0)</f>
        <v>965</v>
      </c>
    </row>
    <row r="161" ht="15.75" customHeight="1">
      <c r="B161" s="3">
        <f>IFERROR(__xludf.DUMMYFUNCTION("""COMPUTED_VALUE"""),39080.645833333336)</f>
        <v>39080.64583</v>
      </c>
      <c r="C161" s="2">
        <f>IFERROR(__xludf.DUMMYFUNCTION("""COMPUTED_VALUE"""),939.75)</f>
        <v>939.75</v>
      </c>
    </row>
    <row r="162" ht="15.75" customHeight="1"/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IFERROR(__xludf.DUMMYFUNCTION("GOOGLEFINANCE(""NSE:MARUTI"", ""high"",DATE(2007,1,1),DATE(2008,1,1),""weekly"")"),"Date")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IFERROR(__xludf.DUMMYFUNCTION("""COMPUTED_VALUE"""),39087.645833333336)</f>
        <v>39087.64583</v>
      </c>
      <c r="C167" s="2">
        <f>IFERROR(__xludf.DUMMYFUNCTION("""COMPUTED_VALUE"""),984.9)</f>
        <v>984.9</v>
      </c>
    </row>
    <row r="168" ht="15.75" customHeight="1">
      <c r="B168" s="3">
        <f>IFERROR(__xludf.DUMMYFUNCTION("""COMPUTED_VALUE"""),39094.645833333336)</f>
        <v>39094.64583</v>
      </c>
      <c r="C168" s="2">
        <f>IFERROR(__xludf.DUMMYFUNCTION("""COMPUTED_VALUE"""),939.55)</f>
        <v>939.55</v>
      </c>
    </row>
    <row r="169" ht="15.75" customHeight="1">
      <c r="B169" s="3">
        <f>IFERROR(__xludf.DUMMYFUNCTION("""COMPUTED_VALUE"""),39101.645833333336)</f>
        <v>39101.64583</v>
      </c>
      <c r="C169" s="2">
        <f>IFERROR(__xludf.DUMMYFUNCTION("""COMPUTED_VALUE"""),930.0)</f>
        <v>930</v>
      </c>
    </row>
    <row r="170" ht="15.75" customHeight="1">
      <c r="B170" s="3">
        <f>IFERROR(__xludf.DUMMYFUNCTION("""COMPUTED_VALUE"""),39107.645833333336)</f>
        <v>39107.64583</v>
      </c>
      <c r="C170" s="2">
        <f>IFERROR(__xludf.DUMMYFUNCTION("""COMPUTED_VALUE"""),956.0)</f>
        <v>956</v>
      </c>
    </row>
    <row r="171" ht="15.75" customHeight="1">
      <c r="B171" s="3">
        <f>IFERROR(__xludf.DUMMYFUNCTION("""COMPUTED_VALUE"""),39115.645833333336)</f>
        <v>39115.64583</v>
      </c>
      <c r="C171" s="2">
        <f>IFERROR(__xludf.DUMMYFUNCTION("""COMPUTED_VALUE"""),954.0)</f>
        <v>954</v>
      </c>
    </row>
    <row r="172" ht="15.75" customHeight="1">
      <c r="B172" s="3">
        <f>IFERROR(__xludf.DUMMYFUNCTION("""COMPUTED_VALUE"""),39122.645833333336)</f>
        <v>39122.64583</v>
      </c>
      <c r="C172" s="2">
        <f>IFERROR(__xludf.DUMMYFUNCTION("""COMPUTED_VALUE"""),972.85)</f>
        <v>972.85</v>
      </c>
    </row>
    <row r="173" ht="15.75" customHeight="1">
      <c r="B173" s="3">
        <f>IFERROR(__xludf.DUMMYFUNCTION("""COMPUTED_VALUE"""),39128.645833333336)</f>
        <v>39128.64583</v>
      </c>
      <c r="C173" s="2">
        <f>IFERROR(__xludf.DUMMYFUNCTION("""COMPUTED_VALUE"""),948.6)</f>
        <v>948.6</v>
      </c>
    </row>
    <row r="174" ht="15.75" customHeight="1">
      <c r="B174" s="3">
        <f>IFERROR(__xludf.DUMMYFUNCTION("""COMPUTED_VALUE"""),39136.645833333336)</f>
        <v>39136.64583</v>
      </c>
      <c r="C174" s="2">
        <f>IFERROR(__xludf.DUMMYFUNCTION("""COMPUTED_VALUE"""),923.0)</f>
        <v>923</v>
      </c>
    </row>
    <row r="175" ht="15.75" customHeight="1">
      <c r="B175" s="3">
        <f>IFERROR(__xludf.DUMMYFUNCTION("""COMPUTED_VALUE"""),39143.645833333336)</f>
        <v>39143.64583</v>
      </c>
      <c r="C175" s="2">
        <f>IFERROR(__xludf.DUMMYFUNCTION("""COMPUTED_VALUE"""),900.0)</f>
        <v>900</v>
      </c>
    </row>
    <row r="176" ht="15.75" customHeight="1">
      <c r="B176" s="3">
        <f>IFERROR(__xludf.DUMMYFUNCTION("""COMPUTED_VALUE"""),39150.645833333336)</f>
        <v>39150.64583</v>
      </c>
      <c r="C176" s="2">
        <f>IFERROR(__xludf.DUMMYFUNCTION("""COMPUTED_VALUE"""),825.0)</f>
        <v>825</v>
      </c>
    </row>
    <row r="177" ht="15.75" customHeight="1">
      <c r="B177" s="3">
        <f>IFERROR(__xludf.DUMMYFUNCTION("""COMPUTED_VALUE"""),39157.645833333336)</f>
        <v>39157.64583</v>
      </c>
      <c r="C177" s="2">
        <f>IFERROR(__xludf.DUMMYFUNCTION("""COMPUTED_VALUE"""),815.0)</f>
        <v>815</v>
      </c>
    </row>
    <row r="178" ht="15.75" customHeight="1">
      <c r="B178" s="3">
        <f>IFERROR(__xludf.DUMMYFUNCTION("""COMPUTED_VALUE"""),39164.645833333336)</f>
        <v>39164.64583</v>
      </c>
      <c r="C178" s="2">
        <f>IFERROR(__xludf.DUMMYFUNCTION("""COMPUTED_VALUE"""),849.0)</f>
        <v>849</v>
      </c>
    </row>
    <row r="179" ht="15.75" customHeight="1">
      <c r="B179" s="3">
        <f>IFERROR(__xludf.DUMMYFUNCTION("""COMPUTED_VALUE"""),39171.645833333336)</f>
        <v>39171.64583</v>
      </c>
      <c r="C179" s="2">
        <f>IFERROR(__xludf.DUMMYFUNCTION("""COMPUTED_VALUE"""),843.9)</f>
        <v>843.9</v>
      </c>
    </row>
    <row r="180" ht="15.75" customHeight="1">
      <c r="B180" s="3">
        <f>IFERROR(__xludf.DUMMYFUNCTION("""COMPUTED_VALUE"""),39177.645833333336)</f>
        <v>39177.64583</v>
      </c>
      <c r="C180" s="2">
        <f>IFERROR(__xludf.DUMMYFUNCTION("""COMPUTED_VALUE"""),795.0)</f>
        <v>795</v>
      </c>
    </row>
    <row r="181" ht="15.75" customHeight="1">
      <c r="B181" s="3">
        <f>IFERROR(__xludf.DUMMYFUNCTION("""COMPUTED_VALUE"""),39185.645833333336)</f>
        <v>39185.64583</v>
      </c>
      <c r="C181" s="2">
        <f>IFERROR(__xludf.DUMMYFUNCTION("""COMPUTED_VALUE"""),801.0)</f>
        <v>801</v>
      </c>
    </row>
    <row r="182" ht="15.75" customHeight="1">
      <c r="B182" s="3">
        <f>IFERROR(__xludf.DUMMYFUNCTION("""COMPUTED_VALUE"""),39192.645833333336)</f>
        <v>39192.64583</v>
      </c>
      <c r="C182" s="2">
        <f>IFERROR(__xludf.DUMMYFUNCTION("""COMPUTED_VALUE"""),791.8)</f>
        <v>791.8</v>
      </c>
    </row>
    <row r="183" ht="15.75" customHeight="1">
      <c r="B183" s="3">
        <f>IFERROR(__xludf.DUMMYFUNCTION("""COMPUTED_VALUE"""),39199.645833333336)</f>
        <v>39199.64583</v>
      </c>
      <c r="C183" s="2">
        <f>IFERROR(__xludf.DUMMYFUNCTION("""COMPUTED_VALUE"""),840.0)</f>
        <v>840</v>
      </c>
    </row>
    <row r="184" ht="15.75" customHeight="1">
      <c r="B184" s="3">
        <f>IFERROR(__xludf.DUMMYFUNCTION("""COMPUTED_VALUE"""),39206.645833333336)</f>
        <v>39206.64583</v>
      </c>
      <c r="C184" s="2">
        <f>IFERROR(__xludf.DUMMYFUNCTION("""COMPUTED_VALUE"""),824.6)</f>
        <v>824.6</v>
      </c>
    </row>
    <row r="185" ht="15.75" customHeight="1">
      <c r="B185" s="3">
        <f>IFERROR(__xludf.DUMMYFUNCTION("""COMPUTED_VALUE"""),39213.645833333336)</f>
        <v>39213.64583</v>
      </c>
      <c r="C185" s="2">
        <f>IFERROR(__xludf.DUMMYFUNCTION("""COMPUTED_VALUE"""),848.7)</f>
        <v>848.7</v>
      </c>
    </row>
    <row r="186" ht="15.75" customHeight="1">
      <c r="B186" s="3">
        <f>IFERROR(__xludf.DUMMYFUNCTION("""COMPUTED_VALUE"""),39220.645833333336)</f>
        <v>39220.64583</v>
      </c>
      <c r="C186" s="2">
        <f>IFERROR(__xludf.DUMMYFUNCTION("""COMPUTED_VALUE"""),825.0)</f>
        <v>825</v>
      </c>
    </row>
    <row r="187" ht="15.75" customHeight="1">
      <c r="B187" s="3">
        <f>IFERROR(__xludf.DUMMYFUNCTION("""COMPUTED_VALUE"""),39227.645833333336)</f>
        <v>39227.64583</v>
      </c>
      <c r="C187" s="2">
        <f>IFERROR(__xludf.DUMMYFUNCTION("""COMPUTED_VALUE"""),844.0)</f>
        <v>844</v>
      </c>
    </row>
    <row r="188" ht="15.75" customHeight="1">
      <c r="B188" s="3">
        <f>IFERROR(__xludf.DUMMYFUNCTION("""COMPUTED_VALUE"""),39234.645833333336)</f>
        <v>39234.64583</v>
      </c>
      <c r="C188" s="2">
        <f>IFERROR(__xludf.DUMMYFUNCTION("""COMPUTED_VALUE"""),833.0)</f>
        <v>833</v>
      </c>
    </row>
    <row r="189" ht="15.75" customHeight="1">
      <c r="B189" s="3">
        <f>IFERROR(__xludf.DUMMYFUNCTION("""COMPUTED_VALUE"""),39241.645833333336)</f>
        <v>39241.64583</v>
      </c>
      <c r="C189" s="2">
        <f>IFERROR(__xludf.DUMMYFUNCTION("""COMPUTED_VALUE"""),876.0)</f>
        <v>876</v>
      </c>
    </row>
    <row r="190" ht="15.75" customHeight="1">
      <c r="B190" s="3">
        <f>IFERROR(__xludf.DUMMYFUNCTION("""COMPUTED_VALUE"""),39248.645833333336)</f>
        <v>39248.64583</v>
      </c>
      <c r="C190" s="2">
        <f>IFERROR(__xludf.DUMMYFUNCTION("""COMPUTED_VALUE"""),748.8)</f>
        <v>748.8</v>
      </c>
    </row>
    <row r="191" ht="15.75" customHeight="1">
      <c r="B191" s="3">
        <f>IFERROR(__xludf.DUMMYFUNCTION("""COMPUTED_VALUE"""),39255.645833333336)</f>
        <v>39255.64583</v>
      </c>
      <c r="C191" s="2">
        <f>IFERROR(__xludf.DUMMYFUNCTION("""COMPUTED_VALUE"""),772.4)</f>
        <v>772.4</v>
      </c>
    </row>
    <row r="192" ht="15.75" customHeight="1">
      <c r="B192" s="3">
        <f>IFERROR(__xludf.DUMMYFUNCTION("""COMPUTED_VALUE"""),39262.645833333336)</f>
        <v>39262.64583</v>
      </c>
      <c r="C192" s="2">
        <f>IFERROR(__xludf.DUMMYFUNCTION("""COMPUTED_VALUE"""),769.0)</f>
        <v>769</v>
      </c>
    </row>
    <row r="193" ht="15.75" customHeight="1">
      <c r="B193" s="3">
        <f>IFERROR(__xludf.DUMMYFUNCTION("""COMPUTED_VALUE"""),39269.645833333336)</f>
        <v>39269.64583</v>
      </c>
      <c r="C193" s="2">
        <f>IFERROR(__xludf.DUMMYFUNCTION("""COMPUTED_VALUE"""),810.1)</f>
        <v>810.1</v>
      </c>
    </row>
    <row r="194" ht="15.75" customHeight="1">
      <c r="B194" s="3">
        <f>IFERROR(__xludf.DUMMYFUNCTION("""COMPUTED_VALUE"""),39276.645833333336)</f>
        <v>39276.64583</v>
      </c>
      <c r="C194" s="2">
        <f>IFERROR(__xludf.DUMMYFUNCTION("""COMPUTED_VALUE"""),839.0)</f>
        <v>839</v>
      </c>
    </row>
    <row r="195" ht="15.75" customHeight="1">
      <c r="B195" s="3">
        <f>IFERROR(__xludf.DUMMYFUNCTION("""COMPUTED_VALUE"""),39283.645833333336)</f>
        <v>39283.64583</v>
      </c>
      <c r="C195" s="2">
        <f>IFERROR(__xludf.DUMMYFUNCTION("""COMPUTED_VALUE"""),845.0)</f>
        <v>845</v>
      </c>
    </row>
    <row r="196" ht="15.75" customHeight="1">
      <c r="B196" s="3">
        <f>IFERROR(__xludf.DUMMYFUNCTION("""COMPUTED_VALUE"""),39290.645833333336)</f>
        <v>39290.64583</v>
      </c>
      <c r="C196" s="2">
        <f>IFERROR(__xludf.DUMMYFUNCTION("""COMPUTED_VALUE"""),857.35)</f>
        <v>857.35</v>
      </c>
    </row>
    <row r="197" ht="15.75" customHeight="1">
      <c r="B197" s="3">
        <f>IFERROR(__xludf.DUMMYFUNCTION("""COMPUTED_VALUE"""),39297.645833333336)</f>
        <v>39297.64583</v>
      </c>
      <c r="C197" s="2">
        <f>IFERROR(__xludf.DUMMYFUNCTION("""COMPUTED_VALUE"""),860.0)</f>
        <v>860</v>
      </c>
    </row>
    <row r="198" ht="15.75" customHeight="1">
      <c r="B198" s="3">
        <f>IFERROR(__xludf.DUMMYFUNCTION("""COMPUTED_VALUE"""),39304.645833333336)</f>
        <v>39304.64583</v>
      </c>
      <c r="C198" s="2">
        <f>IFERROR(__xludf.DUMMYFUNCTION("""COMPUTED_VALUE"""),869.0)</f>
        <v>869</v>
      </c>
    </row>
    <row r="199" ht="15.75" customHeight="1">
      <c r="B199" s="3">
        <f>IFERROR(__xludf.DUMMYFUNCTION("""COMPUTED_VALUE"""),39311.645833333336)</f>
        <v>39311.64583</v>
      </c>
      <c r="C199" s="2">
        <f>IFERROR(__xludf.DUMMYFUNCTION("""COMPUTED_VALUE"""),843.0)</f>
        <v>843</v>
      </c>
    </row>
    <row r="200" ht="15.75" customHeight="1">
      <c r="B200" s="3">
        <f>IFERROR(__xludf.DUMMYFUNCTION("""COMPUTED_VALUE"""),39318.645833333336)</f>
        <v>39318.64583</v>
      </c>
      <c r="C200" s="2">
        <f>IFERROR(__xludf.DUMMYFUNCTION("""COMPUTED_VALUE"""),815.9)</f>
        <v>815.9</v>
      </c>
    </row>
    <row r="201" ht="15.75" customHeight="1">
      <c r="B201" s="3">
        <f>IFERROR(__xludf.DUMMYFUNCTION("""COMPUTED_VALUE"""),39325.645833333336)</f>
        <v>39325.64583</v>
      </c>
      <c r="C201" s="2">
        <f>IFERROR(__xludf.DUMMYFUNCTION("""COMPUTED_VALUE"""),872.9)</f>
        <v>872.9</v>
      </c>
    </row>
    <row r="202" ht="15.75" customHeight="1">
      <c r="B202" s="3">
        <f>IFERROR(__xludf.DUMMYFUNCTION("""COMPUTED_VALUE"""),39332.645833333336)</f>
        <v>39332.64583</v>
      </c>
      <c r="C202" s="2">
        <f>IFERROR(__xludf.DUMMYFUNCTION("""COMPUTED_VALUE"""),901.0)</f>
        <v>901</v>
      </c>
    </row>
    <row r="203" ht="15.75" customHeight="1">
      <c r="B203" s="3">
        <f>IFERROR(__xludf.DUMMYFUNCTION("""COMPUTED_VALUE"""),39339.645833333336)</f>
        <v>39339.64583</v>
      </c>
      <c r="C203" s="2">
        <f>IFERROR(__xludf.DUMMYFUNCTION("""COMPUTED_VALUE"""),904.8)</f>
        <v>904.8</v>
      </c>
    </row>
    <row r="204" ht="15.75" customHeight="1">
      <c r="B204" s="3">
        <f>IFERROR(__xludf.DUMMYFUNCTION("""COMPUTED_VALUE"""),39346.645833333336)</f>
        <v>39346.64583</v>
      </c>
      <c r="C204" s="2">
        <f>IFERROR(__xludf.DUMMYFUNCTION("""COMPUTED_VALUE"""),935.3)</f>
        <v>935.3</v>
      </c>
    </row>
    <row r="205" ht="15.75" customHeight="1">
      <c r="B205" s="3">
        <f>IFERROR(__xludf.DUMMYFUNCTION("""COMPUTED_VALUE"""),39353.645833333336)</f>
        <v>39353.64583</v>
      </c>
      <c r="C205" s="2">
        <f>IFERROR(__xludf.DUMMYFUNCTION("""COMPUTED_VALUE"""),1028.0)</f>
        <v>1028</v>
      </c>
    </row>
    <row r="206" ht="15.75" customHeight="1">
      <c r="B206" s="3">
        <f>IFERROR(__xludf.DUMMYFUNCTION("""COMPUTED_VALUE"""),39360.645833333336)</f>
        <v>39360.64583</v>
      </c>
      <c r="C206" s="2">
        <f>IFERROR(__xludf.DUMMYFUNCTION("""COMPUTED_VALUE"""),1053.7)</f>
        <v>1053.7</v>
      </c>
    </row>
    <row r="207" ht="15.75" customHeight="1">
      <c r="B207" s="3">
        <f>IFERROR(__xludf.DUMMYFUNCTION("""COMPUTED_VALUE"""),39367.645833333336)</f>
        <v>39367.64583</v>
      </c>
      <c r="C207" s="2">
        <f>IFERROR(__xludf.DUMMYFUNCTION("""COMPUTED_VALUE"""),1135.0)</f>
        <v>1135</v>
      </c>
    </row>
    <row r="208" ht="15.75" customHeight="1">
      <c r="B208" s="3">
        <f>IFERROR(__xludf.DUMMYFUNCTION("""COMPUTED_VALUE"""),39374.645833333336)</f>
        <v>39374.64583</v>
      </c>
      <c r="C208" s="2">
        <f>IFERROR(__xludf.DUMMYFUNCTION("""COMPUTED_VALUE"""),1224.0)</f>
        <v>1224</v>
      </c>
    </row>
    <row r="209" ht="15.75" customHeight="1">
      <c r="B209" s="3">
        <f>IFERROR(__xludf.DUMMYFUNCTION("""COMPUTED_VALUE"""),39381.645833333336)</f>
        <v>39381.64583</v>
      </c>
      <c r="C209" s="2">
        <f>IFERROR(__xludf.DUMMYFUNCTION("""COMPUTED_VALUE"""),1199.0)</f>
        <v>1199</v>
      </c>
    </row>
    <row r="210" ht="15.75" customHeight="1">
      <c r="B210" s="3">
        <f>IFERROR(__xludf.DUMMYFUNCTION("""COMPUTED_VALUE"""),39388.645833333336)</f>
        <v>39388.64583</v>
      </c>
      <c r="C210" s="2">
        <f>IFERROR(__xludf.DUMMYFUNCTION("""COMPUTED_VALUE"""),1248.0)</f>
        <v>1248</v>
      </c>
    </row>
    <row r="211" ht="15.75" customHeight="1">
      <c r="B211" s="3">
        <f>IFERROR(__xludf.DUMMYFUNCTION("""COMPUTED_VALUE"""),39402.645833333336)</f>
        <v>39402.64583</v>
      </c>
      <c r="C211" s="2">
        <f>IFERROR(__xludf.DUMMYFUNCTION("""COMPUTED_VALUE"""),1065.5)</f>
        <v>1065.5</v>
      </c>
    </row>
    <row r="212" ht="15.75" customHeight="1">
      <c r="B212" s="3">
        <f>IFERROR(__xludf.DUMMYFUNCTION("""COMPUTED_VALUE"""),39409.645833333336)</f>
        <v>39409.64583</v>
      </c>
      <c r="C212" s="2">
        <f>IFERROR(__xludf.DUMMYFUNCTION("""COMPUTED_VALUE"""),1065.4)</f>
        <v>1065.4</v>
      </c>
    </row>
    <row r="213" ht="15.75" customHeight="1">
      <c r="B213" s="3">
        <f>IFERROR(__xludf.DUMMYFUNCTION("""COMPUTED_VALUE"""),39416.645833333336)</f>
        <v>39416.64583</v>
      </c>
      <c r="C213" s="2">
        <f>IFERROR(__xludf.DUMMYFUNCTION("""COMPUTED_VALUE"""),1022.8)</f>
        <v>1022.8</v>
      </c>
    </row>
    <row r="214" ht="15.75" customHeight="1">
      <c r="B214" s="3">
        <f>IFERROR(__xludf.DUMMYFUNCTION("""COMPUTED_VALUE"""),39423.645833333336)</f>
        <v>39423.64583</v>
      </c>
      <c r="C214" s="2">
        <f>IFERROR(__xludf.DUMMYFUNCTION("""COMPUTED_VALUE"""),1064.8)</f>
        <v>1064.8</v>
      </c>
    </row>
    <row r="215" ht="15.75" customHeight="1">
      <c r="B215" s="3">
        <f>IFERROR(__xludf.DUMMYFUNCTION("""COMPUTED_VALUE"""),39430.645833333336)</f>
        <v>39430.64583</v>
      </c>
      <c r="C215" s="2">
        <f>IFERROR(__xludf.DUMMYFUNCTION("""COMPUTED_VALUE"""),1098.0)</f>
        <v>1098</v>
      </c>
    </row>
    <row r="216" ht="15.75" customHeight="1">
      <c r="B216" s="3">
        <f>IFERROR(__xludf.DUMMYFUNCTION("""COMPUTED_VALUE"""),39436.645833333336)</f>
        <v>39436.64583</v>
      </c>
      <c r="C216" s="2">
        <f>IFERROR(__xludf.DUMMYFUNCTION("""COMPUTED_VALUE"""),1044.0)</f>
        <v>1044</v>
      </c>
    </row>
    <row r="217" ht="15.75" customHeight="1">
      <c r="B217" s="3">
        <f>IFERROR(__xludf.DUMMYFUNCTION("""COMPUTED_VALUE"""),39444.645833333336)</f>
        <v>39444.64583</v>
      </c>
      <c r="C217" s="2">
        <f>IFERROR(__xludf.DUMMYFUNCTION("""COMPUTED_VALUE"""),1014.8)</f>
        <v>1014.8</v>
      </c>
    </row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IFERROR(__xludf.DUMMYFUNCTION("GOOGLEFINANCE(""NSE:MARUTI"", ""high"",DATE(2008,1,1),DATE(2009,1,1),""weekly"")"),"Date")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IFERROR(__xludf.DUMMYFUNCTION("""COMPUTED_VALUE"""),39451.645833333336)</f>
        <v>39451.64583</v>
      </c>
      <c r="C222" s="2">
        <f>IFERROR(__xludf.DUMMYFUNCTION("""COMPUTED_VALUE"""),1009.95)</f>
        <v>1009.95</v>
      </c>
    </row>
    <row r="223" ht="15.75" customHeight="1">
      <c r="B223" s="3">
        <f>IFERROR(__xludf.DUMMYFUNCTION("""COMPUTED_VALUE"""),39458.645833333336)</f>
        <v>39458.64583</v>
      </c>
      <c r="C223" s="2">
        <f>IFERROR(__xludf.DUMMYFUNCTION("""COMPUTED_VALUE"""),1055.0)</f>
        <v>1055</v>
      </c>
    </row>
    <row r="224" ht="15.75" customHeight="1">
      <c r="B224" s="3">
        <f>IFERROR(__xludf.DUMMYFUNCTION("""COMPUTED_VALUE"""),39465.645833333336)</f>
        <v>39465.64583</v>
      </c>
      <c r="C224" s="2">
        <f>IFERROR(__xludf.DUMMYFUNCTION("""COMPUTED_VALUE"""),909.0)</f>
        <v>909</v>
      </c>
    </row>
    <row r="225" ht="15.75" customHeight="1">
      <c r="B225" s="3">
        <f>IFERROR(__xludf.DUMMYFUNCTION("""COMPUTED_VALUE"""),39472.645833333336)</f>
        <v>39472.64583</v>
      </c>
      <c r="C225" s="2">
        <f>IFERROR(__xludf.DUMMYFUNCTION("""COMPUTED_VALUE"""),859.0)</f>
        <v>859</v>
      </c>
    </row>
    <row r="226" ht="15.75" customHeight="1">
      <c r="B226" s="3">
        <f>IFERROR(__xludf.DUMMYFUNCTION("""COMPUTED_VALUE"""),39479.645833333336)</f>
        <v>39479.64583</v>
      </c>
      <c r="C226" s="2">
        <f>IFERROR(__xludf.DUMMYFUNCTION("""COMPUTED_VALUE"""),918.0)</f>
        <v>918</v>
      </c>
    </row>
    <row r="227" ht="15.75" customHeight="1">
      <c r="B227" s="3">
        <f>IFERROR(__xludf.DUMMYFUNCTION("""COMPUTED_VALUE"""),39486.645833333336)</f>
        <v>39486.64583</v>
      </c>
      <c r="C227" s="2">
        <f>IFERROR(__xludf.DUMMYFUNCTION("""COMPUTED_VALUE"""),923.9)</f>
        <v>923.9</v>
      </c>
    </row>
    <row r="228" ht="15.75" customHeight="1">
      <c r="B228" s="3">
        <f>IFERROR(__xludf.DUMMYFUNCTION("""COMPUTED_VALUE"""),39493.645833333336)</f>
        <v>39493.64583</v>
      </c>
      <c r="C228" s="2">
        <f>IFERROR(__xludf.DUMMYFUNCTION("""COMPUTED_VALUE"""),850.0)</f>
        <v>850</v>
      </c>
    </row>
    <row r="229" ht="15.75" customHeight="1">
      <c r="B229" s="3">
        <f>IFERROR(__xludf.DUMMYFUNCTION("""COMPUTED_VALUE"""),39500.645833333336)</f>
        <v>39500.64583</v>
      </c>
      <c r="C229" s="2">
        <f>IFERROR(__xludf.DUMMYFUNCTION("""COMPUTED_VALUE"""),830.0)</f>
        <v>830</v>
      </c>
    </row>
    <row r="230" ht="15.75" customHeight="1">
      <c r="B230" s="3">
        <f>IFERROR(__xludf.DUMMYFUNCTION("""COMPUTED_VALUE"""),39507.645833333336)</f>
        <v>39507.64583</v>
      </c>
      <c r="C230" s="2">
        <f>IFERROR(__xludf.DUMMYFUNCTION("""COMPUTED_VALUE"""),875.0)</f>
        <v>875</v>
      </c>
    </row>
    <row r="231" ht="15.75" customHeight="1">
      <c r="B231" s="3">
        <f>IFERROR(__xludf.DUMMYFUNCTION("""COMPUTED_VALUE"""),39514.645833333336)</f>
        <v>39514.64583</v>
      </c>
      <c r="C231" s="2">
        <f>IFERROR(__xludf.DUMMYFUNCTION("""COMPUTED_VALUE"""),944.5)</f>
        <v>944.5</v>
      </c>
    </row>
    <row r="232" ht="15.75" customHeight="1">
      <c r="B232" s="3">
        <f>IFERROR(__xludf.DUMMYFUNCTION("""COMPUTED_VALUE"""),39521.645833333336)</f>
        <v>39521.64583</v>
      </c>
      <c r="C232" s="2">
        <f>IFERROR(__xludf.DUMMYFUNCTION("""COMPUTED_VALUE"""),938.0)</f>
        <v>938</v>
      </c>
    </row>
    <row r="233" ht="15.75" customHeight="1">
      <c r="B233" s="3">
        <f>IFERROR(__xludf.DUMMYFUNCTION("""COMPUTED_VALUE"""),39526.645833333336)</f>
        <v>39526.64583</v>
      </c>
      <c r="C233" s="2">
        <f>IFERROR(__xludf.DUMMYFUNCTION("""COMPUTED_VALUE"""),836.25)</f>
        <v>836.25</v>
      </c>
    </row>
    <row r="234" ht="15.75" customHeight="1">
      <c r="B234" s="3">
        <f>IFERROR(__xludf.DUMMYFUNCTION("""COMPUTED_VALUE"""),39535.645833333336)</f>
        <v>39535.64583</v>
      </c>
      <c r="C234" s="2">
        <f>IFERROR(__xludf.DUMMYFUNCTION("""COMPUTED_VALUE"""),863.95)</f>
        <v>863.95</v>
      </c>
    </row>
    <row r="235" ht="15.75" customHeight="1">
      <c r="B235" s="3">
        <f>IFERROR(__xludf.DUMMYFUNCTION("""COMPUTED_VALUE"""),39542.645833333336)</f>
        <v>39542.64583</v>
      </c>
      <c r="C235" s="2">
        <f>IFERROR(__xludf.DUMMYFUNCTION("""COMPUTED_VALUE"""),855.0)</f>
        <v>855</v>
      </c>
    </row>
    <row r="236" ht="15.75" customHeight="1">
      <c r="B236" s="3">
        <f>IFERROR(__xludf.DUMMYFUNCTION("""COMPUTED_VALUE"""),39549.645833333336)</f>
        <v>39549.64583</v>
      </c>
      <c r="C236" s="2">
        <f>IFERROR(__xludf.DUMMYFUNCTION("""COMPUTED_VALUE"""),769.9)</f>
        <v>769.9</v>
      </c>
    </row>
    <row r="237" ht="15.75" customHeight="1">
      <c r="B237" s="3">
        <f>IFERROR(__xludf.DUMMYFUNCTION("""COMPUTED_VALUE"""),39555.645833333336)</f>
        <v>39555.64583</v>
      </c>
      <c r="C237" s="2">
        <f>IFERROR(__xludf.DUMMYFUNCTION("""COMPUTED_VALUE"""),766.5)</f>
        <v>766.5</v>
      </c>
    </row>
    <row r="238" ht="15.75" customHeight="1">
      <c r="B238" s="3">
        <f>IFERROR(__xludf.DUMMYFUNCTION("""COMPUTED_VALUE"""),39563.645833333336)</f>
        <v>39563.64583</v>
      </c>
      <c r="C238" s="2">
        <f>IFERROR(__xludf.DUMMYFUNCTION("""COMPUTED_VALUE"""),783.5)</f>
        <v>783.5</v>
      </c>
    </row>
    <row r="239" ht="15.75" customHeight="1">
      <c r="B239" s="3">
        <f>IFERROR(__xludf.DUMMYFUNCTION("""COMPUTED_VALUE"""),39570.645833333336)</f>
        <v>39570.64583</v>
      </c>
      <c r="C239" s="2">
        <f>IFERROR(__xludf.DUMMYFUNCTION("""COMPUTED_VALUE"""),791.9)</f>
        <v>791.9</v>
      </c>
    </row>
    <row r="240" ht="15.75" customHeight="1">
      <c r="B240" s="3">
        <f>IFERROR(__xludf.DUMMYFUNCTION("""COMPUTED_VALUE"""),39577.645833333336)</f>
        <v>39577.64583</v>
      </c>
      <c r="C240" s="2">
        <f>IFERROR(__xludf.DUMMYFUNCTION("""COMPUTED_VALUE"""),809.9)</f>
        <v>809.9</v>
      </c>
    </row>
    <row r="241" ht="15.75" customHeight="1">
      <c r="B241" s="3">
        <f>IFERROR(__xludf.DUMMYFUNCTION("""COMPUTED_VALUE"""),39584.645833333336)</f>
        <v>39584.64583</v>
      </c>
      <c r="C241" s="2">
        <f>IFERROR(__xludf.DUMMYFUNCTION("""COMPUTED_VALUE"""),831.95)</f>
        <v>831.95</v>
      </c>
    </row>
    <row r="242" ht="15.75" customHeight="1">
      <c r="B242" s="3">
        <f>IFERROR(__xludf.DUMMYFUNCTION("""COMPUTED_VALUE"""),39591.645833333336)</f>
        <v>39591.64583</v>
      </c>
      <c r="C242" s="2">
        <f>IFERROR(__xludf.DUMMYFUNCTION("""COMPUTED_VALUE"""),835.0)</f>
        <v>835</v>
      </c>
    </row>
    <row r="243" ht="15.75" customHeight="1">
      <c r="B243" s="3">
        <f>IFERROR(__xludf.DUMMYFUNCTION("""COMPUTED_VALUE"""),39598.645833333336)</f>
        <v>39598.64583</v>
      </c>
      <c r="C243" s="2">
        <f>IFERROR(__xludf.DUMMYFUNCTION("""COMPUTED_VALUE"""),794.9)</f>
        <v>794.9</v>
      </c>
    </row>
    <row r="244" ht="15.75" customHeight="1">
      <c r="B244" s="3">
        <f>IFERROR(__xludf.DUMMYFUNCTION("""COMPUTED_VALUE"""),39605.645833333336)</f>
        <v>39605.64583</v>
      </c>
      <c r="C244" s="2">
        <f>IFERROR(__xludf.DUMMYFUNCTION("""COMPUTED_VALUE"""),802.0)</f>
        <v>802</v>
      </c>
    </row>
    <row r="245" ht="15.75" customHeight="1">
      <c r="B245" s="3">
        <f>IFERROR(__xludf.DUMMYFUNCTION("""COMPUTED_VALUE"""),39612.645833333336)</f>
        <v>39612.64583</v>
      </c>
      <c r="C245" s="2">
        <f>IFERROR(__xludf.DUMMYFUNCTION("""COMPUTED_VALUE"""),763.0)</f>
        <v>763</v>
      </c>
    </row>
    <row r="246" ht="15.75" customHeight="1">
      <c r="B246" s="3">
        <f>IFERROR(__xludf.DUMMYFUNCTION("""COMPUTED_VALUE"""),39619.645833333336)</f>
        <v>39619.64583</v>
      </c>
      <c r="C246" s="2">
        <f>IFERROR(__xludf.DUMMYFUNCTION("""COMPUTED_VALUE"""),764.8)</f>
        <v>764.8</v>
      </c>
    </row>
    <row r="247" ht="15.75" customHeight="1">
      <c r="B247" s="3">
        <f>IFERROR(__xludf.DUMMYFUNCTION("""COMPUTED_VALUE"""),39626.645833333336)</f>
        <v>39626.64583</v>
      </c>
      <c r="C247" s="2">
        <f>IFERROR(__xludf.DUMMYFUNCTION("""COMPUTED_VALUE"""),727.0)</f>
        <v>727</v>
      </c>
    </row>
    <row r="248" ht="15.75" customHeight="1">
      <c r="B248" s="3">
        <f>IFERROR(__xludf.DUMMYFUNCTION("""COMPUTED_VALUE"""),39633.645833333336)</f>
        <v>39633.64583</v>
      </c>
      <c r="C248" s="2">
        <f>IFERROR(__xludf.DUMMYFUNCTION("""COMPUTED_VALUE"""),654.8)</f>
        <v>654.8</v>
      </c>
    </row>
    <row r="249" ht="15.75" customHeight="1">
      <c r="B249" s="3">
        <f>IFERROR(__xludf.DUMMYFUNCTION("""COMPUTED_VALUE"""),39640.645833333336)</f>
        <v>39640.64583</v>
      </c>
      <c r="C249" s="2">
        <f>IFERROR(__xludf.DUMMYFUNCTION("""COMPUTED_VALUE"""),606.9)</f>
        <v>606.9</v>
      </c>
    </row>
    <row r="250" ht="15.75" customHeight="1">
      <c r="B250" s="3">
        <f>IFERROR(__xludf.DUMMYFUNCTION("""COMPUTED_VALUE"""),39647.645833333336)</f>
        <v>39647.64583</v>
      </c>
      <c r="C250" s="2">
        <f>IFERROR(__xludf.DUMMYFUNCTION("""COMPUTED_VALUE"""),623.0)</f>
        <v>623</v>
      </c>
    </row>
    <row r="251" ht="15.75" customHeight="1">
      <c r="B251" s="3">
        <f>IFERROR(__xludf.DUMMYFUNCTION("""COMPUTED_VALUE"""),39654.645833333336)</f>
        <v>39654.64583</v>
      </c>
      <c r="C251" s="2">
        <f>IFERROR(__xludf.DUMMYFUNCTION("""COMPUTED_VALUE"""),660.0)</f>
        <v>660</v>
      </c>
    </row>
    <row r="252" ht="15.75" customHeight="1">
      <c r="B252" s="3">
        <f>IFERROR(__xludf.DUMMYFUNCTION("""COMPUTED_VALUE"""),39661.645833333336)</f>
        <v>39661.64583</v>
      </c>
      <c r="C252" s="2">
        <f>IFERROR(__xludf.DUMMYFUNCTION("""COMPUTED_VALUE"""),624.0)</f>
        <v>624</v>
      </c>
    </row>
    <row r="253" ht="15.75" customHeight="1">
      <c r="B253" s="3">
        <f>IFERROR(__xludf.DUMMYFUNCTION("""COMPUTED_VALUE"""),39668.645833333336)</f>
        <v>39668.64583</v>
      </c>
      <c r="C253" s="2">
        <f>IFERROR(__xludf.DUMMYFUNCTION("""COMPUTED_VALUE"""),684.05)</f>
        <v>684.05</v>
      </c>
    </row>
    <row r="254" ht="15.75" customHeight="1">
      <c r="B254" s="3">
        <f>IFERROR(__xludf.DUMMYFUNCTION("""COMPUTED_VALUE"""),39674.645833333336)</f>
        <v>39674.64583</v>
      </c>
      <c r="C254" s="2">
        <f>IFERROR(__xludf.DUMMYFUNCTION("""COMPUTED_VALUE"""),725.7)</f>
        <v>725.7</v>
      </c>
    </row>
    <row r="255" ht="15.75" customHeight="1">
      <c r="B255" s="3">
        <f>IFERROR(__xludf.DUMMYFUNCTION("""COMPUTED_VALUE"""),39682.645833333336)</f>
        <v>39682.64583</v>
      </c>
      <c r="C255" s="2">
        <f>IFERROR(__xludf.DUMMYFUNCTION("""COMPUTED_VALUE"""),655.0)</f>
        <v>655</v>
      </c>
    </row>
    <row r="256" ht="15.75" customHeight="1">
      <c r="B256" s="3">
        <f>IFERROR(__xludf.DUMMYFUNCTION("""COMPUTED_VALUE"""),39689.645833333336)</f>
        <v>39689.64583</v>
      </c>
      <c r="C256" s="2">
        <f>IFERROR(__xludf.DUMMYFUNCTION("""COMPUTED_VALUE"""),661.3)</f>
        <v>661.3</v>
      </c>
    </row>
    <row r="257" ht="15.75" customHeight="1">
      <c r="B257" s="3">
        <f>IFERROR(__xludf.DUMMYFUNCTION("""COMPUTED_VALUE"""),39696.645833333336)</f>
        <v>39696.64583</v>
      </c>
      <c r="C257" s="2">
        <f>IFERROR(__xludf.DUMMYFUNCTION("""COMPUTED_VALUE"""),693.5)</f>
        <v>693.5</v>
      </c>
    </row>
    <row r="258" ht="15.75" customHeight="1">
      <c r="B258" s="3">
        <f>IFERROR(__xludf.DUMMYFUNCTION("""COMPUTED_VALUE"""),39703.645833333336)</f>
        <v>39703.64583</v>
      </c>
      <c r="C258" s="2">
        <f>IFERROR(__xludf.DUMMYFUNCTION("""COMPUTED_VALUE"""),719.95)</f>
        <v>719.95</v>
      </c>
    </row>
    <row r="259" ht="15.75" customHeight="1">
      <c r="B259" s="3">
        <f>IFERROR(__xludf.DUMMYFUNCTION("""COMPUTED_VALUE"""),39710.645833333336)</f>
        <v>39710.64583</v>
      </c>
      <c r="C259" s="2">
        <f>IFERROR(__xludf.DUMMYFUNCTION("""COMPUTED_VALUE"""),749.95)</f>
        <v>749.95</v>
      </c>
    </row>
    <row r="260" ht="15.75" customHeight="1">
      <c r="B260" s="3">
        <f>IFERROR(__xludf.DUMMYFUNCTION("""COMPUTED_VALUE"""),39717.645833333336)</f>
        <v>39717.64583</v>
      </c>
      <c r="C260" s="2">
        <f>IFERROR(__xludf.DUMMYFUNCTION("""COMPUTED_VALUE"""),766.0)</f>
        <v>766</v>
      </c>
    </row>
    <row r="261" ht="15.75" customHeight="1">
      <c r="B261" s="3">
        <f>IFERROR(__xludf.DUMMYFUNCTION("""COMPUTED_VALUE"""),39724.645833333336)</f>
        <v>39724.64583</v>
      </c>
      <c r="C261" s="2">
        <f>IFERROR(__xludf.DUMMYFUNCTION("""COMPUTED_VALUE"""),715.0)</f>
        <v>715</v>
      </c>
    </row>
    <row r="262" ht="15.75" customHeight="1">
      <c r="B262" s="3">
        <f>IFERROR(__xludf.DUMMYFUNCTION("""COMPUTED_VALUE"""),39731.645833333336)</f>
        <v>39731.64583</v>
      </c>
      <c r="C262" s="2">
        <f>IFERROR(__xludf.DUMMYFUNCTION("""COMPUTED_VALUE"""),698.0)</f>
        <v>698</v>
      </c>
    </row>
    <row r="263" ht="15.75" customHeight="1">
      <c r="B263" s="3">
        <f>IFERROR(__xludf.DUMMYFUNCTION("""COMPUTED_VALUE"""),39738.645833333336)</f>
        <v>39738.64583</v>
      </c>
      <c r="C263" s="2">
        <f>IFERROR(__xludf.DUMMYFUNCTION("""COMPUTED_VALUE"""),749.0)</f>
        <v>749</v>
      </c>
    </row>
    <row r="264" ht="15.75" customHeight="1">
      <c r="B264" s="3">
        <f>IFERROR(__xludf.DUMMYFUNCTION("""COMPUTED_VALUE"""),39745.645833333336)</f>
        <v>39745.64583</v>
      </c>
      <c r="C264" s="2">
        <f>IFERROR(__xludf.DUMMYFUNCTION("""COMPUTED_VALUE"""),690.0)</f>
        <v>690</v>
      </c>
    </row>
    <row r="265" ht="15.75" customHeight="1">
      <c r="B265" s="3">
        <f>IFERROR(__xludf.DUMMYFUNCTION("""COMPUTED_VALUE"""),39752.645833333336)</f>
        <v>39752.64583</v>
      </c>
      <c r="C265" s="2">
        <f>IFERROR(__xludf.DUMMYFUNCTION("""COMPUTED_VALUE"""),584.0)</f>
        <v>584</v>
      </c>
    </row>
    <row r="266" ht="15.75" customHeight="1">
      <c r="B266" s="3">
        <f>IFERROR(__xludf.DUMMYFUNCTION("""COMPUTED_VALUE"""),39759.645833333336)</f>
        <v>39759.64583</v>
      </c>
      <c r="C266" s="2">
        <f>IFERROR(__xludf.DUMMYFUNCTION("""COMPUTED_VALUE"""),639.0)</f>
        <v>639</v>
      </c>
    </row>
    <row r="267" ht="15.75" customHeight="1">
      <c r="B267" s="3">
        <f>IFERROR(__xludf.DUMMYFUNCTION("""COMPUTED_VALUE"""),39766.645833333336)</f>
        <v>39766.64583</v>
      </c>
      <c r="C267" s="2">
        <f>IFERROR(__xludf.DUMMYFUNCTION("""COMPUTED_VALUE"""),608.0)</f>
        <v>608</v>
      </c>
    </row>
    <row r="268" ht="15.75" customHeight="1">
      <c r="B268" s="3">
        <f>IFERROR(__xludf.DUMMYFUNCTION("""COMPUTED_VALUE"""),39773.645833333336)</f>
        <v>39773.64583</v>
      </c>
      <c r="C268" s="2">
        <f>IFERROR(__xludf.DUMMYFUNCTION("""COMPUTED_VALUE"""),568.8)</f>
        <v>568.8</v>
      </c>
    </row>
    <row r="269" ht="15.75" customHeight="1">
      <c r="B269" s="3">
        <f>IFERROR(__xludf.DUMMYFUNCTION("""COMPUTED_VALUE"""),39780.645833333336)</f>
        <v>39780.64583</v>
      </c>
      <c r="C269" s="2">
        <f>IFERROR(__xludf.DUMMYFUNCTION("""COMPUTED_VALUE"""),574.0)</f>
        <v>574</v>
      </c>
    </row>
    <row r="270" ht="15.75" customHeight="1">
      <c r="B270" s="3">
        <f>IFERROR(__xludf.DUMMYFUNCTION("""COMPUTED_VALUE"""),39787.645833333336)</f>
        <v>39787.64583</v>
      </c>
      <c r="C270" s="2">
        <f>IFERROR(__xludf.DUMMYFUNCTION("""COMPUTED_VALUE"""),544.9)</f>
        <v>544.9</v>
      </c>
    </row>
    <row r="271" ht="15.75" customHeight="1">
      <c r="B271" s="3">
        <f>IFERROR(__xludf.DUMMYFUNCTION("""COMPUTED_VALUE"""),39794.645833333336)</f>
        <v>39794.64583</v>
      </c>
      <c r="C271" s="2">
        <f>IFERROR(__xludf.DUMMYFUNCTION("""COMPUTED_VALUE"""),528.0)</f>
        <v>528</v>
      </c>
    </row>
    <row r="272" ht="15.75" customHeight="1">
      <c r="B272" s="3">
        <f>IFERROR(__xludf.DUMMYFUNCTION("""COMPUTED_VALUE"""),39801.645833333336)</f>
        <v>39801.64583</v>
      </c>
      <c r="C272" s="2">
        <f>IFERROR(__xludf.DUMMYFUNCTION("""COMPUTED_VALUE"""),568.9)</f>
        <v>568.9</v>
      </c>
    </row>
    <row r="273" ht="15.75" customHeight="1">
      <c r="B273" s="3">
        <f>IFERROR(__xludf.DUMMYFUNCTION("""COMPUTED_VALUE"""),39808.645833333336)</f>
        <v>39808.64583</v>
      </c>
      <c r="C273" s="2">
        <f>IFERROR(__xludf.DUMMYFUNCTION("""COMPUTED_VALUE"""),558.95)</f>
        <v>558.95</v>
      </c>
    </row>
    <row r="274" ht="15.75" customHeight="1"/>
    <row r="275" ht="15.75" customHeight="1"/>
    <row r="276" ht="15.75" customHeight="1">
      <c r="B276" s="2" t="str">
        <f>IFERROR(__xludf.DUMMYFUNCTION("GOOGLEFINANCE(""NSE:MARUTI"", ""high"",DATE(2009,1,1),DATE(2010,1,1),""weekly"")"),"Date")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IFERROR(__xludf.DUMMYFUNCTION("""COMPUTED_VALUE"""),39815.645833333336)</f>
        <v>39815.64583</v>
      </c>
      <c r="C277" s="2">
        <f>IFERROR(__xludf.DUMMYFUNCTION("""COMPUTED_VALUE"""),559.0)</f>
        <v>559</v>
      </c>
    </row>
    <row r="278" ht="15.75" customHeight="1">
      <c r="B278" s="3">
        <f>IFERROR(__xludf.DUMMYFUNCTION("""COMPUTED_VALUE"""),39822.645833333336)</f>
        <v>39822.64583</v>
      </c>
      <c r="C278" s="2">
        <f>IFERROR(__xludf.DUMMYFUNCTION("""COMPUTED_VALUE"""),596.0)</f>
        <v>596</v>
      </c>
    </row>
    <row r="279" ht="15.75" customHeight="1">
      <c r="B279" s="3">
        <f>IFERROR(__xludf.DUMMYFUNCTION("""COMPUTED_VALUE"""),39829.645833333336)</f>
        <v>39829.64583</v>
      </c>
      <c r="C279" s="2">
        <f>IFERROR(__xludf.DUMMYFUNCTION("""COMPUTED_VALUE"""),604.0)</f>
        <v>604</v>
      </c>
    </row>
    <row r="280" ht="15.75" customHeight="1">
      <c r="B280" s="3">
        <f>IFERROR(__xludf.DUMMYFUNCTION("""COMPUTED_VALUE"""),39836.645833333336)</f>
        <v>39836.64583</v>
      </c>
      <c r="C280" s="2">
        <f>IFERROR(__xludf.DUMMYFUNCTION("""COMPUTED_VALUE"""),585.1)</f>
        <v>585.1</v>
      </c>
    </row>
    <row r="281" ht="15.75" customHeight="1">
      <c r="B281" s="3">
        <f>IFERROR(__xludf.DUMMYFUNCTION("""COMPUTED_VALUE"""),39843.645833333336)</f>
        <v>39843.64583</v>
      </c>
      <c r="C281" s="2">
        <f>IFERROR(__xludf.DUMMYFUNCTION("""COMPUTED_VALUE"""),578.9)</f>
        <v>578.9</v>
      </c>
    </row>
    <row r="282" ht="15.75" customHeight="1">
      <c r="B282" s="3">
        <f>IFERROR(__xludf.DUMMYFUNCTION("""COMPUTED_VALUE"""),39850.645833333336)</f>
        <v>39850.64583</v>
      </c>
      <c r="C282" s="2">
        <f>IFERROR(__xludf.DUMMYFUNCTION("""COMPUTED_VALUE"""),606.8)</f>
        <v>606.8</v>
      </c>
    </row>
    <row r="283" ht="15.75" customHeight="1">
      <c r="B283" s="3">
        <f>IFERROR(__xludf.DUMMYFUNCTION("""COMPUTED_VALUE"""),39857.645833333336)</f>
        <v>39857.64583</v>
      </c>
      <c r="C283" s="2">
        <f>IFERROR(__xludf.DUMMYFUNCTION("""COMPUTED_VALUE"""),637.4)</f>
        <v>637.4</v>
      </c>
    </row>
    <row r="284" ht="15.75" customHeight="1">
      <c r="B284" s="3">
        <f>IFERROR(__xludf.DUMMYFUNCTION("""COMPUTED_VALUE"""),39864.645833333336)</f>
        <v>39864.64583</v>
      </c>
      <c r="C284" s="2">
        <f>IFERROR(__xludf.DUMMYFUNCTION("""COMPUTED_VALUE"""),641.0)</f>
        <v>641</v>
      </c>
    </row>
    <row r="285" ht="15.75" customHeight="1">
      <c r="B285" s="3">
        <f>IFERROR(__xludf.DUMMYFUNCTION("""COMPUTED_VALUE"""),39871.645833333336)</f>
        <v>39871.64583</v>
      </c>
      <c r="C285" s="2">
        <f>IFERROR(__xludf.DUMMYFUNCTION("""COMPUTED_VALUE"""),709.4)</f>
        <v>709.4</v>
      </c>
    </row>
    <row r="286" ht="15.75" customHeight="1">
      <c r="B286" s="3">
        <f>IFERROR(__xludf.DUMMYFUNCTION("""COMPUTED_VALUE"""),39878.645833333336)</f>
        <v>39878.64583</v>
      </c>
      <c r="C286" s="2">
        <f>IFERROR(__xludf.DUMMYFUNCTION("""COMPUTED_VALUE"""),699.8)</f>
        <v>699.8</v>
      </c>
    </row>
    <row r="287" ht="15.75" customHeight="1">
      <c r="B287" s="3">
        <f>IFERROR(__xludf.DUMMYFUNCTION("""COMPUTED_VALUE"""),39885.645833333336)</f>
        <v>39885.64583</v>
      </c>
      <c r="C287" s="2">
        <f>IFERROR(__xludf.DUMMYFUNCTION("""COMPUTED_VALUE"""),719.5)</f>
        <v>719.5</v>
      </c>
    </row>
    <row r="288" ht="15.75" customHeight="1">
      <c r="B288" s="3">
        <f>IFERROR(__xludf.DUMMYFUNCTION("""COMPUTED_VALUE"""),39892.645833333336)</f>
        <v>39892.64583</v>
      </c>
      <c r="C288" s="2">
        <f>IFERROR(__xludf.DUMMYFUNCTION("""COMPUTED_VALUE"""),744.0)</f>
        <v>744</v>
      </c>
    </row>
    <row r="289" ht="15.75" customHeight="1">
      <c r="B289" s="3">
        <f>IFERROR(__xludf.DUMMYFUNCTION("""COMPUTED_VALUE"""),39899.645833333336)</f>
        <v>39899.64583</v>
      </c>
      <c r="C289" s="2">
        <f>IFERROR(__xludf.DUMMYFUNCTION("""COMPUTED_VALUE"""),799.0)</f>
        <v>799</v>
      </c>
    </row>
    <row r="290" ht="15.75" customHeight="1">
      <c r="B290" s="3">
        <f>IFERROR(__xludf.DUMMYFUNCTION("""COMPUTED_VALUE"""),39905.645833333336)</f>
        <v>39905.64583</v>
      </c>
      <c r="C290" s="2">
        <f>IFERROR(__xludf.DUMMYFUNCTION("""COMPUTED_VALUE"""),831.4)</f>
        <v>831.4</v>
      </c>
    </row>
    <row r="291" ht="15.75" customHeight="1">
      <c r="B291" s="3">
        <f>IFERROR(__xludf.DUMMYFUNCTION("""COMPUTED_VALUE"""),39912.645833333336)</f>
        <v>39912.64583</v>
      </c>
      <c r="C291" s="2">
        <f>IFERROR(__xludf.DUMMYFUNCTION("""COMPUTED_VALUE"""),829.5)</f>
        <v>829.5</v>
      </c>
    </row>
    <row r="292" ht="15.75" customHeight="1">
      <c r="B292" s="3">
        <f>IFERROR(__xludf.DUMMYFUNCTION("""COMPUTED_VALUE"""),39920.645833333336)</f>
        <v>39920.64583</v>
      </c>
      <c r="C292" s="2">
        <f>IFERROR(__xludf.DUMMYFUNCTION("""COMPUTED_VALUE"""),873.8)</f>
        <v>873.8</v>
      </c>
    </row>
    <row r="293" ht="15.75" customHeight="1">
      <c r="B293" s="3">
        <f>IFERROR(__xludf.DUMMYFUNCTION("""COMPUTED_VALUE"""),39927.645833333336)</f>
        <v>39927.64583</v>
      </c>
      <c r="C293" s="2">
        <f>IFERROR(__xludf.DUMMYFUNCTION("""COMPUTED_VALUE"""),854.0)</f>
        <v>854</v>
      </c>
    </row>
    <row r="294" ht="15.75" customHeight="1">
      <c r="B294" s="3">
        <f>IFERROR(__xludf.DUMMYFUNCTION("""COMPUTED_VALUE"""),39932.645833333336)</f>
        <v>39932.64583</v>
      </c>
      <c r="C294" s="2">
        <f>IFERROR(__xludf.DUMMYFUNCTION("""COMPUTED_VALUE"""),822.0)</f>
        <v>822</v>
      </c>
    </row>
    <row r="295" ht="15.75" customHeight="1">
      <c r="B295" s="3">
        <f>IFERROR(__xludf.DUMMYFUNCTION("""COMPUTED_VALUE"""),39941.645833333336)</f>
        <v>39941.64583</v>
      </c>
      <c r="C295" s="2">
        <f>IFERROR(__xludf.DUMMYFUNCTION("""COMPUTED_VALUE"""),859.0)</f>
        <v>859</v>
      </c>
    </row>
    <row r="296" ht="15.75" customHeight="1">
      <c r="B296" s="3">
        <f>IFERROR(__xludf.DUMMYFUNCTION("""COMPUTED_VALUE"""),39948.645833333336)</f>
        <v>39948.64583</v>
      </c>
      <c r="C296" s="2">
        <f>IFERROR(__xludf.DUMMYFUNCTION("""COMPUTED_VALUE"""),875.5)</f>
        <v>875.5</v>
      </c>
    </row>
    <row r="297" ht="15.75" customHeight="1">
      <c r="B297" s="3">
        <f>IFERROR(__xludf.DUMMYFUNCTION("""COMPUTED_VALUE"""),39955.645833333336)</f>
        <v>39955.64583</v>
      </c>
      <c r="C297" s="2">
        <f>IFERROR(__xludf.DUMMYFUNCTION("""COMPUTED_VALUE"""),1064.0)</f>
        <v>1064</v>
      </c>
    </row>
    <row r="298" ht="15.75" customHeight="1">
      <c r="B298" s="3">
        <f>IFERROR(__xludf.DUMMYFUNCTION("""COMPUTED_VALUE"""),39962.645833333336)</f>
        <v>39962.64583</v>
      </c>
      <c r="C298" s="2">
        <f>IFERROR(__xludf.DUMMYFUNCTION("""COMPUTED_VALUE"""),1037.45)</f>
        <v>1037.45</v>
      </c>
    </row>
    <row r="299" ht="15.75" customHeight="1">
      <c r="B299" s="3">
        <f>IFERROR(__xludf.DUMMYFUNCTION("""COMPUTED_VALUE"""),39969.645833333336)</f>
        <v>39969.64583</v>
      </c>
      <c r="C299" s="2">
        <f>IFERROR(__xludf.DUMMYFUNCTION("""COMPUTED_VALUE"""),1112.8)</f>
        <v>1112.8</v>
      </c>
    </row>
    <row r="300" ht="15.75" customHeight="1">
      <c r="B300" s="3">
        <f>IFERROR(__xludf.DUMMYFUNCTION("""COMPUTED_VALUE"""),39976.645833333336)</f>
        <v>39976.64583</v>
      </c>
      <c r="C300" s="2">
        <f>IFERROR(__xludf.DUMMYFUNCTION("""COMPUTED_VALUE"""),1119.0)</f>
        <v>1119</v>
      </c>
    </row>
    <row r="301" ht="15.75" customHeight="1">
      <c r="B301" s="3">
        <f>IFERROR(__xludf.DUMMYFUNCTION("""COMPUTED_VALUE"""),39983.645833333336)</f>
        <v>39983.64583</v>
      </c>
      <c r="C301" s="2">
        <f>IFERROR(__xludf.DUMMYFUNCTION("""COMPUTED_VALUE"""),1093.9)</f>
        <v>1093.9</v>
      </c>
    </row>
    <row r="302" ht="15.75" customHeight="1">
      <c r="B302" s="3">
        <f>IFERROR(__xludf.DUMMYFUNCTION("""COMPUTED_VALUE"""),39990.645833333336)</f>
        <v>39990.64583</v>
      </c>
      <c r="C302" s="2">
        <f>IFERROR(__xludf.DUMMYFUNCTION("""COMPUTED_VALUE"""),1074.75)</f>
        <v>1074.75</v>
      </c>
    </row>
    <row r="303" ht="15.75" customHeight="1">
      <c r="B303" s="3">
        <f>IFERROR(__xludf.DUMMYFUNCTION("""COMPUTED_VALUE"""),39997.645833333336)</f>
        <v>39997.64583</v>
      </c>
      <c r="C303" s="2">
        <f>IFERROR(__xludf.DUMMYFUNCTION("""COMPUTED_VALUE"""),1086.0)</f>
        <v>1086</v>
      </c>
    </row>
    <row r="304" ht="15.75" customHeight="1">
      <c r="B304" s="3">
        <f>IFERROR(__xludf.DUMMYFUNCTION("""COMPUTED_VALUE"""),40004.645833333336)</f>
        <v>40004.64583</v>
      </c>
      <c r="C304" s="2">
        <f>IFERROR(__xludf.DUMMYFUNCTION("""COMPUTED_VALUE"""),1124.0)</f>
        <v>1124</v>
      </c>
    </row>
    <row r="305" ht="15.75" customHeight="1">
      <c r="B305" s="3">
        <f>IFERROR(__xludf.DUMMYFUNCTION("""COMPUTED_VALUE"""),40011.645833333336)</f>
        <v>40011.64583</v>
      </c>
      <c r="C305" s="2">
        <f>IFERROR(__xludf.DUMMYFUNCTION("""COMPUTED_VALUE"""),1193.65)</f>
        <v>1193.65</v>
      </c>
    </row>
    <row r="306" ht="15.75" customHeight="1">
      <c r="B306" s="3">
        <f>IFERROR(__xludf.DUMMYFUNCTION("""COMPUTED_VALUE"""),40018.645833333336)</f>
        <v>40018.64583</v>
      </c>
      <c r="C306" s="2">
        <f>IFERROR(__xludf.DUMMYFUNCTION("""COMPUTED_VALUE"""),1399.9)</f>
        <v>1399.9</v>
      </c>
    </row>
    <row r="307" ht="15.75" customHeight="1">
      <c r="B307" s="3">
        <f>IFERROR(__xludf.DUMMYFUNCTION("""COMPUTED_VALUE"""),40025.645833333336)</f>
        <v>40025.64583</v>
      </c>
      <c r="C307" s="2">
        <f>IFERROR(__xludf.DUMMYFUNCTION("""COMPUTED_VALUE"""),1448.65)</f>
        <v>1448.65</v>
      </c>
    </row>
    <row r="308" ht="15.75" customHeight="1">
      <c r="B308" s="3">
        <f>IFERROR(__xludf.DUMMYFUNCTION("""COMPUTED_VALUE"""),40032.645833333336)</f>
        <v>40032.64583</v>
      </c>
      <c r="C308" s="2">
        <f>IFERROR(__xludf.DUMMYFUNCTION("""COMPUTED_VALUE"""),1515.9)</f>
        <v>1515.9</v>
      </c>
    </row>
    <row r="309" ht="15.75" customHeight="1">
      <c r="B309" s="3">
        <f>IFERROR(__xludf.DUMMYFUNCTION("""COMPUTED_VALUE"""),40039.645833333336)</f>
        <v>40039.64583</v>
      </c>
      <c r="C309" s="2">
        <f>IFERROR(__xludf.DUMMYFUNCTION("""COMPUTED_VALUE"""),1385.9)</f>
        <v>1385.9</v>
      </c>
    </row>
    <row r="310" ht="15.75" customHeight="1">
      <c r="B310" s="3">
        <f>IFERROR(__xludf.DUMMYFUNCTION("""COMPUTED_VALUE"""),40046.645833333336)</f>
        <v>40046.64583</v>
      </c>
      <c r="C310" s="2">
        <f>IFERROR(__xludf.DUMMYFUNCTION("""COMPUTED_VALUE"""),1390.0)</f>
        <v>1390</v>
      </c>
    </row>
    <row r="311" ht="15.75" customHeight="1">
      <c r="B311" s="3">
        <f>IFERROR(__xludf.DUMMYFUNCTION("""COMPUTED_VALUE"""),40053.645833333336)</f>
        <v>40053.64583</v>
      </c>
      <c r="C311" s="2">
        <f>IFERROR(__xludf.DUMMYFUNCTION("""COMPUTED_VALUE"""),1448.0)</f>
        <v>1448</v>
      </c>
    </row>
    <row r="312" ht="15.75" customHeight="1">
      <c r="B312" s="3">
        <f>IFERROR(__xludf.DUMMYFUNCTION("""COMPUTED_VALUE"""),40060.645833333336)</f>
        <v>40060.64583</v>
      </c>
      <c r="C312" s="2">
        <f>IFERROR(__xludf.DUMMYFUNCTION("""COMPUTED_VALUE"""),1569.9)</f>
        <v>1569.9</v>
      </c>
    </row>
    <row r="313" ht="15.75" customHeight="1">
      <c r="B313" s="3">
        <f>IFERROR(__xludf.DUMMYFUNCTION("""COMPUTED_VALUE"""),40067.645833333336)</f>
        <v>40067.64583</v>
      </c>
      <c r="C313" s="2">
        <f>IFERROR(__xludf.DUMMYFUNCTION("""COMPUTED_VALUE"""),1584.75)</f>
        <v>1584.75</v>
      </c>
    </row>
    <row r="314" ht="15.75" customHeight="1">
      <c r="B314" s="3">
        <f>IFERROR(__xludf.DUMMYFUNCTION("""COMPUTED_VALUE"""),40074.645833333336)</f>
        <v>40074.64583</v>
      </c>
      <c r="C314" s="2">
        <f>IFERROR(__xludf.DUMMYFUNCTION("""COMPUTED_VALUE"""),1650.0)</f>
        <v>1650</v>
      </c>
    </row>
    <row r="315" ht="15.75" customHeight="1">
      <c r="B315" s="3">
        <f>IFERROR(__xludf.DUMMYFUNCTION("""COMPUTED_VALUE"""),40081.645833333336)</f>
        <v>40081.64583</v>
      </c>
      <c r="C315" s="2">
        <f>IFERROR(__xludf.DUMMYFUNCTION("""COMPUTED_VALUE"""),1688.0)</f>
        <v>1688</v>
      </c>
    </row>
    <row r="316" ht="15.75" customHeight="1">
      <c r="B316" s="3">
        <f>IFERROR(__xludf.DUMMYFUNCTION("""COMPUTED_VALUE"""),40087.645833333336)</f>
        <v>40087.64583</v>
      </c>
      <c r="C316" s="2">
        <f>IFERROR(__xludf.DUMMYFUNCTION("""COMPUTED_VALUE"""),1737.3)</f>
        <v>1737.3</v>
      </c>
    </row>
    <row r="317" ht="15.75" customHeight="1">
      <c r="B317" s="3">
        <f>IFERROR(__xludf.DUMMYFUNCTION("""COMPUTED_VALUE"""),40095.645833333336)</f>
        <v>40095.64583</v>
      </c>
      <c r="C317" s="2">
        <f>IFERROR(__xludf.DUMMYFUNCTION("""COMPUTED_VALUE"""),1647.0)</f>
        <v>1647</v>
      </c>
    </row>
    <row r="318" ht="15.75" customHeight="1">
      <c r="B318" s="3">
        <f>IFERROR(__xludf.DUMMYFUNCTION("""COMPUTED_VALUE"""),40109.645833333336)</f>
        <v>40109.64583</v>
      </c>
      <c r="C318" s="2">
        <f>IFERROR(__xludf.DUMMYFUNCTION("""COMPUTED_VALUE"""),1567.8)</f>
        <v>1567.8</v>
      </c>
    </row>
    <row r="319" ht="15.75" customHeight="1">
      <c r="B319" s="3">
        <f>IFERROR(__xludf.DUMMYFUNCTION("""COMPUTED_VALUE"""),40116.645833333336)</f>
        <v>40116.64583</v>
      </c>
      <c r="C319" s="2">
        <f>IFERROR(__xludf.DUMMYFUNCTION("""COMPUTED_VALUE"""),1550.0)</f>
        <v>1550</v>
      </c>
    </row>
    <row r="320" ht="15.75" customHeight="1">
      <c r="B320" s="3">
        <f>IFERROR(__xludf.DUMMYFUNCTION("""COMPUTED_VALUE"""),40123.645833333336)</f>
        <v>40123.64583</v>
      </c>
      <c r="C320" s="2">
        <f>IFERROR(__xludf.DUMMYFUNCTION("""COMPUTED_VALUE"""),1519.0)</f>
        <v>1519</v>
      </c>
    </row>
    <row r="321" ht="15.75" customHeight="1">
      <c r="B321" s="3">
        <f>IFERROR(__xludf.DUMMYFUNCTION("""COMPUTED_VALUE"""),40130.645833333336)</f>
        <v>40130.64583</v>
      </c>
      <c r="C321" s="2">
        <f>IFERROR(__xludf.DUMMYFUNCTION("""COMPUTED_VALUE"""),1501.0)</f>
        <v>1501</v>
      </c>
    </row>
    <row r="322" ht="15.75" customHeight="1">
      <c r="B322" s="3">
        <f>IFERROR(__xludf.DUMMYFUNCTION("""COMPUTED_VALUE"""),40137.645833333336)</f>
        <v>40137.64583</v>
      </c>
      <c r="C322" s="2">
        <f>IFERROR(__xludf.DUMMYFUNCTION("""COMPUTED_VALUE"""),1575.8)</f>
        <v>1575.8</v>
      </c>
    </row>
    <row r="323" ht="15.75" customHeight="1">
      <c r="B323" s="3">
        <f>IFERROR(__xludf.DUMMYFUNCTION("""COMPUTED_VALUE"""),40144.645833333336)</f>
        <v>40144.64583</v>
      </c>
      <c r="C323" s="2">
        <f>IFERROR(__xludf.DUMMYFUNCTION("""COMPUTED_VALUE"""),1639.0)</f>
        <v>1639</v>
      </c>
    </row>
    <row r="324" ht="15.75" customHeight="1">
      <c r="B324" s="3">
        <f>IFERROR(__xludf.DUMMYFUNCTION("""COMPUTED_VALUE"""),40151.645833333336)</f>
        <v>40151.64583</v>
      </c>
      <c r="C324" s="2">
        <f>IFERROR(__xludf.DUMMYFUNCTION("""COMPUTED_VALUE"""),1692.3)</f>
        <v>1692.3</v>
      </c>
    </row>
    <row r="325" ht="15.75" customHeight="1">
      <c r="B325" s="3">
        <f>IFERROR(__xludf.DUMMYFUNCTION("""COMPUTED_VALUE"""),40158.645833333336)</f>
        <v>40158.64583</v>
      </c>
      <c r="C325" s="2">
        <f>IFERROR(__xludf.DUMMYFUNCTION("""COMPUTED_VALUE"""),1635.6)</f>
        <v>1635.6</v>
      </c>
    </row>
    <row r="326" ht="15.75" customHeight="1">
      <c r="B326" s="3">
        <f>IFERROR(__xludf.DUMMYFUNCTION("""COMPUTED_VALUE"""),40165.645833333336)</f>
        <v>40165.64583</v>
      </c>
      <c r="C326" s="2">
        <f>IFERROR(__xludf.DUMMYFUNCTION("""COMPUTED_VALUE"""),1625.0)</f>
        <v>1625</v>
      </c>
    </row>
    <row r="327" ht="15.75" customHeight="1">
      <c r="B327" s="3">
        <f>IFERROR(__xludf.DUMMYFUNCTION("""COMPUTED_VALUE"""),40171.645833333336)</f>
        <v>40171.64583</v>
      </c>
      <c r="C327" s="2">
        <f>IFERROR(__xludf.DUMMYFUNCTION("""COMPUTED_VALUE"""),1574.0)</f>
        <v>1574</v>
      </c>
    </row>
    <row r="328" ht="15.75" customHeight="1">
      <c r="B328" s="3">
        <f>IFERROR(__xludf.DUMMYFUNCTION("""COMPUTED_VALUE"""),40178.645833333336)</f>
        <v>40178.64583</v>
      </c>
      <c r="C328" s="2">
        <f>IFERROR(__xludf.DUMMYFUNCTION("""COMPUTED_VALUE"""),1577.0)</f>
        <v>1577</v>
      </c>
    </row>
    <row r="329" ht="15.75" customHeight="1"/>
    <row r="330" ht="15.75" customHeight="1"/>
    <row r="331" ht="15.75" customHeight="1">
      <c r="B331" s="2" t="str">
        <f>IFERROR(__xludf.DUMMYFUNCTION("GOOGLEFINANCE(""NSE:MARUTI"", ""high"",DATE(2010,1,1),DATE(2011,1,1),""weekly"")"),"Date")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IFERROR(__xludf.DUMMYFUNCTION("""COMPUTED_VALUE"""),40186.645833333336)</f>
        <v>40186.64583</v>
      </c>
      <c r="C332" s="2">
        <f>IFERROR(__xludf.DUMMYFUNCTION("""COMPUTED_VALUE"""),1586.7)</f>
        <v>1586.7</v>
      </c>
    </row>
    <row r="333" ht="15.75" customHeight="1">
      <c r="B333" s="3">
        <f>IFERROR(__xludf.DUMMYFUNCTION("""COMPUTED_VALUE"""),40193.645833333336)</f>
        <v>40193.64583</v>
      </c>
      <c r="C333" s="2">
        <f>IFERROR(__xludf.DUMMYFUNCTION("""COMPUTED_VALUE"""),1462.25)</f>
        <v>1462.25</v>
      </c>
    </row>
    <row r="334" ht="15.75" customHeight="1">
      <c r="B334" s="3">
        <f>IFERROR(__xludf.DUMMYFUNCTION("""COMPUTED_VALUE"""),40200.645833333336)</f>
        <v>40200.64583</v>
      </c>
      <c r="C334" s="2">
        <f>IFERROR(__xludf.DUMMYFUNCTION("""COMPUTED_VALUE"""),1480.0)</f>
        <v>1480</v>
      </c>
    </row>
    <row r="335" ht="15.75" customHeight="1">
      <c r="B335" s="3">
        <f>IFERROR(__xludf.DUMMYFUNCTION("""COMPUTED_VALUE"""),40207.645833333336)</f>
        <v>40207.64583</v>
      </c>
      <c r="C335" s="2">
        <f>IFERROR(__xludf.DUMMYFUNCTION("""COMPUTED_VALUE"""),1475.0)</f>
        <v>1475</v>
      </c>
    </row>
    <row r="336" ht="15.75" customHeight="1">
      <c r="B336" s="3">
        <f>IFERROR(__xludf.DUMMYFUNCTION("""COMPUTED_VALUE"""),40220.645833333336)</f>
        <v>40220.64583</v>
      </c>
      <c r="C336" s="2">
        <f>IFERROR(__xludf.DUMMYFUNCTION("""COMPUTED_VALUE"""),1388.8)</f>
        <v>1388.8</v>
      </c>
    </row>
    <row r="337" ht="15.75" customHeight="1">
      <c r="B337" s="3">
        <f>IFERROR(__xludf.DUMMYFUNCTION("""COMPUTED_VALUE"""),40228.645833333336)</f>
        <v>40228.64583</v>
      </c>
      <c r="C337" s="2">
        <f>IFERROR(__xludf.DUMMYFUNCTION("""COMPUTED_VALUE"""),1390.0)</f>
        <v>1390</v>
      </c>
    </row>
    <row r="338" ht="15.75" customHeight="1">
      <c r="B338" s="3">
        <f>IFERROR(__xludf.DUMMYFUNCTION("""COMPUTED_VALUE"""),40235.645833333336)</f>
        <v>40235.64583</v>
      </c>
      <c r="C338" s="2">
        <f>IFERROR(__xludf.DUMMYFUNCTION("""COMPUTED_VALUE"""),1490.0)</f>
        <v>1490</v>
      </c>
    </row>
    <row r="339" ht="15.75" customHeight="1">
      <c r="B339" s="3">
        <f>IFERROR(__xludf.DUMMYFUNCTION("""COMPUTED_VALUE"""),40242.645833333336)</f>
        <v>40242.64583</v>
      </c>
      <c r="C339" s="2">
        <f>IFERROR(__xludf.DUMMYFUNCTION("""COMPUTED_VALUE"""),1501.0)</f>
        <v>1501</v>
      </c>
    </row>
    <row r="340" ht="15.75" customHeight="1">
      <c r="B340" s="3">
        <f>IFERROR(__xludf.DUMMYFUNCTION("""COMPUTED_VALUE"""),40249.645833333336)</f>
        <v>40249.64583</v>
      </c>
      <c r="C340" s="2">
        <f>IFERROR(__xludf.DUMMYFUNCTION("""COMPUTED_VALUE"""),1519.8)</f>
        <v>1519.8</v>
      </c>
    </row>
    <row r="341" ht="15.75" customHeight="1">
      <c r="B341" s="3">
        <f>IFERROR(__xludf.DUMMYFUNCTION("""COMPUTED_VALUE"""),40256.645833333336)</f>
        <v>40256.64583</v>
      </c>
      <c r="C341" s="2">
        <f>IFERROR(__xludf.DUMMYFUNCTION("""COMPUTED_VALUE"""),1473.75)</f>
        <v>1473.75</v>
      </c>
    </row>
    <row r="342" ht="15.75" customHeight="1">
      <c r="B342" s="3">
        <f>IFERROR(__xludf.DUMMYFUNCTION("""COMPUTED_VALUE"""),40263.645833333336)</f>
        <v>40263.64583</v>
      </c>
      <c r="C342" s="2">
        <f>IFERROR(__xludf.DUMMYFUNCTION("""COMPUTED_VALUE"""),1423.8)</f>
        <v>1423.8</v>
      </c>
    </row>
    <row r="343" ht="15.75" customHeight="1">
      <c r="B343" s="3">
        <f>IFERROR(__xludf.DUMMYFUNCTION("""COMPUTED_VALUE"""),40269.645833333336)</f>
        <v>40269.64583</v>
      </c>
      <c r="C343" s="2">
        <f>IFERROR(__xludf.DUMMYFUNCTION("""COMPUTED_VALUE"""),1446.0)</f>
        <v>1446</v>
      </c>
    </row>
    <row r="344" ht="15.75" customHeight="1">
      <c r="B344" s="3">
        <f>IFERROR(__xludf.DUMMYFUNCTION("""COMPUTED_VALUE"""),40277.645833333336)</f>
        <v>40277.64583</v>
      </c>
      <c r="C344" s="2">
        <f>IFERROR(__xludf.DUMMYFUNCTION("""COMPUTED_VALUE"""),1412.0)</f>
        <v>1412</v>
      </c>
    </row>
    <row r="345" ht="15.75" customHeight="1">
      <c r="B345" s="3">
        <f>IFERROR(__xludf.DUMMYFUNCTION("""COMPUTED_VALUE"""),40284.645833333336)</f>
        <v>40284.64583</v>
      </c>
      <c r="C345" s="2">
        <f>IFERROR(__xludf.DUMMYFUNCTION("""COMPUTED_VALUE"""),1408.8)</f>
        <v>1408.8</v>
      </c>
    </row>
    <row r="346" ht="15.75" customHeight="1">
      <c r="B346" s="3">
        <f>IFERROR(__xludf.DUMMYFUNCTION("""COMPUTED_VALUE"""),40291.645833333336)</f>
        <v>40291.64583</v>
      </c>
      <c r="C346" s="2">
        <f>IFERROR(__xludf.DUMMYFUNCTION("""COMPUTED_VALUE"""),1399.8)</f>
        <v>1399.8</v>
      </c>
    </row>
    <row r="347" ht="15.75" customHeight="1">
      <c r="B347" s="3">
        <f>IFERROR(__xludf.DUMMYFUNCTION("""COMPUTED_VALUE"""),40298.645833333336)</f>
        <v>40298.64583</v>
      </c>
      <c r="C347" s="2">
        <f>IFERROR(__xludf.DUMMYFUNCTION("""COMPUTED_VALUE"""),1385.4)</f>
        <v>1385.4</v>
      </c>
    </row>
    <row r="348" ht="15.75" customHeight="1">
      <c r="B348" s="3">
        <f>IFERROR(__xludf.DUMMYFUNCTION("""COMPUTED_VALUE"""),40305.645833333336)</f>
        <v>40305.64583</v>
      </c>
      <c r="C348" s="2">
        <f>IFERROR(__xludf.DUMMYFUNCTION("""COMPUTED_VALUE"""),1297.45)</f>
        <v>1297.45</v>
      </c>
    </row>
    <row r="349" ht="15.75" customHeight="1">
      <c r="B349" s="3">
        <f>IFERROR(__xludf.DUMMYFUNCTION("""COMPUTED_VALUE"""),40312.645833333336)</f>
        <v>40312.64583</v>
      </c>
      <c r="C349" s="2">
        <f>IFERROR(__xludf.DUMMYFUNCTION("""COMPUTED_VALUE"""),1300.0)</f>
        <v>1300</v>
      </c>
    </row>
    <row r="350" ht="15.75" customHeight="1">
      <c r="B350" s="3">
        <f>IFERROR(__xludf.DUMMYFUNCTION("""COMPUTED_VALUE"""),40319.645833333336)</f>
        <v>40319.64583</v>
      </c>
      <c r="C350" s="2">
        <f>IFERROR(__xludf.DUMMYFUNCTION("""COMPUTED_VALUE"""),1254.8)</f>
        <v>1254.8</v>
      </c>
    </row>
    <row r="351" ht="15.75" customHeight="1">
      <c r="B351" s="3">
        <f>IFERROR(__xludf.DUMMYFUNCTION("""COMPUTED_VALUE"""),40326.645833333336)</f>
        <v>40326.64583</v>
      </c>
      <c r="C351" s="2">
        <f>IFERROR(__xludf.DUMMYFUNCTION("""COMPUTED_VALUE"""),1259.0)</f>
        <v>1259</v>
      </c>
    </row>
    <row r="352" ht="15.75" customHeight="1">
      <c r="B352" s="3">
        <f>IFERROR(__xludf.DUMMYFUNCTION("""COMPUTED_VALUE"""),40333.645833333336)</f>
        <v>40333.64583</v>
      </c>
      <c r="C352" s="2">
        <f>IFERROR(__xludf.DUMMYFUNCTION("""COMPUTED_VALUE"""),1335.0)</f>
        <v>1335</v>
      </c>
    </row>
    <row r="353" ht="15.75" customHeight="1">
      <c r="B353" s="3">
        <f>IFERROR(__xludf.DUMMYFUNCTION("""COMPUTED_VALUE"""),40340.645833333336)</f>
        <v>40340.64583</v>
      </c>
      <c r="C353" s="2">
        <f>IFERROR(__xludf.DUMMYFUNCTION("""COMPUTED_VALUE"""),1364.0)</f>
        <v>1364</v>
      </c>
    </row>
    <row r="354" ht="15.75" customHeight="1">
      <c r="B354" s="3">
        <f>IFERROR(__xludf.DUMMYFUNCTION("""COMPUTED_VALUE"""),40347.645833333336)</f>
        <v>40347.64583</v>
      </c>
      <c r="C354" s="2">
        <f>IFERROR(__xludf.DUMMYFUNCTION("""COMPUTED_VALUE"""),1387.0)</f>
        <v>1387</v>
      </c>
    </row>
    <row r="355" ht="15.75" customHeight="1">
      <c r="B355" s="3">
        <f>IFERROR(__xludf.DUMMYFUNCTION("""COMPUTED_VALUE"""),40354.645833333336)</f>
        <v>40354.64583</v>
      </c>
      <c r="C355" s="2">
        <f>IFERROR(__xludf.DUMMYFUNCTION("""COMPUTED_VALUE"""),1421.9)</f>
        <v>1421.9</v>
      </c>
    </row>
    <row r="356" ht="15.75" customHeight="1">
      <c r="B356" s="3">
        <f>IFERROR(__xludf.DUMMYFUNCTION("""COMPUTED_VALUE"""),40361.645833333336)</f>
        <v>40361.64583</v>
      </c>
      <c r="C356" s="2">
        <f>IFERROR(__xludf.DUMMYFUNCTION("""COMPUTED_VALUE"""),1433.95)</f>
        <v>1433.95</v>
      </c>
    </row>
    <row r="357" ht="15.75" customHeight="1">
      <c r="B357" s="3">
        <f>IFERROR(__xludf.DUMMYFUNCTION("""COMPUTED_VALUE"""),40368.645833333336)</f>
        <v>40368.64583</v>
      </c>
      <c r="C357" s="2">
        <f>IFERROR(__xludf.DUMMYFUNCTION("""COMPUTED_VALUE"""),1429.75)</f>
        <v>1429.75</v>
      </c>
    </row>
    <row r="358" ht="15.75" customHeight="1">
      <c r="B358" s="3">
        <f>IFERROR(__xludf.DUMMYFUNCTION("""COMPUTED_VALUE"""),40375.645833333336)</f>
        <v>40375.64583</v>
      </c>
      <c r="C358" s="2">
        <f>IFERROR(__xludf.DUMMYFUNCTION("""COMPUTED_VALUE"""),1435.0)</f>
        <v>1435</v>
      </c>
    </row>
    <row r="359" ht="15.75" customHeight="1">
      <c r="B359" s="3">
        <f>IFERROR(__xludf.DUMMYFUNCTION("""COMPUTED_VALUE"""),40382.645833333336)</f>
        <v>40382.64583</v>
      </c>
      <c r="C359" s="2">
        <f>IFERROR(__xludf.DUMMYFUNCTION("""COMPUTED_VALUE"""),1395.0)</f>
        <v>1395</v>
      </c>
    </row>
    <row r="360" ht="15.75" customHeight="1">
      <c r="B360" s="3">
        <f>IFERROR(__xludf.DUMMYFUNCTION("""COMPUTED_VALUE"""),40389.645833333336)</f>
        <v>40389.64583</v>
      </c>
      <c r="C360" s="2">
        <f>IFERROR(__xludf.DUMMYFUNCTION("""COMPUTED_VALUE"""),1317.5)</f>
        <v>1317.5</v>
      </c>
    </row>
    <row r="361" ht="15.75" customHeight="1">
      <c r="B361" s="3">
        <f>IFERROR(__xludf.DUMMYFUNCTION("""COMPUTED_VALUE"""),40396.645833333336)</f>
        <v>40396.64583</v>
      </c>
      <c r="C361" s="2">
        <f>IFERROR(__xludf.DUMMYFUNCTION("""COMPUTED_VALUE"""),1240.95)</f>
        <v>1240.95</v>
      </c>
    </row>
    <row r="362" ht="15.75" customHeight="1">
      <c r="B362" s="3">
        <f>IFERROR(__xludf.DUMMYFUNCTION("""COMPUTED_VALUE"""),40403.645833333336)</f>
        <v>40403.64583</v>
      </c>
      <c r="C362" s="2">
        <f>IFERROR(__xludf.DUMMYFUNCTION("""COMPUTED_VALUE"""),1254.4)</f>
        <v>1254.4</v>
      </c>
    </row>
    <row r="363" ht="15.75" customHeight="1">
      <c r="B363" s="3">
        <f>IFERROR(__xludf.DUMMYFUNCTION("""COMPUTED_VALUE"""),40410.645833333336)</f>
        <v>40410.64583</v>
      </c>
      <c r="C363" s="2">
        <f>IFERROR(__xludf.DUMMYFUNCTION("""COMPUTED_VALUE"""),1271.8)</f>
        <v>1271.8</v>
      </c>
    </row>
    <row r="364" ht="15.75" customHeight="1">
      <c r="B364" s="3">
        <f>IFERROR(__xludf.DUMMYFUNCTION("""COMPUTED_VALUE"""),40417.645833333336)</f>
        <v>40417.64583</v>
      </c>
      <c r="C364" s="2">
        <f>IFERROR(__xludf.DUMMYFUNCTION("""COMPUTED_VALUE"""),1255.0)</f>
        <v>1255</v>
      </c>
    </row>
    <row r="365" ht="15.75" customHeight="1">
      <c r="B365" s="3">
        <f>IFERROR(__xludf.DUMMYFUNCTION("""COMPUTED_VALUE"""),40424.645833333336)</f>
        <v>40424.64583</v>
      </c>
      <c r="C365" s="2">
        <f>IFERROR(__xludf.DUMMYFUNCTION("""COMPUTED_VALUE"""),1291.95)</f>
        <v>1291.95</v>
      </c>
    </row>
    <row r="366" ht="15.75" customHeight="1">
      <c r="B366" s="3">
        <f>IFERROR(__xludf.DUMMYFUNCTION("""COMPUTED_VALUE"""),40430.645833333336)</f>
        <v>40430.64583</v>
      </c>
      <c r="C366" s="2">
        <f>IFERROR(__xludf.DUMMYFUNCTION("""COMPUTED_VALUE"""),1336.9)</f>
        <v>1336.9</v>
      </c>
    </row>
    <row r="367" ht="15.75" customHeight="1">
      <c r="B367" s="3">
        <f>IFERROR(__xludf.DUMMYFUNCTION("""COMPUTED_VALUE"""),40438.645833333336)</f>
        <v>40438.64583</v>
      </c>
      <c r="C367" s="2">
        <f>IFERROR(__xludf.DUMMYFUNCTION("""COMPUTED_VALUE"""),1414.2)</f>
        <v>1414.2</v>
      </c>
    </row>
    <row r="368" ht="15.75" customHeight="1">
      <c r="B368" s="3">
        <f>IFERROR(__xludf.DUMMYFUNCTION("""COMPUTED_VALUE"""),40445.645833333336)</f>
        <v>40445.64583</v>
      </c>
      <c r="C368" s="2">
        <f>IFERROR(__xludf.DUMMYFUNCTION("""COMPUTED_VALUE"""),1485.0)</f>
        <v>1485</v>
      </c>
    </row>
    <row r="369" ht="15.75" customHeight="1">
      <c r="B369" s="3">
        <f>IFERROR(__xludf.DUMMYFUNCTION("""COMPUTED_VALUE"""),40452.645833333336)</f>
        <v>40452.64583</v>
      </c>
      <c r="C369" s="2">
        <f>IFERROR(__xludf.DUMMYFUNCTION("""COMPUTED_VALUE"""),1497.25)</f>
        <v>1497.25</v>
      </c>
    </row>
    <row r="370" ht="15.75" customHeight="1">
      <c r="B370" s="3">
        <f>IFERROR(__xludf.DUMMYFUNCTION("""COMPUTED_VALUE"""),40459.645833333336)</f>
        <v>40459.64583</v>
      </c>
      <c r="C370" s="2">
        <f>IFERROR(__xludf.DUMMYFUNCTION("""COMPUTED_VALUE"""),1529.0)</f>
        <v>1529</v>
      </c>
    </row>
    <row r="371" ht="15.75" customHeight="1">
      <c r="B371" s="3">
        <f>IFERROR(__xludf.DUMMYFUNCTION("""COMPUTED_VALUE"""),40466.645833333336)</f>
        <v>40466.64583</v>
      </c>
      <c r="C371" s="2">
        <f>IFERROR(__xludf.DUMMYFUNCTION("""COMPUTED_VALUE"""),1574.4)</f>
        <v>1574.4</v>
      </c>
    </row>
    <row r="372" ht="15.75" customHeight="1">
      <c r="B372" s="3">
        <f>IFERROR(__xludf.DUMMYFUNCTION("""COMPUTED_VALUE"""),40473.645833333336)</f>
        <v>40473.64583</v>
      </c>
      <c r="C372" s="2">
        <f>IFERROR(__xludf.DUMMYFUNCTION("""COMPUTED_VALUE"""),1525.0)</f>
        <v>1525</v>
      </c>
    </row>
    <row r="373" ht="15.75" customHeight="1">
      <c r="B373" s="3">
        <f>IFERROR(__xludf.DUMMYFUNCTION("""COMPUTED_VALUE"""),40480.645833333336)</f>
        <v>40480.64583</v>
      </c>
      <c r="C373" s="2">
        <f>IFERROR(__xludf.DUMMYFUNCTION("""COMPUTED_VALUE"""),1585.0)</f>
        <v>1585</v>
      </c>
    </row>
    <row r="374" ht="15.75" customHeight="1">
      <c r="B374" s="3">
        <f>IFERROR(__xludf.DUMMYFUNCTION("""COMPUTED_VALUE"""),40487.645833333336)</f>
        <v>40487.64583</v>
      </c>
      <c r="C374" s="2">
        <f>IFERROR(__xludf.DUMMYFUNCTION("""COMPUTED_VALUE"""),1560.0)</f>
        <v>1560</v>
      </c>
    </row>
    <row r="375" ht="15.75" customHeight="1">
      <c r="B375" s="3">
        <f>IFERROR(__xludf.DUMMYFUNCTION("""COMPUTED_VALUE"""),40494.645833333336)</f>
        <v>40494.64583</v>
      </c>
      <c r="C375" s="2">
        <f>IFERROR(__xludf.DUMMYFUNCTION("""COMPUTED_VALUE"""),1519.0)</f>
        <v>1519</v>
      </c>
    </row>
    <row r="376" ht="15.75" customHeight="1">
      <c r="B376" s="3">
        <f>IFERROR(__xludf.DUMMYFUNCTION("""COMPUTED_VALUE"""),40501.645833333336)</f>
        <v>40501.64583</v>
      </c>
      <c r="C376" s="2">
        <f>IFERROR(__xludf.DUMMYFUNCTION("""COMPUTED_VALUE"""),1459.15)</f>
        <v>1459.15</v>
      </c>
    </row>
    <row r="377" ht="15.75" customHeight="1">
      <c r="B377" s="3">
        <f>IFERROR(__xludf.DUMMYFUNCTION("""COMPUTED_VALUE"""),40508.645833333336)</f>
        <v>40508.64583</v>
      </c>
      <c r="C377" s="2">
        <f>IFERROR(__xludf.DUMMYFUNCTION("""COMPUTED_VALUE"""),1467.0)</f>
        <v>1467</v>
      </c>
    </row>
    <row r="378" ht="15.75" customHeight="1">
      <c r="B378" s="3">
        <f>IFERROR(__xludf.DUMMYFUNCTION("""COMPUTED_VALUE"""),40515.645833333336)</f>
        <v>40515.64583</v>
      </c>
      <c r="C378" s="2">
        <f>IFERROR(__xludf.DUMMYFUNCTION("""COMPUTED_VALUE"""),1446.5)</f>
        <v>1446.5</v>
      </c>
    </row>
    <row r="379" ht="15.75" customHeight="1">
      <c r="B379" s="3">
        <f>IFERROR(__xludf.DUMMYFUNCTION("""COMPUTED_VALUE"""),40522.645833333336)</f>
        <v>40522.64583</v>
      </c>
      <c r="C379" s="2">
        <f>IFERROR(__xludf.DUMMYFUNCTION("""COMPUTED_VALUE"""),1446.7)</f>
        <v>1446.7</v>
      </c>
    </row>
    <row r="380" ht="15.75" customHeight="1">
      <c r="B380" s="3">
        <f>IFERROR(__xludf.DUMMYFUNCTION("""COMPUTED_VALUE"""),40528.645833333336)</f>
        <v>40528.64583</v>
      </c>
      <c r="C380" s="2">
        <f>IFERROR(__xludf.DUMMYFUNCTION("""COMPUTED_VALUE"""),1435.0)</f>
        <v>1435</v>
      </c>
    </row>
    <row r="381" ht="15.75" customHeight="1">
      <c r="B381" s="3">
        <f>IFERROR(__xludf.DUMMYFUNCTION("""COMPUTED_VALUE"""),40536.645833333336)</f>
        <v>40536.64583</v>
      </c>
      <c r="C381" s="2">
        <f>IFERROR(__xludf.DUMMYFUNCTION("""COMPUTED_VALUE"""),1454.8)</f>
        <v>1454.8</v>
      </c>
    </row>
    <row r="382" ht="15.75" customHeight="1">
      <c r="B382" s="3">
        <f>IFERROR(__xludf.DUMMYFUNCTION("""COMPUTED_VALUE"""),40543.645833333336)</f>
        <v>40543.64583</v>
      </c>
      <c r="C382" s="2">
        <f>IFERROR(__xludf.DUMMYFUNCTION("""COMPUTED_VALUE"""),1439.5)</f>
        <v>1439.5</v>
      </c>
    </row>
    <row r="383" ht="15.75" customHeight="1"/>
    <row r="384" ht="15.75" customHeight="1"/>
    <row r="385" ht="15.75" customHeight="1"/>
    <row r="386" ht="15.75" customHeight="1">
      <c r="B386" s="2" t="str">
        <f>IFERROR(__xludf.DUMMYFUNCTION("GOOGLEFINANCE(""NSE:MARUTI"", ""high"",DATE(2011,1,1),DATE(2012,1,1),""weekly"")"),"Date")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IFERROR(__xludf.DUMMYFUNCTION("""COMPUTED_VALUE"""),40550.645833333336)</f>
        <v>40550.64583</v>
      </c>
      <c r="C387" s="2">
        <f>IFERROR(__xludf.DUMMYFUNCTION("""COMPUTED_VALUE"""),1453.4)</f>
        <v>1453.4</v>
      </c>
    </row>
    <row r="388" ht="15.75" customHeight="1">
      <c r="B388" s="3">
        <f>IFERROR(__xludf.DUMMYFUNCTION("""COMPUTED_VALUE"""),40557.645833333336)</f>
        <v>40557.64583</v>
      </c>
      <c r="C388" s="2">
        <f>IFERROR(__xludf.DUMMYFUNCTION("""COMPUTED_VALUE"""),1350.0)</f>
        <v>1350</v>
      </c>
    </row>
    <row r="389" ht="15.75" customHeight="1">
      <c r="B389" s="3">
        <f>IFERROR(__xludf.DUMMYFUNCTION("""COMPUTED_VALUE"""),40564.645833333336)</f>
        <v>40564.64583</v>
      </c>
      <c r="C389" s="2">
        <f>IFERROR(__xludf.DUMMYFUNCTION("""COMPUTED_VALUE"""),1285.05)</f>
        <v>1285.05</v>
      </c>
    </row>
    <row r="390" ht="15.75" customHeight="1">
      <c r="B390" s="3">
        <f>IFERROR(__xludf.DUMMYFUNCTION("""COMPUTED_VALUE"""),40571.645833333336)</f>
        <v>40571.64583</v>
      </c>
      <c r="C390" s="2">
        <f>IFERROR(__xludf.DUMMYFUNCTION("""COMPUTED_VALUE"""),1305.0)</f>
        <v>1305</v>
      </c>
    </row>
    <row r="391" ht="15.75" customHeight="1">
      <c r="B391" s="3">
        <f>IFERROR(__xludf.DUMMYFUNCTION("""COMPUTED_VALUE"""),40578.645833333336)</f>
        <v>40578.64583</v>
      </c>
      <c r="C391" s="2">
        <f>IFERROR(__xludf.DUMMYFUNCTION("""COMPUTED_VALUE"""),1275.0)</f>
        <v>1275</v>
      </c>
    </row>
    <row r="392" ht="15.75" customHeight="1">
      <c r="B392" s="3">
        <f>IFERROR(__xludf.DUMMYFUNCTION("""COMPUTED_VALUE"""),40585.645833333336)</f>
        <v>40585.64583</v>
      </c>
      <c r="C392" s="2">
        <f>IFERROR(__xludf.DUMMYFUNCTION("""COMPUTED_VALUE"""),1201.0)</f>
        <v>1201</v>
      </c>
    </row>
    <row r="393" ht="15.75" customHeight="1">
      <c r="B393" s="3">
        <f>IFERROR(__xludf.DUMMYFUNCTION("""COMPUTED_VALUE"""),40592.645833333336)</f>
        <v>40592.64583</v>
      </c>
      <c r="C393" s="2">
        <f>IFERROR(__xludf.DUMMYFUNCTION("""COMPUTED_VALUE"""),1256.0)</f>
        <v>1256</v>
      </c>
    </row>
    <row r="394" ht="15.75" customHeight="1">
      <c r="B394" s="3">
        <f>IFERROR(__xludf.DUMMYFUNCTION("""COMPUTED_VALUE"""),40599.645833333336)</f>
        <v>40599.64583</v>
      </c>
      <c r="C394" s="2">
        <f>IFERROR(__xludf.DUMMYFUNCTION("""COMPUTED_VALUE"""),1230.0)</f>
        <v>1230</v>
      </c>
    </row>
    <row r="395" ht="15.75" customHeight="1">
      <c r="B395" s="3">
        <f>IFERROR(__xludf.DUMMYFUNCTION("""COMPUTED_VALUE"""),40606.645833333336)</f>
        <v>40606.64583</v>
      </c>
      <c r="C395" s="2">
        <f>IFERROR(__xludf.DUMMYFUNCTION("""COMPUTED_VALUE"""),1341.6)</f>
        <v>1341.6</v>
      </c>
    </row>
    <row r="396" ht="15.75" customHeight="1">
      <c r="B396" s="3">
        <f>IFERROR(__xludf.DUMMYFUNCTION("""COMPUTED_VALUE"""),40613.645833333336)</f>
        <v>40613.64583</v>
      </c>
      <c r="C396" s="2">
        <f>IFERROR(__xludf.DUMMYFUNCTION("""COMPUTED_VALUE"""),1290.0)</f>
        <v>1290</v>
      </c>
    </row>
    <row r="397" ht="15.75" customHeight="1">
      <c r="B397" s="3">
        <f>IFERROR(__xludf.DUMMYFUNCTION("""COMPUTED_VALUE"""),40620.645833333336)</f>
        <v>40620.64583</v>
      </c>
      <c r="C397" s="2">
        <f>IFERROR(__xludf.DUMMYFUNCTION("""COMPUTED_VALUE"""),1266.0)</f>
        <v>1266</v>
      </c>
    </row>
    <row r="398" ht="15.75" customHeight="1">
      <c r="B398" s="3">
        <f>IFERROR(__xludf.DUMMYFUNCTION("""COMPUTED_VALUE"""),40627.645833333336)</f>
        <v>40627.64583</v>
      </c>
      <c r="C398" s="2">
        <f>IFERROR(__xludf.DUMMYFUNCTION("""COMPUTED_VALUE"""),1185.0)</f>
        <v>1185</v>
      </c>
    </row>
    <row r="399" ht="15.75" customHeight="1">
      <c r="B399" s="3">
        <f>IFERROR(__xludf.DUMMYFUNCTION("""COMPUTED_VALUE"""),40634.645833333336)</f>
        <v>40634.64583</v>
      </c>
      <c r="C399" s="2">
        <f>IFERROR(__xludf.DUMMYFUNCTION("""COMPUTED_VALUE"""),1295.8)</f>
        <v>1295.8</v>
      </c>
    </row>
    <row r="400" ht="15.75" customHeight="1">
      <c r="B400" s="3">
        <f>IFERROR(__xludf.DUMMYFUNCTION("""COMPUTED_VALUE"""),40641.645833333336)</f>
        <v>40641.64583</v>
      </c>
      <c r="C400" s="2">
        <f>IFERROR(__xludf.DUMMYFUNCTION("""COMPUTED_VALUE"""),1328.1)</f>
        <v>1328.1</v>
      </c>
    </row>
    <row r="401" ht="15.75" customHeight="1">
      <c r="B401" s="3">
        <f>IFERROR(__xludf.DUMMYFUNCTION("""COMPUTED_VALUE"""),40648.645833333336)</f>
        <v>40648.64583</v>
      </c>
      <c r="C401" s="2">
        <f>IFERROR(__xludf.DUMMYFUNCTION("""COMPUTED_VALUE"""),1284.0)</f>
        <v>1284</v>
      </c>
    </row>
    <row r="402" ht="15.75" customHeight="1">
      <c r="B402" s="3">
        <f>IFERROR(__xludf.DUMMYFUNCTION("""COMPUTED_VALUE"""),40654.645833333336)</f>
        <v>40654.64583</v>
      </c>
      <c r="C402" s="2">
        <f>IFERROR(__xludf.DUMMYFUNCTION("""COMPUTED_VALUE"""),1314.0)</f>
        <v>1314</v>
      </c>
    </row>
    <row r="403" ht="15.75" customHeight="1">
      <c r="B403" s="3">
        <f>IFERROR(__xludf.DUMMYFUNCTION("""COMPUTED_VALUE"""),40662.645833333336)</f>
        <v>40662.64583</v>
      </c>
      <c r="C403" s="2">
        <f>IFERROR(__xludf.DUMMYFUNCTION("""COMPUTED_VALUE"""),1335.0)</f>
        <v>1335</v>
      </c>
    </row>
    <row r="404" ht="15.75" customHeight="1">
      <c r="B404" s="3">
        <f>IFERROR(__xludf.DUMMYFUNCTION("""COMPUTED_VALUE"""),40669.645833333336)</f>
        <v>40669.64583</v>
      </c>
      <c r="C404" s="2">
        <f>IFERROR(__xludf.DUMMYFUNCTION("""COMPUTED_VALUE"""),1334.0)</f>
        <v>1334</v>
      </c>
    </row>
    <row r="405" ht="15.75" customHeight="1">
      <c r="B405" s="3">
        <f>IFERROR(__xludf.DUMMYFUNCTION("""COMPUTED_VALUE"""),40676.645833333336)</f>
        <v>40676.64583</v>
      </c>
      <c r="C405" s="2">
        <f>IFERROR(__xludf.DUMMYFUNCTION("""COMPUTED_VALUE"""),1279.9)</f>
        <v>1279.9</v>
      </c>
    </row>
    <row r="406" ht="15.75" customHeight="1">
      <c r="B406" s="3">
        <f>IFERROR(__xludf.DUMMYFUNCTION("""COMPUTED_VALUE"""),40683.645833333336)</f>
        <v>40683.64583</v>
      </c>
      <c r="C406" s="2">
        <f>IFERROR(__xludf.DUMMYFUNCTION("""COMPUTED_VALUE"""),1240.8)</f>
        <v>1240.8</v>
      </c>
    </row>
    <row r="407" ht="15.75" customHeight="1">
      <c r="B407" s="3">
        <f>IFERROR(__xludf.DUMMYFUNCTION("""COMPUTED_VALUE"""),40690.645833333336)</f>
        <v>40690.64583</v>
      </c>
      <c r="C407" s="2">
        <f>IFERROR(__xludf.DUMMYFUNCTION("""COMPUTED_VALUE"""),1234.6)</f>
        <v>1234.6</v>
      </c>
    </row>
    <row r="408" ht="15.75" customHeight="1">
      <c r="B408" s="3">
        <f>IFERROR(__xludf.DUMMYFUNCTION("""COMPUTED_VALUE"""),40697.645833333336)</f>
        <v>40697.64583</v>
      </c>
      <c r="C408" s="2">
        <f>IFERROR(__xludf.DUMMYFUNCTION("""COMPUTED_VALUE"""),1255.0)</f>
        <v>1255</v>
      </c>
    </row>
    <row r="409" ht="15.75" customHeight="1">
      <c r="B409" s="3">
        <f>IFERROR(__xludf.DUMMYFUNCTION("""COMPUTED_VALUE"""),40704.645833333336)</f>
        <v>40704.64583</v>
      </c>
      <c r="C409" s="2">
        <f>IFERROR(__xludf.DUMMYFUNCTION("""COMPUTED_VALUE"""),1245.0)</f>
        <v>1245</v>
      </c>
    </row>
    <row r="410" ht="15.75" customHeight="1">
      <c r="B410" s="3">
        <f>IFERROR(__xludf.DUMMYFUNCTION("""COMPUTED_VALUE"""),40711.645833333336)</f>
        <v>40711.64583</v>
      </c>
      <c r="C410" s="2">
        <f>IFERROR(__xludf.DUMMYFUNCTION("""COMPUTED_VALUE"""),1236.4)</f>
        <v>1236.4</v>
      </c>
    </row>
    <row r="411" ht="15.75" customHeight="1">
      <c r="B411" s="3">
        <f>IFERROR(__xludf.DUMMYFUNCTION("""COMPUTED_VALUE"""),40718.645833333336)</f>
        <v>40718.64583</v>
      </c>
      <c r="C411" s="2">
        <f>IFERROR(__xludf.DUMMYFUNCTION("""COMPUTED_VALUE"""),1177.0)</f>
        <v>1177</v>
      </c>
    </row>
    <row r="412" ht="15.75" customHeight="1">
      <c r="B412" s="3">
        <f>IFERROR(__xludf.DUMMYFUNCTION("""COMPUTED_VALUE"""),40725.645833333336)</f>
        <v>40725.64583</v>
      </c>
      <c r="C412" s="2">
        <f>IFERROR(__xludf.DUMMYFUNCTION("""COMPUTED_VALUE"""),1186.75)</f>
        <v>1186.75</v>
      </c>
    </row>
    <row r="413" ht="15.75" customHeight="1">
      <c r="B413" s="3">
        <f>IFERROR(__xludf.DUMMYFUNCTION("""COMPUTED_VALUE"""),40732.645833333336)</f>
        <v>40732.64583</v>
      </c>
      <c r="C413" s="2">
        <f>IFERROR(__xludf.DUMMYFUNCTION("""COMPUTED_VALUE"""),1202.0)</f>
        <v>1202</v>
      </c>
    </row>
    <row r="414" ht="15.75" customHeight="1">
      <c r="B414" s="3">
        <f>IFERROR(__xludf.DUMMYFUNCTION("""COMPUTED_VALUE"""),40739.645833333336)</f>
        <v>40739.64583</v>
      </c>
      <c r="C414" s="2">
        <f>IFERROR(__xludf.DUMMYFUNCTION("""COMPUTED_VALUE"""),1188.4)</f>
        <v>1188.4</v>
      </c>
    </row>
    <row r="415" ht="15.75" customHeight="1">
      <c r="B415" s="3">
        <f>IFERROR(__xludf.DUMMYFUNCTION("""COMPUTED_VALUE"""),40746.645833333336)</f>
        <v>40746.64583</v>
      </c>
      <c r="C415" s="2">
        <f>IFERROR(__xludf.DUMMYFUNCTION("""COMPUTED_VALUE"""),1188.95)</f>
        <v>1188.95</v>
      </c>
    </row>
    <row r="416" ht="15.75" customHeight="1">
      <c r="B416" s="3">
        <f>IFERROR(__xludf.DUMMYFUNCTION("""COMPUTED_VALUE"""),40753.645833333336)</f>
        <v>40753.64583</v>
      </c>
      <c r="C416" s="2">
        <f>IFERROR(__xludf.DUMMYFUNCTION("""COMPUTED_VALUE"""),1225.0)</f>
        <v>1225</v>
      </c>
    </row>
    <row r="417" ht="15.75" customHeight="1">
      <c r="B417" s="3">
        <f>IFERROR(__xludf.DUMMYFUNCTION("""COMPUTED_VALUE"""),40760.645833333336)</f>
        <v>40760.64583</v>
      </c>
      <c r="C417" s="2">
        <f>IFERROR(__xludf.DUMMYFUNCTION("""COMPUTED_VALUE"""),1228.9)</f>
        <v>1228.9</v>
      </c>
    </row>
    <row r="418" ht="15.75" customHeight="1">
      <c r="B418" s="3">
        <f>IFERROR(__xludf.DUMMYFUNCTION("""COMPUTED_VALUE"""),40767.645833333336)</f>
        <v>40767.64583</v>
      </c>
      <c r="C418" s="2">
        <f>IFERROR(__xludf.DUMMYFUNCTION("""COMPUTED_VALUE"""),1283.4)</f>
        <v>1283.4</v>
      </c>
    </row>
    <row r="419" ht="15.75" customHeight="1">
      <c r="B419" s="3">
        <f>IFERROR(__xludf.DUMMYFUNCTION("""COMPUTED_VALUE"""),40774.645833333336)</f>
        <v>40774.64583</v>
      </c>
      <c r="C419" s="2">
        <f>IFERROR(__xludf.DUMMYFUNCTION("""COMPUTED_VALUE"""),1255.6)</f>
        <v>1255.6</v>
      </c>
    </row>
    <row r="420" ht="15.75" customHeight="1">
      <c r="B420" s="3">
        <f>IFERROR(__xludf.DUMMYFUNCTION("""COMPUTED_VALUE"""),40781.645833333336)</f>
        <v>40781.64583</v>
      </c>
      <c r="C420" s="2">
        <f>IFERROR(__xludf.DUMMYFUNCTION("""COMPUTED_VALUE"""),1174.6)</f>
        <v>1174.6</v>
      </c>
    </row>
    <row r="421" ht="15.75" customHeight="1">
      <c r="B421" s="3">
        <f>IFERROR(__xludf.DUMMYFUNCTION("""COMPUTED_VALUE"""),40788.645833333336)</f>
        <v>40788.64583</v>
      </c>
      <c r="C421" s="2">
        <f>IFERROR(__xludf.DUMMYFUNCTION("""COMPUTED_VALUE"""),1107.0)</f>
        <v>1107</v>
      </c>
    </row>
    <row r="422" ht="15.75" customHeight="1">
      <c r="B422" s="3">
        <f>IFERROR(__xludf.DUMMYFUNCTION("""COMPUTED_VALUE"""),40795.645833333336)</f>
        <v>40795.64583</v>
      </c>
      <c r="C422" s="2">
        <f>IFERROR(__xludf.DUMMYFUNCTION("""COMPUTED_VALUE"""),1149.0)</f>
        <v>1149</v>
      </c>
    </row>
    <row r="423" ht="15.75" customHeight="1">
      <c r="B423" s="3">
        <f>IFERROR(__xludf.DUMMYFUNCTION("""COMPUTED_VALUE"""),40802.645833333336)</f>
        <v>40802.64583</v>
      </c>
      <c r="C423" s="2">
        <f>IFERROR(__xludf.DUMMYFUNCTION("""COMPUTED_VALUE"""),1117.65)</f>
        <v>1117.65</v>
      </c>
    </row>
    <row r="424" ht="15.75" customHeight="1">
      <c r="B424" s="3">
        <f>IFERROR(__xludf.DUMMYFUNCTION("""COMPUTED_VALUE"""),40809.645833333336)</f>
        <v>40809.64583</v>
      </c>
      <c r="C424" s="2">
        <f>IFERROR(__xludf.DUMMYFUNCTION("""COMPUTED_VALUE"""),1161.9)</f>
        <v>1161.9</v>
      </c>
    </row>
    <row r="425" ht="15.75" customHeight="1">
      <c r="B425" s="3">
        <f>IFERROR(__xludf.DUMMYFUNCTION("""COMPUTED_VALUE"""),40816.645833333336)</f>
        <v>40816.64583</v>
      </c>
      <c r="C425" s="2">
        <f>IFERROR(__xludf.DUMMYFUNCTION("""COMPUTED_VALUE"""),1116.9)</f>
        <v>1116.9</v>
      </c>
    </row>
    <row r="426" ht="15.75" customHeight="1">
      <c r="B426" s="3">
        <f>IFERROR(__xludf.DUMMYFUNCTION("""COMPUTED_VALUE"""),40823.645833333336)</f>
        <v>40823.64583</v>
      </c>
      <c r="C426" s="2">
        <f>IFERROR(__xludf.DUMMYFUNCTION("""COMPUTED_VALUE"""),1129.0)</f>
        <v>1129</v>
      </c>
    </row>
    <row r="427" ht="15.75" customHeight="1">
      <c r="B427" s="3">
        <f>IFERROR(__xludf.DUMMYFUNCTION("""COMPUTED_VALUE"""),40830.645833333336)</f>
        <v>40830.64583</v>
      </c>
      <c r="C427" s="2">
        <f>IFERROR(__xludf.DUMMYFUNCTION("""COMPUTED_VALUE"""),1091.85)</f>
        <v>1091.85</v>
      </c>
    </row>
    <row r="428" ht="15.75" customHeight="1">
      <c r="B428" s="3">
        <f>IFERROR(__xludf.DUMMYFUNCTION("""COMPUTED_VALUE"""),40837.645833333336)</f>
        <v>40837.64583</v>
      </c>
      <c r="C428" s="2">
        <f>IFERROR(__xludf.DUMMYFUNCTION("""COMPUTED_VALUE"""),1117.5)</f>
        <v>1117.5</v>
      </c>
    </row>
    <row r="429" ht="15.75" customHeight="1">
      <c r="B429" s="3">
        <f>IFERROR(__xludf.DUMMYFUNCTION("""COMPUTED_VALUE"""),40844.645833333336)</f>
        <v>40844.64583</v>
      </c>
      <c r="C429" s="2">
        <f>IFERROR(__xludf.DUMMYFUNCTION("""COMPUTED_VALUE"""),1185.0)</f>
        <v>1185</v>
      </c>
    </row>
    <row r="430" ht="15.75" customHeight="1">
      <c r="B430" s="3">
        <f>IFERROR(__xludf.DUMMYFUNCTION("""COMPUTED_VALUE"""),40851.645833333336)</f>
        <v>40851.64583</v>
      </c>
      <c r="C430" s="2">
        <f>IFERROR(__xludf.DUMMYFUNCTION("""COMPUTED_VALUE"""),1152.8)</f>
        <v>1152.8</v>
      </c>
    </row>
    <row r="431" ht="15.75" customHeight="1">
      <c r="B431" s="3">
        <f>IFERROR(__xludf.DUMMYFUNCTION("""COMPUTED_VALUE"""),40858.645833333336)</f>
        <v>40858.64583</v>
      </c>
      <c r="C431" s="2">
        <f>IFERROR(__xludf.DUMMYFUNCTION("""COMPUTED_VALUE"""),1133.95)</f>
        <v>1133.95</v>
      </c>
    </row>
    <row r="432" ht="15.75" customHeight="1">
      <c r="B432" s="3">
        <f>IFERROR(__xludf.DUMMYFUNCTION("""COMPUTED_VALUE"""),40865.645833333336)</f>
        <v>40865.64583</v>
      </c>
      <c r="C432" s="2">
        <f>IFERROR(__xludf.DUMMYFUNCTION("""COMPUTED_VALUE"""),1072.8)</f>
        <v>1072.8</v>
      </c>
    </row>
    <row r="433" ht="15.75" customHeight="1">
      <c r="B433" s="3">
        <f>IFERROR(__xludf.DUMMYFUNCTION("""COMPUTED_VALUE"""),40872.645833333336)</f>
        <v>40872.64583</v>
      </c>
      <c r="C433" s="2">
        <f>IFERROR(__xludf.DUMMYFUNCTION("""COMPUTED_VALUE"""),999.0)</f>
        <v>999</v>
      </c>
    </row>
    <row r="434" ht="15.75" customHeight="1">
      <c r="B434" s="3">
        <f>IFERROR(__xludf.DUMMYFUNCTION("""COMPUTED_VALUE"""),40879.645833333336)</f>
        <v>40879.64583</v>
      </c>
      <c r="C434" s="2">
        <f>IFERROR(__xludf.DUMMYFUNCTION("""COMPUTED_VALUE"""),1008.0)</f>
        <v>1008</v>
      </c>
    </row>
    <row r="435" ht="15.75" customHeight="1">
      <c r="B435" s="3">
        <f>IFERROR(__xludf.DUMMYFUNCTION("""COMPUTED_VALUE"""),40886.645833333336)</f>
        <v>40886.64583</v>
      </c>
      <c r="C435" s="2">
        <f>IFERROR(__xludf.DUMMYFUNCTION("""COMPUTED_VALUE"""),1014.9)</f>
        <v>1014.9</v>
      </c>
    </row>
    <row r="436" ht="15.75" customHeight="1">
      <c r="B436" s="3">
        <f>IFERROR(__xludf.DUMMYFUNCTION("""COMPUTED_VALUE"""),40893.645833333336)</f>
        <v>40893.64583</v>
      </c>
      <c r="C436" s="2">
        <f>IFERROR(__xludf.DUMMYFUNCTION("""COMPUTED_VALUE"""),990.05)</f>
        <v>990.05</v>
      </c>
    </row>
    <row r="437" ht="15.75" customHeight="1">
      <c r="B437" s="3">
        <f>IFERROR(__xludf.DUMMYFUNCTION("""COMPUTED_VALUE"""),40900.645833333336)</f>
        <v>40900.64583</v>
      </c>
      <c r="C437" s="2">
        <f>IFERROR(__xludf.DUMMYFUNCTION("""COMPUTED_VALUE"""),988.5)</f>
        <v>988.5</v>
      </c>
    </row>
    <row r="438" ht="15.75" customHeight="1">
      <c r="B438" s="3">
        <f>IFERROR(__xludf.DUMMYFUNCTION("""COMPUTED_VALUE"""),40907.645833333336)</f>
        <v>40907.64583</v>
      </c>
      <c r="C438" s="2">
        <f>IFERROR(__xludf.DUMMYFUNCTION("""COMPUTED_VALUE"""),991.0)</f>
        <v>991</v>
      </c>
    </row>
    <row r="439" ht="15.75" customHeight="1"/>
    <row r="440" ht="15.75" customHeight="1"/>
    <row r="441" ht="15.75" customHeight="1">
      <c r="B441" s="2" t="str">
        <f>IFERROR(__xludf.DUMMYFUNCTION("GOOGLEFINANCE(""NSE:MARUTI"", ""high"",DATE(2012,1,1),DATE(2013,1,1),""weekly"")"),"Date")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IFERROR(__xludf.DUMMYFUNCTION("""COMPUTED_VALUE"""),40921.645833333336)</f>
        <v>40921.64583</v>
      </c>
      <c r="C442" s="2">
        <f>IFERROR(__xludf.DUMMYFUNCTION("""COMPUTED_VALUE"""),1009.2)</f>
        <v>1009.2</v>
      </c>
    </row>
    <row r="443" ht="15.75" customHeight="1">
      <c r="B443" s="3">
        <f>IFERROR(__xludf.DUMMYFUNCTION("""COMPUTED_VALUE"""),40928.645833333336)</f>
        <v>40928.64583</v>
      </c>
      <c r="C443" s="2">
        <f>IFERROR(__xludf.DUMMYFUNCTION("""COMPUTED_VALUE"""),1144.85)</f>
        <v>1144.85</v>
      </c>
    </row>
    <row r="444" ht="15.75" customHeight="1">
      <c r="B444" s="3">
        <f>IFERROR(__xludf.DUMMYFUNCTION("""COMPUTED_VALUE"""),40935.645833333336)</f>
        <v>40935.64583</v>
      </c>
      <c r="C444" s="2">
        <f>IFERROR(__xludf.DUMMYFUNCTION("""COMPUTED_VALUE"""),1219.0)</f>
        <v>1219</v>
      </c>
    </row>
    <row r="445" ht="15.75" customHeight="1">
      <c r="B445" s="3">
        <f>IFERROR(__xludf.DUMMYFUNCTION("""COMPUTED_VALUE"""),40942.645833333336)</f>
        <v>40942.64583</v>
      </c>
      <c r="C445" s="2">
        <f>IFERROR(__xludf.DUMMYFUNCTION("""COMPUTED_VALUE"""),1254.0)</f>
        <v>1254</v>
      </c>
    </row>
    <row r="446" ht="15.75" customHeight="1">
      <c r="B446" s="3">
        <f>IFERROR(__xludf.DUMMYFUNCTION("""COMPUTED_VALUE"""),40949.645833333336)</f>
        <v>40949.64583</v>
      </c>
      <c r="C446" s="2">
        <f>IFERROR(__xludf.DUMMYFUNCTION("""COMPUTED_VALUE"""),1280.0)</f>
        <v>1280</v>
      </c>
    </row>
    <row r="447" ht="15.75" customHeight="1">
      <c r="B447" s="3">
        <f>IFERROR(__xludf.DUMMYFUNCTION("""COMPUTED_VALUE"""),40956.645833333336)</f>
        <v>40956.64583</v>
      </c>
      <c r="C447" s="2">
        <f>IFERROR(__xludf.DUMMYFUNCTION("""COMPUTED_VALUE"""),1375.0)</f>
        <v>1375</v>
      </c>
    </row>
    <row r="448" ht="15.75" customHeight="1">
      <c r="B448" s="3">
        <f>IFERROR(__xludf.DUMMYFUNCTION("""COMPUTED_VALUE"""),40963.645833333336)</f>
        <v>40963.64583</v>
      </c>
      <c r="C448" s="2">
        <f>IFERROR(__xludf.DUMMYFUNCTION("""COMPUTED_VALUE"""),1337.05)</f>
        <v>1337.05</v>
      </c>
    </row>
    <row r="449" ht="15.75" customHeight="1">
      <c r="B449" s="3">
        <f>IFERROR(__xludf.DUMMYFUNCTION("""COMPUTED_VALUE"""),40977.645833333336)</f>
        <v>40977.64583</v>
      </c>
      <c r="C449" s="2">
        <f>IFERROR(__xludf.DUMMYFUNCTION("""COMPUTED_VALUE"""),1359.0)</f>
        <v>1359</v>
      </c>
    </row>
    <row r="450" ht="15.75" customHeight="1">
      <c r="B450" s="3">
        <f>IFERROR(__xludf.DUMMYFUNCTION("""COMPUTED_VALUE"""),40984.645833333336)</f>
        <v>40984.64583</v>
      </c>
      <c r="C450" s="2">
        <f>IFERROR(__xludf.DUMMYFUNCTION("""COMPUTED_VALUE"""),1428.95)</f>
        <v>1428.95</v>
      </c>
    </row>
    <row r="451" ht="15.75" customHeight="1">
      <c r="B451" s="3">
        <f>IFERROR(__xludf.DUMMYFUNCTION("""COMPUTED_VALUE"""),40991.645833333336)</f>
        <v>40991.64583</v>
      </c>
      <c r="C451" s="2">
        <f>IFERROR(__xludf.DUMMYFUNCTION("""COMPUTED_VALUE"""),1378.8)</f>
        <v>1378.8</v>
      </c>
    </row>
    <row r="452" ht="15.75" customHeight="1">
      <c r="B452" s="3">
        <f>IFERROR(__xludf.DUMMYFUNCTION("""COMPUTED_VALUE"""),40998.645833333336)</f>
        <v>40998.64583</v>
      </c>
      <c r="C452" s="2">
        <f>IFERROR(__xludf.DUMMYFUNCTION("""COMPUTED_VALUE"""),1356.5)</f>
        <v>1356.5</v>
      </c>
    </row>
    <row r="453" ht="15.75" customHeight="1">
      <c r="B453" s="3">
        <f>IFERROR(__xludf.DUMMYFUNCTION("""COMPUTED_VALUE"""),41003.645833333336)</f>
        <v>41003.64583</v>
      </c>
      <c r="C453" s="2">
        <f>IFERROR(__xludf.DUMMYFUNCTION("""COMPUTED_VALUE"""),1364.2)</f>
        <v>1364.2</v>
      </c>
    </row>
    <row r="454" ht="15.75" customHeight="1">
      <c r="B454" s="3">
        <f>IFERROR(__xludf.DUMMYFUNCTION("""COMPUTED_VALUE"""),41012.645833333336)</f>
        <v>41012.64583</v>
      </c>
      <c r="C454" s="2">
        <f>IFERROR(__xludf.DUMMYFUNCTION("""COMPUTED_VALUE"""),1350.0)</f>
        <v>1350</v>
      </c>
    </row>
    <row r="455" ht="15.75" customHeight="1">
      <c r="B455" s="3">
        <f>IFERROR(__xludf.DUMMYFUNCTION("""COMPUTED_VALUE"""),41019.645833333336)</f>
        <v>41019.64583</v>
      </c>
      <c r="C455" s="2">
        <f>IFERROR(__xludf.DUMMYFUNCTION("""COMPUTED_VALUE"""),1417.05)</f>
        <v>1417.05</v>
      </c>
    </row>
    <row r="456" ht="15.75" customHeight="1">
      <c r="B456" s="3">
        <f>IFERROR(__xludf.DUMMYFUNCTION("""COMPUTED_VALUE"""),41033.645833333336)</f>
        <v>41033.64583</v>
      </c>
      <c r="C456" s="2">
        <f>IFERROR(__xludf.DUMMYFUNCTION("""COMPUTED_VALUE"""),1399.0)</f>
        <v>1399</v>
      </c>
    </row>
    <row r="457" ht="15.75" customHeight="1">
      <c r="B457" s="3">
        <f>IFERROR(__xludf.DUMMYFUNCTION("""COMPUTED_VALUE"""),41040.645833333336)</f>
        <v>41040.64583</v>
      </c>
      <c r="C457" s="2">
        <f>IFERROR(__xludf.DUMMYFUNCTION("""COMPUTED_VALUE"""),1331.7)</f>
        <v>1331.7</v>
      </c>
    </row>
    <row r="458" ht="15.75" customHeight="1">
      <c r="B458" s="3">
        <f>IFERROR(__xludf.DUMMYFUNCTION("""COMPUTED_VALUE"""),41047.645833333336)</f>
        <v>41047.64583</v>
      </c>
      <c r="C458" s="2">
        <f>IFERROR(__xludf.DUMMYFUNCTION("""COMPUTED_VALUE"""),1258.0)</f>
        <v>1258</v>
      </c>
    </row>
    <row r="459" ht="15.75" customHeight="1">
      <c r="B459" s="3">
        <f>IFERROR(__xludf.DUMMYFUNCTION("""COMPUTED_VALUE"""),41054.645833333336)</f>
        <v>41054.64583</v>
      </c>
      <c r="C459" s="2">
        <f>IFERROR(__xludf.DUMMYFUNCTION("""COMPUTED_VALUE"""),1224.6)</f>
        <v>1224.6</v>
      </c>
    </row>
    <row r="460" ht="15.75" customHeight="1">
      <c r="B460" s="3">
        <f>IFERROR(__xludf.DUMMYFUNCTION("""COMPUTED_VALUE"""),41061.645833333336)</f>
        <v>41061.64583</v>
      </c>
      <c r="C460" s="2">
        <f>IFERROR(__xludf.DUMMYFUNCTION("""COMPUTED_VALUE"""),1157.35)</f>
        <v>1157.35</v>
      </c>
    </row>
    <row r="461" ht="15.75" customHeight="1">
      <c r="B461" s="3">
        <f>IFERROR(__xludf.DUMMYFUNCTION("""COMPUTED_VALUE"""),41068.645833333336)</f>
        <v>41068.64583</v>
      </c>
      <c r="C461" s="2">
        <f>IFERROR(__xludf.DUMMYFUNCTION("""COMPUTED_VALUE"""),1146.4)</f>
        <v>1146.4</v>
      </c>
    </row>
    <row r="462" ht="15.75" customHeight="1">
      <c r="B462" s="3">
        <f>IFERROR(__xludf.DUMMYFUNCTION("""COMPUTED_VALUE"""),41075.645833333336)</f>
        <v>41075.64583</v>
      </c>
      <c r="C462" s="2">
        <f>IFERROR(__xludf.DUMMYFUNCTION("""COMPUTED_VALUE"""),1152.8)</f>
        <v>1152.8</v>
      </c>
    </row>
    <row r="463" ht="15.75" customHeight="1">
      <c r="B463" s="3">
        <f>IFERROR(__xludf.DUMMYFUNCTION("""COMPUTED_VALUE"""),41082.645833333336)</f>
        <v>41082.64583</v>
      </c>
      <c r="C463" s="2">
        <f>IFERROR(__xludf.DUMMYFUNCTION("""COMPUTED_VALUE"""),1127.45)</f>
        <v>1127.45</v>
      </c>
    </row>
    <row r="464" ht="15.75" customHeight="1">
      <c r="B464" s="3">
        <f>IFERROR(__xludf.DUMMYFUNCTION("""COMPUTED_VALUE"""),41089.645833333336)</f>
        <v>41089.64583</v>
      </c>
      <c r="C464" s="2">
        <f>IFERROR(__xludf.DUMMYFUNCTION("""COMPUTED_VALUE"""),1176.0)</f>
        <v>1176</v>
      </c>
    </row>
    <row r="465" ht="15.75" customHeight="1">
      <c r="B465" s="3">
        <f>IFERROR(__xludf.DUMMYFUNCTION("""COMPUTED_VALUE"""),41096.645833333336)</f>
        <v>41096.64583</v>
      </c>
      <c r="C465" s="2">
        <f>IFERROR(__xludf.DUMMYFUNCTION("""COMPUTED_VALUE"""),1250.0)</f>
        <v>1250</v>
      </c>
    </row>
    <row r="466" ht="15.75" customHeight="1">
      <c r="B466" s="3">
        <f>IFERROR(__xludf.DUMMYFUNCTION("""COMPUTED_VALUE"""),41103.645833333336)</f>
        <v>41103.64583</v>
      </c>
      <c r="C466" s="2">
        <f>IFERROR(__xludf.DUMMYFUNCTION("""COMPUTED_VALUE"""),1228.8)</f>
        <v>1228.8</v>
      </c>
    </row>
    <row r="467" ht="15.75" customHeight="1">
      <c r="B467" s="3">
        <f>IFERROR(__xludf.DUMMYFUNCTION("""COMPUTED_VALUE"""),41110.645833333336)</f>
        <v>41110.64583</v>
      </c>
      <c r="C467" s="2">
        <f>IFERROR(__xludf.DUMMYFUNCTION("""COMPUTED_VALUE"""),1229.0)</f>
        <v>1229</v>
      </c>
    </row>
    <row r="468" ht="15.75" customHeight="1">
      <c r="B468" s="3">
        <f>IFERROR(__xludf.DUMMYFUNCTION("""COMPUTED_VALUE"""),41117.645833333336)</f>
        <v>41117.64583</v>
      </c>
      <c r="C468" s="2">
        <f>IFERROR(__xludf.DUMMYFUNCTION("""COMPUTED_VALUE"""),1125.6)</f>
        <v>1125.6</v>
      </c>
    </row>
    <row r="469" ht="15.75" customHeight="1">
      <c r="B469" s="3">
        <f>IFERROR(__xludf.DUMMYFUNCTION("""COMPUTED_VALUE"""),41124.645833333336)</f>
        <v>41124.64583</v>
      </c>
      <c r="C469" s="2">
        <f>IFERROR(__xludf.DUMMYFUNCTION("""COMPUTED_VALUE"""),1144.0)</f>
        <v>1144</v>
      </c>
    </row>
    <row r="470" ht="15.75" customHeight="1">
      <c r="B470" s="3">
        <f>IFERROR(__xludf.DUMMYFUNCTION("""COMPUTED_VALUE"""),41131.645833333336)</f>
        <v>41131.64583</v>
      </c>
      <c r="C470" s="2">
        <f>IFERROR(__xludf.DUMMYFUNCTION("""COMPUTED_VALUE"""),1175.85)</f>
        <v>1175.85</v>
      </c>
    </row>
    <row r="471" ht="15.75" customHeight="1">
      <c r="B471" s="3">
        <f>IFERROR(__xludf.DUMMYFUNCTION("""COMPUTED_VALUE"""),41138.645833333336)</f>
        <v>41138.64583</v>
      </c>
      <c r="C471" s="2">
        <f>IFERROR(__xludf.DUMMYFUNCTION("""COMPUTED_VALUE"""),1198.0)</f>
        <v>1198</v>
      </c>
    </row>
    <row r="472" ht="15.75" customHeight="1">
      <c r="B472" s="3">
        <f>IFERROR(__xludf.DUMMYFUNCTION("""COMPUTED_VALUE"""),41145.645833333336)</f>
        <v>41145.64583</v>
      </c>
      <c r="C472" s="2">
        <f>IFERROR(__xludf.DUMMYFUNCTION("""COMPUTED_VALUE"""),1206.0)</f>
        <v>1206</v>
      </c>
    </row>
    <row r="473" ht="15.75" customHeight="1">
      <c r="B473" s="3">
        <f>IFERROR(__xludf.DUMMYFUNCTION("""COMPUTED_VALUE"""),41152.645833333336)</f>
        <v>41152.64583</v>
      </c>
      <c r="C473" s="2">
        <f>IFERROR(__xludf.DUMMYFUNCTION("""COMPUTED_VALUE"""),1198.5)</f>
        <v>1198.5</v>
      </c>
    </row>
    <row r="474" ht="15.75" customHeight="1">
      <c r="B474" s="3">
        <f>IFERROR(__xludf.DUMMYFUNCTION("""COMPUTED_VALUE"""),41166.645833333336)</f>
        <v>41166.64583</v>
      </c>
      <c r="C474" s="2">
        <f>IFERROR(__xludf.DUMMYFUNCTION("""COMPUTED_VALUE"""),1267.8)</f>
        <v>1267.8</v>
      </c>
    </row>
    <row r="475" ht="15.75" customHeight="1">
      <c r="B475" s="3">
        <f>IFERROR(__xludf.DUMMYFUNCTION("""COMPUTED_VALUE"""),41173.645833333336)</f>
        <v>41173.64583</v>
      </c>
      <c r="C475" s="2">
        <f>IFERROR(__xludf.DUMMYFUNCTION("""COMPUTED_VALUE"""),1324.5)</f>
        <v>1324.5</v>
      </c>
    </row>
    <row r="476" ht="15.75" customHeight="1">
      <c r="B476" s="3">
        <f>IFERROR(__xludf.DUMMYFUNCTION("""COMPUTED_VALUE"""),41180.645833333336)</f>
        <v>41180.64583</v>
      </c>
      <c r="C476" s="2">
        <f>IFERROR(__xludf.DUMMYFUNCTION("""COMPUTED_VALUE"""),1370.0)</f>
        <v>1370</v>
      </c>
    </row>
    <row r="477" ht="15.75" customHeight="1">
      <c r="B477" s="3">
        <f>IFERROR(__xludf.DUMMYFUNCTION("""COMPUTED_VALUE"""),41187.645833333336)</f>
        <v>41187.64583</v>
      </c>
      <c r="C477" s="2">
        <f>IFERROR(__xludf.DUMMYFUNCTION("""COMPUTED_VALUE"""),1409.85)</f>
        <v>1409.85</v>
      </c>
    </row>
    <row r="478" ht="15.75" customHeight="1">
      <c r="B478" s="3">
        <f>IFERROR(__xludf.DUMMYFUNCTION("""COMPUTED_VALUE"""),41194.645833333336)</f>
        <v>41194.64583</v>
      </c>
      <c r="C478" s="2">
        <f>IFERROR(__xludf.DUMMYFUNCTION("""COMPUTED_VALUE"""),1409.9)</f>
        <v>1409.9</v>
      </c>
    </row>
    <row r="479" ht="15.75" customHeight="1">
      <c r="B479" s="3">
        <f>IFERROR(__xludf.DUMMYFUNCTION("""COMPUTED_VALUE"""),41201.645833333336)</f>
        <v>41201.64583</v>
      </c>
      <c r="C479" s="2">
        <f>IFERROR(__xludf.DUMMYFUNCTION("""COMPUTED_VALUE"""),1389.0)</f>
        <v>1389</v>
      </c>
    </row>
    <row r="480" ht="15.75" customHeight="1">
      <c r="B480" s="3">
        <f>IFERROR(__xludf.DUMMYFUNCTION("""COMPUTED_VALUE"""),41208.645833333336)</f>
        <v>41208.64583</v>
      </c>
      <c r="C480" s="2">
        <f>IFERROR(__xludf.DUMMYFUNCTION("""COMPUTED_VALUE"""),1378.0)</f>
        <v>1378</v>
      </c>
    </row>
    <row r="481" ht="15.75" customHeight="1">
      <c r="B481" s="3">
        <f>IFERROR(__xludf.DUMMYFUNCTION("""COMPUTED_VALUE"""),41215.645833333336)</f>
        <v>41215.64583</v>
      </c>
      <c r="C481" s="2">
        <f>IFERROR(__xludf.DUMMYFUNCTION("""COMPUTED_VALUE"""),1477.35)</f>
        <v>1477.35</v>
      </c>
    </row>
    <row r="482" ht="15.75" customHeight="1">
      <c r="B482" s="3">
        <f>IFERROR(__xludf.DUMMYFUNCTION("""COMPUTED_VALUE"""),41222.645833333336)</f>
        <v>41222.64583</v>
      </c>
      <c r="C482" s="2">
        <f>IFERROR(__xludf.DUMMYFUNCTION("""COMPUTED_VALUE"""),1487.95)</f>
        <v>1487.95</v>
      </c>
    </row>
    <row r="483" ht="15.75" customHeight="1">
      <c r="B483" s="3">
        <f>IFERROR(__xludf.DUMMYFUNCTION("""COMPUTED_VALUE"""),41229.645833333336)</f>
        <v>41229.64583</v>
      </c>
      <c r="C483" s="2">
        <f>IFERROR(__xludf.DUMMYFUNCTION("""COMPUTED_VALUE"""),1477.0)</f>
        <v>1477</v>
      </c>
    </row>
    <row r="484" ht="15.75" customHeight="1">
      <c r="B484" s="3">
        <f>IFERROR(__xludf.DUMMYFUNCTION("""COMPUTED_VALUE"""),41236.645833333336)</f>
        <v>41236.64583</v>
      </c>
      <c r="C484" s="2">
        <f>IFERROR(__xludf.DUMMYFUNCTION("""COMPUTED_VALUE"""),1514.5)</f>
        <v>1514.5</v>
      </c>
    </row>
    <row r="485" ht="15.75" customHeight="1">
      <c r="B485" s="3">
        <f>IFERROR(__xludf.DUMMYFUNCTION("""COMPUTED_VALUE"""),41243.645833333336)</f>
        <v>41243.64583</v>
      </c>
      <c r="C485" s="2">
        <f>IFERROR(__xludf.DUMMYFUNCTION("""COMPUTED_VALUE"""),1509.4)</f>
        <v>1509.4</v>
      </c>
    </row>
    <row r="486" ht="15.75" customHeight="1">
      <c r="B486" s="3">
        <f>IFERROR(__xludf.DUMMYFUNCTION("""COMPUTED_VALUE"""),41250.645833333336)</f>
        <v>41250.64583</v>
      </c>
      <c r="C486" s="2">
        <f>IFERROR(__xludf.DUMMYFUNCTION("""COMPUTED_VALUE"""),1539.9)</f>
        <v>1539.9</v>
      </c>
    </row>
    <row r="487" ht="15.75" customHeight="1">
      <c r="B487" s="3">
        <f>IFERROR(__xludf.DUMMYFUNCTION("""COMPUTED_VALUE"""),41257.645833333336)</f>
        <v>41257.64583</v>
      </c>
      <c r="C487" s="2">
        <f>IFERROR(__xludf.DUMMYFUNCTION("""COMPUTED_VALUE"""),1523.5)</f>
        <v>1523.5</v>
      </c>
    </row>
    <row r="488" ht="15.75" customHeight="1">
      <c r="B488" s="3">
        <f>IFERROR(__xludf.DUMMYFUNCTION("""COMPUTED_VALUE"""),41264.645833333336)</f>
        <v>41264.64583</v>
      </c>
      <c r="C488" s="2">
        <f>IFERROR(__xludf.DUMMYFUNCTION("""COMPUTED_VALUE"""),1530.15)</f>
        <v>1530.15</v>
      </c>
    </row>
    <row r="489" ht="15.75" customHeight="1">
      <c r="B489" s="3">
        <f>IFERROR(__xludf.DUMMYFUNCTION("""COMPUTED_VALUE"""),41271.645833333336)</f>
        <v>41271.64583</v>
      </c>
      <c r="C489" s="2">
        <f>IFERROR(__xludf.DUMMYFUNCTION("""COMPUTED_VALUE"""),1517.0)</f>
        <v>1517</v>
      </c>
    </row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IFERROR(__xludf.DUMMYFUNCTION("GOOGLEFINANCE(""NSE:MARUTI"", ""high"",DATE(2013,1,1),DATE(2014,1,1),""weekly"")"),"Date")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IFERROR(__xludf.DUMMYFUNCTION("""COMPUTED_VALUE"""),41278.645833333336)</f>
        <v>41278.64583</v>
      </c>
      <c r="C497" s="2">
        <f>IFERROR(__xludf.DUMMYFUNCTION("""COMPUTED_VALUE"""),1567.0)</f>
        <v>1567</v>
      </c>
    </row>
    <row r="498" ht="15.75" customHeight="1">
      <c r="B498" s="3">
        <f>IFERROR(__xludf.DUMMYFUNCTION("""COMPUTED_VALUE"""),41285.645833333336)</f>
        <v>41285.64583</v>
      </c>
      <c r="C498" s="2">
        <f>IFERROR(__xludf.DUMMYFUNCTION("""COMPUTED_VALUE"""),1601.75)</f>
        <v>1601.75</v>
      </c>
    </row>
    <row r="499" ht="15.75" customHeight="1">
      <c r="B499" s="3">
        <f>IFERROR(__xludf.DUMMYFUNCTION("""COMPUTED_VALUE"""),41292.645833333336)</f>
        <v>41292.64583</v>
      </c>
      <c r="C499" s="2">
        <f>IFERROR(__xludf.DUMMYFUNCTION("""COMPUTED_VALUE"""),1578.0)</f>
        <v>1578</v>
      </c>
    </row>
    <row r="500" ht="15.75" customHeight="1">
      <c r="B500" s="3">
        <f>IFERROR(__xludf.DUMMYFUNCTION("""COMPUTED_VALUE"""),41299.645833333336)</f>
        <v>41299.64583</v>
      </c>
      <c r="C500" s="2">
        <f>IFERROR(__xludf.DUMMYFUNCTION("""COMPUTED_VALUE"""),1606.0)</f>
        <v>1606</v>
      </c>
    </row>
    <row r="501" ht="15.75" customHeight="1">
      <c r="B501" s="3">
        <f>IFERROR(__xludf.DUMMYFUNCTION("""COMPUTED_VALUE"""),41306.645833333336)</f>
        <v>41306.64583</v>
      </c>
      <c r="C501" s="2">
        <f>IFERROR(__xludf.DUMMYFUNCTION("""COMPUTED_VALUE"""),1633.9)</f>
        <v>1633.9</v>
      </c>
    </row>
    <row r="502" ht="15.75" customHeight="1">
      <c r="B502" s="3">
        <f>IFERROR(__xludf.DUMMYFUNCTION("""COMPUTED_VALUE"""),41313.645833333336)</f>
        <v>41313.64583</v>
      </c>
      <c r="C502" s="2">
        <f>IFERROR(__xludf.DUMMYFUNCTION("""COMPUTED_VALUE"""),1639.0)</f>
        <v>1639</v>
      </c>
    </row>
    <row r="503" ht="15.75" customHeight="1">
      <c r="B503" s="3">
        <f>IFERROR(__xludf.DUMMYFUNCTION("""COMPUTED_VALUE"""),41320.645833333336)</f>
        <v>41320.64583</v>
      </c>
      <c r="C503" s="2">
        <f>IFERROR(__xludf.DUMMYFUNCTION("""COMPUTED_VALUE"""),1594.9)</f>
        <v>1594.9</v>
      </c>
    </row>
    <row r="504" ht="15.75" customHeight="1">
      <c r="B504" s="3">
        <f>IFERROR(__xludf.DUMMYFUNCTION("""COMPUTED_VALUE"""),41327.645833333336)</f>
        <v>41327.64583</v>
      </c>
      <c r="C504" s="2">
        <f>IFERROR(__xludf.DUMMYFUNCTION("""COMPUTED_VALUE"""),1524.8)</f>
        <v>1524.8</v>
      </c>
    </row>
    <row r="505" ht="15.75" customHeight="1">
      <c r="B505" s="3">
        <f>IFERROR(__xludf.DUMMYFUNCTION("""COMPUTED_VALUE"""),41334.645833333336)</f>
        <v>41334.64583</v>
      </c>
      <c r="C505" s="2">
        <f>IFERROR(__xludf.DUMMYFUNCTION("""COMPUTED_VALUE"""),1459.9)</f>
        <v>1459.9</v>
      </c>
    </row>
    <row r="506" ht="15.75" customHeight="1">
      <c r="B506" s="3">
        <f>IFERROR(__xludf.DUMMYFUNCTION("""COMPUTED_VALUE"""),41341.645833333336)</f>
        <v>41341.64583</v>
      </c>
      <c r="C506" s="2">
        <f>IFERROR(__xludf.DUMMYFUNCTION("""COMPUTED_VALUE"""),1473.95)</f>
        <v>1473.95</v>
      </c>
    </row>
    <row r="507" ht="15.75" customHeight="1">
      <c r="B507" s="3">
        <f>IFERROR(__xludf.DUMMYFUNCTION("""COMPUTED_VALUE"""),41348.645833333336)</f>
        <v>41348.64583</v>
      </c>
      <c r="C507" s="2">
        <f>IFERROR(__xludf.DUMMYFUNCTION("""COMPUTED_VALUE"""),1448.0)</f>
        <v>1448</v>
      </c>
    </row>
    <row r="508" ht="15.75" customHeight="1">
      <c r="B508" s="3">
        <f>IFERROR(__xludf.DUMMYFUNCTION("""COMPUTED_VALUE"""),41355.645833333336)</f>
        <v>41355.64583</v>
      </c>
      <c r="C508" s="2">
        <f>IFERROR(__xludf.DUMMYFUNCTION("""COMPUTED_VALUE"""),1393.9)</f>
        <v>1393.9</v>
      </c>
    </row>
    <row r="509" ht="15.75" customHeight="1">
      <c r="B509" s="3">
        <f>IFERROR(__xludf.DUMMYFUNCTION("""COMPUTED_VALUE"""),41361.645833333336)</f>
        <v>41361.64583</v>
      </c>
      <c r="C509" s="2">
        <f>IFERROR(__xludf.DUMMYFUNCTION("""COMPUTED_VALUE"""),1330.0)</f>
        <v>1330</v>
      </c>
    </row>
    <row r="510" ht="15.75" customHeight="1">
      <c r="B510" s="3">
        <f>IFERROR(__xludf.DUMMYFUNCTION("""COMPUTED_VALUE"""),41369.645833333336)</f>
        <v>41369.64583</v>
      </c>
      <c r="C510" s="2">
        <f>IFERROR(__xludf.DUMMYFUNCTION("""COMPUTED_VALUE"""),1424.0)</f>
        <v>1424</v>
      </c>
    </row>
    <row r="511" ht="15.75" customHeight="1">
      <c r="B511" s="3">
        <f>IFERROR(__xludf.DUMMYFUNCTION("""COMPUTED_VALUE"""),41376.645833333336)</f>
        <v>41376.64583</v>
      </c>
      <c r="C511" s="2">
        <f>IFERROR(__xludf.DUMMYFUNCTION("""COMPUTED_VALUE"""),1442.0)</f>
        <v>1442</v>
      </c>
    </row>
    <row r="512" ht="15.75" customHeight="1">
      <c r="B512" s="3">
        <f>IFERROR(__xludf.DUMMYFUNCTION("""COMPUTED_VALUE"""),41382.645833333336)</f>
        <v>41382.64583</v>
      </c>
      <c r="C512" s="2">
        <f>IFERROR(__xludf.DUMMYFUNCTION("""COMPUTED_VALUE"""),1533.45)</f>
        <v>1533.45</v>
      </c>
    </row>
    <row r="513" ht="15.75" customHeight="1">
      <c r="B513" s="3">
        <f>IFERROR(__xludf.DUMMYFUNCTION("""COMPUTED_VALUE"""),41390.645833333336)</f>
        <v>41390.64583</v>
      </c>
      <c r="C513" s="2">
        <f>IFERROR(__xludf.DUMMYFUNCTION("""COMPUTED_VALUE"""),1693.0)</f>
        <v>1693</v>
      </c>
    </row>
    <row r="514" ht="15.75" customHeight="1">
      <c r="B514" s="3">
        <f>IFERROR(__xludf.DUMMYFUNCTION("""COMPUTED_VALUE"""),41397.645833333336)</f>
        <v>41397.64583</v>
      </c>
      <c r="C514" s="2">
        <f>IFERROR(__xludf.DUMMYFUNCTION("""COMPUTED_VALUE"""),1709.7)</f>
        <v>1709.7</v>
      </c>
    </row>
    <row r="515" ht="15.75" customHeight="1">
      <c r="B515" s="3">
        <f>IFERROR(__xludf.DUMMYFUNCTION("""COMPUTED_VALUE"""),41411.645833333336)</f>
        <v>41411.64583</v>
      </c>
      <c r="C515" s="2">
        <f>IFERROR(__xludf.DUMMYFUNCTION("""COMPUTED_VALUE"""),1758.0)</f>
        <v>1758</v>
      </c>
    </row>
    <row r="516" ht="15.75" customHeight="1">
      <c r="B516" s="3">
        <f>IFERROR(__xludf.DUMMYFUNCTION("""COMPUTED_VALUE"""),41418.645833333336)</f>
        <v>41418.64583</v>
      </c>
      <c r="C516" s="2">
        <f>IFERROR(__xludf.DUMMYFUNCTION("""COMPUTED_VALUE"""),1777.0)</f>
        <v>1777</v>
      </c>
    </row>
    <row r="517" ht="15.75" customHeight="1">
      <c r="B517" s="3">
        <f>IFERROR(__xludf.DUMMYFUNCTION("""COMPUTED_VALUE"""),41425.645833333336)</f>
        <v>41425.64583</v>
      </c>
      <c r="C517" s="2">
        <f>IFERROR(__xludf.DUMMYFUNCTION("""COMPUTED_VALUE"""),1670.0)</f>
        <v>1670</v>
      </c>
    </row>
    <row r="518" ht="15.75" customHeight="1">
      <c r="B518" s="3">
        <f>IFERROR(__xludf.DUMMYFUNCTION("""COMPUTED_VALUE"""),41432.645833333336)</f>
        <v>41432.64583</v>
      </c>
      <c r="C518" s="2">
        <f>IFERROR(__xludf.DUMMYFUNCTION("""COMPUTED_VALUE"""),1599.95)</f>
        <v>1599.95</v>
      </c>
    </row>
    <row r="519" ht="15.75" customHeight="1">
      <c r="B519" s="3">
        <f>IFERROR(__xludf.DUMMYFUNCTION("""COMPUTED_VALUE"""),41439.645833333336)</f>
        <v>41439.64583</v>
      </c>
      <c r="C519" s="2">
        <f>IFERROR(__xludf.DUMMYFUNCTION("""COMPUTED_VALUE"""),1580.95)</f>
        <v>1580.95</v>
      </c>
    </row>
    <row r="520" ht="15.75" customHeight="1">
      <c r="B520" s="3">
        <f>IFERROR(__xludf.DUMMYFUNCTION("""COMPUTED_VALUE"""),41446.645833333336)</f>
        <v>41446.64583</v>
      </c>
      <c r="C520" s="2">
        <f>IFERROR(__xludf.DUMMYFUNCTION("""COMPUTED_VALUE"""),1559.9)</f>
        <v>1559.9</v>
      </c>
    </row>
    <row r="521" ht="15.75" customHeight="1">
      <c r="B521" s="3">
        <f>IFERROR(__xludf.DUMMYFUNCTION("""COMPUTED_VALUE"""),41453.645833333336)</f>
        <v>41453.64583</v>
      </c>
      <c r="C521" s="2">
        <f>IFERROR(__xludf.DUMMYFUNCTION("""COMPUTED_VALUE"""),1572.0)</f>
        <v>1572</v>
      </c>
    </row>
    <row r="522" ht="15.75" customHeight="1">
      <c r="B522" s="3">
        <f>IFERROR(__xludf.DUMMYFUNCTION("""COMPUTED_VALUE"""),41460.645833333336)</f>
        <v>41460.64583</v>
      </c>
      <c r="C522" s="2">
        <f>IFERROR(__xludf.DUMMYFUNCTION("""COMPUTED_VALUE"""),1622.4)</f>
        <v>1622.4</v>
      </c>
    </row>
    <row r="523" ht="15.75" customHeight="1">
      <c r="B523" s="3">
        <f>IFERROR(__xludf.DUMMYFUNCTION("""COMPUTED_VALUE"""),41467.645833333336)</f>
        <v>41467.64583</v>
      </c>
      <c r="C523" s="2">
        <f>IFERROR(__xludf.DUMMYFUNCTION("""COMPUTED_VALUE"""),1579.1)</f>
        <v>1579.1</v>
      </c>
    </row>
    <row r="524" ht="15.75" customHeight="1">
      <c r="B524" s="3">
        <f>IFERROR(__xludf.DUMMYFUNCTION("""COMPUTED_VALUE"""),41474.645833333336)</f>
        <v>41474.64583</v>
      </c>
      <c r="C524" s="2">
        <f>IFERROR(__xludf.DUMMYFUNCTION("""COMPUTED_VALUE"""),1465.0)</f>
        <v>1465</v>
      </c>
    </row>
    <row r="525" ht="15.75" customHeight="1">
      <c r="B525" s="3">
        <f>IFERROR(__xludf.DUMMYFUNCTION("""COMPUTED_VALUE"""),41481.645833333336)</f>
        <v>41481.64583</v>
      </c>
      <c r="C525" s="2">
        <f>IFERROR(__xludf.DUMMYFUNCTION("""COMPUTED_VALUE"""),1466.5)</f>
        <v>1466.5</v>
      </c>
    </row>
    <row r="526" ht="15.75" customHeight="1">
      <c r="B526" s="3">
        <f>IFERROR(__xludf.DUMMYFUNCTION("""COMPUTED_VALUE"""),41488.645833333336)</f>
        <v>41488.64583</v>
      </c>
      <c r="C526" s="2">
        <f>IFERROR(__xludf.DUMMYFUNCTION("""COMPUTED_VALUE"""),1378.1)</f>
        <v>1378.1</v>
      </c>
    </row>
    <row r="527" ht="15.75" customHeight="1">
      <c r="B527" s="3">
        <f>IFERROR(__xludf.DUMMYFUNCTION("""COMPUTED_VALUE"""),41494.645833333336)</f>
        <v>41494.64583</v>
      </c>
      <c r="C527" s="2">
        <f>IFERROR(__xludf.DUMMYFUNCTION("""COMPUTED_VALUE"""),1392.4)</f>
        <v>1392.4</v>
      </c>
    </row>
    <row r="528" ht="15.75" customHeight="1">
      <c r="B528" s="3">
        <f>IFERROR(__xludf.DUMMYFUNCTION("""COMPUTED_VALUE"""),41502.645833333336)</f>
        <v>41502.64583</v>
      </c>
      <c r="C528" s="2">
        <f>IFERROR(__xludf.DUMMYFUNCTION("""COMPUTED_VALUE"""),1424.0)</f>
        <v>1424</v>
      </c>
    </row>
    <row r="529" ht="15.75" customHeight="1">
      <c r="B529" s="3">
        <f>IFERROR(__xludf.DUMMYFUNCTION("""COMPUTED_VALUE"""),41509.645833333336)</f>
        <v>41509.64583</v>
      </c>
      <c r="C529" s="2">
        <f>IFERROR(__xludf.DUMMYFUNCTION("""COMPUTED_VALUE"""),1336.8)</f>
        <v>1336.8</v>
      </c>
    </row>
    <row r="530" ht="15.75" customHeight="1">
      <c r="B530" s="3">
        <f>IFERROR(__xludf.DUMMYFUNCTION("""COMPUTED_VALUE"""),41516.645833333336)</f>
        <v>41516.64583</v>
      </c>
      <c r="C530" s="2">
        <f>IFERROR(__xludf.DUMMYFUNCTION("""COMPUTED_VALUE"""),1318.3)</f>
        <v>1318.3</v>
      </c>
    </row>
    <row r="531" ht="15.75" customHeight="1">
      <c r="B531" s="3">
        <f>IFERROR(__xludf.DUMMYFUNCTION("""COMPUTED_VALUE"""),41523.645833333336)</f>
        <v>41523.64583</v>
      </c>
      <c r="C531" s="2">
        <f>IFERROR(__xludf.DUMMYFUNCTION("""COMPUTED_VALUE"""),1319.6)</f>
        <v>1319.6</v>
      </c>
    </row>
    <row r="532" ht="15.75" customHeight="1">
      <c r="B532" s="3">
        <f>IFERROR(__xludf.DUMMYFUNCTION("""COMPUTED_VALUE"""),41530.645833333336)</f>
        <v>41530.64583</v>
      </c>
      <c r="C532" s="2">
        <f>IFERROR(__xludf.DUMMYFUNCTION("""COMPUTED_VALUE"""),1388.8)</f>
        <v>1388.8</v>
      </c>
    </row>
    <row r="533" ht="15.75" customHeight="1">
      <c r="B533" s="3">
        <f>IFERROR(__xludf.DUMMYFUNCTION("""COMPUTED_VALUE"""),41537.645833333336)</f>
        <v>41537.64583</v>
      </c>
      <c r="C533" s="2">
        <f>IFERROR(__xludf.DUMMYFUNCTION("""COMPUTED_VALUE"""),1503.4)</f>
        <v>1503.4</v>
      </c>
    </row>
    <row r="534" ht="15.75" customHeight="1">
      <c r="B534" s="3">
        <f>IFERROR(__xludf.DUMMYFUNCTION("""COMPUTED_VALUE"""),41544.645833333336)</f>
        <v>41544.64583</v>
      </c>
      <c r="C534" s="2">
        <f>IFERROR(__xludf.DUMMYFUNCTION("""COMPUTED_VALUE"""),1454.4)</f>
        <v>1454.4</v>
      </c>
    </row>
    <row r="535" ht="15.75" customHeight="1">
      <c r="B535" s="3">
        <f>IFERROR(__xludf.DUMMYFUNCTION("""COMPUTED_VALUE"""),41551.645833333336)</f>
        <v>41551.64583</v>
      </c>
      <c r="C535" s="2">
        <f>IFERROR(__xludf.DUMMYFUNCTION("""COMPUTED_VALUE"""),1434.95)</f>
        <v>1434.95</v>
      </c>
    </row>
    <row r="536" ht="15.75" customHeight="1">
      <c r="B536" s="3">
        <f>IFERROR(__xludf.DUMMYFUNCTION("""COMPUTED_VALUE"""),41558.645833333336)</f>
        <v>41558.64583</v>
      </c>
      <c r="C536" s="2">
        <f>IFERROR(__xludf.DUMMYFUNCTION("""COMPUTED_VALUE"""),1470.0)</f>
        <v>1470</v>
      </c>
    </row>
    <row r="537" ht="15.75" customHeight="1">
      <c r="B537" s="3">
        <f>IFERROR(__xludf.DUMMYFUNCTION("""COMPUTED_VALUE"""),41565.645833333336)</f>
        <v>41565.64583</v>
      </c>
      <c r="C537" s="2">
        <f>IFERROR(__xludf.DUMMYFUNCTION("""COMPUTED_VALUE"""),1479.0)</f>
        <v>1479</v>
      </c>
    </row>
    <row r="538" ht="15.75" customHeight="1">
      <c r="B538" s="3">
        <f>IFERROR(__xludf.DUMMYFUNCTION("""COMPUTED_VALUE"""),41572.645833333336)</f>
        <v>41572.64583</v>
      </c>
      <c r="C538" s="2">
        <f>IFERROR(__xludf.DUMMYFUNCTION("""COMPUTED_VALUE"""),1549.75)</f>
        <v>1549.75</v>
      </c>
    </row>
    <row r="539" ht="15.75" customHeight="1">
      <c r="B539" s="3">
        <f>IFERROR(__xludf.DUMMYFUNCTION("""COMPUTED_VALUE"""),41579.645833333336)</f>
        <v>41579.64583</v>
      </c>
      <c r="C539" s="2">
        <f>IFERROR(__xludf.DUMMYFUNCTION("""COMPUTED_VALUE"""),1659.9)</f>
        <v>1659.9</v>
      </c>
    </row>
    <row r="540" ht="15.75" customHeight="1">
      <c r="B540" s="3">
        <f>IFERROR(__xludf.DUMMYFUNCTION("""COMPUTED_VALUE"""),41586.645833333336)</f>
        <v>41586.64583</v>
      </c>
      <c r="C540" s="2">
        <f>IFERROR(__xludf.DUMMYFUNCTION("""COMPUTED_VALUE"""),1658.0)</f>
        <v>1658</v>
      </c>
    </row>
    <row r="541" ht="15.75" customHeight="1">
      <c r="B541" s="3">
        <f>IFERROR(__xludf.DUMMYFUNCTION("""COMPUTED_VALUE"""),41592.645833333336)</f>
        <v>41592.64583</v>
      </c>
      <c r="C541" s="2">
        <f>IFERROR(__xludf.DUMMYFUNCTION("""COMPUTED_VALUE"""),1625.0)</f>
        <v>1625</v>
      </c>
    </row>
    <row r="542" ht="15.75" customHeight="1">
      <c r="B542" s="3">
        <f>IFERROR(__xludf.DUMMYFUNCTION("""COMPUTED_VALUE"""),41600.645833333336)</f>
        <v>41600.64583</v>
      </c>
      <c r="C542" s="2">
        <f>IFERROR(__xludf.DUMMYFUNCTION("""COMPUTED_VALUE"""),1700.0)</f>
        <v>1700</v>
      </c>
    </row>
    <row r="543" ht="15.75" customHeight="1">
      <c r="B543" s="3">
        <f>IFERROR(__xludf.DUMMYFUNCTION("""COMPUTED_VALUE"""),41607.645833333336)</f>
        <v>41607.64583</v>
      </c>
      <c r="C543" s="2">
        <f>IFERROR(__xludf.DUMMYFUNCTION("""COMPUTED_VALUE"""),1692.65)</f>
        <v>1692.65</v>
      </c>
    </row>
    <row r="544" ht="15.75" customHeight="1">
      <c r="B544" s="3">
        <f>IFERROR(__xludf.DUMMYFUNCTION("""COMPUTED_VALUE"""),41614.645833333336)</f>
        <v>41614.64583</v>
      </c>
      <c r="C544" s="2">
        <f>IFERROR(__xludf.DUMMYFUNCTION("""COMPUTED_VALUE"""),1717.65)</f>
        <v>1717.65</v>
      </c>
    </row>
    <row r="545" ht="15.75" customHeight="1">
      <c r="B545" s="3">
        <f>IFERROR(__xludf.DUMMYFUNCTION("""COMPUTED_VALUE"""),41621.645833333336)</f>
        <v>41621.64583</v>
      </c>
      <c r="C545" s="2">
        <f>IFERROR(__xludf.DUMMYFUNCTION("""COMPUTED_VALUE"""),1780.6)</f>
        <v>1780.6</v>
      </c>
    </row>
    <row r="546" ht="15.75" customHeight="1">
      <c r="B546" s="3">
        <f>IFERROR(__xludf.DUMMYFUNCTION("""COMPUTED_VALUE"""),41628.645833333336)</f>
        <v>41628.64583</v>
      </c>
      <c r="C546" s="2">
        <f>IFERROR(__xludf.DUMMYFUNCTION("""COMPUTED_VALUE"""),1830.0)</f>
        <v>1830</v>
      </c>
    </row>
    <row r="547" ht="15.75" customHeight="1">
      <c r="B547" s="3">
        <f>IFERROR(__xludf.DUMMYFUNCTION("""COMPUTED_VALUE"""),41635.645833333336)</f>
        <v>41635.64583</v>
      </c>
      <c r="C547" s="2">
        <f>IFERROR(__xludf.DUMMYFUNCTION("""COMPUTED_VALUE"""),1819.9)</f>
        <v>1819.9</v>
      </c>
    </row>
    <row r="548" ht="15.75" customHeight="1"/>
    <row r="549" ht="15.75" customHeight="1"/>
    <row r="550" ht="15.75" customHeight="1"/>
    <row r="551" ht="15.75" customHeight="1">
      <c r="B551" s="2" t="str">
        <f>IFERROR(__xludf.DUMMYFUNCTION("GOOGLEFINANCE(""NSE:MARUTI"", ""high"",DATE(2014,1,1),DATE(2015,1,1),""weekly"")"),"Date")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IFERROR(__xludf.DUMMYFUNCTION("""COMPUTED_VALUE"""),41642.645833333336)</f>
        <v>41642.64583</v>
      </c>
      <c r="C552" s="2">
        <f>IFERROR(__xludf.DUMMYFUNCTION("""COMPUTED_VALUE"""),1814.8)</f>
        <v>1814.8</v>
      </c>
    </row>
    <row r="553" ht="15.75" customHeight="1">
      <c r="B553" s="3">
        <f>IFERROR(__xludf.DUMMYFUNCTION("""COMPUTED_VALUE"""),41649.645833333336)</f>
        <v>41649.64583</v>
      </c>
      <c r="C553" s="2">
        <f>IFERROR(__xludf.DUMMYFUNCTION("""COMPUTED_VALUE"""),1860.0)</f>
        <v>1860</v>
      </c>
    </row>
    <row r="554" ht="15.75" customHeight="1">
      <c r="B554" s="3">
        <f>IFERROR(__xludf.DUMMYFUNCTION("""COMPUTED_VALUE"""),41656.645833333336)</f>
        <v>41656.64583</v>
      </c>
      <c r="C554" s="2">
        <f>IFERROR(__xludf.DUMMYFUNCTION("""COMPUTED_VALUE"""),1814.75)</f>
        <v>1814.75</v>
      </c>
    </row>
    <row r="555" ht="15.75" customHeight="1">
      <c r="B555" s="3">
        <f>IFERROR(__xludf.DUMMYFUNCTION("""COMPUTED_VALUE"""),41663.645833333336)</f>
        <v>41663.64583</v>
      </c>
      <c r="C555" s="2">
        <f>IFERROR(__xludf.DUMMYFUNCTION("""COMPUTED_VALUE"""),1819.9)</f>
        <v>1819.9</v>
      </c>
    </row>
    <row r="556" ht="15.75" customHeight="1">
      <c r="B556" s="3">
        <f>IFERROR(__xludf.DUMMYFUNCTION("""COMPUTED_VALUE"""),41670.645833333336)</f>
        <v>41670.64583</v>
      </c>
      <c r="C556" s="2">
        <f>IFERROR(__xludf.DUMMYFUNCTION("""COMPUTED_VALUE"""),1755.0)</f>
        <v>1755</v>
      </c>
    </row>
    <row r="557" ht="15.75" customHeight="1">
      <c r="B557" s="3">
        <f>IFERROR(__xludf.DUMMYFUNCTION("""COMPUTED_VALUE"""),41677.645833333336)</f>
        <v>41677.64583</v>
      </c>
      <c r="C557" s="2">
        <f>IFERROR(__xludf.DUMMYFUNCTION("""COMPUTED_VALUE"""),1670.4)</f>
        <v>1670.4</v>
      </c>
    </row>
    <row r="558" ht="15.75" customHeight="1">
      <c r="B558" s="3">
        <f>IFERROR(__xludf.DUMMYFUNCTION("""COMPUTED_VALUE"""),41684.645833333336)</f>
        <v>41684.64583</v>
      </c>
      <c r="C558" s="2">
        <f>IFERROR(__xludf.DUMMYFUNCTION("""COMPUTED_VALUE"""),1701.6)</f>
        <v>1701.6</v>
      </c>
    </row>
    <row r="559" ht="15.75" customHeight="1">
      <c r="B559" s="3">
        <f>IFERROR(__xludf.DUMMYFUNCTION("""COMPUTED_VALUE"""),41691.645833333336)</f>
        <v>41691.64583</v>
      </c>
      <c r="C559" s="2">
        <f>IFERROR(__xludf.DUMMYFUNCTION("""COMPUTED_VALUE"""),1733.65)</f>
        <v>1733.65</v>
      </c>
    </row>
    <row r="560" ht="15.75" customHeight="1">
      <c r="B560" s="3">
        <f>IFERROR(__xludf.DUMMYFUNCTION("""COMPUTED_VALUE"""),41698.645833333336)</f>
        <v>41698.64583</v>
      </c>
      <c r="C560" s="2">
        <f>IFERROR(__xludf.DUMMYFUNCTION("""COMPUTED_VALUE"""),1695.0)</f>
        <v>1695</v>
      </c>
    </row>
    <row r="561" ht="15.75" customHeight="1">
      <c r="B561" s="3">
        <f>IFERROR(__xludf.DUMMYFUNCTION("""COMPUTED_VALUE"""),41705.645833333336)</f>
        <v>41705.64583</v>
      </c>
      <c r="C561" s="2">
        <f>IFERROR(__xludf.DUMMYFUNCTION("""COMPUTED_VALUE"""),1747.0)</f>
        <v>1747</v>
      </c>
    </row>
    <row r="562" ht="15.75" customHeight="1">
      <c r="B562" s="3">
        <f>IFERROR(__xludf.DUMMYFUNCTION("""COMPUTED_VALUE"""),41712.645833333336)</f>
        <v>41712.64583</v>
      </c>
      <c r="C562" s="2">
        <f>IFERROR(__xludf.DUMMYFUNCTION("""COMPUTED_VALUE"""),1817.25)</f>
        <v>1817.25</v>
      </c>
    </row>
    <row r="563" ht="15.75" customHeight="1">
      <c r="B563" s="3">
        <f>IFERROR(__xludf.DUMMYFUNCTION("""COMPUTED_VALUE"""),41726.645833333336)</f>
        <v>41726.64583</v>
      </c>
      <c r="C563" s="2">
        <f>IFERROR(__xludf.DUMMYFUNCTION("""COMPUTED_VALUE"""),1968.4)</f>
        <v>1968.4</v>
      </c>
    </row>
    <row r="564" ht="15.75" customHeight="1">
      <c r="B564" s="3">
        <f>IFERROR(__xludf.DUMMYFUNCTION("""COMPUTED_VALUE"""),41733.645833333336)</f>
        <v>41733.64583</v>
      </c>
      <c r="C564" s="2">
        <f>IFERROR(__xludf.DUMMYFUNCTION("""COMPUTED_VALUE"""),1980.0)</f>
        <v>1980</v>
      </c>
    </row>
    <row r="565" ht="15.75" customHeight="1">
      <c r="B565" s="3">
        <f>IFERROR(__xludf.DUMMYFUNCTION("""COMPUTED_VALUE"""),41740.645833333336)</f>
        <v>41740.64583</v>
      </c>
      <c r="C565" s="2">
        <f>IFERROR(__xludf.DUMMYFUNCTION("""COMPUTED_VALUE"""),1973.5)</f>
        <v>1973.5</v>
      </c>
    </row>
    <row r="566" ht="15.75" customHeight="1">
      <c r="B566" s="3">
        <f>IFERROR(__xludf.DUMMYFUNCTION("""COMPUTED_VALUE"""),41746.645833333336)</f>
        <v>41746.64583</v>
      </c>
      <c r="C566" s="2">
        <f>IFERROR(__xludf.DUMMYFUNCTION("""COMPUTED_VALUE"""),1964.8)</f>
        <v>1964.8</v>
      </c>
    </row>
    <row r="567" ht="15.75" customHeight="1">
      <c r="B567" s="3">
        <f>IFERROR(__xludf.DUMMYFUNCTION("""COMPUTED_VALUE"""),41754.645833333336)</f>
        <v>41754.64583</v>
      </c>
      <c r="C567" s="2">
        <f>IFERROR(__xludf.DUMMYFUNCTION("""COMPUTED_VALUE"""),2006.85)</f>
        <v>2006.85</v>
      </c>
    </row>
    <row r="568" ht="15.75" customHeight="1">
      <c r="B568" s="3">
        <f>IFERROR(__xludf.DUMMYFUNCTION("""COMPUTED_VALUE"""),41761.645833333336)</f>
        <v>41761.64583</v>
      </c>
      <c r="C568" s="2">
        <f>IFERROR(__xludf.DUMMYFUNCTION("""COMPUTED_VALUE"""),1966.8)</f>
        <v>1966.8</v>
      </c>
    </row>
    <row r="569" ht="15.75" customHeight="1">
      <c r="B569" s="3">
        <f>IFERROR(__xludf.DUMMYFUNCTION("""COMPUTED_VALUE"""),41768.645833333336)</f>
        <v>41768.64583</v>
      </c>
      <c r="C569" s="2">
        <f>IFERROR(__xludf.DUMMYFUNCTION("""COMPUTED_VALUE"""),1983.75)</f>
        <v>1983.75</v>
      </c>
    </row>
    <row r="570" ht="15.75" customHeight="1">
      <c r="B570" s="3">
        <f>IFERROR(__xludf.DUMMYFUNCTION("""COMPUTED_VALUE"""),41775.645833333336)</f>
        <v>41775.64583</v>
      </c>
      <c r="C570" s="2">
        <f>IFERROR(__xludf.DUMMYFUNCTION("""COMPUTED_VALUE"""),2318.5)</f>
        <v>2318.5</v>
      </c>
    </row>
    <row r="571" ht="15.75" customHeight="1">
      <c r="B571" s="3">
        <f>IFERROR(__xludf.DUMMYFUNCTION("""COMPUTED_VALUE"""),41782.645833333336)</f>
        <v>41782.64583</v>
      </c>
      <c r="C571" s="2">
        <f>IFERROR(__xludf.DUMMYFUNCTION("""COMPUTED_VALUE"""),2403.0)</f>
        <v>2403</v>
      </c>
    </row>
    <row r="572" ht="15.75" customHeight="1">
      <c r="B572" s="3">
        <f>IFERROR(__xludf.DUMMYFUNCTION("""COMPUTED_VALUE"""),41789.645833333336)</f>
        <v>41789.64583</v>
      </c>
      <c r="C572" s="2">
        <f>IFERROR(__xludf.DUMMYFUNCTION("""COMPUTED_VALUE"""),2505.0)</f>
        <v>2505</v>
      </c>
    </row>
    <row r="573" ht="15.75" customHeight="1">
      <c r="B573" s="3">
        <f>IFERROR(__xludf.DUMMYFUNCTION("""COMPUTED_VALUE"""),41796.645833333336)</f>
        <v>41796.64583</v>
      </c>
      <c r="C573" s="2">
        <f>IFERROR(__xludf.DUMMYFUNCTION("""COMPUTED_VALUE"""),2427.0)</f>
        <v>2427</v>
      </c>
    </row>
    <row r="574" ht="15.75" customHeight="1">
      <c r="B574" s="3">
        <f>IFERROR(__xludf.DUMMYFUNCTION("""COMPUTED_VALUE"""),41803.645833333336)</f>
        <v>41803.64583</v>
      </c>
      <c r="C574" s="2">
        <f>IFERROR(__xludf.DUMMYFUNCTION("""COMPUTED_VALUE"""),2496.0)</f>
        <v>2496</v>
      </c>
    </row>
    <row r="575" ht="15.75" customHeight="1">
      <c r="B575" s="3">
        <f>IFERROR(__xludf.DUMMYFUNCTION("""COMPUTED_VALUE"""),41810.645833333336)</f>
        <v>41810.64583</v>
      </c>
      <c r="C575" s="2">
        <f>IFERROR(__xludf.DUMMYFUNCTION("""COMPUTED_VALUE"""),2449.0)</f>
        <v>2449</v>
      </c>
    </row>
    <row r="576" ht="15.75" customHeight="1">
      <c r="B576" s="3">
        <f>IFERROR(__xludf.DUMMYFUNCTION("""COMPUTED_VALUE"""),41817.645833333336)</f>
        <v>41817.64583</v>
      </c>
      <c r="C576" s="2">
        <f>IFERROR(__xludf.DUMMYFUNCTION("""COMPUTED_VALUE"""),2528.0)</f>
        <v>2528</v>
      </c>
    </row>
    <row r="577" ht="15.75" customHeight="1">
      <c r="B577" s="3">
        <f>IFERROR(__xludf.DUMMYFUNCTION("""COMPUTED_VALUE"""),41824.645833333336)</f>
        <v>41824.64583</v>
      </c>
      <c r="C577" s="2">
        <f>IFERROR(__xludf.DUMMYFUNCTION("""COMPUTED_VALUE"""),2665.0)</f>
        <v>2665</v>
      </c>
    </row>
    <row r="578" ht="15.75" customHeight="1">
      <c r="B578" s="3">
        <f>IFERROR(__xludf.DUMMYFUNCTION("""COMPUTED_VALUE"""),41831.645833333336)</f>
        <v>41831.64583</v>
      </c>
      <c r="C578" s="2">
        <f>IFERROR(__xludf.DUMMYFUNCTION("""COMPUTED_VALUE"""),2661.15)</f>
        <v>2661.15</v>
      </c>
    </row>
    <row r="579" ht="15.75" customHeight="1">
      <c r="B579" s="3">
        <f>IFERROR(__xludf.DUMMYFUNCTION("""COMPUTED_VALUE"""),41838.645833333336)</f>
        <v>41838.64583</v>
      </c>
      <c r="C579" s="2">
        <f>IFERROR(__xludf.DUMMYFUNCTION("""COMPUTED_VALUE"""),2584.8)</f>
        <v>2584.8</v>
      </c>
    </row>
    <row r="580" ht="15.75" customHeight="1">
      <c r="B580" s="3">
        <f>IFERROR(__xludf.DUMMYFUNCTION("""COMPUTED_VALUE"""),41845.645833333336)</f>
        <v>41845.64583</v>
      </c>
      <c r="C580" s="2">
        <f>IFERROR(__xludf.DUMMYFUNCTION("""COMPUTED_VALUE"""),2573.0)</f>
        <v>2573</v>
      </c>
    </row>
    <row r="581" ht="15.75" customHeight="1">
      <c r="B581" s="3">
        <f>IFERROR(__xludf.DUMMYFUNCTION("""COMPUTED_VALUE"""),41852.645833333336)</f>
        <v>41852.64583</v>
      </c>
      <c r="C581" s="2">
        <f>IFERROR(__xludf.DUMMYFUNCTION("""COMPUTED_VALUE"""),2626.55)</f>
        <v>2626.55</v>
      </c>
    </row>
    <row r="582" ht="15.75" customHeight="1">
      <c r="B582" s="3">
        <f>IFERROR(__xludf.DUMMYFUNCTION("""COMPUTED_VALUE"""),41859.645833333336)</f>
        <v>41859.64583</v>
      </c>
      <c r="C582" s="2">
        <f>IFERROR(__xludf.DUMMYFUNCTION("""COMPUTED_VALUE"""),2675.0)</f>
        <v>2675</v>
      </c>
    </row>
    <row r="583" ht="15.75" customHeight="1">
      <c r="B583" s="3">
        <f>IFERROR(__xludf.DUMMYFUNCTION("""COMPUTED_VALUE"""),41865.645833333336)</f>
        <v>41865.64583</v>
      </c>
      <c r="C583" s="2">
        <f>IFERROR(__xludf.DUMMYFUNCTION("""COMPUTED_VALUE"""),2693.0)</f>
        <v>2693</v>
      </c>
    </row>
    <row r="584" ht="15.75" customHeight="1">
      <c r="B584" s="3">
        <f>IFERROR(__xludf.DUMMYFUNCTION("""COMPUTED_VALUE"""),41873.645833333336)</f>
        <v>41873.64583</v>
      </c>
      <c r="C584" s="2">
        <f>IFERROR(__xludf.DUMMYFUNCTION("""COMPUTED_VALUE"""),2771.0)</f>
        <v>2771</v>
      </c>
    </row>
    <row r="585" ht="15.75" customHeight="1">
      <c r="B585" s="3">
        <f>IFERROR(__xludf.DUMMYFUNCTION("""COMPUTED_VALUE"""),41879.645833333336)</f>
        <v>41879.64583</v>
      </c>
      <c r="C585" s="2">
        <f>IFERROR(__xludf.DUMMYFUNCTION("""COMPUTED_VALUE"""),2824.95)</f>
        <v>2824.95</v>
      </c>
    </row>
    <row r="586" ht="15.75" customHeight="1">
      <c r="B586" s="3">
        <f>IFERROR(__xludf.DUMMYFUNCTION("""COMPUTED_VALUE"""),41887.645833333336)</f>
        <v>41887.64583</v>
      </c>
      <c r="C586" s="2">
        <f>IFERROR(__xludf.DUMMYFUNCTION("""COMPUTED_VALUE"""),2966.0)</f>
        <v>2966</v>
      </c>
    </row>
    <row r="587" ht="15.75" customHeight="1">
      <c r="B587" s="3">
        <f>IFERROR(__xludf.DUMMYFUNCTION("""COMPUTED_VALUE"""),41894.645833333336)</f>
        <v>41894.64583</v>
      </c>
      <c r="C587" s="2">
        <f>IFERROR(__xludf.DUMMYFUNCTION("""COMPUTED_VALUE"""),2979.0)</f>
        <v>2979</v>
      </c>
    </row>
    <row r="588" ht="15.75" customHeight="1">
      <c r="B588" s="3">
        <f>IFERROR(__xludf.DUMMYFUNCTION("""COMPUTED_VALUE"""),41901.645833333336)</f>
        <v>41901.64583</v>
      </c>
      <c r="C588" s="2">
        <f>IFERROR(__xludf.DUMMYFUNCTION("""COMPUTED_VALUE"""),3094.0)</f>
        <v>3094</v>
      </c>
    </row>
    <row r="589" ht="15.75" customHeight="1">
      <c r="B589" s="3">
        <f>IFERROR(__xludf.DUMMYFUNCTION("""COMPUTED_VALUE"""),41908.645833333336)</f>
        <v>41908.64583</v>
      </c>
      <c r="C589" s="2">
        <f>IFERROR(__xludf.DUMMYFUNCTION("""COMPUTED_VALUE"""),3112.0)</f>
        <v>3112</v>
      </c>
    </row>
    <row r="590" ht="15.75" customHeight="1">
      <c r="B590" s="3">
        <f>IFERROR(__xludf.DUMMYFUNCTION("""COMPUTED_VALUE"""),41913.645833333336)</f>
        <v>41913.64583</v>
      </c>
      <c r="C590" s="2">
        <f>IFERROR(__xludf.DUMMYFUNCTION("""COMPUTED_VALUE"""),3081.9)</f>
        <v>3081.9</v>
      </c>
    </row>
    <row r="591" ht="15.75" customHeight="1">
      <c r="B591" s="3">
        <f>IFERROR(__xludf.DUMMYFUNCTION("""COMPUTED_VALUE"""),41922.645833333336)</f>
        <v>41922.64583</v>
      </c>
      <c r="C591" s="2">
        <f>IFERROR(__xludf.DUMMYFUNCTION("""COMPUTED_VALUE"""),3013.55)</f>
        <v>3013.55</v>
      </c>
    </row>
    <row r="592" ht="15.75" customHeight="1">
      <c r="B592" s="3">
        <f>IFERROR(__xludf.DUMMYFUNCTION("""COMPUTED_VALUE"""),41929.645833333336)</f>
        <v>41929.64583</v>
      </c>
      <c r="C592" s="2">
        <f>IFERROR(__xludf.DUMMYFUNCTION("""COMPUTED_VALUE"""),2992.7)</f>
        <v>2992.7</v>
      </c>
    </row>
    <row r="593" ht="15.75" customHeight="1">
      <c r="B593" s="3">
        <f>IFERROR(__xludf.DUMMYFUNCTION("""COMPUTED_VALUE"""),41935.645833333336)</f>
        <v>41935.64583</v>
      </c>
      <c r="C593" s="2">
        <f>IFERROR(__xludf.DUMMYFUNCTION("""COMPUTED_VALUE"""),3193.5)</f>
        <v>3193.5</v>
      </c>
    </row>
    <row r="594" ht="15.75" customHeight="1">
      <c r="B594" s="3">
        <f>IFERROR(__xludf.DUMMYFUNCTION("""COMPUTED_VALUE"""),41943.645833333336)</f>
        <v>41943.64583</v>
      </c>
      <c r="C594" s="2">
        <f>IFERROR(__xludf.DUMMYFUNCTION("""COMPUTED_VALUE"""),3350.0)</f>
        <v>3350</v>
      </c>
    </row>
    <row r="595" ht="15.75" customHeight="1">
      <c r="B595" s="3">
        <f>IFERROR(__xludf.DUMMYFUNCTION("""COMPUTED_VALUE"""),41950.645833333336)</f>
        <v>41950.64583</v>
      </c>
      <c r="C595" s="2">
        <f>IFERROR(__xludf.DUMMYFUNCTION("""COMPUTED_VALUE"""),3334.0)</f>
        <v>3334</v>
      </c>
    </row>
    <row r="596" ht="15.75" customHeight="1">
      <c r="B596" s="3">
        <f>IFERROR(__xludf.DUMMYFUNCTION("""COMPUTED_VALUE"""),41957.64583333333)</f>
        <v>41957.64583</v>
      </c>
      <c r="C596" s="2">
        <f>IFERROR(__xludf.DUMMYFUNCTION("""COMPUTED_VALUE"""),3396.0)</f>
        <v>3396</v>
      </c>
    </row>
    <row r="597" ht="15.75" customHeight="1">
      <c r="B597" s="3">
        <f>IFERROR(__xludf.DUMMYFUNCTION("""COMPUTED_VALUE"""),41964.64583333333)</f>
        <v>41964.64583</v>
      </c>
      <c r="C597" s="2">
        <f>IFERROR(__xludf.DUMMYFUNCTION("""COMPUTED_VALUE"""),3395.0)</f>
        <v>3395</v>
      </c>
    </row>
    <row r="598" ht="15.75" customHeight="1">
      <c r="B598" s="3">
        <f>IFERROR(__xludf.DUMMYFUNCTION("""COMPUTED_VALUE"""),41971.64583333333)</f>
        <v>41971.64583</v>
      </c>
      <c r="C598" s="2">
        <f>IFERROR(__xludf.DUMMYFUNCTION("""COMPUTED_VALUE"""),3388.0)</f>
        <v>3388</v>
      </c>
    </row>
    <row r="599" ht="15.75" customHeight="1">
      <c r="B599" s="3">
        <f>IFERROR(__xludf.DUMMYFUNCTION("""COMPUTED_VALUE"""),41978.64583333333)</f>
        <v>41978.64583</v>
      </c>
      <c r="C599" s="2">
        <f>IFERROR(__xludf.DUMMYFUNCTION("""COMPUTED_VALUE"""),3432.0)</f>
        <v>3432</v>
      </c>
    </row>
    <row r="600" ht="15.75" customHeight="1">
      <c r="B600" s="3">
        <f>IFERROR(__xludf.DUMMYFUNCTION("""COMPUTED_VALUE"""),41985.64583333333)</f>
        <v>41985.64583</v>
      </c>
      <c r="C600" s="2">
        <f>IFERROR(__xludf.DUMMYFUNCTION("""COMPUTED_VALUE"""),3440.0)</f>
        <v>3440</v>
      </c>
    </row>
    <row r="601" ht="15.75" customHeight="1">
      <c r="B601" s="3">
        <f>IFERROR(__xludf.DUMMYFUNCTION("""COMPUTED_VALUE"""),41992.64583333333)</f>
        <v>41992.64583</v>
      </c>
      <c r="C601" s="2">
        <f>IFERROR(__xludf.DUMMYFUNCTION("""COMPUTED_VALUE"""),3462.0)</f>
        <v>3462</v>
      </c>
    </row>
    <row r="602" ht="15.75" customHeight="1">
      <c r="B602" s="3">
        <f>IFERROR(__xludf.DUMMYFUNCTION("""COMPUTED_VALUE"""),41999.64583333333)</f>
        <v>41999.64583</v>
      </c>
      <c r="C602" s="2">
        <f>IFERROR(__xludf.DUMMYFUNCTION("""COMPUTED_VALUE"""),3424.0)</f>
        <v>3424</v>
      </c>
    </row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IFERROR(__xludf.DUMMYFUNCTION("GOOGLEFINANCE(""NSE:MARUTI"", ""high"",DATE(2015,1,1),DATE(2016,1,1),""weekly"")"),"Date")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IFERROR(__xludf.DUMMYFUNCTION("""COMPUTED_VALUE"""),42006.64583333333)</f>
        <v>42006.64583</v>
      </c>
      <c r="C607" s="2">
        <f>IFERROR(__xludf.DUMMYFUNCTION("""COMPUTED_VALUE"""),3383.0)</f>
        <v>3383</v>
      </c>
    </row>
    <row r="608" ht="15.75" customHeight="1">
      <c r="B608" s="3">
        <f>IFERROR(__xludf.DUMMYFUNCTION("""COMPUTED_VALUE"""),42013.64583333333)</f>
        <v>42013.64583</v>
      </c>
      <c r="C608" s="2">
        <f>IFERROR(__xludf.DUMMYFUNCTION("""COMPUTED_VALUE"""),3509.55)</f>
        <v>3509.55</v>
      </c>
    </row>
    <row r="609" ht="15.75" customHeight="1">
      <c r="B609" s="3">
        <f>IFERROR(__xludf.DUMMYFUNCTION("""COMPUTED_VALUE"""),42020.64583333333)</f>
        <v>42020.64583</v>
      </c>
      <c r="C609" s="2">
        <f>IFERROR(__xludf.DUMMYFUNCTION("""COMPUTED_VALUE"""),3638.65)</f>
        <v>3638.65</v>
      </c>
    </row>
    <row r="610" ht="15.75" customHeight="1">
      <c r="B610" s="3">
        <f>IFERROR(__xludf.DUMMYFUNCTION("""COMPUTED_VALUE"""),42027.64583333333)</f>
        <v>42027.64583</v>
      </c>
      <c r="C610" s="2">
        <f>IFERROR(__xludf.DUMMYFUNCTION("""COMPUTED_VALUE"""),3690.0)</f>
        <v>3690</v>
      </c>
    </row>
    <row r="611" ht="15.75" customHeight="1">
      <c r="B611" s="3">
        <f>IFERROR(__xludf.DUMMYFUNCTION("""COMPUTED_VALUE"""),42034.64583333333)</f>
        <v>42034.64583</v>
      </c>
      <c r="C611" s="2">
        <f>IFERROR(__xludf.DUMMYFUNCTION("""COMPUTED_VALUE"""),3758.5)</f>
        <v>3758.5</v>
      </c>
    </row>
    <row r="612" ht="15.75" customHeight="1">
      <c r="B612" s="3">
        <f>IFERROR(__xludf.DUMMYFUNCTION("""COMPUTED_VALUE"""),42041.64583333333)</f>
        <v>42041.64583</v>
      </c>
      <c r="C612" s="2">
        <f>IFERROR(__xludf.DUMMYFUNCTION("""COMPUTED_VALUE"""),3725.0)</f>
        <v>3725</v>
      </c>
    </row>
    <row r="613" ht="15.75" customHeight="1">
      <c r="B613" s="3">
        <f>IFERROR(__xludf.DUMMYFUNCTION("""COMPUTED_VALUE"""),42048.64583333333)</f>
        <v>42048.64583</v>
      </c>
      <c r="C613" s="2">
        <f>IFERROR(__xludf.DUMMYFUNCTION("""COMPUTED_VALUE"""),3627.0)</f>
        <v>3627</v>
      </c>
    </row>
    <row r="614" ht="15.75" customHeight="1">
      <c r="B614" s="3">
        <f>IFERROR(__xludf.DUMMYFUNCTION("""COMPUTED_VALUE"""),42055.64583333333)</f>
        <v>42055.64583</v>
      </c>
      <c r="C614" s="2">
        <f>IFERROR(__xludf.DUMMYFUNCTION("""COMPUTED_VALUE"""),3650.0)</f>
        <v>3650</v>
      </c>
    </row>
    <row r="615" ht="15.75" customHeight="1">
      <c r="B615" s="3">
        <f>IFERROR(__xludf.DUMMYFUNCTION("""COMPUTED_VALUE"""),42068.64583333333)</f>
        <v>42068.64583</v>
      </c>
      <c r="C615" s="2">
        <f>IFERROR(__xludf.DUMMYFUNCTION("""COMPUTED_VALUE"""),3789.7)</f>
        <v>3789.7</v>
      </c>
    </row>
    <row r="616" ht="15.75" customHeight="1">
      <c r="B616" s="3">
        <f>IFERROR(__xludf.DUMMYFUNCTION("""COMPUTED_VALUE"""),42076.64583333333)</f>
        <v>42076.64583</v>
      </c>
      <c r="C616" s="2">
        <f>IFERROR(__xludf.DUMMYFUNCTION("""COMPUTED_VALUE"""),3719.95)</f>
        <v>3719.95</v>
      </c>
    </row>
    <row r="617" ht="15.75" customHeight="1">
      <c r="B617" s="3">
        <f>IFERROR(__xludf.DUMMYFUNCTION("""COMPUTED_VALUE"""),42083.64583333333)</f>
        <v>42083.64583</v>
      </c>
      <c r="C617" s="2">
        <f>IFERROR(__xludf.DUMMYFUNCTION("""COMPUTED_VALUE"""),3695.0)</f>
        <v>3695</v>
      </c>
    </row>
    <row r="618" ht="15.75" customHeight="1">
      <c r="B618" s="3">
        <f>IFERROR(__xludf.DUMMYFUNCTION("""COMPUTED_VALUE"""),42090.64583333333)</f>
        <v>42090.64583</v>
      </c>
      <c r="C618" s="2">
        <f>IFERROR(__xludf.DUMMYFUNCTION("""COMPUTED_VALUE"""),3639.2)</f>
        <v>3639.2</v>
      </c>
    </row>
    <row r="619" ht="15.75" customHeight="1">
      <c r="B619" s="3">
        <f>IFERROR(__xludf.DUMMYFUNCTION("""COMPUTED_VALUE"""),42095.64583333333)</f>
        <v>42095.64583</v>
      </c>
      <c r="C619" s="2">
        <f>IFERROR(__xludf.DUMMYFUNCTION("""COMPUTED_VALUE"""),3757.55)</f>
        <v>3757.55</v>
      </c>
    </row>
    <row r="620" ht="15.75" customHeight="1">
      <c r="B620" s="3">
        <f>IFERROR(__xludf.DUMMYFUNCTION("""COMPUTED_VALUE"""),42104.64583333333)</f>
        <v>42104.64583</v>
      </c>
      <c r="C620" s="2">
        <f>IFERROR(__xludf.DUMMYFUNCTION("""COMPUTED_VALUE"""),3688.35)</f>
        <v>3688.35</v>
      </c>
    </row>
    <row r="621" ht="15.75" customHeight="1">
      <c r="B621" s="3">
        <f>IFERROR(__xludf.DUMMYFUNCTION("""COMPUTED_VALUE"""),42111.64583333333)</f>
        <v>42111.64583</v>
      </c>
      <c r="C621" s="2">
        <f>IFERROR(__xludf.DUMMYFUNCTION("""COMPUTED_VALUE"""),3729.0)</f>
        <v>3729</v>
      </c>
    </row>
    <row r="622" ht="15.75" customHeight="1">
      <c r="B622" s="3">
        <f>IFERROR(__xludf.DUMMYFUNCTION("""COMPUTED_VALUE"""),42118.64583333333)</f>
        <v>42118.64583</v>
      </c>
      <c r="C622" s="2">
        <f>IFERROR(__xludf.DUMMYFUNCTION("""COMPUTED_VALUE"""),3648.4)</f>
        <v>3648.4</v>
      </c>
    </row>
    <row r="623" ht="15.75" customHeight="1">
      <c r="B623" s="3">
        <f>IFERROR(__xludf.DUMMYFUNCTION("""COMPUTED_VALUE"""),42124.64583333333)</f>
        <v>42124.64583</v>
      </c>
      <c r="C623" s="2">
        <f>IFERROR(__xludf.DUMMYFUNCTION("""COMPUTED_VALUE"""),3873.0)</f>
        <v>3873</v>
      </c>
    </row>
    <row r="624" ht="15.75" customHeight="1">
      <c r="B624" s="3">
        <f>IFERROR(__xludf.DUMMYFUNCTION("""COMPUTED_VALUE"""),42132.64583333333)</f>
        <v>42132.64583</v>
      </c>
      <c r="C624" s="2">
        <f>IFERROR(__xludf.DUMMYFUNCTION("""COMPUTED_VALUE"""),3840.0)</f>
        <v>3840</v>
      </c>
    </row>
    <row r="625" ht="15.75" customHeight="1">
      <c r="B625" s="3">
        <f>IFERROR(__xludf.DUMMYFUNCTION("""COMPUTED_VALUE"""),42139.64583333333)</f>
        <v>42139.64583</v>
      </c>
      <c r="C625" s="2">
        <f>IFERROR(__xludf.DUMMYFUNCTION("""COMPUTED_VALUE"""),3684.0)</f>
        <v>3684</v>
      </c>
    </row>
    <row r="626" ht="15.75" customHeight="1">
      <c r="B626" s="3">
        <f>IFERROR(__xludf.DUMMYFUNCTION("""COMPUTED_VALUE"""),42146.64583333333)</f>
        <v>42146.64583</v>
      </c>
      <c r="C626" s="2">
        <f>IFERROR(__xludf.DUMMYFUNCTION("""COMPUTED_VALUE"""),3749.95)</f>
        <v>3749.95</v>
      </c>
    </row>
    <row r="627" ht="15.75" customHeight="1">
      <c r="B627" s="3">
        <f>IFERROR(__xludf.DUMMYFUNCTION("""COMPUTED_VALUE"""),42153.64583333333)</f>
        <v>42153.64583</v>
      </c>
      <c r="C627" s="2">
        <f>IFERROR(__xludf.DUMMYFUNCTION("""COMPUTED_VALUE"""),3788.95)</f>
        <v>3788.95</v>
      </c>
    </row>
    <row r="628" ht="15.75" customHeight="1">
      <c r="B628" s="3">
        <f>IFERROR(__xludf.DUMMYFUNCTION("""COMPUTED_VALUE"""),42160.64583333333)</f>
        <v>42160.64583</v>
      </c>
      <c r="C628" s="2">
        <f>IFERROR(__xludf.DUMMYFUNCTION("""COMPUTED_VALUE"""),3898.95)</f>
        <v>3898.95</v>
      </c>
    </row>
    <row r="629" ht="15.75" customHeight="1">
      <c r="B629" s="3">
        <f>IFERROR(__xludf.DUMMYFUNCTION("""COMPUTED_VALUE"""),42167.64583333333)</f>
        <v>42167.64583</v>
      </c>
      <c r="C629" s="2">
        <f>IFERROR(__xludf.DUMMYFUNCTION("""COMPUTED_VALUE"""),3804.55)</f>
        <v>3804.55</v>
      </c>
    </row>
    <row r="630" ht="15.75" customHeight="1">
      <c r="B630" s="3">
        <f>IFERROR(__xludf.DUMMYFUNCTION("""COMPUTED_VALUE"""),42174.64583333333)</f>
        <v>42174.64583</v>
      </c>
      <c r="C630" s="2">
        <f>IFERROR(__xludf.DUMMYFUNCTION("""COMPUTED_VALUE"""),3949.5)</f>
        <v>3949.5</v>
      </c>
    </row>
    <row r="631" ht="15.75" customHeight="1">
      <c r="B631" s="3">
        <f>IFERROR(__xludf.DUMMYFUNCTION("""COMPUTED_VALUE"""),42181.64583333333)</f>
        <v>42181.64583</v>
      </c>
      <c r="C631" s="2">
        <f>IFERROR(__xludf.DUMMYFUNCTION("""COMPUTED_VALUE"""),4077.4)</f>
        <v>4077.4</v>
      </c>
    </row>
    <row r="632" ht="15.75" customHeight="1">
      <c r="B632" s="3">
        <f>IFERROR(__xludf.DUMMYFUNCTION("""COMPUTED_VALUE"""),42188.64583333333)</f>
        <v>42188.64583</v>
      </c>
      <c r="C632" s="2">
        <f>IFERROR(__xludf.DUMMYFUNCTION("""COMPUTED_VALUE"""),4089.85)</f>
        <v>4089.85</v>
      </c>
    </row>
    <row r="633" ht="15.75" customHeight="1">
      <c r="B633" s="3">
        <f>IFERROR(__xludf.DUMMYFUNCTION("""COMPUTED_VALUE"""),42195.64583333333)</f>
        <v>42195.64583</v>
      </c>
      <c r="C633" s="2">
        <f>IFERROR(__xludf.DUMMYFUNCTION("""COMPUTED_VALUE"""),4005.0)</f>
        <v>4005</v>
      </c>
    </row>
    <row r="634" ht="15.75" customHeight="1">
      <c r="B634" s="3">
        <f>IFERROR(__xludf.DUMMYFUNCTION("""COMPUTED_VALUE"""),42202.64583333333)</f>
        <v>42202.64583</v>
      </c>
      <c r="C634" s="2">
        <f>IFERROR(__xludf.DUMMYFUNCTION("""COMPUTED_VALUE"""),4228.95)</f>
        <v>4228.95</v>
      </c>
    </row>
    <row r="635" ht="15.75" customHeight="1">
      <c r="B635" s="3">
        <f>IFERROR(__xludf.DUMMYFUNCTION("""COMPUTED_VALUE"""),42209.64583333333)</f>
        <v>42209.64583</v>
      </c>
      <c r="C635" s="2">
        <f>IFERROR(__xludf.DUMMYFUNCTION("""COMPUTED_VALUE"""),4261.9)</f>
        <v>4261.9</v>
      </c>
    </row>
    <row r="636" ht="15.75" customHeight="1">
      <c r="B636" s="3">
        <f>IFERROR(__xludf.DUMMYFUNCTION("""COMPUTED_VALUE"""),42216.64583333333)</f>
        <v>42216.64583</v>
      </c>
      <c r="C636" s="2">
        <f>IFERROR(__xludf.DUMMYFUNCTION("""COMPUTED_VALUE"""),4359.0)</f>
        <v>4359</v>
      </c>
    </row>
    <row r="637" ht="15.75" customHeight="1">
      <c r="B637" s="3">
        <f>IFERROR(__xludf.DUMMYFUNCTION("""COMPUTED_VALUE"""),42223.64583333333)</f>
        <v>42223.64583</v>
      </c>
      <c r="C637" s="2">
        <f>IFERROR(__xludf.DUMMYFUNCTION("""COMPUTED_VALUE"""),4484.0)</f>
        <v>4484</v>
      </c>
    </row>
    <row r="638" ht="15.75" customHeight="1">
      <c r="B638" s="3">
        <f>IFERROR(__xludf.DUMMYFUNCTION("""COMPUTED_VALUE"""),42230.64583333333)</f>
        <v>42230.64583</v>
      </c>
      <c r="C638" s="2">
        <f>IFERROR(__xludf.DUMMYFUNCTION("""COMPUTED_VALUE"""),4589.0)</f>
        <v>4589</v>
      </c>
    </row>
    <row r="639" ht="15.75" customHeight="1">
      <c r="B639" s="3">
        <f>IFERROR(__xludf.DUMMYFUNCTION("""COMPUTED_VALUE"""),42237.64583333333)</f>
        <v>42237.64583</v>
      </c>
      <c r="C639" s="2">
        <f>IFERROR(__xludf.DUMMYFUNCTION("""COMPUTED_VALUE"""),4692.4)</f>
        <v>4692.4</v>
      </c>
    </row>
    <row r="640" ht="15.75" customHeight="1">
      <c r="B640" s="3">
        <f>IFERROR(__xludf.DUMMYFUNCTION("""COMPUTED_VALUE"""),42244.64583333333)</f>
        <v>42244.64583</v>
      </c>
      <c r="C640" s="2">
        <f>IFERROR(__xludf.DUMMYFUNCTION("""COMPUTED_VALUE"""),4452.55)</f>
        <v>4452.55</v>
      </c>
    </row>
    <row r="641" ht="15.75" customHeight="1">
      <c r="B641" s="3">
        <f>IFERROR(__xludf.DUMMYFUNCTION("""COMPUTED_VALUE"""),42251.64583333333)</f>
        <v>42251.64583</v>
      </c>
      <c r="C641" s="2">
        <f>IFERROR(__xludf.DUMMYFUNCTION("""COMPUTED_VALUE"""),4233.0)</f>
        <v>4233</v>
      </c>
    </row>
    <row r="642" ht="15.75" customHeight="1">
      <c r="B642" s="3">
        <f>IFERROR(__xludf.DUMMYFUNCTION("""COMPUTED_VALUE"""),42258.64583333333)</f>
        <v>42258.64583</v>
      </c>
      <c r="C642" s="2">
        <f>IFERROR(__xludf.DUMMYFUNCTION("""COMPUTED_VALUE"""),4360.0)</f>
        <v>4360</v>
      </c>
    </row>
    <row r="643" ht="15.75" customHeight="1">
      <c r="B643" s="3">
        <f>IFERROR(__xludf.DUMMYFUNCTION("""COMPUTED_VALUE"""),42265.64583333333)</f>
        <v>42265.64583</v>
      </c>
      <c r="C643" s="2">
        <f>IFERROR(__xludf.DUMMYFUNCTION("""COMPUTED_VALUE"""),4478.3)</f>
        <v>4478.3</v>
      </c>
    </row>
    <row r="644" ht="15.75" customHeight="1">
      <c r="B644" s="3">
        <f>IFERROR(__xludf.DUMMYFUNCTION("""COMPUTED_VALUE"""),42271.64583333333)</f>
        <v>42271.64583</v>
      </c>
      <c r="C644" s="2">
        <f>IFERROR(__xludf.DUMMYFUNCTION("""COMPUTED_VALUE"""),4604.0)</f>
        <v>4604</v>
      </c>
    </row>
    <row r="645" ht="15.75" customHeight="1">
      <c r="B645" s="3">
        <f>IFERROR(__xludf.DUMMYFUNCTION("""COMPUTED_VALUE"""),42278.64583333333)</f>
        <v>42278.64583</v>
      </c>
      <c r="C645" s="2">
        <f>IFERROR(__xludf.DUMMYFUNCTION("""COMPUTED_VALUE"""),4763.45)</f>
        <v>4763.45</v>
      </c>
    </row>
    <row r="646" ht="15.75" customHeight="1">
      <c r="B646" s="3">
        <f>IFERROR(__xludf.DUMMYFUNCTION("""COMPUTED_VALUE"""),42286.64583333333)</f>
        <v>42286.64583</v>
      </c>
      <c r="C646" s="2">
        <f>IFERROR(__xludf.DUMMYFUNCTION("""COMPUTED_VALUE"""),4570.0)</f>
        <v>4570</v>
      </c>
    </row>
    <row r="647" ht="15.75" customHeight="1">
      <c r="B647" s="3">
        <f>IFERROR(__xludf.DUMMYFUNCTION("""COMPUTED_VALUE"""),42293.64583333333)</f>
        <v>42293.64583</v>
      </c>
      <c r="C647" s="2">
        <f>IFERROR(__xludf.DUMMYFUNCTION("""COMPUTED_VALUE"""),4461.0)</f>
        <v>4461</v>
      </c>
    </row>
    <row r="648" ht="15.75" customHeight="1">
      <c r="B648" s="3">
        <f>IFERROR(__xludf.DUMMYFUNCTION("""COMPUTED_VALUE"""),42300.64583333333)</f>
        <v>42300.64583</v>
      </c>
      <c r="C648" s="2">
        <f>IFERROR(__xludf.DUMMYFUNCTION("""COMPUTED_VALUE"""),4524.7)</f>
        <v>4524.7</v>
      </c>
    </row>
    <row r="649" ht="15.75" customHeight="1">
      <c r="B649" s="3">
        <f>IFERROR(__xludf.DUMMYFUNCTION("""COMPUTED_VALUE"""),42307.64583333333)</f>
        <v>42307.64583</v>
      </c>
      <c r="C649" s="2">
        <f>IFERROR(__xludf.DUMMYFUNCTION("""COMPUTED_VALUE"""),4559.0)</f>
        <v>4559</v>
      </c>
    </row>
    <row r="650" ht="15.75" customHeight="1">
      <c r="B650" s="3">
        <f>IFERROR(__xludf.DUMMYFUNCTION("""COMPUTED_VALUE"""),42314.64583333333)</f>
        <v>42314.64583</v>
      </c>
      <c r="C650" s="2">
        <f>IFERROR(__xludf.DUMMYFUNCTION("""COMPUTED_VALUE"""),4555.0)</f>
        <v>4555</v>
      </c>
    </row>
    <row r="651" ht="15.75" customHeight="1">
      <c r="B651" s="3">
        <f>IFERROR(__xludf.DUMMYFUNCTION("""COMPUTED_VALUE"""),42321.64583333333)</f>
        <v>42321.64583</v>
      </c>
      <c r="C651" s="2">
        <f>IFERROR(__xludf.DUMMYFUNCTION("""COMPUTED_VALUE"""),4737.25)</f>
        <v>4737.25</v>
      </c>
    </row>
    <row r="652" ht="15.75" customHeight="1">
      <c r="B652" s="3">
        <f>IFERROR(__xludf.DUMMYFUNCTION("""COMPUTED_VALUE"""),42328.64583333333)</f>
        <v>42328.64583</v>
      </c>
      <c r="C652" s="2">
        <f>IFERROR(__xludf.DUMMYFUNCTION("""COMPUTED_VALUE"""),4766.0)</f>
        <v>4766</v>
      </c>
    </row>
    <row r="653" ht="15.75" customHeight="1">
      <c r="B653" s="3">
        <f>IFERROR(__xludf.DUMMYFUNCTION("""COMPUTED_VALUE"""),42335.64583333333)</f>
        <v>42335.64583</v>
      </c>
      <c r="C653" s="2">
        <f>IFERROR(__xludf.DUMMYFUNCTION("""COMPUTED_VALUE"""),4790.0)</f>
        <v>4790</v>
      </c>
    </row>
    <row r="654" ht="15.75" customHeight="1">
      <c r="B654" s="3">
        <f>IFERROR(__xludf.DUMMYFUNCTION("""COMPUTED_VALUE"""),42342.64583333333)</f>
        <v>42342.64583</v>
      </c>
      <c r="C654" s="2">
        <f>IFERROR(__xludf.DUMMYFUNCTION("""COMPUTED_VALUE"""),4700.0)</f>
        <v>4700</v>
      </c>
    </row>
    <row r="655" ht="15.75" customHeight="1">
      <c r="B655" s="3">
        <f>IFERROR(__xludf.DUMMYFUNCTION("""COMPUTED_VALUE"""),42349.64583333333)</f>
        <v>42349.64583</v>
      </c>
      <c r="C655" s="2">
        <f>IFERROR(__xludf.DUMMYFUNCTION("""COMPUTED_VALUE"""),4640.0)</f>
        <v>4640</v>
      </c>
    </row>
    <row r="656" ht="15.75" customHeight="1">
      <c r="B656" s="3">
        <f>IFERROR(__xludf.DUMMYFUNCTION("""COMPUTED_VALUE"""),42356.64583333333)</f>
        <v>42356.64583</v>
      </c>
      <c r="C656" s="2">
        <f>IFERROR(__xludf.DUMMYFUNCTION("""COMPUTED_VALUE"""),4702.0)</f>
        <v>4702</v>
      </c>
    </row>
    <row r="657" ht="15.75" customHeight="1">
      <c r="B657" s="3">
        <f>IFERROR(__xludf.DUMMYFUNCTION("""COMPUTED_VALUE"""),42362.64583333333)</f>
        <v>42362.64583</v>
      </c>
      <c r="C657" s="2">
        <f>IFERROR(__xludf.DUMMYFUNCTION("""COMPUTED_VALUE"""),4660.0)</f>
        <v>4660</v>
      </c>
    </row>
    <row r="658" ht="15.75" customHeight="1">
      <c r="B658" s="3">
        <f>IFERROR(__xludf.DUMMYFUNCTION("""COMPUTED_VALUE"""),42370.64583333333)</f>
        <v>42370.64583</v>
      </c>
      <c r="C658" s="2">
        <f>IFERROR(__xludf.DUMMYFUNCTION("""COMPUTED_VALUE"""),4668.0)</f>
        <v>4668</v>
      </c>
    </row>
    <row r="659" ht="15.75" customHeight="1"/>
    <row r="660" ht="15.75" customHeight="1"/>
    <row r="661" ht="15.75" customHeight="1">
      <c r="B661" s="2" t="str">
        <f>IFERROR(__xludf.DUMMYFUNCTION("GOOGLEFINANCE(""NSE:MARUTI"", ""high"",DATE(2016,1,1),DATE(2017,1,1),""weekly"")"),"Date")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IFERROR(__xludf.DUMMYFUNCTION("""COMPUTED_VALUE"""),42377.64583333333)</f>
        <v>42377.64583</v>
      </c>
      <c r="C662" s="2">
        <f>IFERROR(__xludf.DUMMYFUNCTION("""COMPUTED_VALUE"""),4657.0)</f>
        <v>4657</v>
      </c>
    </row>
    <row r="663" ht="15.75" customHeight="1">
      <c r="B663" s="3">
        <f>IFERROR(__xludf.DUMMYFUNCTION("""COMPUTED_VALUE"""),42384.64583333333)</f>
        <v>42384.64583</v>
      </c>
      <c r="C663" s="2">
        <f>IFERROR(__xludf.DUMMYFUNCTION("""COMPUTED_VALUE"""),4340.0)</f>
        <v>4340</v>
      </c>
    </row>
    <row r="664" ht="15.75" customHeight="1">
      <c r="B664" s="3">
        <f>IFERROR(__xludf.DUMMYFUNCTION("""COMPUTED_VALUE"""),42391.64583333333)</f>
        <v>42391.64583</v>
      </c>
      <c r="C664" s="2">
        <f>IFERROR(__xludf.DUMMYFUNCTION("""COMPUTED_VALUE"""),4289.25)</f>
        <v>4289.25</v>
      </c>
    </row>
    <row r="665" ht="15.75" customHeight="1">
      <c r="B665" s="3">
        <f>IFERROR(__xludf.DUMMYFUNCTION("""COMPUTED_VALUE"""),42398.64583333333)</f>
        <v>42398.64583</v>
      </c>
      <c r="C665" s="2">
        <f>IFERROR(__xludf.DUMMYFUNCTION("""COMPUTED_VALUE"""),4179.0)</f>
        <v>4179</v>
      </c>
    </row>
    <row r="666" ht="15.75" customHeight="1">
      <c r="B666" s="3">
        <f>IFERROR(__xludf.DUMMYFUNCTION("""COMPUTED_VALUE"""),42405.64583333333)</f>
        <v>42405.64583</v>
      </c>
      <c r="C666" s="2">
        <f>IFERROR(__xludf.DUMMYFUNCTION("""COMPUTED_VALUE"""),4119.0)</f>
        <v>4119</v>
      </c>
    </row>
    <row r="667" ht="15.75" customHeight="1">
      <c r="B667" s="3">
        <f>IFERROR(__xludf.DUMMYFUNCTION("""COMPUTED_VALUE"""),42412.64583333333)</f>
        <v>42412.64583</v>
      </c>
      <c r="C667" s="2">
        <f>IFERROR(__xludf.DUMMYFUNCTION("""COMPUTED_VALUE"""),3789.0)</f>
        <v>3789</v>
      </c>
    </row>
    <row r="668" ht="15.75" customHeight="1">
      <c r="B668" s="3">
        <f>IFERROR(__xludf.DUMMYFUNCTION("""COMPUTED_VALUE"""),42419.64583333333)</f>
        <v>42419.64583</v>
      </c>
      <c r="C668" s="2">
        <f>IFERROR(__xludf.DUMMYFUNCTION("""COMPUTED_VALUE"""),3796.85)</f>
        <v>3796.85</v>
      </c>
    </row>
    <row r="669" ht="15.75" customHeight="1">
      <c r="B669" s="3">
        <f>IFERROR(__xludf.DUMMYFUNCTION("""COMPUTED_VALUE"""),42426.64583333333)</f>
        <v>42426.64583</v>
      </c>
      <c r="C669" s="2">
        <f>IFERROR(__xludf.DUMMYFUNCTION("""COMPUTED_VALUE"""),3568.45)</f>
        <v>3568.45</v>
      </c>
    </row>
    <row r="670" ht="15.75" customHeight="1">
      <c r="B670" s="3">
        <f>IFERROR(__xludf.DUMMYFUNCTION("""COMPUTED_VALUE"""),42433.64583333333)</f>
        <v>42433.64583</v>
      </c>
      <c r="C670" s="2">
        <f>IFERROR(__xludf.DUMMYFUNCTION("""COMPUTED_VALUE"""),3647.0)</f>
        <v>3647</v>
      </c>
    </row>
    <row r="671" ht="15.75" customHeight="1">
      <c r="B671" s="3">
        <f>IFERROR(__xludf.DUMMYFUNCTION("""COMPUTED_VALUE"""),42440.64583333333)</f>
        <v>42440.64583</v>
      </c>
      <c r="C671" s="2">
        <f>IFERROR(__xludf.DUMMYFUNCTION("""COMPUTED_VALUE"""),3690.0)</f>
        <v>3690</v>
      </c>
    </row>
    <row r="672" ht="15.75" customHeight="1">
      <c r="B672" s="3">
        <f>IFERROR(__xludf.DUMMYFUNCTION("""COMPUTED_VALUE"""),42447.64583333333)</f>
        <v>42447.64583</v>
      </c>
      <c r="C672" s="2">
        <f>IFERROR(__xludf.DUMMYFUNCTION("""COMPUTED_VALUE"""),3750.0)</f>
        <v>3750</v>
      </c>
    </row>
    <row r="673" ht="15.75" customHeight="1">
      <c r="B673" s="3">
        <f>IFERROR(__xludf.DUMMYFUNCTION("""COMPUTED_VALUE"""),42452.64583333333)</f>
        <v>42452.64583</v>
      </c>
      <c r="C673" s="2">
        <f>IFERROR(__xludf.DUMMYFUNCTION("""COMPUTED_VALUE"""),3744.0)</f>
        <v>3744</v>
      </c>
    </row>
    <row r="674" ht="15.75" customHeight="1">
      <c r="B674" s="3">
        <f>IFERROR(__xludf.DUMMYFUNCTION("""COMPUTED_VALUE"""),42461.64583333333)</f>
        <v>42461.64583</v>
      </c>
      <c r="C674" s="2">
        <f>IFERROR(__xludf.DUMMYFUNCTION("""COMPUTED_VALUE"""),3777.8)</f>
        <v>3777.8</v>
      </c>
    </row>
    <row r="675" ht="15.75" customHeight="1">
      <c r="B675" s="3">
        <f>IFERROR(__xludf.DUMMYFUNCTION("""COMPUTED_VALUE"""),42468.64583333333)</f>
        <v>42468.64583</v>
      </c>
      <c r="C675" s="2">
        <f>IFERROR(__xludf.DUMMYFUNCTION("""COMPUTED_VALUE"""),3751.5)</f>
        <v>3751.5</v>
      </c>
    </row>
    <row r="676" ht="15.75" customHeight="1">
      <c r="B676" s="3">
        <f>IFERROR(__xludf.DUMMYFUNCTION("""COMPUTED_VALUE"""),42473.64583333333)</f>
        <v>42473.64583</v>
      </c>
      <c r="C676" s="2">
        <f>IFERROR(__xludf.DUMMYFUNCTION("""COMPUTED_VALUE"""),3745.35)</f>
        <v>3745.35</v>
      </c>
    </row>
    <row r="677" ht="15.75" customHeight="1">
      <c r="B677" s="3">
        <f>IFERROR(__xludf.DUMMYFUNCTION("""COMPUTED_VALUE"""),42482.64583333333)</f>
        <v>42482.64583</v>
      </c>
      <c r="C677" s="2">
        <f>IFERROR(__xludf.DUMMYFUNCTION("""COMPUTED_VALUE"""),3833.0)</f>
        <v>3833</v>
      </c>
    </row>
    <row r="678" ht="15.75" customHeight="1">
      <c r="B678" s="3">
        <f>IFERROR(__xludf.DUMMYFUNCTION("""COMPUTED_VALUE"""),42489.64583333333)</f>
        <v>42489.64583</v>
      </c>
      <c r="C678" s="2">
        <f>IFERROR(__xludf.DUMMYFUNCTION("""COMPUTED_VALUE"""),3932.75)</f>
        <v>3932.75</v>
      </c>
    </row>
    <row r="679" ht="15.75" customHeight="1">
      <c r="B679" s="3">
        <f>IFERROR(__xludf.DUMMYFUNCTION("""COMPUTED_VALUE"""),42496.64583333333)</f>
        <v>42496.64583</v>
      </c>
      <c r="C679" s="2">
        <f>IFERROR(__xludf.DUMMYFUNCTION("""COMPUTED_VALUE"""),3879.0)</f>
        <v>3879</v>
      </c>
    </row>
    <row r="680" ht="15.75" customHeight="1">
      <c r="B680" s="3">
        <f>IFERROR(__xludf.DUMMYFUNCTION("""COMPUTED_VALUE"""),42503.64583333333)</f>
        <v>42503.64583</v>
      </c>
      <c r="C680" s="2">
        <f>IFERROR(__xludf.DUMMYFUNCTION("""COMPUTED_VALUE"""),3909.8)</f>
        <v>3909.8</v>
      </c>
    </row>
    <row r="681" ht="15.75" customHeight="1">
      <c r="B681" s="3">
        <f>IFERROR(__xludf.DUMMYFUNCTION("""COMPUTED_VALUE"""),42510.64583333333)</f>
        <v>42510.64583</v>
      </c>
      <c r="C681" s="2">
        <f>IFERROR(__xludf.DUMMYFUNCTION("""COMPUTED_VALUE"""),3969.0)</f>
        <v>3969</v>
      </c>
    </row>
    <row r="682" ht="15.75" customHeight="1">
      <c r="B682" s="3">
        <f>IFERROR(__xludf.DUMMYFUNCTION("""COMPUTED_VALUE"""),42517.64583333333)</f>
        <v>42517.64583</v>
      </c>
      <c r="C682" s="2">
        <f>IFERROR(__xludf.DUMMYFUNCTION("""COMPUTED_VALUE"""),4162.0)</f>
        <v>4162</v>
      </c>
    </row>
    <row r="683" ht="15.75" customHeight="1">
      <c r="B683" s="3">
        <f>IFERROR(__xludf.DUMMYFUNCTION("""COMPUTED_VALUE"""),42524.64583333333)</f>
        <v>42524.64583</v>
      </c>
      <c r="C683" s="2">
        <f>IFERROR(__xludf.DUMMYFUNCTION("""COMPUTED_VALUE"""),4235.0)</f>
        <v>4235</v>
      </c>
    </row>
    <row r="684" ht="15.75" customHeight="1">
      <c r="B684" s="3">
        <f>IFERROR(__xludf.DUMMYFUNCTION("""COMPUTED_VALUE"""),42531.64583333333)</f>
        <v>42531.64583</v>
      </c>
      <c r="C684" s="2">
        <f>IFERROR(__xludf.DUMMYFUNCTION("""COMPUTED_VALUE"""),4217.0)</f>
        <v>4217</v>
      </c>
    </row>
    <row r="685" ht="15.75" customHeight="1">
      <c r="B685" s="3">
        <f>IFERROR(__xludf.DUMMYFUNCTION("""COMPUTED_VALUE"""),42538.64583333333)</f>
        <v>42538.64583</v>
      </c>
      <c r="C685" s="2">
        <f>IFERROR(__xludf.DUMMYFUNCTION("""COMPUTED_VALUE"""),4215.0)</f>
        <v>4215</v>
      </c>
    </row>
    <row r="686" ht="15.75" customHeight="1">
      <c r="B686" s="3">
        <f>IFERROR(__xludf.DUMMYFUNCTION("""COMPUTED_VALUE"""),42545.64583333333)</f>
        <v>42545.64583</v>
      </c>
      <c r="C686" s="2">
        <f>IFERROR(__xludf.DUMMYFUNCTION("""COMPUTED_VALUE"""),4180.5)</f>
        <v>4180.5</v>
      </c>
    </row>
    <row r="687" ht="15.75" customHeight="1">
      <c r="B687" s="3">
        <f>IFERROR(__xludf.DUMMYFUNCTION("""COMPUTED_VALUE"""),42552.64583333333)</f>
        <v>42552.64583</v>
      </c>
      <c r="C687" s="2">
        <f>IFERROR(__xludf.DUMMYFUNCTION("""COMPUTED_VALUE"""),4214.2)</f>
        <v>4214.2</v>
      </c>
    </row>
    <row r="688" ht="15.75" customHeight="1">
      <c r="B688" s="3">
        <f>IFERROR(__xludf.DUMMYFUNCTION("""COMPUTED_VALUE"""),42559.64583333333)</f>
        <v>42559.64583</v>
      </c>
      <c r="C688" s="2">
        <f>IFERROR(__xludf.DUMMYFUNCTION("""COMPUTED_VALUE"""),4202.0)</f>
        <v>4202</v>
      </c>
    </row>
    <row r="689" ht="15.75" customHeight="1">
      <c r="B689" s="3">
        <f>IFERROR(__xludf.DUMMYFUNCTION("""COMPUTED_VALUE"""),42566.64583333333)</f>
        <v>42566.64583</v>
      </c>
      <c r="C689" s="2">
        <f>IFERROR(__xludf.DUMMYFUNCTION("""COMPUTED_VALUE"""),4493.55)</f>
        <v>4493.55</v>
      </c>
    </row>
    <row r="690" ht="15.75" customHeight="1">
      <c r="B690" s="3">
        <f>IFERROR(__xludf.DUMMYFUNCTION("""COMPUTED_VALUE"""),42573.64583333333)</f>
        <v>42573.64583</v>
      </c>
      <c r="C690" s="2">
        <f>IFERROR(__xludf.DUMMYFUNCTION("""COMPUTED_VALUE"""),4564.4)</f>
        <v>4564.4</v>
      </c>
    </row>
    <row r="691" ht="15.75" customHeight="1">
      <c r="B691" s="3">
        <f>IFERROR(__xludf.DUMMYFUNCTION("""COMPUTED_VALUE"""),42580.64583333333)</f>
        <v>42580.64583</v>
      </c>
      <c r="C691" s="2">
        <f>IFERROR(__xludf.DUMMYFUNCTION("""COMPUTED_VALUE"""),4824.0)</f>
        <v>4824</v>
      </c>
    </row>
    <row r="692" ht="15.75" customHeight="1">
      <c r="B692" s="3">
        <f>IFERROR(__xludf.DUMMYFUNCTION("""COMPUTED_VALUE"""),42587.64583333333)</f>
        <v>42587.64583</v>
      </c>
      <c r="C692" s="2">
        <f>IFERROR(__xludf.DUMMYFUNCTION("""COMPUTED_VALUE"""),5039.0)</f>
        <v>5039</v>
      </c>
    </row>
    <row r="693" ht="15.75" customHeight="1">
      <c r="B693" s="3">
        <f>IFERROR(__xludf.DUMMYFUNCTION("""COMPUTED_VALUE"""),42594.64583333333)</f>
        <v>42594.64583</v>
      </c>
      <c r="C693" s="2">
        <f>IFERROR(__xludf.DUMMYFUNCTION("""COMPUTED_VALUE"""),5021.75)</f>
        <v>5021.75</v>
      </c>
    </row>
    <row r="694" ht="15.75" customHeight="1">
      <c r="B694" s="3">
        <f>IFERROR(__xludf.DUMMYFUNCTION("""COMPUTED_VALUE"""),42601.64583333333)</f>
        <v>42601.64583</v>
      </c>
      <c r="C694" s="2">
        <f>IFERROR(__xludf.DUMMYFUNCTION("""COMPUTED_VALUE"""),4950.0)</f>
        <v>4950</v>
      </c>
    </row>
    <row r="695" ht="15.75" customHeight="1">
      <c r="B695" s="3">
        <f>IFERROR(__xludf.DUMMYFUNCTION("""COMPUTED_VALUE"""),42608.64583333333)</f>
        <v>42608.64583</v>
      </c>
      <c r="C695" s="2">
        <f>IFERROR(__xludf.DUMMYFUNCTION("""COMPUTED_VALUE"""),4983.8)</f>
        <v>4983.8</v>
      </c>
    </row>
    <row r="696" ht="15.75" customHeight="1">
      <c r="B696" s="3">
        <f>IFERROR(__xludf.DUMMYFUNCTION("""COMPUTED_VALUE"""),42615.64583333333)</f>
        <v>42615.64583</v>
      </c>
      <c r="C696" s="2">
        <f>IFERROR(__xludf.DUMMYFUNCTION("""COMPUTED_VALUE"""),5188.65)</f>
        <v>5188.65</v>
      </c>
    </row>
    <row r="697" ht="15.75" customHeight="1">
      <c r="B697" s="3">
        <f>IFERROR(__xludf.DUMMYFUNCTION("""COMPUTED_VALUE"""),42622.64583333333)</f>
        <v>42622.64583</v>
      </c>
      <c r="C697" s="2">
        <f>IFERROR(__xludf.DUMMYFUNCTION("""COMPUTED_VALUE"""),5499.0)</f>
        <v>5499</v>
      </c>
    </row>
    <row r="698" ht="15.75" customHeight="1">
      <c r="B698" s="3">
        <f>IFERROR(__xludf.DUMMYFUNCTION("""COMPUTED_VALUE"""),42629.64583333333)</f>
        <v>42629.64583</v>
      </c>
      <c r="C698" s="2">
        <f>IFERROR(__xludf.DUMMYFUNCTION("""COMPUTED_VALUE"""),5619.9)</f>
        <v>5619.9</v>
      </c>
    </row>
    <row r="699" ht="15.75" customHeight="1">
      <c r="B699" s="3">
        <f>IFERROR(__xludf.DUMMYFUNCTION("""COMPUTED_VALUE"""),42636.64583333333)</f>
        <v>42636.64583</v>
      </c>
      <c r="C699" s="2">
        <f>IFERROR(__xludf.DUMMYFUNCTION("""COMPUTED_VALUE"""),5634.1)</f>
        <v>5634.1</v>
      </c>
    </row>
    <row r="700" ht="15.75" customHeight="1">
      <c r="B700" s="3">
        <f>IFERROR(__xludf.DUMMYFUNCTION("""COMPUTED_VALUE"""),42643.64583333333)</f>
        <v>42643.64583</v>
      </c>
      <c r="C700" s="2">
        <f>IFERROR(__xludf.DUMMYFUNCTION("""COMPUTED_VALUE"""),5625.0)</f>
        <v>5625</v>
      </c>
    </row>
    <row r="701" ht="15.75" customHeight="1">
      <c r="B701" s="3">
        <f>IFERROR(__xludf.DUMMYFUNCTION("""COMPUTED_VALUE"""),42650.64583333333)</f>
        <v>42650.64583</v>
      </c>
      <c r="C701" s="2">
        <f>IFERROR(__xludf.DUMMYFUNCTION("""COMPUTED_VALUE"""),5767.0)</f>
        <v>5767</v>
      </c>
    </row>
    <row r="702" ht="15.75" customHeight="1">
      <c r="B702" s="3">
        <f>IFERROR(__xludf.DUMMYFUNCTION("""COMPUTED_VALUE"""),42657.64583333333)</f>
        <v>42657.64583</v>
      </c>
      <c r="C702" s="2">
        <f>IFERROR(__xludf.DUMMYFUNCTION("""COMPUTED_VALUE"""),5766.95)</f>
        <v>5766.95</v>
      </c>
    </row>
    <row r="703" ht="15.75" customHeight="1">
      <c r="B703" s="3">
        <f>IFERROR(__xludf.DUMMYFUNCTION("""COMPUTED_VALUE"""),42664.64583333333)</f>
        <v>42664.64583</v>
      </c>
      <c r="C703" s="2">
        <f>IFERROR(__xludf.DUMMYFUNCTION("""COMPUTED_VALUE"""),5699.0)</f>
        <v>5699</v>
      </c>
    </row>
    <row r="704" ht="15.75" customHeight="1">
      <c r="B704" s="3">
        <f>IFERROR(__xludf.DUMMYFUNCTION("""COMPUTED_VALUE"""),42671.64583333333)</f>
        <v>42671.64583</v>
      </c>
      <c r="C704" s="2">
        <f>IFERROR(__xludf.DUMMYFUNCTION("""COMPUTED_VALUE"""),5948.0)</f>
        <v>5948</v>
      </c>
    </row>
    <row r="705" ht="15.75" customHeight="1">
      <c r="B705" s="3">
        <f>IFERROR(__xludf.DUMMYFUNCTION("""COMPUTED_VALUE"""),42678.64583333333)</f>
        <v>42678.64583</v>
      </c>
      <c r="C705" s="2">
        <f>IFERROR(__xludf.DUMMYFUNCTION("""COMPUTED_VALUE"""),5974.0)</f>
        <v>5974</v>
      </c>
    </row>
    <row r="706" ht="15.75" customHeight="1">
      <c r="B706" s="3">
        <f>IFERROR(__xludf.DUMMYFUNCTION("""COMPUTED_VALUE"""),42685.64583333333)</f>
        <v>42685.64583</v>
      </c>
      <c r="C706" s="2">
        <f>IFERROR(__xludf.DUMMYFUNCTION("""COMPUTED_VALUE"""),5784.85)</f>
        <v>5784.85</v>
      </c>
    </row>
    <row r="707" ht="15.75" customHeight="1">
      <c r="B707" s="3">
        <f>IFERROR(__xludf.DUMMYFUNCTION("""COMPUTED_VALUE"""),42692.64583333333)</f>
        <v>42692.64583</v>
      </c>
      <c r="C707" s="2">
        <f>IFERROR(__xludf.DUMMYFUNCTION("""COMPUTED_VALUE"""),5119.05)</f>
        <v>5119.05</v>
      </c>
    </row>
    <row r="708" ht="15.75" customHeight="1">
      <c r="B708" s="3">
        <f>IFERROR(__xludf.DUMMYFUNCTION("""COMPUTED_VALUE"""),42699.64583333333)</f>
        <v>42699.64583</v>
      </c>
      <c r="C708" s="2">
        <f>IFERROR(__xludf.DUMMYFUNCTION("""COMPUTED_VALUE"""),4990.0)</f>
        <v>4990</v>
      </c>
    </row>
    <row r="709" ht="15.75" customHeight="1">
      <c r="B709" s="3">
        <f>IFERROR(__xludf.DUMMYFUNCTION("""COMPUTED_VALUE"""),42706.64583333333)</f>
        <v>42706.64583</v>
      </c>
      <c r="C709" s="2">
        <f>IFERROR(__xludf.DUMMYFUNCTION("""COMPUTED_VALUE"""),5307.5)</f>
        <v>5307.5</v>
      </c>
    </row>
    <row r="710" ht="15.75" customHeight="1">
      <c r="B710" s="3">
        <f>IFERROR(__xludf.DUMMYFUNCTION("""COMPUTED_VALUE"""),42713.64583333333)</f>
        <v>42713.64583</v>
      </c>
      <c r="C710" s="2">
        <f>IFERROR(__xludf.DUMMYFUNCTION("""COMPUTED_VALUE"""),5312.5)</f>
        <v>5312.5</v>
      </c>
    </row>
    <row r="711" ht="15.75" customHeight="1">
      <c r="B711" s="3">
        <f>IFERROR(__xludf.DUMMYFUNCTION("""COMPUTED_VALUE"""),42720.64583333333)</f>
        <v>42720.64583</v>
      </c>
      <c r="C711" s="2">
        <f>IFERROR(__xludf.DUMMYFUNCTION("""COMPUTED_VALUE"""),5228.0)</f>
        <v>5228</v>
      </c>
    </row>
    <row r="712" ht="15.75" customHeight="1">
      <c r="B712" s="3">
        <f>IFERROR(__xludf.DUMMYFUNCTION("""COMPUTED_VALUE"""),42727.64583333333)</f>
        <v>42727.64583</v>
      </c>
      <c r="C712" s="2">
        <f>IFERROR(__xludf.DUMMYFUNCTION("""COMPUTED_VALUE"""),5214.0)</f>
        <v>5214</v>
      </c>
    </row>
    <row r="713" ht="15.75" customHeight="1">
      <c r="B713" s="3">
        <f>IFERROR(__xludf.DUMMYFUNCTION("""COMPUTED_VALUE"""),42734.64583333333)</f>
        <v>42734.64583</v>
      </c>
      <c r="C713" s="2">
        <f>IFERROR(__xludf.DUMMYFUNCTION("""COMPUTED_VALUE"""),5377.9)</f>
        <v>5377.9</v>
      </c>
    </row>
    <row r="714" ht="15.75" customHeight="1"/>
    <row r="715" ht="15.75" customHeight="1"/>
    <row r="716" ht="15.75" customHeight="1">
      <c r="B716" s="2" t="str">
        <f>IFERROR(__xludf.DUMMYFUNCTION("GOOGLEFINANCE(""NSE:MARUTI"", ""high"",DATE(2017,1,1),DATE(2018,1,1),""weekly"")"),"Date")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IFERROR(__xludf.DUMMYFUNCTION("""COMPUTED_VALUE"""),42741.64583333333)</f>
        <v>42741.64583</v>
      </c>
      <c r="C717" s="2">
        <f>IFERROR(__xludf.DUMMYFUNCTION("""COMPUTED_VALUE"""),5657.3)</f>
        <v>5657.3</v>
      </c>
    </row>
    <row r="718" ht="15.75" customHeight="1">
      <c r="B718" s="3">
        <f>IFERROR(__xludf.DUMMYFUNCTION("""COMPUTED_VALUE"""),42748.64583333333)</f>
        <v>42748.64583</v>
      </c>
      <c r="C718" s="2">
        <f>IFERROR(__xludf.DUMMYFUNCTION("""COMPUTED_VALUE"""),5795.0)</f>
        <v>5795</v>
      </c>
    </row>
    <row r="719" ht="15.75" customHeight="1">
      <c r="B719" s="3">
        <f>IFERROR(__xludf.DUMMYFUNCTION("""COMPUTED_VALUE"""),42755.64583333333)</f>
        <v>42755.64583</v>
      </c>
      <c r="C719" s="2">
        <f>IFERROR(__xludf.DUMMYFUNCTION("""COMPUTED_VALUE"""),5749.0)</f>
        <v>5749</v>
      </c>
    </row>
    <row r="720" ht="15.75" customHeight="1">
      <c r="B720" s="3">
        <f>IFERROR(__xludf.DUMMYFUNCTION("""COMPUTED_VALUE"""),42762.64583333333)</f>
        <v>42762.64583</v>
      </c>
      <c r="C720" s="2">
        <f>IFERROR(__xludf.DUMMYFUNCTION("""COMPUTED_VALUE"""),5927.7)</f>
        <v>5927.7</v>
      </c>
    </row>
    <row r="721" ht="15.75" customHeight="1">
      <c r="B721" s="3">
        <f>IFERROR(__xludf.DUMMYFUNCTION("""COMPUTED_VALUE"""),42769.64583333333)</f>
        <v>42769.64583</v>
      </c>
      <c r="C721" s="2">
        <f>IFERROR(__xludf.DUMMYFUNCTION("""COMPUTED_VALUE"""),6218.35)</f>
        <v>6218.35</v>
      </c>
    </row>
    <row r="722" ht="15.75" customHeight="1">
      <c r="B722" s="3">
        <f>IFERROR(__xludf.DUMMYFUNCTION("""COMPUTED_VALUE"""),42776.64583333333)</f>
        <v>42776.64583</v>
      </c>
      <c r="C722" s="2">
        <f>IFERROR(__xludf.DUMMYFUNCTION("""COMPUTED_VALUE"""),6233.9)</f>
        <v>6233.9</v>
      </c>
    </row>
    <row r="723" ht="15.75" customHeight="1">
      <c r="B723" s="3">
        <f>IFERROR(__xludf.DUMMYFUNCTION("""COMPUTED_VALUE"""),42783.64583333333)</f>
        <v>42783.64583</v>
      </c>
      <c r="C723" s="2">
        <f>IFERROR(__xludf.DUMMYFUNCTION("""COMPUTED_VALUE"""),6139.9)</f>
        <v>6139.9</v>
      </c>
    </row>
    <row r="724" ht="15.75" customHeight="1">
      <c r="B724" s="3">
        <f>IFERROR(__xludf.DUMMYFUNCTION("""COMPUTED_VALUE"""),42789.64583333333)</f>
        <v>42789.64583</v>
      </c>
      <c r="C724" s="2">
        <f>IFERROR(__xludf.DUMMYFUNCTION("""COMPUTED_VALUE"""),6120.75)</f>
        <v>6120.75</v>
      </c>
    </row>
    <row r="725" ht="15.75" customHeight="1">
      <c r="B725" s="3">
        <f>IFERROR(__xludf.DUMMYFUNCTION("""COMPUTED_VALUE"""),42797.64583333333)</f>
        <v>42797.64583</v>
      </c>
      <c r="C725" s="2">
        <f>IFERROR(__xludf.DUMMYFUNCTION("""COMPUTED_VALUE"""),6050.95)</f>
        <v>6050.95</v>
      </c>
    </row>
    <row r="726" ht="15.75" customHeight="1">
      <c r="B726" s="3">
        <f>IFERROR(__xludf.DUMMYFUNCTION("""COMPUTED_VALUE"""),42804.64583333333)</f>
        <v>42804.64583</v>
      </c>
      <c r="C726" s="2">
        <f>IFERROR(__xludf.DUMMYFUNCTION("""COMPUTED_VALUE"""),6008.4)</f>
        <v>6008.4</v>
      </c>
    </row>
    <row r="727" ht="15.75" customHeight="1">
      <c r="B727" s="3">
        <f>IFERROR(__xludf.DUMMYFUNCTION("""COMPUTED_VALUE"""),42811.64583333333)</f>
        <v>42811.64583</v>
      </c>
      <c r="C727" s="2">
        <f>IFERROR(__xludf.DUMMYFUNCTION("""COMPUTED_VALUE"""),6226.8)</f>
        <v>6226.8</v>
      </c>
    </row>
    <row r="728" ht="15.75" customHeight="1">
      <c r="B728" s="3">
        <f>IFERROR(__xludf.DUMMYFUNCTION("""COMPUTED_VALUE"""),42818.64583333333)</f>
        <v>42818.64583</v>
      </c>
      <c r="C728" s="2">
        <f>IFERROR(__xludf.DUMMYFUNCTION("""COMPUTED_VALUE"""),6220.0)</f>
        <v>6220</v>
      </c>
    </row>
    <row r="729" ht="15.75" customHeight="1">
      <c r="B729" s="3">
        <f>IFERROR(__xludf.DUMMYFUNCTION("""COMPUTED_VALUE"""),42825.64583333333)</f>
        <v>42825.64583</v>
      </c>
      <c r="C729" s="2">
        <f>IFERROR(__xludf.DUMMYFUNCTION("""COMPUTED_VALUE"""),6049.0)</f>
        <v>6049</v>
      </c>
    </row>
    <row r="730" ht="15.75" customHeight="1">
      <c r="B730" s="3">
        <f>IFERROR(__xludf.DUMMYFUNCTION("""COMPUTED_VALUE"""),42832.64583333333)</f>
        <v>42832.64583</v>
      </c>
      <c r="C730" s="2">
        <f>IFERROR(__xludf.DUMMYFUNCTION("""COMPUTED_VALUE"""),6359.0)</f>
        <v>6359</v>
      </c>
    </row>
    <row r="731" ht="15.75" customHeight="1">
      <c r="B731" s="3">
        <f>IFERROR(__xludf.DUMMYFUNCTION("""COMPUTED_VALUE"""),42838.64583333333)</f>
        <v>42838.64583</v>
      </c>
      <c r="C731" s="2">
        <f>IFERROR(__xludf.DUMMYFUNCTION("""COMPUTED_VALUE"""),6307.8)</f>
        <v>6307.8</v>
      </c>
    </row>
    <row r="732" ht="15.75" customHeight="1">
      <c r="B732" s="3">
        <f>IFERROR(__xludf.DUMMYFUNCTION("""COMPUTED_VALUE"""),42846.64583333333)</f>
        <v>42846.64583</v>
      </c>
      <c r="C732" s="2">
        <f>IFERROR(__xludf.DUMMYFUNCTION("""COMPUTED_VALUE"""),6303.15)</f>
        <v>6303.15</v>
      </c>
    </row>
    <row r="733" ht="15.75" customHeight="1">
      <c r="B733" s="3">
        <f>IFERROR(__xludf.DUMMYFUNCTION("""COMPUTED_VALUE"""),42853.64583333333)</f>
        <v>42853.64583</v>
      </c>
      <c r="C733" s="2">
        <f>IFERROR(__xludf.DUMMYFUNCTION("""COMPUTED_VALUE"""),6589.8)</f>
        <v>6589.8</v>
      </c>
    </row>
    <row r="734" ht="15.75" customHeight="1">
      <c r="B734" s="3">
        <f>IFERROR(__xludf.DUMMYFUNCTION("""COMPUTED_VALUE"""),42860.64583333333)</f>
        <v>42860.64583</v>
      </c>
      <c r="C734" s="2">
        <f>IFERROR(__xludf.DUMMYFUNCTION("""COMPUTED_VALUE"""),6730.0)</f>
        <v>6730</v>
      </c>
    </row>
    <row r="735" ht="15.75" customHeight="1">
      <c r="B735" s="3">
        <f>IFERROR(__xludf.DUMMYFUNCTION("""COMPUTED_VALUE"""),42867.64583333333)</f>
        <v>42867.64583</v>
      </c>
      <c r="C735" s="2">
        <f>IFERROR(__xludf.DUMMYFUNCTION("""COMPUTED_VALUE"""),6798.0)</f>
        <v>6798</v>
      </c>
    </row>
    <row r="736" ht="15.75" customHeight="1">
      <c r="B736" s="3">
        <f>IFERROR(__xludf.DUMMYFUNCTION("""COMPUTED_VALUE"""),42874.64583333333)</f>
        <v>42874.64583</v>
      </c>
      <c r="C736" s="2">
        <f>IFERROR(__xludf.DUMMYFUNCTION("""COMPUTED_VALUE"""),6979.0)</f>
        <v>6979</v>
      </c>
    </row>
    <row r="737" ht="15.75" customHeight="1">
      <c r="B737" s="3">
        <f>IFERROR(__xludf.DUMMYFUNCTION("""COMPUTED_VALUE"""),42881.64583333333)</f>
        <v>42881.64583</v>
      </c>
      <c r="C737" s="2">
        <f>IFERROR(__xludf.DUMMYFUNCTION("""COMPUTED_VALUE"""),7085.05)</f>
        <v>7085.05</v>
      </c>
    </row>
    <row r="738" ht="15.75" customHeight="1">
      <c r="B738" s="3">
        <f>IFERROR(__xludf.DUMMYFUNCTION("""COMPUTED_VALUE"""),42888.64583333333)</f>
        <v>42888.64583</v>
      </c>
      <c r="C738" s="2">
        <f>IFERROR(__xludf.DUMMYFUNCTION("""COMPUTED_VALUE"""),7248.0)</f>
        <v>7248</v>
      </c>
    </row>
    <row r="739" ht="15.75" customHeight="1">
      <c r="B739" s="3">
        <f>IFERROR(__xludf.DUMMYFUNCTION("""COMPUTED_VALUE"""),42895.64583333333)</f>
        <v>42895.64583</v>
      </c>
      <c r="C739" s="2">
        <f>IFERROR(__xludf.DUMMYFUNCTION("""COMPUTED_VALUE"""),7480.9)</f>
        <v>7480.9</v>
      </c>
    </row>
    <row r="740" ht="15.75" customHeight="1">
      <c r="B740" s="3">
        <f>IFERROR(__xludf.DUMMYFUNCTION("""COMPUTED_VALUE"""),42902.64583333333)</f>
        <v>42902.64583</v>
      </c>
      <c r="C740" s="2">
        <f>IFERROR(__xludf.DUMMYFUNCTION("""COMPUTED_VALUE"""),7455.0)</f>
        <v>7455</v>
      </c>
    </row>
    <row r="741" ht="15.75" customHeight="1">
      <c r="B741" s="3">
        <f>IFERROR(__xludf.DUMMYFUNCTION("""COMPUTED_VALUE"""),42909.64583333333)</f>
        <v>42909.64583</v>
      </c>
      <c r="C741" s="2">
        <f>IFERROR(__xludf.DUMMYFUNCTION("""COMPUTED_VALUE"""),7352.0)</f>
        <v>7352</v>
      </c>
    </row>
    <row r="742" ht="15.75" customHeight="1">
      <c r="B742" s="3">
        <f>IFERROR(__xludf.DUMMYFUNCTION("""COMPUTED_VALUE"""),42916.64583333333)</f>
        <v>42916.64583</v>
      </c>
      <c r="C742" s="2">
        <f>IFERROR(__xludf.DUMMYFUNCTION("""COMPUTED_VALUE"""),7324.0)</f>
        <v>7324</v>
      </c>
    </row>
    <row r="743" ht="15.75" customHeight="1">
      <c r="B743" s="3">
        <f>IFERROR(__xludf.DUMMYFUNCTION("""COMPUTED_VALUE"""),42923.64583333333)</f>
        <v>42923.64583</v>
      </c>
      <c r="C743" s="2">
        <f>IFERROR(__xludf.DUMMYFUNCTION("""COMPUTED_VALUE"""),7498.0)</f>
        <v>7498</v>
      </c>
    </row>
    <row r="744" ht="15.75" customHeight="1">
      <c r="B744" s="3">
        <f>IFERROR(__xludf.DUMMYFUNCTION("""COMPUTED_VALUE"""),42930.64583333333)</f>
        <v>42930.64583</v>
      </c>
      <c r="C744" s="2">
        <f>IFERROR(__xludf.DUMMYFUNCTION("""COMPUTED_VALUE"""),7588.95)</f>
        <v>7588.95</v>
      </c>
    </row>
    <row r="745" ht="15.75" customHeight="1">
      <c r="B745" s="3">
        <f>IFERROR(__xludf.DUMMYFUNCTION("""COMPUTED_VALUE"""),42937.64583333333)</f>
        <v>42937.64583</v>
      </c>
      <c r="C745" s="2">
        <f>IFERROR(__xludf.DUMMYFUNCTION("""COMPUTED_VALUE"""),7591.5)</f>
        <v>7591.5</v>
      </c>
    </row>
    <row r="746" ht="15.75" customHeight="1">
      <c r="B746" s="3">
        <f>IFERROR(__xludf.DUMMYFUNCTION("""COMPUTED_VALUE"""),42944.64583333333)</f>
        <v>42944.64583</v>
      </c>
      <c r="C746" s="2">
        <f>IFERROR(__xludf.DUMMYFUNCTION("""COMPUTED_VALUE"""),7683.4)</f>
        <v>7683.4</v>
      </c>
    </row>
    <row r="747" ht="15.75" customHeight="1">
      <c r="B747" s="3">
        <f>IFERROR(__xludf.DUMMYFUNCTION("""COMPUTED_VALUE"""),42951.64583333333)</f>
        <v>42951.64583</v>
      </c>
      <c r="C747" s="2">
        <f>IFERROR(__xludf.DUMMYFUNCTION("""COMPUTED_VALUE"""),7920.0)</f>
        <v>7920</v>
      </c>
    </row>
    <row r="748" ht="15.75" customHeight="1">
      <c r="B748" s="3">
        <f>IFERROR(__xludf.DUMMYFUNCTION("""COMPUTED_VALUE"""),42958.64583333333)</f>
        <v>42958.64583</v>
      </c>
      <c r="C748" s="2">
        <f>IFERROR(__xludf.DUMMYFUNCTION("""COMPUTED_VALUE"""),7892.35)</f>
        <v>7892.35</v>
      </c>
    </row>
    <row r="749" ht="15.75" customHeight="1">
      <c r="B749" s="3">
        <f>IFERROR(__xludf.DUMMYFUNCTION("""COMPUTED_VALUE"""),42965.64583333333)</f>
        <v>42965.64583</v>
      </c>
      <c r="C749" s="2">
        <f>IFERROR(__xludf.DUMMYFUNCTION("""COMPUTED_VALUE"""),7720.1)</f>
        <v>7720.1</v>
      </c>
    </row>
    <row r="750" ht="15.75" customHeight="1">
      <c r="B750" s="3">
        <f>IFERROR(__xludf.DUMMYFUNCTION("""COMPUTED_VALUE"""),42971.64583333333)</f>
        <v>42971.64583</v>
      </c>
      <c r="C750" s="2">
        <f>IFERROR(__xludf.DUMMYFUNCTION("""COMPUTED_VALUE"""),7658.05)</f>
        <v>7658.05</v>
      </c>
    </row>
    <row r="751" ht="15.75" customHeight="1">
      <c r="B751" s="3">
        <f>IFERROR(__xludf.DUMMYFUNCTION("""COMPUTED_VALUE"""),42979.64583333333)</f>
        <v>42979.64583</v>
      </c>
      <c r="C751" s="2">
        <f>IFERROR(__xludf.DUMMYFUNCTION("""COMPUTED_VALUE"""),7834.9)</f>
        <v>7834.9</v>
      </c>
    </row>
    <row r="752" ht="15.75" customHeight="1">
      <c r="B752" s="3">
        <f>IFERROR(__xludf.DUMMYFUNCTION("""COMPUTED_VALUE"""),42986.64583333333)</f>
        <v>42986.64583</v>
      </c>
      <c r="C752" s="2">
        <f>IFERROR(__xludf.DUMMYFUNCTION("""COMPUTED_VALUE"""),7979.75)</f>
        <v>7979.75</v>
      </c>
    </row>
    <row r="753" ht="15.75" customHeight="1">
      <c r="B753" s="3">
        <f>IFERROR(__xludf.DUMMYFUNCTION("""COMPUTED_VALUE"""),42993.64583333333)</f>
        <v>42993.64583</v>
      </c>
      <c r="C753" s="2">
        <f>IFERROR(__xludf.DUMMYFUNCTION("""COMPUTED_VALUE"""),8200.0)</f>
        <v>8200</v>
      </c>
    </row>
    <row r="754" ht="15.75" customHeight="1">
      <c r="B754" s="3">
        <f>IFERROR(__xludf.DUMMYFUNCTION("""COMPUTED_VALUE"""),43000.64583333333)</f>
        <v>43000.64583</v>
      </c>
      <c r="C754" s="2">
        <f>IFERROR(__xludf.DUMMYFUNCTION("""COMPUTED_VALUE"""),8185.0)</f>
        <v>8185</v>
      </c>
    </row>
    <row r="755" ht="15.75" customHeight="1">
      <c r="B755" s="3">
        <f>IFERROR(__xludf.DUMMYFUNCTION("""COMPUTED_VALUE"""),43007.64583333333)</f>
        <v>43007.64583</v>
      </c>
      <c r="C755" s="2">
        <f>IFERROR(__xludf.DUMMYFUNCTION("""COMPUTED_VALUE"""),8089.0)</f>
        <v>8089</v>
      </c>
    </row>
    <row r="756" ht="15.75" customHeight="1">
      <c r="B756" s="3">
        <f>IFERROR(__xludf.DUMMYFUNCTION("""COMPUTED_VALUE"""),43014.64583333333)</f>
        <v>43014.64583</v>
      </c>
      <c r="C756" s="2">
        <f>IFERROR(__xludf.DUMMYFUNCTION("""COMPUTED_VALUE"""),8069.05)</f>
        <v>8069.05</v>
      </c>
    </row>
    <row r="757" ht="15.75" customHeight="1">
      <c r="B757" s="3">
        <f>IFERROR(__xludf.DUMMYFUNCTION("""COMPUTED_VALUE"""),43021.64583333333)</f>
        <v>43021.64583</v>
      </c>
      <c r="C757" s="2">
        <f>IFERROR(__xludf.DUMMYFUNCTION("""COMPUTED_VALUE"""),7957.0)</f>
        <v>7957</v>
      </c>
    </row>
    <row r="758" ht="15.75" customHeight="1">
      <c r="B758" s="3">
        <f>IFERROR(__xludf.DUMMYFUNCTION("""COMPUTED_VALUE"""),43027.83333333333)</f>
        <v>43027.83333</v>
      </c>
      <c r="C758" s="2">
        <f>IFERROR(__xludf.DUMMYFUNCTION("""COMPUTED_VALUE"""),7935.0)</f>
        <v>7935</v>
      </c>
    </row>
    <row r="759" ht="15.75" customHeight="1">
      <c r="B759" s="3">
        <f>IFERROR(__xludf.DUMMYFUNCTION("""COMPUTED_VALUE"""),43035.64583333333)</f>
        <v>43035.64583</v>
      </c>
      <c r="C759" s="2">
        <f>IFERROR(__xludf.DUMMYFUNCTION("""COMPUTED_VALUE"""),8240.0)</f>
        <v>8240</v>
      </c>
    </row>
    <row r="760" ht="15.75" customHeight="1">
      <c r="B760" s="3">
        <f>IFERROR(__xludf.DUMMYFUNCTION("""COMPUTED_VALUE"""),43042.64583333333)</f>
        <v>43042.64583</v>
      </c>
      <c r="C760" s="2">
        <f>IFERROR(__xludf.DUMMYFUNCTION("""COMPUTED_VALUE"""),8279.0)</f>
        <v>8279</v>
      </c>
    </row>
    <row r="761" ht="15.75" customHeight="1">
      <c r="B761" s="3">
        <f>IFERROR(__xludf.DUMMYFUNCTION("""COMPUTED_VALUE"""),43049.64583333333)</f>
        <v>43049.64583</v>
      </c>
      <c r="C761" s="2">
        <f>IFERROR(__xludf.DUMMYFUNCTION("""COMPUTED_VALUE"""),8370.55)</f>
        <v>8370.55</v>
      </c>
    </row>
    <row r="762" ht="15.75" customHeight="1">
      <c r="B762" s="3">
        <f>IFERROR(__xludf.DUMMYFUNCTION("""COMPUTED_VALUE"""),43056.64583333333)</f>
        <v>43056.64583</v>
      </c>
      <c r="C762" s="2">
        <f>IFERROR(__xludf.DUMMYFUNCTION("""COMPUTED_VALUE"""),8362.45)</f>
        <v>8362.45</v>
      </c>
    </row>
    <row r="763" ht="15.75" customHeight="1">
      <c r="B763" s="3">
        <f>IFERROR(__xludf.DUMMYFUNCTION("""COMPUTED_VALUE"""),43063.64583333333)</f>
        <v>43063.64583</v>
      </c>
      <c r="C763" s="2">
        <f>IFERROR(__xludf.DUMMYFUNCTION("""COMPUTED_VALUE"""),8540.0)</f>
        <v>8540</v>
      </c>
    </row>
    <row r="764" ht="15.75" customHeight="1">
      <c r="B764" s="3">
        <f>IFERROR(__xludf.DUMMYFUNCTION("""COMPUTED_VALUE"""),43070.64583333333)</f>
        <v>43070.64583</v>
      </c>
      <c r="C764" s="2">
        <f>IFERROR(__xludf.DUMMYFUNCTION("""COMPUTED_VALUE"""),8696.0)</f>
        <v>8696</v>
      </c>
    </row>
    <row r="765" ht="15.75" customHeight="1">
      <c r="B765" s="3">
        <f>IFERROR(__xludf.DUMMYFUNCTION("""COMPUTED_VALUE"""),43077.64583333333)</f>
        <v>43077.64583</v>
      </c>
      <c r="C765" s="2">
        <f>IFERROR(__xludf.DUMMYFUNCTION("""COMPUTED_VALUE"""),9119.0)</f>
        <v>9119</v>
      </c>
    </row>
    <row r="766" ht="15.75" customHeight="1">
      <c r="B766" s="3">
        <f>IFERROR(__xludf.DUMMYFUNCTION("""COMPUTED_VALUE"""),43084.64583333333)</f>
        <v>43084.64583</v>
      </c>
      <c r="C766" s="2">
        <f>IFERROR(__xludf.DUMMYFUNCTION("""COMPUTED_VALUE"""),9236.3)</f>
        <v>9236.3</v>
      </c>
    </row>
    <row r="767" ht="15.75" customHeight="1">
      <c r="B767" s="3">
        <f>IFERROR(__xludf.DUMMYFUNCTION("""COMPUTED_VALUE"""),43091.64583333333)</f>
        <v>43091.64583</v>
      </c>
      <c r="C767" s="2">
        <f>IFERROR(__xludf.DUMMYFUNCTION("""COMPUTED_VALUE"""),9996.4)</f>
        <v>9996.4</v>
      </c>
    </row>
    <row r="768" ht="15.75" customHeight="1">
      <c r="B768" s="3">
        <f>IFERROR(__xludf.DUMMYFUNCTION("""COMPUTED_VALUE"""),43098.64583333333)</f>
        <v>43098.64583</v>
      </c>
      <c r="C768" s="2">
        <f>IFERROR(__xludf.DUMMYFUNCTION("""COMPUTED_VALUE"""),9769.0)</f>
        <v>9769</v>
      </c>
    </row>
    <row r="769" ht="15.75" customHeight="1"/>
    <row r="770" ht="15.75" customHeight="1"/>
    <row r="771" ht="15.75" customHeight="1">
      <c r="B771" s="2" t="str">
        <f>IFERROR(__xludf.DUMMYFUNCTION("GOOGLEFINANCE(""NSE:MARUTI"", ""high"",DATE(2018,1,1),DATE(2019,1,1),""weekly"")"),"Date")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IFERROR(__xludf.DUMMYFUNCTION("""COMPUTED_VALUE"""),43105.64583333333)</f>
        <v>43105.64583</v>
      </c>
      <c r="C772" s="2">
        <f>IFERROR(__xludf.DUMMYFUNCTION("""COMPUTED_VALUE"""),9789.0)</f>
        <v>9789</v>
      </c>
    </row>
    <row r="773" ht="15.75" customHeight="1">
      <c r="B773" s="3">
        <f>IFERROR(__xludf.DUMMYFUNCTION("""COMPUTED_VALUE"""),43112.64583333333)</f>
        <v>43112.64583</v>
      </c>
      <c r="C773" s="2">
        <f>IFERROR(__xludf.DUMMYFUNCTION("""COMPUTED_VALUE"""),9495.0)</f>
        <v>9495</v>
      </c>
    </row>
    <row r="774" ht="15.75" customHeight="1">
      <c r="B774" s="3">
        <f>IFERROR(__xludf.DUMMYFUNCTION("""COMPUTED_VALUE"""),43119.64583333333)</f>
        <v>43119.64583</v>
      </c>
      <c r="C774" s="2">
        <f>IFERROR(__xludf.DUMMYFUNCTION("""COMPUTED_VALUE"""),9518.9)</f>
        <v>9518.9</v>
      </c>
    </row>
    <row r="775" ht="15.75" customHeight="1">
      <c r="B775" s="3">
        <f>IFERROR(__xludf.DUMMYFUNCTION("""COMPUTED_VALUE"""),43125.64583333333)</f>
        <v>43125.64583</v>
      </c>
      <c r="C775" s="2">
        <f>IFERROR(__xludf.DUMMYFUNCTION("""COMPUTED_VALUE"""),9519.95)</f>
        <v>9519.95</v>
      </c>
    </row>
    <row r="776" ht="15.75" customHeight="1">
      <c r="B776" s="3">
        <f>IFERROR(__xludf.DUMMYFUNCTION("""COMPUTED_VALUE"""),43133.64583333333)</f>
        <v>43133.64583</v>
      </c>
      <c r="C776" s="2">
        <f>IFERROR(__xludf.DUMMYFUNCTION("""COMPUTED_VALUE"""),9714.0)</f>
        <v>9714</v>
      </c>
    </row>
    <row r="777" ht="15.75" customHeight="1">
      <c r="B777" s="3">
        <f>IFERROR(__xludf.DUMMYFUNCTION("""COMPUTED_VALUE"""),43140.64583333333)</f>
        <v>43140.64583</v>
      </c>
      <c r="C777" s="2">
        <f>IFERROR(__xludf.DUMMYFUNCTION("""COMPUTED_VALUE"""),9170.0)</f>
        <v>9170</v>
      </c>
    </row>
    <row r="778" ht="15.75" customHeight="1">
      <c r="B778" s="3">
        <f>IFERROR(__xludf.DUMMYFUNCTION("""COMPUTED_VALUE"""),43147.64583333333)</f>
        <v>43147.64583</v>
      </c>
      <c r="C778" s="2">
        <f>IFERROR(__xludf.DUMMYFUNCTION("""COMPUTED_VALUE"""),9157.5)</f>
        <v>9157.5</v>
      </c>
    </row>
    <row r="779" ht="15.75" customHeight="1">
      <c r="B779" s="3">
        <f>IFERROR(__xludf.DUMMYFUNCTION("""COMPUTED_VALUE"""),43154.64583333333)</f>
        <v>43154.64583</v>
      </c>
      <c r="C779" s="2">
        <f>IFERROR(__xludf.DUMMYFUNCTION("""COMPUTED_VALUE"""),8865.85)</f>
        <v>8865.85</v>
      </c>
    </row>
    <row r="780" ht="15.75" customHeight="1">
      <c r="B780" s="3">
        <f>IFERROR(__xludf.DUMMYFUNCTION("""COMPUTED_VALUE"""),43160.64583333333)</f>
        <v>43160.64583</v>
      </c>
      <c r="C780" s="2">
        <f>IFERROR(__xludf.DUMMYFUNCTION("""COMPUTED_VALUE"""),9114.95)</f>
        <v>9114.95</v>
      </c>
    </row>
    <row r="781" ht="15.75" customHeight="1">
      <c r="B781" s="3">
        <f>IFERROR(__xludf.DUMMYFUNCTION("""COMPUTED_VALUE"""),43168.64583333333)</f>
        <v>43168.64583</v>
      </c>
      <c r="C781" s="2">
        <f>IFERROR(__xludf.DUMMYFUNCTION("""COMPUTED_VALUE"""),8885.0)</f>
        <v>8885</v>
      </c>
    </row>
    <row r="782" ht="15.75" customHeight="1">
      <c r="B782" s="3">
        <f>IFERROR(__xludf.DUMMYFUNCTION("""COMPUTED_VALUE"""),43175.64583333333)</f>
        <v>43175.64583</v>
      </c>
      <c r="C782" s="2">
        <f>IFERROR(__xludf.DUMMYFUNCTION("""COMPUTED_VALUE"""),8875.0)</f>
        <v>8875</v>
      </c>
    </row>
    <row r="783" ht="15.75" customHeight="1">
      <c r="B783" s="3">
        <f>IFERROR(__xludf.DUMMYFUNCTION("""COMPUTED_VALUE"""),43182.64583333333)</f>
        <v>43182.64583</v>
      </c>
      <c r="C783" s="2">
        <f>IFERROR(__xludf.DUMMYFUNCTION("""COMPUTED_VALUE"""),8945.0)</f>
        <v>8945</v>
      </c>
    </row>
    <row r="784" ht="15.75" customHeight="1">
      <c r="B784" s="3">
        <f>IFERROR(__xludf.DUMMYFUNCTION("""COMPUTED_VALUE"""),43187.64583333333)</f>
        <v>43187.64583</v>
      </c>
      <c r="C784" s="2">
        <f>IFERROR(__xludf.DUMMYFUNCTION("""COMPUTED_VALUE"""),9084.0)</f>
        <v>9084</v>
      </c>
    </row>
    <row r="785" ht="15.75" customHeight="1">
      <c r="B785" s="3">
        <f>IFERROR(__xludf.DUMMYFUNCTION("""COMPUTED_VALUE"""),43196.64583333333)</f>
        <v>43196.64583</v>
      </c>
      <c r="C785" s="2">
        <f>IFERROR(__xludf.DUMMYFUNCTION("""COMPUTED_VALUE"""),9230.0)</f>
        <v>9230</v>
      </c>
    </row>
    <row r="786" ht="15.75" customHeight="1">
      <c r="B786" s="3">
        <f>IFERROR(__xludf.DUMMYFUNCTION("""COMPUTED_VALUE"""),43203.64583333333)</f>
        <v>43203.64583</v>
      </c>
      <c r="C786" s="2">
        <f>IFERROR(__xludf.DUMMYFUNCTION("""COMPUTED_VALUE"""),9350.0)</f>
        <v>9350</v>
      </c>
    </row>
    <row r="787" ht="15.75" customHeight="1">
      <c r="B787" s="3">
        <f>IFERROR(__xludf.DUMMYFUNCTION("""COMPUTED_VALUE"""),43210.64583333333)</f>
        <v>43210.64583</v>
      </c>
      <c r="C787" s="2">
        <f>IFERROR(__xludf.DUMMYFUNCTION("""COMPUTED_VALUE"""),9245.0)</f>
        <v>9245</v>
      </c>
    </row>
    <row r="788" ht="15.75" customHeight="1">
      <c r="B788" s="3">
        <f>IFERROR(__xludf.DUMMYFUNCTION("""COMPUTED_VALUE"""),43217.64583333333)</f>
        <v>43217.64583</v>
      </c>
      <c r="C788" s="2">
        <f>IFERROR(__xludf.DUMMYFUNCTION("""COMPUTED_VALUE"""),9142.55)</f>
        <v>9142.55</v>
      </c>
    </row>
    <row r="789" ht="15.75" customHeight="1">
      <c r="B789" s="3">
        <f>IFERROR(__xludf.DUMMYFUNCTION("""COMPUTED_VALUE"""),43224.64583333333)</f>
        <v>43224.64583</v>
      </c>
      <c r="C789" s="2">
        <f>IFERROR(__xludf.DUMMYFUNCTION("""COMPUTED_VALUE"""),8998.0)</f>
        <v>8998</v>
      </c>
    </row>
    <row r="790" ht="15.75" customHeight="1">
      <c r="B790" s="3">
        <f>IFERROR(__xludf.DUMMYFUNCTION("""COMPUTED_VALUE"""),43231.64583333333)</f>
        <v>43231.64583</v>
      </c>
      <c r="C790" s="2">
        <f>IFERROR(__xludf.DUMMYFUNCTION("""COMPUTED_VALUE"""),8806.2)</f>
        <v>8806.2</v>
      </c>
    </row>
    <row r="791" ht="15.75" customHeight="1">
      <c r="B791" s="3">
        <f>IFERROR(__xludf.DUMMYFUNCTION("""COMPUTED_VALUE"""),43238.64583333333)</f>
        <v>43238.64583</v>
      </c>
      <c r="C791" s="2">
        <f>IFERROR(__xludf.DUMMYFUNCTION("""COMPUTED_VALUE"""),8766.45)</f>
        <v>8766.45</v>
      </c>
    </row>
    <row r="792" ht="15.75" customHeight="1">
      <c r="B792" s="3">
        <f>IFERROR(__xludf.DUMMYFUNCTION("""COMPUTED_VALUE"""),43245.64583333333)</f>
        <v>43245.64583</v>
      </c>
      <c r="C792" s="2">
        <f>IFERROR(__xludf.DUMMYFUNCTION("""COMPUTED_VALUE"""),8586.4)</f>
        <v>8586.4</v>
      </c>
    </row>
    <row r="793" ht="15.75" customHeight="1">
      <c r="B793" s="3">
        <f>IFERROR(__xludf.DUMMYFUNCTION("""COMPUTED_VALUE"""),43252.64583333333)</f>
        <v>43252.64583</v>
      </c>
      <c r="C793" s="2">
        <f>IFERROR(__xludf.DUMMYFUNCTION("""COMPUTED_VALUE"""),8848.4)</f>
        <v>8848.4</v>
      </c>
    </row>
    <row r="794" ht="15.75" customHeight="1">
      <c r="B794" s="3">
        <f>IFERROR(__xludf.DUMMYFUNCTION("""COMPUTED_VALUE"""),43259.64583333333)</f>
        <v>43259.64583</v>
      </c>
      <c r="C794" s="2">
        <f>IFERROR(__xludf.DUMMYFUNCTION("""COMPUTED_VALUE"""),8950.0)</f>
        <v>8950</v>
      </c>
    </row>
    <row r="795" ht="15.75" customHeight="1">
      <c r="B795" s="3">
        <f>IFERROR(__xludf.DUMMYFUNCTION("""COMPUTED_VALUE"""),43266.64583333333)</f>
        <v>43266.64583</v>
      </c>
      <c r="C795" s="2">
        <f>IFERROR(__xludf.DUMMYFUNCTION("""COMPUTED_VALUE"""),9094.95)</f>
        <v>9094.95</v>
      </c>
    </row>
    <row r="796" ht="15.75" customHeight="1">
      <c r="B796" s="3">
        <f>IFERROR(__xludf.DUMMYFUNCTION("""COMPUTED_VALUE"""),43273.64583333333)</f>
        <v>43273.64583</v>
      </c>
      <c r="C796" s="2">
        <f>IFERROR(__xludf.DUMMYFUNCTION("""COMPUTED_VALUE"""),9050.4)</f>
        <v>9050.4</v>
      </c>
    </row>
    <row r="797" ht="15.75" customHeight="1">
      <c r="B797" s="3">
        <f>IFERROR(__xludf.DUMMYFUNCTION("""COMPUTED_VALUE"""),43280.64583333333)</f>
        <v>43280.64583</v>
      </c>
      <c r="C797" s="2">
        <f>IFERROR(__xludf.DUMMYFUNCTION("""COMPUTED_VALUE"""),9012.0)</f>
        <v>9012</v>
      </c>
    </row>
    <row r="798" ht="15.75" customHeight="1">
      <c r="B798" s="3">
        <f>IFERROR(__xludf.DUMMYFUNCTION("""COMPUTED_VALUE"""),43287.64583333333)</f>
        <v>43287.64583</v>
      </c>
      <c r="C798" s="2">
        <f>IFERROR(__xludf.DUMMYFUNCTION("""COMPUTED_VALUE"""),9413.95)</f>
        <v>9413.95</v>
      </c>
    </row>
    <row r="799" ht="15.75" customHeight="1">
      <c r="B799" s="3">
        <f>IFERROR(__xludf.DUMMYFUNCTION("""COMPUTED_VALUE"""),43294.64583333333)</f>
        <v>43294.64583</v>
      </c>
      <c r="C799" s="2">
        <f>IFERROR(__xludf.DUMMYFUNCTION("""COMPUTED_VALUE"""),9545.9)</f>
        <v>9545.9</v>
      </c>
    </row>
    <row r="800" ht="15.75" customHeight="1">
      <c r="B800" s="3">
        <f>IFERROR(__xludf.DUMMYFUNCTION("""COMPUTED_VALUE"""),43301.64583333333)</f>
        <v>43301.64583</v>
      </c>
      <c r="C800" s="2">
        <f>IFERROR(__xludf.DUMMYFUNCTION("""COMPUTED_VALUE"""),9534.0)</f>
        <v>9534</v>
      </c>
    </row>
    <row r="801" ht="15.75" customHeight="1">
      <c r="B801" s="3">
        <f>IFERROR(__xludf.DUMMYFUNCTION("""COMPUTED_VALUE"""),43308.64583333333)</f>
        <v>43308.64583</v>
      </c>
      <c r="C801" s="2">
        <f>IFERROR(__xludf.DUMMYFUNCTION("""COMPUTED_VALUE"""),9929.0)</f>
        <v>9929</v>
      </c>
    </row>
    <row r="802" ht="15.75" customHeight="1">
      <c r="B802" s="3">
        <f>IFERROR(__xludf.DUMMYFUNCTION("""COMPUTED_VALUE"""),43315.64583333333)</f>
        <v>43315.64583</v>
      </c>
      <c r="C802" s="2">
        <f>IFERROR(__xludf.DUMMYFUNCTION("""COMPUTED_VALUE"""),9587.75)</f>
        <v>9587.75</v>
      </c>
    </row>
    <row r="803" ht="15.75" customHeight="1">
      <c r="B803" s="3">
        <f>IFERROR(__xludf.DUMMYFUNCTION("""COMPUTED_VALUE"""),43322.64583333333)</f>
        <v>43322.64583</v>
      </c>
      <c r="C803" s="2">
        <f>IFERROR(__xludf.DUMMYFUNCTION("""COMPUTED_VALUE"""),9449.0)</f>
        <v>9449</v>
      </c>
    </row>
    <row r="804" ht="15.75" customHeight="1">
      <c r="B804" s="3">
        <f>IFERROR(__xludf.DUMMYFUNCTION("""COMPUTED_VALUE"""),43329.64583333333)</f>
        <v>43329.64583</v>
      </c>
      <c r="C804" s="2">
        <f>IFERROR(__xludf.DUMMYFUNCTION("""COMPUTED_VALUE"""),9286.5)</f>
        <v>9286.5</v>
      </c>
    </row>
    <row r="805" ht="15.75" customHeight="1">
      <c r="B805" s="3">
        <f>IFERROR(__xludf.DUMMYFUNCTION("""COMPUTED_VALUE"""),43336.64583333333)</f>
        <v>43336.64583</v>
      </c>
      <c r="C805" s="2">
        <f>IFERROR(__xludf.DUMMYFUNCTION("""COMPUTED_VALUE"""),9279.9)</f>
        <v>9279.9</v>
      </c>
    </row>
    <row r="806" ht="15.75" customHeight="1">
      <c r="B806" s="3">
        <f>IFERROR(__xludf.DUMMYFUNCTION("""COMPUTED_VALUE"""),43343.64583333333)</f>
        <v>43343.64583</v>
      </c>
      <c r="C806" s="2">
        <f>IFERROR(__xludf.DUMMYFUNCTION("""COMPUTED_VALUE"""),9468.3)</f>
        <v>9468.3</v>
      </c>
    </row>
    <row r="807" ht="15.75" customHeight="1">
      <c r="B807" s="3">
        <f>IFERROR(__xludf.DUMMYFUNCTION("""COMPUTED_VALUE"""),43350.64583333333)</f>
        <v>43350.64583</v>
      </c>
      <c r="C807" s="2">
        <f>IFERROR(__xludf.DUMMYFUNCTION("""COMPUTED_VALUE"""),9118.95)</f>
        <v>9118.95</v>
      </c>
    </row>
    <row r="808" ht="15.75" customHeight="1">
      <c r="B808" s="3">
        <f>IFERROR(__xludf.DUMMYFUNCTION("""COMPUTED_VALUE"""),43357.64583333333)</f>
        <v>43357.64583</v>
      </c>
      <c r="C808" s="2">
        <f>IFERROR(__xludf.DUMMYFUNCTION("""COMPUTED_VALUE"""),8750.0)</f>
        <v>8750</v>
      </c>
    </row>
    <row r="809" ht="15.75" customHeight="1">
      <c r="B809" s="3">
        <f>IFERROR(__xludf.DUMMYFUNCTION("""COMPUTED_VALUE"""),43364.64583333333)</f>
        <v>43364.64583</v>
      </c>
      <c r="C809" s="2">
        <f>IFERROR(__xludf.DUMMYFUNCTION("""COMPUTED_VALUE"""),8659.7)</f>
        <v>8659.7</v>
      </c>
    </row>
    <row r="810" ht="15.75" customHeight="1">
      <c r="B810" s="3">
        <f>IFERROR(__xludf.DUMMYFUNCTION("""COMPUTED_VALUE"""),43371.64583333333)</f>
        <v>43371.64583</v>
      </c>
      <c r="C810" s="2">
        <f>IFERROR(__xludf.DUMMYFUNCTION("""COMPUTED_VALUE"""),8089.9)</f>
        <v>8089.9</v>
      </c>
    </row>
    <row r="811" ht="15.75" customHeight="1">
      <c r="B811" s="3">
        <f>IFERROR(__xludf.DUMMYFUNCTION("""COMPUTED_VALUE"""),43378.64583333333)</f>
        <v>43378.64583</v>
      </c>
      <c r="C811" s="2">
        <f>IFERROR(__xludf.DUMMYFUNCTION("""COMPUTED_VALUE"""),7485.0)</f>
        <v>7485</v>
      </c>
    </row>
    <row r="812" ht="15.75" customHeight="1">
      <c r="B812" s="3">
        <f>IFERROR(__xludf.DUMMYFUNCTION("""COMPUTED_VALUE"""),43385.64583333333)</f>
        <v>43385.64583</v>
      </c>
      <c r="C812" s="2">
        <f>IFERROR(__xludf.DUMMYFUNCTION("""COMPUTED_VALUE"""),7326.0)</f>
        <v>7326</v>
      </c>
    </row>
    <row r="813" ht="15.75" customHeight="1">
      <c r="B813" s="3">
        <f>IFERROR(__xludf.DUMMYFUNCTION("""COMPUTED_VALUE"""),43392.64583333333)</f>
        <v>43392.64583</v>
      </c>
      <c r="C813" s="2">
        <f>IFERROR(__xludf.DUMMYFUNCTION("""COMPUTED_VALUE"""),7340.0)</f>
        <v>7340</v>
      </c>
    </row>
    <row r="814" ht="15.75" customHeight="1">
      <c r="B814" s="3">
        <f>IFERROR(__xludf.DUMMYFUNCTION("""COMPUTED_VALUE"""),43399.64583333333)</f>
        <v>43399.64583</v>
      </c>
      <c r="C814" s="2">
        <f>IFERROR(__xludf.DUMMYFUNCTION("""COMPUTED_VALUE"""),6905.0)</f>
        <v>6905</v>
      </c>
    </row>
    <row r="815" ht="15.75" customHeight="1">
      <c r="B815" s="3">
        <f>IFERROR(__xludf.DUMMYFUNCTION("""COMPUTED_VALUE"""),43406.64583333333)</f>
        <v>43406.64583</v>
      </c>
      <c r="C815" s="2">
        <f>IFERROR(__xludf.DUMMYFUNCTION("""COMPUTED_VALUE"""),7159.0)</f>
        <v>7159</v>
      </c>
    </row>
    <row r="816" ht="15.75" customHeight="1">
      <c r="B816" s="3">
        <f>IFERROR(__xludf.DUMMYFUNCTION("""COMPUTED_VALUE"""),43413.64583333333)</f>
        <v>43413.64583</v>
      </c>
      <c r="C816" s="2">
        <f>IFERROR(__xludf.DUMMYFUNCTION("""COMPUTED_VALUE"""),7315.0)</f>
        <v>7315</v>
      </c>
    </row>
    <row r="817" ht="15.75" customHeight="1">
      <c r="B817" s="3">
        <f>IFERROR(__xludf.DUMMYFUNCTION("""COMPUTED_VALUE"""),43420.64583333333)</f>
        <v>43420.64583</v>
      </c>
      <c r="C817" s="2">
        <f>IFERROR(__xludf.DUMMYFUNCTION("""COMPUTED_VALUE"""),7544.05)</f>
        <v>7544.05</v>
      </c>
    </row>
    <row r="818" ht="15.75" customHeight="1">
      <c r="B818" s="3">
        <f>IFERROR(__xludf.DUMMYFUNCTION("""COMPUTED_VALUE"""),43426.64583333333)</f>
        <v>43426.64583</v>
      </c>
      <c r="C818" s="2">
        <f>IFERROR(__xludf.DUMMYFUNCTION("""COMPUTED_VALUE"""),7480.0)</f>
        <v>7480</v>
      </c>
    </row>
    <row r="819" ht="15.75" customHeight="1">
      <c r="B819" s="3">
        <f>IFERROR(__xludf.DUMMYFUNCTION("""COMPUTED_VALUE"""),43434.64583333333)</f>
        <v>43434.64583</v>
      </c>
      <c r="C819" s="2">
        <f>IFERROR(__xludf.DUMMYFUNCTION("""COMPUTED_VALUE"""),7727.0)</f>
        <v>7727</v>
      </c>
    </row>
    <row r="820" ht="15.75" customHeight="1">
      <c r="B820" s="3">
        <f>IFERROR(__xludf.DUMMYFUNCTION("""COMPUTED_VALUE"""),43441.64583333333)</f>
        <v>43441.64583</v>
      </c>
      <c r="C820" s="2">
        <f>IFERROR(__xludf.DUMMYFUNCTION("""COMPUTED_VALUE"""),7800.0)</f>
        <v>7800</v>
      </c>
    </row>
    <row r="821" ht="15.75" customHeight="1">
      <c r="B821" s="3">
        <f>IFERROR(__xludf.DUMMYFUNCTION("""COMPUTED_VALUE"""),43448.64583333333)</f>
        <v>43448.64583</v>
      </c>
      <c r="C821" s="2">
        <f>IFERROR(__xludf.DUMMYFUNCTION("""COMPUTED_VALUE"""),7700.0)</f>
        <v>7700</v>
      </c>
    </row>
    <row r="822" ht="15.75" customHeight="1">
      <c r="B822" s="3">
        <f>IFERROR(__xludf.DUMMYFUNCTION("""COMPUTED_VALUE"""),43455.64583333333)</f>
        <v>43455.64583</v>
      </c>
      <c r="C822" s="2">
        <f>IFERROR(__xludf.DUMMYFUNCTION("""COMPUTED_VALUE"""),7949.75)</f>
        <v>7949.75</v>
      </c>
    </row>
    <row r="823" ht="15.75" customHeight="1">
      <c r="B823" s="3">
        <f>IFERROR(__xludf.DUMMYFUNCTION("""COMPUTED_VALUE"""),43462.64583333333)</f>
        <v>43462.64583</v>
      </c>
      <c r="C823" s="2">
        <f>IFERROR(__xludf.DUMMYFUNCTION("""COMPUTED_VALUE"""),7668.85)</f>
        <v>7668.85</v>
      </c>
    </row>
    <row r="824" ht="15.75" customHeight="1"/>
    <row r="825" ht="15.75" customHeight="1"/>
    <row r="826" ht="15.75" customHeight="1">
      <c r="B826" s="2" t="str">
        <f>IFERROR(__xludf.DUMMYFUNCTION("GOOGLEFINANCE(""NSE:MARUTI"", ""high"",DATE(2019,1,1),DATE(2020,1,1),""weekly"")"),"Date")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IFERROR(__xludf.DUMMYFUNCTION("""COMPUTED_VALUE"""),43469.64583333333)</f>
        <v>43469.64583</v>
      </c>
      <c r="C827" s="2">
        <f>IFERROR(__xludf.DUMMYFUNCTION("""COMPUTED_VALUE"""),7572.75)</f>
        <v>7572.75</v>
      </c>
    </row>
    <row r="828" ht="15.75" customHeight="1">
      <c r="B828" s="3">
        <f>IFERROR(__xludf.DUMMYFUNCTION("""COMPUTED_VALUE"""),43476.64583333333)</f>
        <v>43476.64583</v>
      </c>
      <c r="C828" s="2">
        <f>IFERROR(__xludf.DUMMYFUNCTION("""COMPUTED_VALUE"""),7529.0)</f>
        <v>7529</v>
      </c>
    </row>
    <row r="829" ht="15.75" customHeight="1">
      <c r="B829" s="3">
        <f>IFERROR(__xludf.DUMMYFUNCTION("""COMPUTED_VALUE"""),43483.64583333333)</f>
        <v>43483.64583</v>
      </c>
      <c r="C829" s="2">
        <f>IFERROR(__xludf.DUMMYFUNCTION("""COMPUTED_VALUE"""),7470.0)</f>
        <v>7470</v>
      </c>
    </row>
    <row r="830" ht="15.75" customHeight="1">
      <c r="B830" s="3">
        <f>IFERROR(__xludf.DUMMYFUNCTION("""COMPUTED_VALUE"""),43490.64583333333)</f>
        <v>43490.64583</v>
      </c>
      <c r="C830" s="2">
        <f>IFERROR(__xludf.DUMMYFUNCTION("""COMPUTED_VALUE"""),7380.0)</f>
        <v>7380</v>
      </c>
    </row>
    <row r="831" ht="15.75" customHeight="1">
      <c r="B831" s="3">
        <f>IFERROR(__xludf.DUMMYFUNCTION("""COMPUTED_VALUE"""),43497.64583333333)</f>
        <v>43497.64583</v>
      </c>
      <c r="C831" s="2">
        <f>IFERROR(__xludf.DUMMYFUNCTION("""COMPUTED_VALUE"""),7204.0)</f>
        <v>7204</v>
      </c>
    </row>
    <row r="832" ht="15.75" customHeight="1">
      <c r="B832" s="3">
        <f>IFERROR(__xludf.DUMMYFUNCTION("""COMPUTED_VALUE"""),43504.64583333333)</f>
        <v>43504.64583</v>
      </c>
      <c r="C832" s="2">
        <f>IFERROR(__xludf.DUMMYFUNCTION("""COMPUTED_VALUE"""),7320.0)</f>
        <v>7320</v>
      </c>
    </row>
    <row r="833" ht="15.75" customHeight="1">
      <c r="B833" s="3">
        <f>IFERROR(__xludf.DUMMYFUNCTION("""COMPUTED_VALUE"""),43511.64583333333)</f>
        <v>43511.64583</v>
      </c>
      <c r="C833" s="2">
        <f>IFERROR(__xludf.DUMMYFUNCTION("""COMPUTED_VALUE"""),7230.0)</f>
        <v>7230</v>
      </c>
    </row>
    <row r="834" ht="15.75" customHeight="1">
      <c r="B834" s="3">
        <f>IFERROR(__xludf.DUMMYFUNCTION("""COMPUTED_VALUE"""),43518.64583333333)</f>
        <v>43518.64583</v>
      </c>
      <c r="C834" s="2">
        <f>IFERROR(__xludf.DUMMYFUNCTION("""COMPUTED_VALUE"""),6997.8)</f>
        <v>6997.8</v>
      </c>
    </row>
    <row r="835" ht="15.75" customHeight="1">
      <c r="B835" s="3">
        <f>IFERROR(__xludf.DUMMYFUNCTION("""COMPUTED_VALUE"""),43525.64583333333)</f>
        <v>43525.64583</v>
      </c>
      <c r="C835" s="2">
        <f>IFERROR(__xludf.DUMMYFUNCTION("""COMPUTED_VALUE"""),7048.0)</f>
        <v>7048</v>
      </c>
    </row>
    <row r="836" ht="15.75" customHeight="1">
      <c r="B836" s="3">
        <f>IFERROR(__xludf.DUMMYFUNCTION("""COMPUTED_VALUE"""),43532.64583333333)</f>
        <v>43532.64583</v>
      </c>
      <c r="C836" s="2">
        <f>IFERROR(__xludf.DUMMYFUNCTION("""COMPUTED_VALUE"""),7158.15)</f>
        <v>7158.15</v>
      </c>
    </row>
    <row r="837" ht="15.75" customHeight="1">
      <c r="B837" s="3">
        <f>IFERROR(__xludf.DUMMYFUNCTION("""COMPUTED_VALUE"""),43539.64583333333)</f>
        <v>43539.64583</v>
      </c>
      <c r="C837" s="2">
        <f>IFERROR(__xludf.DUMMYFUNCTION("""COMPUTED_VALUE"""),7232.0)</f>
        <v>7232</v>
      </c>
    </row>
    <row r="838" ht="15.75" customHeight="1">
      <c r="B838" s="3">
        <f>IFERROR(__xludf.DUMMYFUNCTION("""COMPUTED_VALUE"""),43546.64583333333)</f>
        <v>43546.64583</v>
      </c>
      <c r="C838" s="2">
        <f>IFERROR(__xludf.DUMMYFUNCTION("""COMPUTED_VALUE"""),7077.45)</f>
        <v>7077.45</v>
      </c>
    </row>
    <row r="839" ht="15.75" customHeight="1">
      <c r="B839" s="3">
        <f>IFERROR(__xludf.DUMMYFUNCTION("""COMPUTED_VALUE"""),43553.64583333333)</f>
        <v>43553.64583</v>
      </c>
      <c r="C839" s="2">
        <f>IFERROR(__xludf.DUMMYFUNCTION("""COMPUTED_VALUE"""),6775.0)</f>
        <v>6775</v>
      </c>
    </row>
    <row r="840" ht="15.75" customHeight="1">
      <c r="B840" s="3">
        <f>IFERROR(__xludf.DUMMYFUNCTION("""COMPUTED_VALUE"""),43560.64583333333)</f>
        <v>43560.64583</v>
      </c>
      <c r="C840" s="2">
        <f>IFERROR(__xludf.DUMMYFUNCTION("""COMPUTED_VALUE"""),7170.0)</f>
        <v>7170</v>
      </c>
    </row>
    <row r="841" ht="15.75" customHeight="1">
      <c r="B841" s="3">
        <f>IFERROR(__xludf.DUMMYFUNCTION("""COMPUTED_VALUE"""),43567.64583333333)</f>
        <v>43567.64583</v>
      </c>
      <c r="C841" s="2">
        <f>IFERROR(__xludf.DUMMYFUNCTION("""COMPUTED_VALUE"""),7357.0)</f>
        <v>7357</v>
      </c>
    </row>
    <row r="842" ht="15.75" customHeight="1">
      <c r="B842" s="3">
        <f>IFERROR(__xludf.DUMMYFUNCTION("""COMPUTED_VALUE"""),43573.64583333333)</f>
        <v>43573.64583</v>
      </c>
      <c r="C842" s="2">
        <f>IFERROR(__xludf.DUMMYFUNCTION("""COMPUTED_VALUE"""),7539.35)</f>
        <v>7539.35</v>
      </c>
    </row>
    <row r="843" ht="15.75" customHeight="1">
      <c r="B843" s="3">
        <f>IFERROR(__xludf.DUMMYFUNCTION("""COMPUTED_VALUE"""),43581.64583333333)</f>
        <v>43581.64583</v>
      </c>
      <c r="C843" s="2">
        <f>IFERROR(__xludf.DUMMYFUNCTION("""COMPUTED_VALUE"""),7424.9)</f>
        <v>7424.9</v>
      </c>
    </row>
    <row r="844" ht="15.75" customHeight="1">
      <c r="B844" s="3">
        <f>IFERROR(__xludf.DUMMYFUNCTION("""COMPUTED_VALUE"""),43588.64583333333)</f>
        <v>43588.64583</v>
      </c>
      <c r="C844" s="2">
        <f>IFERROR(__xludf.DUMMYFUNCTION("""COMPUTED_VALUE"""),6780.0)</f>
        <v>6780</v>
      </c>
    </row>
    <row r="845" ht="15.75" customHeight="1">
      <c r="B845" s="3">
        <f>IFERROR(__xludf.DUMMYFUNCTION("""COMPUTED_VALUE"""),43595.64583333333)</f>
        <v>43595.64583</v>
      </c>
      <c r="C845" s="2">
        <f>IFERROR(__xludf.DUMMYFUNCTION("""COMPUTED_VALUE"""),6785.25)</f>
        <v>6785.25</v>
      </c>
    </row>
    <row r="846" ht="15.75" customHeight="1">
      <c r="B846" s="3">
        <f>IFERROR(__xludf.DUMMYFUNCTION("""COMPUTED_VALUE"""),43602.64583333333)</f>
        <v>43602.64583</v>
      </c>
      <c r="C846" s="2">
        <f>IFERROR(__xludf.DUMMYFUNCTION("""COMPUTED_VALUE"""),6790.0)</f>
        <v>6790</v>
      </c>
    </row>
    <row r="847" ht="15.75" customHeight="1">
      <c r="B847" s="3">
        <f>IFERROR(__xludf.DUMMYFUNCTION("""COMPUTED_VALUE"""),43609.64583333333)</f>
        <v>43609.64583</v>
      </c>
      <c r="C847" s="2">
        <f>IFERROR(__xludf.DUMMYFUNCTION("""COMPUTED_VALUE"""),7150.0)</f>
        <v>7150</v>
      </c>
    </row>
    <row r="848" ht="15.75" customHeight="1">
      <c r="B848" s="3">
        <f>IFERROR(__xludf.DUMMYFUNCTION("""COMPUTED_VALUE"""),43616.64583333333)</f>
        <v>43616.64583</v>
      </c>
      <c r="C848" s="2">
        <f>IFERROR(__xludf.DUMMYFUNCTION("""COMPUTED_VALUE"""),7193.9)</f>
        <v>7193.9</v>
      </c>
    </row>
    <row r="849" ht="15.75" customHeight="1">
      <c r="B849" s="3">
        <f>IFERROR(__xludf.DUMMYFUNCTION("""COMPUTED_VALUE"""),43623.64583333333)</f>
        <v>43623.64583</v>
      </c>
      <c r="C849" s="2">
        <f>IFERROR(__xludf.DUMMYFUNCTION("""COMPUTED_VALUE"""),7099.0)</f>
        <v>7099</v>
      </c>
    </row>
    <row r="850" ht="15.75" customHeight="1">
      <c r="B850" s="3">
        <f>IFERROR(__xludf.DUMMYFUNCTION("""COMPUTED_VALUE"""),43630.64583333333)</f>
        <v>43630.64583</v>
      </c>
      <c r="C850" s="2">
        <f>IFERROR(__xludf.DUMMYFUNCTION("""COMPUTED_VALUE"""),7043.3)</f>
        <v>7043.3</v>
      </c>
    </row>
    <row r="851" ht="15.75" customHeight="1">
      <c r="B851" s="3">
        <f>IFERROR(__xludf.DUMMYFUNCTION("""COMPUTED_VALUE"""),43637.64583333333)</f>
        <v>43637.64583</v>
      </c>
      <c r="C851" s="2">
        <f>IFERROR(__xludf.DUMMYFUNCTION("""COMPUTED_VALUE"""),6768.05)</f>
        <v>6768.05</v>
      </c>
    </row>
    <row r="852" ht="15.75" customHeight="1">
      <c r="B852" s="3">
        <f>IFERROR(__xludf.DUMMYFUNCTION("""COMPUTED_VALUE"""),43644.64583333333)</f>
        <v>43644.64583</v>
      </c>
      <c r="C852" s="2">
        <f>IFERROR(__xludf.DUMMYFUNCTION("""COMPUTED_VALUE"""),6575.0)</f>
        <v>6575</v>
      </c>
    </row>
    <row r="853" ht="15.75" customHeight="1">
      <c r="B853" s="3">
        <f>IFERROR(__xludf.DUMMYFUNCTION("""COMPUTED_VALUE"""),43651.64583333333)</f>
        <v>43651.64583</v>
      </c>
      <c r="C853" s="2">
        <f>IFERROR(__xludf.DUMMYFUNCTION("""COMPUTED_VALUE"""),6618.0)</f>
        <v>6618</v>
      </c>
    </row>
    <row r="854" ht="15.75" customHeight="1">
      <c r="B854" s="3">
        <f>IFERROR(__xludf.DUMMYFUNCTION("""COMPUTED_VALUE"""),43658.64583333333)</f>
        <v>43658.64583</v>
      </c>
      <c r="C854" s="2">
        <f>IFERROR(__xludf.DUMMYFUNCTION("""COMPUTED_VALUE"""),6283.15)</f>
        <v>6283.15</v>
      </c>
    </row>
    <row r="855" ht="15.75" customHeight="1">
      <c r="B855" s="3">
        <f>IFERROR(__xludf.DUMMYFUNCTION("""COMPUTED_VALUE"""),43665.64583333333)</f>
        <v>43665.64583</v>
      </c>
      <c r="C855" s="2">
        <f>IFERROR(__xludf.DUMMYFUNCTION("""COMPUTED_VALUE"""),6174.0)</f>
        <v>6174</v>
      </c>
    </row>
    <row r="856" ht="15.75" customHeight="1">
      <c r="B856" s="3">
        <f>IFERROR(__xludf.DUMMYFUNCTION("""COMPUTED_VALUE"""),43672.64583333333)</f>
        <v>43672.64583</v>
      </c>
      <c r="C856" s="2">
        <f>IFERROR(__xludf.DUMMYFUNCTION("""COMPUTED_VALUE"""),5972.4)</f>
        <v>5972.4</v>
      </c>
    </row>
    <row r="857" ht="15.75" customHeight="1">
      <c r="B857" s="3">
        <f>IFERROR(__xludf.DUMMYFUNCTION("""COMPUTED_VALUE"""),43679.64583333333)</f>
        <v>43679.64583</v>
      </c>
      <c r="C857" s="2">
        <f>IFERROR(__xludf.DUMMYFUNCTION("""COMPUTED_VALUE"""),5770.0)</f>
        <v>5770</v>
      </c>
    </row>
    <row r="858" ht="15.75" customHeight="1">
      <c r="B858" s="3">
        <f>IFERROR(__xludf.DUMMYFUNCTION("""COMPUTED_VALUE"""),43686.64583333333)</f>
        <v>43686.64583</v>
      </c>
      <c r="C858" s="2">
        <f>IFERROR(__xludf.DUMMYFUNCTION("""COMPUTED_VALUE"""),6155.0)</f>
        <v>6155</v>
      </c>
    </row>
    <row r="859" ht="15.75" customHeight="1">
      <c r="B859" s="3">
        <f>IFERROR(__xludf.DUMMYFUNCTION("""COMPUTED_VALUE"""),43693.64583333333)</f>
        <v>43693.64583</v>
      </c>
      <c r="C859" s="2">
        <f>IFERROR(__xludf.DUMMYFUNCTION("""COMPUTED_VALUE"""),6123.0)</f>
        <v>6123</v>
      </c>
    </row>
    <row r="860" ht="15.75" customHeight="1">
      <c r="B860" s="3">
        <f>IFERROR(__xludf.DUMMYFUNCTION("""COMPUTED_VALUE"""),43700.64583333333)</f>
        <v>43700.64583</v>
      </c>
      <c r="C860" s="2">
        <f>IFERROR(__xludf.DUMMYFUNCTION("""COMPUTED_VALUE"""),6298.5)</f>
        <v>6298.5</v>
      </c>
    </row>
    <row r="861" ht="15.75" customHeight="1">
      <c r="B861" s="3">
        <f>IFERROR(__xludf.DUMMYFUNCTION("""COMPUTED_VALUE"""),43707.64583333333)</f>
        <v>43707.64583</v>
      </c>
      <c r="C861" s="2">
        <f>IFERROR(__xludf.DUMMYFUNCTION("""COMPUTED_VALUE"""),6466.7)</f>
        <v>6466.7</v>
      </c>
    </row>
    <row r="862" ht="15.75" customHeight="1">
      <c r="B862" s="3">
        <f>IFERROR(__xludf.DUMMYFUNCTION("""COMPUTED_VALUE"""),43714.64583333333)</f>
        <v>43714.64583</v>
      </c>
      <c r="C862" s="2">
        <f>IFERROR(__xludf.DUMMYFUNCTION("""COMPUTED_VALUE"""),6220.0)</f>
        <v>6220</v>
      </c>
    </row>
    <row r="863" ht="15.75" customHeight="1">
      <c r="B863" s="3">
        <f>IFERROR(__xludf.DUMMYFUNCTION("""COMPUTED_VALUE"""),43721.64583333333)</f>
        <v>43721.64583</v>
      </c>
      <c r="C863" s="2">
        <f>IFERROR(__xludf.DUMMYFUNCTION("""COMPUTED_VALUE"""),6640.0)</f>
        <v>6640</v>
      </c>
    </row>
    <row r="864" ht="15.75" customHeight="1">
      <c r="B864" s="3">
        <f>IFERROR(__xludf.DUMMYFUNCTION("""COMPUTED_VALUE"""),43728.64583333333)</f>
        <v>43728.64583</v>
      </c>
      <c r="C864" s="2">
        <f>IFERROR(__xludf.DUMMYFUNCTION("""COMPUTED_VALUE"""),6949.8)</f>
        <v>6949.8</v>
      </c>
    </row>
    <row r="865" ht="15.75" customHeight="1">
      <c r="B865" s="3">
        <f>IFERROR(__xludf.DUMMYFUNCTION("""COMPUTED_VALUE"""),43735.64583333333)</f>
        <v>43735.64583</v>
      </c>
      <c r="C865" s="2">
        <f>IFERROR(__xludf.DUMMYFUNCTION("""COMPUTED_VALUE"""),7177.9)</f>
        <v>7177.9</v>
      </c>
    </row>
    <row r="866" ht="15.75" customHeight="1">
      <c r="B866" s="3">
        <f>IFERROR(__xludf.DUMMYFUNCTION("""COMPUTED_VALUE"""),43742.64583333333)</f>
        <v>43742.64583</v>
      </c>
      <c r="C866" s="2">
        <f>IFERROR(__xludf.DUMMYFUNCTION("""COMPUTED_VALUE"""),6850.0)</f>
        <v>6850</v>
      </c>
    </row>
    <row r="867" ht="15.75" customHeight="1">
      <c r="B867" s="3">
        <f>IFERROR(__xludf.DUMMYFUNCTION("""COMPUTED_VALUE"""),43749.64583333333)</f>
        <v>43749.64583</v>
      </c>
      <c r="C867" s="2">
        <f>IFERROR(__xludf.DUMMYFUNCTION("""COMPUTED_VALUE"""),6743.8)</f>
        <v>6743.8</v>
      </c>
    </row>
    <row r="868" ht="15.75" customHeight="1">
      <c r="B868" s="3">
        <f>IFERROR(__xludf.DUMMYFUNCTION("""COMPUTED_VALUE"""),43756.64583333333)</f>
        <v>43756.64583</v>
      </c>
      <c r="C868" s="2">
        <f>IFERROR(__xludf.DUMMYFUNCTION("""COMPUTED_VALUE"""),7450.0)</f>
        <v>7450</v>
      </c>
    </row>
    <row r="869" ht="15.75" customHeight="1">
      <c r="B869" s="3">
        <f>IFERROR(__xludf.DUMMYFUNCTION("""COMPUTED_VALUE"""),43763.79166666667)</f>
        <v>43763.79167</v>
      </c>
      <c r="C869" s="2">
        <f>IFERROR(__xludf.DUMMYFUNCTION("""COMPUTED_VALUE"""),7509.0)</f>
        <v>7509</v>
      </c>
    </row>
    <row r="870" ht="15.75" customHeight="1">
      <c r="B870" s="3">
        <f>IFERROR(__xludf.DUMMYFUNCTION("""COMPUTED_VALUE"""),43770.64583333333)</f>
        <v>43770.64583</v>
      </c>
      <c r="C870" s="2">
        <f>IFERROR(__xludf.DUMMYFUNCTION("""COMPUTED_VALUE"""),7758.7)</f>
        <v>7758.7</v>
      </c>
    </row>
    <row r="871" ht="15.75" customHeight="1">
      <c r="B871" s="3">
        <f>IFERROR(__xludf.DUMMYFUNCTION("""COMPUTED_VALUE"""),43777.64583333333)</f>
        <v>43777.64583</v>
      </c>
      <c r="C871" s="2">
        <f>IFERROR(__xludf.DUMMYFUNCTION("""COMPUTED_VALUE"""),7625.0)</f>
        <v>7625</v>
      </c>
    </row>
    <row r="872" ht="15.75" customHeight="1">
      <c r="B872" s="3">
        <f>IFERROR(__xludf.DUMMYFUNCTION("""COMPUTED_VALUE"""),43784.64583333333)</f>
        <v>43784.64583</v>
      </c>
      <c r="C872" s="2">
        <f>IFERROR(__xludf.DUMMYFUNCTION("""COMPUTED_VALUE"""),7359.0)</f>
        <v>7359</v>
      </c>
    </row>
    <row r="873" ht="15.75" customHeight="1">
      <c r="B873" s="3">
        <f>IFERROR(__xludf.DUMMYFUNCTION("""COMPUTED_VALUE"""),43791.64583333333)</f>
        <v>43791.64583</v>
      </c>
      <c r="C873" s="2">
        <f>IFERROR(__xludf.DUMMYFUNCTION("""COMPUTED_VALUE"""),7218.0)</f>
        <v>7218</v>
      </c>
    </row>
    <row r="874" ht="15.75" customHeight="1">
      <c r="B874" s="3">
        <f>IFERROR(__xludf.DUMMYFUNCTION("""COMPUTED_VALUE"""),43798.64583333333)</f>
        <v>43798.64583</v>
      </c>
      <c r="C874" s="2">
        <f>IFERROR(__xludf.DUMMYFUNCTION("""COMPUTED_VALUE"""),7321.1)</f>
        <v>7321.1</v>
      </c>
    </row>
    <row r="875" ht="15.75" customHeight="1">
      <c r="B875" s="3">
        <f>IFERROR(__xludf.DUMMYFUNCTION("""COMPUTED_VALUE"""),43805.64583333333)</f>
        <v>43805.64583</v>
      </c>
      <c r="C875" s="2">
        <f>IFERROR(__xludf.DUMMYFUNCTION("""COMPUTED_VALUE"""),7294.85)</f>
        <v>7294.85</v>
      </c>
    </row>
    <row r="876" ht="15.75" customHeight="1">
      <c r="B876" s="3">
        <f>IFERROR(__xludf.DUMMYFUNCTION("""COMPUTED_VALUE"""),43812.64583333333)</f>
        <v>43812.64583</v>
      </c>
      <c r="C876" s="2">
        <f>IFERROR(__xludf.DUMMYFUNCTION("""COMPUTED_VALUE"""),7249.0)</f>
        <v>7249</v>
      </c>
    </row>
    <row r="877" ht="15.75" customHeight="1">
      <c r="B877" s="3">
        <f>IFERROR(__xludf.DUMMYFUNCTION("""COMPUTED_VALUE"""),43819.64583333333)</f>
        <v>43819.64583</v>
      </c>
      <c r="C877" s="2">
        <f>IFERROR(__xludf.DUMMYFUNCTION("""COMPUTED_VALUE"""),7310.0)</f>
        <v>7310</v>
      </c>
    </row>
    <row r="878" ht="15.75" customHeight="1">
      <c r="B878" s="3">
        <f>IFERROR(__xludf.DUMMYFUNCTION("""COMPUTED_VALUE"""),43826.64583333333)</f>
        <v>43826.64583</v>
      </c>
      <c r="C878" s="2">
        <f>IFERROR(__xludf.DUMMYFUNCTION("""COMPUTED_VALUE"""),7423.7)</f>
        <v>7423.7</v>
      </c>
    </row>
    <row r="879" ht="15.75" customHeight="1"/>
    <row r="880" ht="15.75" customHeight="1"/>
    <row r="881" ht="15.75" customHeight="1">
      <c r="B881" s="2" t="str">
        <f>IFERROR(__xludf.DUMMYFUNCTION("GOOGLEFINANCE(""NSE:MARUTI"", ""high"",DATE(2020,1,1),DATE(2021,1,1),""weekly"")"),"Date")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IFERROR(__xludf.DUMMYFUNCTION("""COMPUTED_VALUE"""),43833.64583333333)</f>
        <v>43833.64583</v>
      </c>
      <c r="C882" s="2">
        <f>IFERROR(__xludf.DUMMYFUNCTION("""COMPUTED_VALUE"""),7431.95)</f>
        <v>7431.95</v>
      </c>
    </row>
    <row r="883" ht="15.75" customHeight="1">
      <c r="B883" s="3">
        <f>IFERROR(__xludf.DUMMYFUNCTION("""COMPUTED_VALUE"""),43840.64583333333)</f>
        <v>43840.64583</v>
      </c>
      <c r="C883" s="2">
        <f>IFERROR(__xludf.DUMMYFUNCTION("""COMPUTED_VALUE"""),7349.9)</f>
        <v>7349.9</v>
      </c>
    </row>
    <row r="884" ht="15.75" customHeight="1">
      <c r="B884" s="3">
        <f>IFERROR(__xludf.DUMMYFUNCTION("""COMPUTED_VALUE"""),43847.64583333333)</f>
        <v>43847.64583</v>
      </c>
      <c r="C884" s="2">
        <f>IFERROR(__xludf.DUMMYFUNCTION("""COMPUTED_VALUE"""),7569.9)</f>
        <v>7569.9</v>
      </c>
    </row>
    <row r="885" ht="15.75" customHeight="1">
      <c r="B885" s="3">
        <f>IFERROR(__xludf.DUMMYFUNCTION("""COMPUTED_VALUE"""),43854.64583333333)</f>
        <v>43854.64583</v>
      </c>
      <c r="C885" s="2">
        <f>IFERROR(__xludf.DUMMYFUNCTION("""COMPUTED_VALUE"""),7529.5)</f>
        <v>7529.5</v>
      </c>
    </row>
    <row r="886" ht="15.75" customHeight="1">
      <c r="B886" s="3">
        <f>IFERROR(__xludf.DUMMYFUNCTION("""COMPUTED_VALUE"""),43862.70833333333)</f>
        <v>43862.70833</v>
      </c>
      <c r="C886" s="2">
        <f>IFERROR(__xludf.DUMMYFUNCTION("""COMPUTED_VALUE"""),7225.0)</f>
        <v>7225</v>
      </c>
    </row>
    <row r="887" ht="15.75" customHeight="1">
      <c r="B887" s="3">
        <f>IFERROR(__xludf.DUMMYFUNCTION("""COMPUTED_VALUE"""),43868.64583333333)</f>
        <v>43868.64583</v>
      </c>
      <c r="C887" s="2">
        <f>IFERROR(__xludf.DUMMYFUNCTION("""COMPUTED_VALUE"""),7231.6)</f>
        <v>7231.6</v>
      </c>
    </row>
    <row r="888" ht="15.75" customHeight="1">
      <c r="B888" s="3">
        <f>IFERROR(__xludf.DUMMYFUNCTION("""COMPUTED_VALUE"""),43875.64583333333)</f>
        <v>43875.64583</v>
      </c>
      <c r="C888" s="2">
        <f>IFERROR(__xludf.DUMMYFUNCTION("""COMPUTED_VALUE"""),7110.0)</f>
        <v>7110</v>
      </c>
    </row>
    <row r="889" ht="15.75" customHeight="1">
      <c r="B889" s="3">
        <f>IFERROR(__xludf.DUMMYFUNCTION("""COMPUTED_VALUE"""),43881.64583333333)</f>
        <v>43881.64583</v>
      </c>
      <c r="C889" s="2">
        <f>IFERROR(__xludf.DUMMYFUNCTION("""COMPUTED_VALUE"""),6980.0)</f>
        <v>6980</v>
      </c>
    </row>
    <row r="890" ht="15.75" customHeight="1">
      <c r="B890" s="3">
        <f>IFERROR(__xludf.DUMMYFUNCTION("""COMPUTED_VALUE"""),43889.64583333333)</f>
        <v>43889.64583</v>
      </c>
      <c r="C890" s="2">
        <f>IFERROR(__xludf.DUMMYFUNCTION("""COMPUTED_VALUE"""),6710.0)</f>
        <v>6710</v>
      </c>
    </row>
    <row r="891" ht="15.75" customHeight="1">
      <c r="B891" s="3">
        <f>IFERROR(__xludf.DUMMYFUNCTION("""COMPUTED_VALUE"""),43896.64583333333)</f>
        <v>43896.64583</v>
      </c>
      <c r="C891" s="2">
        <f>IFERROR(__xludf.DUMMYFUNCTION("""COMPUTED_VALUE"""),6480.0)</f>
        <v>6480</v>
      </c>
    </row>
    <row r="892" ht="15.75" customHeight="1">
      <c r="B892" s="3">
        <f>IFERROR(__xludf.DUMMYFUNCTION("""COMPUTED_VALUE"""),43903.64583333333)</f>
        <v>43903.64583</v>
      </c>
      <c r="C892" s="2">
        <f>IFERROR(__xludf.DUMMYFUNCTION("""COMPUTED_VALUE"""),6374.0)</f>
        <v>6374</v>
      </c>
    </row>
    <row r="893" ht="15.75" customHeight="1">
      <c r="B893" s="3">
        <f>IFERROR(__xludf.DUMMYFUNCTION("""COMPUTED_VALUE"""),43910.64583333333)</f>
        <v>43910.64583</v>
      </c>
      <c r="C893" s="2">
        <f>IFERROR(__xludf.DUMMYFUNCTION("""COMPUTED_VALUE"""),5746.95)</f>
        <v>5746.95</v>
      </c>
    </row>
    <row r="894" ht="15.75" customHeight="1">
      <c r="B894" s="3">
        <f>IFERROR(__xludf.DUMMYFUNCTION("""COMPUTED_VALUE"""),43917.64583333333)</f>
        <v>43917.64583</v>
      </c>
      <c r="C894" s="2">
        <f>IFERROR(__xludf.DUMMYFUNCTION("""COMPUTED_VALUE"""),5159.4)</f>
        <v>5159.4</v>
      </c>
    </row>
    <row r="895" ht="15.75" customHeight="1">
      <c r="B895" s="3">
        <f>IFERROR(__xludf.DUMMYFUNCTION("""COMPUTED_VALUE"""),43924.64583333333)</f>
        <v>43924.64583</v>
      </c>
      <c r="C895" s="2">
        <f>IFERROR(__xludf.DUMMYFUNCTION("""COMPUTED_VALUE"""),4639.95)</f>
        <v>4639.95</v>
      </c>
    </row>
    <row r="896" ht="15.75" customHeight="1">
      <c r="B896" s="3">
        <f>IFERROR(__xludf.DUMMYFUNCTION("""COMPUTED_VALUE"""),43930.64583333333)</f>
        <v>43930.64583</v>
      </c>
      <c r="C896" s="2">
        <f>IFERROR(__xludf.DUMMYFUNCTION("""COMPUTED_VALUE"""),5399.0)</f>
        <v>5399</v>
      </c>
    </row>
    <row r="897" ht="15.75" customHeight="1">
      <c r="B897" s="3">
        <f>IFERROR(__xludf.DUMMYFUNCTION("""COMPUTED_VALUE"""),43938.64583333333)</f>
        <v>43938.64583</v>
      </c>
      <c r="C897" s="2">
        <f>IFERROR(__xludf.DUMMYFUNCTION("""COMPUTED_VALUE"""),5602.95)</f>
        <v>5602.95</v>
      </c>
    </row>
    <row r="898" ht="15.75" customHeight="1">
      <c r="B898" s="3">
        <f>IFERROR(__xludf.DUMMYFUNCTION("""COMPUTED_VALUE"""),43945.64583333333)</f>
        <v>43945.64583</v>
      </c>
      <c r="C898" s="2">
        <f>IFERROR(__xludf.DUMMYFUNCTION("""COMPUTED_VALUE"""),5573.95)</f>
        <v>5573.95</v>
      </c>
    </row>
    <row r="899" ht="15.75" customHeight="1">
      <c r="B899" s="3">
        <f>IFERROR(__xludf.DUMMYFUNCTION("""COMPUTED_VALUE"""),43951.64583333333)</f>
        <v>43951.64583</v>
      </c>
      <c r="C899" s="2">
        <f>IFERROR(__xludf.DUMMYFUNCTION("""COMPUTED_VALUE"""),5425.0)</f>
        <v>5425</v>
      </c>
    </row>
    <row r="900" ht="15.75" customHeight="1">
      <c r="B900" s="3">
        <f>IFERROR(__xludf.DUMMYFUNCTION("""COMPUTED_VALUE"""),43959.64583333333)</f>
        <v>43959.64583</v>
      </c>
      <c r="C900" s="2">
        <f>IFERROR(__xludf.DUMMYFUNCTION("""COMPUTED_VALUE"""),5130.25)</f>
        <v>5130.25</v>
      </c>
    </row>
    <row r="901" ht="15.75" customHeight="1">
      <c r="B901" s="3">
        <f>IFERROR(__xludf.DUMMYFUNCTION("""COMPUTED_VALUE"""),43966.64583333333)</f>
        <v>43966.64583</v>
      </c>
      <c r="C901" s="2">
        <f>IFERROR(__xludf.DUMMYFUNCTION("""COMPUTED_VALUE"""),5317.45)</f>
        <v>5317.45</v>
      </c>
    </row>
    <row r="902" ht="15.75" customHeight="1">
      <c r="B902" s="3">
        <f>IFERROR(__xludf.DUMMYFUNCTION("""COMPUTED_VALUE"""),43973.64583333333)</f>
        <v>43973.64583</v>
      </c>
      <c r="C902" s="2">
        <f>IFERROR(__xludf.DUMMYFUNCTION("""COMPUTED_VALUE"""),5150.0)</f>
        <v>5150</v>
      </c>
    </row>
    <row r="903" ht="15.75" customHeight="1">
      <c r="B903" s="3">
        <f>IFERROR(__xludf.DUMMYFUNCTION("""COMPUTED_VALUE"""),43980.64583333333)</f>
        <v>43980.64583</v>
      </c>
      <c r="C903" s="2">
        <f>IFERROR(__xludf.DUMMYFUNCTION("""COMPUTED_VALUE"""),5666.75)</f>
        <v>5666.75</v>
      </c>
    </row>
    <row r="904" ht="15.75" customHeight="1">
      <c r="B904" s="3">
        <f>IFERROR(__xludf.DUMMYFUNCTION("""COMPUTED_VALUE"""),43987.64583333333)</f>
        <v>43987.64583</v>
      </c>
      <c r="C904" s="2">
        <f>IFERROR(__xludf.DUMMYFUNCTION("""COMPUTED_VALUE"""),5864.65)</f>
        <v>5864.65</v>
      </c>
    </row>
    <row r="905" ht="15.75" customHeight="1">
      <c r="B905" s="3">
        <f>IFERROR(__xludf.DUMMYFUNCTION("""COMPUTED_VALUE"""),43994.64583333333)</f>
        <v>43994.64583</v>
      </c>
      <c r="C905" s="2">
        <f>IFERROR(__xludf.DUMMYFUNCTION("""COMPUTED_VALUE"""),5850.0)</f>
        <v>5850</v>
      </c>
    </row>
    <row r="906" ht="15.75" customHeight="1">
      <c r="B906" s="3">
        <f>IFERROR(__xludf.DUMMYFUNCTION("""COMPUTED_VALUE"""),44001.64583333333)</f>
        <v>44001.64583</v>
      </c>
      <c r="C906" s="2">
        <f>IFERROR(__xludf.DUMMYFUNCTION("""COMPUTED_VALUE"""),5935.0)</f>
        <v>5935</v>
      </c>
    </row>
    <row r="907" ht="15.75" customHeight="1">
      <c r="B907" s="3">
        <f>IFERROR(__xludf.DUMMYFUNCTION("""COMPUTED_VALUE"""),44008.64583333333)</f>
        <v>44008.64583</v>
      </c>
      <c r="C907" s="2">
        <f>IFERROR(__xludf.DUMMYFUNCTION("""COMPUTED_VALUE"""),6007.2)</f>
        <v>6007.2</v>
      </c>
    </row>
    <row r="908" ht="15.75" customHeight="1">
      <c r="B908" s="3">
        <f>IFERROR(__xludf.DUMMYFUNCTION("""COMPUTED_VALUE"""),44015.64583333333)</f>
        <v>44015.64583</v>
      </c>
      <c r="C908" s="2">
        <f>IFERROR(__xludf.DUMMYFUNCTION("""COMPUTED_VALUE"""),5988.6)</f>
        <v>5988.6</v>
      </c>
    </row>
    <row r="909" ht="15.75" customHeight="1">
      <c r="B909" s="3">
        <f>IFERROR(__xludf.DUMMYFUNCTION("""COMPUTED_VALUE"""),44022.64583333333)</f>
        <v>44022.64583</v>
      </c>
      <c r="C909" s="2">
        <f>IFERROR(__xludf.DUMMYFUNCTION("""COMPUTED_VALUE"""),6250.0)</f>
        <v>6250</v>
      </c>
    </row>
    <row r="910" ht="15.75" customHeight="1">
      <c r="B910" s="3">
        <f>IFERROR(__xludf.DUMMYFUNCTION("""COMPUTED_VALUE"""),44029.64583333333)</f>
        <v>44029.64583</v>
      </c>
      <c r="C910" s="2">
        <f>IFERROR(__xludf.DUMMYFUNCTION("""COMPUTED_VALUE"""),6059.25)</f>
        <v>6059.25</v>
      </c>
    </row>
    <row r="911" ht="15.75" customHeight="1">
      <c r="B911" s="3">
        <f>IFERROR(__xludf.DUMMYFUNCTION("""COMPUTED_VALUE"""),44036.64583333333)</f>
        <v>44036.64583</v>
      </c>
      <c r="C911" s="2">
        <f>IFERROR(__xludf.DUMMYFUNCTION("""COMPUTED_VALUE"""),6150.0)</f>
        <v>6150</v>
      </c>
    </row>
    <row r="912" ht="15.75" customHeight="1">
      <c r="B912" s="3">
        <f>IFERROR(__xludf.DUMMYFUNCTION("""COMPUTED_VALUE"""),44043.64583333333)</f>
        <v>44043.64583</v>
      </c>
      <c r="C912" s="2">
        <f>IFERROR(__xludf.DUMMYFUNCTION("""COMPUTED_VALUE"""),6393.65)</f>
        <v>6393.65</v>
      </c>
    </row>
    <row r="913" ht="15.75" customHeight="1">
      <c r="B913" s="3">
        <f>IFERROR(__xludf.DUMMYFUNCTION("""COMPUTED_VALUE"""),44050.64583333333)</f>
        <v>44050.64583</v>
      </c>
      <c r="C913" s="2">
        <f>IFERROR(__xludf.DUMMYFUNCTION("""COMPUTED_VALUE"""),6749.5)</f>
        <v>6749.5</v>
      </c>
    </row>
    <row r="914" ht="15.75" customHeight="1">
      <c r="B914" s="3">
        <f>IFERROR(__xludf.DUMMYFUNCTION("""COMPUTED_VALUE"""),44057.64583333333)</f>
        <v>44057.64583</v>
      </c>
      <c r="C914" s="2">
        <f>IFERROR(__xludf.DUMMYFUNCTION("""COMPUTED_VALUE"""),6778.05)</f>
        <v>6778.05</v>
      </c>
    </row>
    <row r="915" ht="15.75" customHeight="1">
      <c r="B915" s="3">
        <f>IFERROR(__xludf.DUMMYFUNCTION("""COMPUTED_VALUE"""),44064.64583333333)</f>
        <v>44064.64583</v>
      </c>
      <c r="C915" s="2">
        <f>IFERROR(__xludf.DUMMYFUNCTION("""COMPUTED_VALUE"""),7065.0)</f>
        <v>7065</v>
      </c>
    </row>
    <row r="916" ht="15.75" customHeight="1">
      <c r="B916" s="3">
        <f>IFERROR(__xludf.DUMMYFUNCTION("""COMPUTED_VALUE"""),44071.64583333333)</f>
        <v>44071.64583</v>
      </c>
      <c r="C916" s="2">
        <f>IFERROR(__xludf.DUMMYFUNCTION("""COMPUTED_VALUE"""),7175.7)</f>
        <v>7175.7</v>
      </c>
    </row>
    <row r="917" ht="15.75" customHeight="1">
      <c r="B917" s="3">
        <f>IFERROR(__xludf.DUMMYFUNCTION("""COMPUTED_VALUE"""),44078.64583333333)</f>
        <v>44078.64583</v>
      </c>
      <c r="C917" s="2">
        <f>IFERROR(__xludf.DUMMYFUNCTION("""COMPUTED_VALUE"""),7324.0)</f>
        <v>7324</v>
      </c>
    </row>
    <row r="918" ht="15.75" customHeight="1">
      <c r="B918" s="3">
        <f>IFERROR(__xludf.DUMMYFUNCTION("""COMPUTED_VALUE"""),44085.64583333333)</f>
        <v>44085.64583</v>
      </c>
      <c r="C918" s="2">
        <f>IFERROR(__xludf.DUMMYFUNCTION("""COMPUTED_VALUE"""),7349.9)</f>
        <v>7349.9</v>
      </c>
    </row>
    <row r="919" ht="15.75" customHeight="1">
      <c r="B919" s="3">
        <f>IFERROR(__xludf.DUMMYFUNCTION("""COMPUTED_VALUE"""),44092.64583333333)</f>
        <v>44092.64583</v>
      </c>
      <c r="C919" s="2">
        <f>IFERROR(__xludf.DUMMYFUNCTION("""COMPUTED_VALUE"""),7239.6)</f>
        <v>7239.6</v>
      </c>
    </row>
    <row r="920" ht="15.75" customHeight="1">
      <c r="B920" s="3">
        <f>IFERROR(__xludf.DUMMYFUNCTION("""COMPUTED_VALUE"""),44099.64583333333)</f>
        <v>44099.64583</v>
      </c>
      <c r="C920" s="2">
        <f>IFERROR(__xludf.DUMMYFUNCTION("""COMPUTED_VALUE"""),6986.9)</f>
        <v>6986.9</v>
      </c>
    </row>
    <row r="921" ht="15.75" customHeight="1">
      <c r="B921" s="3">
        <f>IFERROR(__xludf.DUMMYFUNCTION("""COMPUTED_VALUE"""),44105.64583333333)</f>
        <v>44105.64583</v>
      </c>
      <c r="C921" s="2">
        <f>IFERROR(__xludf.DUMMYFUNCTION("""COMPUTED_VALUE"""),6909.0)</f>
        <v>6909</v>
      </c>
    </row>
    <row r="922" ht="15.75" customHeight="1">
      <c r="B922" s="3">
        <f>IFERROR(__xludf.DUMMYFUNCTION("""COMPUTED_VALUE"""),44113.64583333333)</f>
        <v>44113.64583</v>
      </c>
      <c r="C922" s="2">
        <f>IFERROR(__xludf.DUMMYFUNCTION("""COMPUTED_VALUE"""),7159.0)</f>
        <v>7159</v>
      </c>
    </row>
    <row r="923" ht="15.75" customHeight="1">
      <c r="B923" s="3">
        <f>IFERROR(__xludf.DUMMYFUNCTION("""COMPUTED_VALUE"""),44120.64583333333)</f>
        <v>44120.64583</v>
      </c>
      <c r="C923" s="2">
        <f>IFERROR(__xludf.DUMMYFUNCTION("""COMPUTED_VALUE"""),7185.0)</f>
        <v>7185</v>
      </c>
    </row>
    <row r="924" ht="15.75" customHeight="1">
      <c r="B924" s="3">
        <f>IFERROR(__xludf.DUMMYFUNCTION("""COMPUTED_VALUE"""),44127.64583333333)</f>
        <v>44127.64583</v>
      </c>
      <c r="C924" s="2">
        <f>IFERROR(__xludf.DUMMYFUNCTION("""COMPUTED_VALUE"""),7124.7)</f>
        <v>7124.7</v>
      </c>
    </row>
    <row r="925" ht="15.75" customHeight="1">
      <c r="B925" s="3">
        <f>IFERROR(__xludf.DUMMYFUNCTION("""COMPUTED_VALUE"""),44134.64583333333)</f>
        <v>44134.64583</v>
      </c>
      <c r="C925" s="2">
        <f>IFERROR(__xludf.DUMMYFUNCTION("""COMPUTED_VALUE"""),7332.0)</f>
        <v>7332</v>
      </c>
    </row>
    <row r="926" ht="15.75" customHeight="1">
      <c r="B926" s="3">
        <f>IFERROR(__xludf.DUMMYFUNCTION("""COMPUTED_VALUE"""),44141.64583333333)</f>
        <v>44141.64583</v>
      </c>
      <c r="C926" s="2">
        <f>IFERROR(__xludf.DUMMYFUNCTION("""COMPUTED_VALUE"""),7135.0)</f>
        <v>7135</v>
      </c>
    </row>
    <row r="927" ht="15.75" customHeight="1">
      <c r="B927" s="3">
        <f>IFERROR(__xludf.DUMMYFUNCTION("""COMPUTED_VALUE"""),44155.64583333333)</f>
        <v>44155.64583</v>
      </c>
      <c r="C927" s="2">
        <f>IFERROR(__xludf.DUMMYFUNCTION("""COMPUTED_VALUE"""),7130.0)</f>
        <v>7130</v>
      </c>
    </row>
    <row r="928" ht="15.75" customHeight="1">
      <c r="B928" s="3">
        <f>IFERROR(__xludf.DUMMYFUNCTION("""COMPUTED_VALUE"""),44162.64583333333)</f>
        <v>44162.64583</v>
      </c>
      <c r="C928" s="2">
        <f>IFERROR(__xludf.DUMMYFUNCTION("""COMPUTED_VALUE"""),7252.35)</f>
        <v>7252.35</v>
      </c>
    </row>
    <row r="929" ht="15.75" customHeight="1">
      <c r="B929" s="3">
        <f>IFERROR(__xludf.DUMMYFUNCTION("""COMPUTED_VALUE"""),44169.64583333333)</f>
        <v>44169.64583</v>
      </c>
      <c r="C929" s="2">
        <f>IFERROR(__xludf.DUMMYFUNCTION("""COMPUTED_VALUE"""),7882.65)</f>
        <v>7882.65</v>
      </c>
    </row>
    <row r="930" ht="15.75" customHeight="1">
      <c r="B930" s="3">
        <f>IFERROR(__xludf.DUMMYFUNCTION("""COMPUTED_VALUE"""),44176.64583333333)</f>
        <v>44176.64583</v>
      </c>
      <c r="C930" s="2">
        <f>IFERROR(__xludf.DUMMYFUNCTION("""COMPUTED_VALUE"""),8013.15)</f>
        <v>8013.15</v>
      </c>
    </row>
    <row r="931" ht="15.75" customHeight="1">
      <c r="B931" s="3">
        <f>IFERROR(__xludf.DUMMYFUNCTION("""COMPUTED_VALUE"""),44183.64583333333)</f>
        <v>44183.64583</v>
      </c>
      <c r="C931" s="2">
        <f>IFERROR(__xludf.DUMMYFUNCTION("""COMPUTED_VALUE"""),7899.0)</f>
        <v>7899</v>
      </c>
    </row>
    <row r="932" ht="15.75" customHeight="1">
      <c r="B932" s="3">
        <f>IFERROR(__xludf.DUMMYFUNCTION("""COMPUTED_VALUE"""),44189.64583333333)</f>
        <v>44189.64583</v>
      </c>
      <c r="C932" s="2">
        <f>IFERROR(__xludf.DUMMYFUNCTION("""COMPUTED_VALUE"""),7599.0)</f>
        <v>7599</v>
      </c>
    </row>
    <row r="933" ht="15.75" customHeight="1">
      <c r="B933" s="3">
        <f>IFERROR(__xludf.DUMMYFUNCTION("""COMPUTED_VALUE"""),44197.64583333333)</f>
        <v>44197.64583</v>
      </c>
      <c r="C933" s="2">
        <f>IFERROR(__xludf.DUMMYFUNCTION("""COMPUTED_VALUE"""),7748.5)</f>
        <v>7748.5</v>
      </c>
    </row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IFERROR(__xludf.DUMMYFUNCTION("GOOGLEFINANCE(""NSE:ONGC"", ""high"",DATE(2004,1,1),DATE(2005,1,1),""weekly"")"),"Date")</f>
        <v>Date</v>
      </c>
      <c r="C1" s="2" t="str">
        <f>IFERROR(__xludf.DUMMYFUNCTION("""COMPUTED_VALUE"""),"High")</f>
        <v>High</v>
      </c>
    </row>
    <row r="2">
      <c r="A2" s="2" t="s">
        <v>3</v>
      </c>
      <c r="B2" s="3">
        <f>IFERROR(__xludf.DUMMYFUNCTION("""COMPUTED_VALUE"""),37988.645833333336)</f>
        <v>37988.64583</v>
      </c>
      <c r="C2" s="2">
        <f>IFERROR(__xludf.DUMMYFUNCTION("""COMPUTED_VALUE"""),69.92)</f>
        <v>69.92</v>
      </c>
    </row>
    <row r="3">
      <c r="A3" s="2" t="s">
        <v>4</v>
      </c>
      <c r="B3" s="3">
        <f>IFERROR(__xludf.DUMMYFUNCTION("""COMPUTED_VALUE"""),37995.645833333336)</f>
        <v>37995.64583</v>
      </c>
      <c r="C3" s="2">
        <f>IFERROR(__xludf.DUMMYFUNCTION("""COMPUTED_VALUE"""),74.07)</f>
        <v>74.07</v>
      </c>
    </row>
    <row r="4">
      <c r="A4" s="2" t="s">
        <v>5</v>
      </c>
      <c r="B4" s="3">
        <f>IFERROR(__xludf.DUMMYFUNCTION("""COMPUTED_VALUE"""),38002.645833333336)</f>
        <v>38002.64583</v>
      </c>
      <c r="C4" s="2">
        <f>IFERROR(__xludf.DUMMYFUNCTION("""COMPUTED_VALUE"""),68.3)</f>
        <v>68.3</v>
      </c>
    </row>
    <row r="5">
      <c r="A5" s="2" t="s">
        <v>6</v>
      </c>
      <c r="B5" s="3">
        <f>IFERROR(__xludf.DUMMYFUNCTION("""COMPUTED_VALUE"""),38009.645833333336)</f>
        <v>38009.64583</v>
      </c>
      <c r="C5" s="2">
        <f>IFERROR(__xludf.DUMMYFUNCTION("""COMPUTED_VALUE"""),63.85)</f>
        <v>63.85</v>
      </c>
    </row>
    <row r="6">
      <c r="A6" s="2" t="s">
        <v>7</v>
      </c>
      <c r="B6" s="3">
        <f>IFERROR(__xludf.DUMMYFUNCTION("""COMPUTED_VALUE"""),38016.645833333336)</f>
        <v>38016.64583</v>
      </c>
      <c r="C6" s="2">
        <f>IFERROR(__xludf.DUMMYFUNCTION("""COMPUTED_VALUE"""),60.74)</f>
        <v>60.74</v>
      </c>
    </row>
    <row r="7">
      <c r="A7" s="2" t="s">
        <v>8</v>
      </c>
      <c r="B7" s="3">
        <f>IFERROR(__xludf.DUMMYFUNCTION("""COMPUTED_VALUE"""),38023.645833333336)</f>
        <v>38023.64583</v>
      </c>
      <c r="C7" s="2">
        <f>IFERROR(__xludf.DUMMYFUNCTION("""COMPUTED_VALUE"""),54.82)</f>
        <v>54.82</v>
      </c>
    </row>
    <row r="8">
      <c r="A8" s="2" t="s">
        <v>9</v>
      </c>
      <c r="B8" s="3">
        <f>IFERROR(__xludf.DUMMYFUNCTION("""COMPUTED_VALUE"""),38030.645833333336)</f>
        <v>38030.64583</v>
      </c>
      <c r="C8" s="2">
        <f>IFERROR(__xludf.DUMMYFUNCTION("""COMPUTED_VALUE"""),56.59)</f>
        <v>56.59</v>
      </c>
    </row>
    <row r="9">
      <c r="A9" s="2" t="s">
        <v>10</v>
      </c>
      <c r="B9" s="3">
        <f>IFERROR(__xludf.DUMMYFUNCTION("""COMPUTED_VALUE"""),38037.645833333336)</f>
        <v>38037.64583</v>
      </c>
      <c r="C9" s="2">
        <f>IFERROR(__xludf.DUMMYFUNCTION("""COMPUTED_VALUE"""),58.27)</f>
        <v>58.27</v>
      </c>
    </row>
    <row r="10">
      <c r="A10" s="2" t="s">
        <v>11</v>
      </c>
      <c r="B10" s="3">
        <f>IFERROR(__xludf.DUMMYFUNCTION("""COMPUTED_VALUE"""),38044.645833333336)</f>
        <v>38044.64583</v>
      </c>
      <c r="C10" s="2">
        <f>IFERROR(__xludf.DUMMYFUNCTION("""COMPUTED_VALUE"""),55.93)</f>
        <v>55.93</v>
      </c>
    </row>
    <row r="11">
      <c r="A11" s="2" t="s">
        <v>12</v>
      </c>
      <c r="B11" s="3">
        <f>IFERROR(__xludf.DUMMYFUNCTION("""COMPUTED_VALUE"""),38051.645833333336)</f>
        <v>38051.64583</v>
      </c>
      <c r="C11" s="2">
        <f>IFERROR(__xludf.DUMMYFUNCTION("""COMPUTED_VALUE"""),59.61)</f>
        <v>59.61</v>
      </c>
    </row>
    <row r="12">
      <c r="A12" s="2" t="s">
        <v>13</v>
      </c>
      <c r="B12" s="3">
        <f>IFERROR(__xludf.DUMMYFUNCTION("""COMPUTED_VALUE"""),38058.645833333336)</f>
        <v>38058.64583</v>
      </c>
      <c r="C12" s="2">
        <f>IFERROR(__xludf.DUMMYFUNCTION("""COMPUTED_VALUE"""),65.16)</f>
        <v>65.16</v>
      </c>
    </row>
    <row r="13">
      <c r="A13" s="2" t="s">
        <v>14</v>
      </c>
      <c r="B13" s="3">
        <f>IFERROR(__xludf.DUMMYFUNCTION("""COMPUTED_VALUE"""),38065.645833333336)</f>
        <v>38065.64583</v>
      </c>
      <c r="C13" s="2">
        <f>IFERROR(__xludf.DUMMYFUNCTION("""COMPUTED_VALUE"""),64.07)</f>
        <v>64.07</v>
      </c>
    </row>
    <row r="14">
      <c r="A14" s="2" t="s">
        <v>15</v>
      </c>
      <c r="B14" s="3">
        <f>IFERROR(__xludf.DUMMYFUNCTION("""COMPUTED_VALUE"""),38072.645833333336)</f>
        <v>38072.64583</v>
      </c>
      <c r="C14" s="2">
        <f>IFERROR(__xludf.DUMMYFUNCTION("""COMPUTED_VALUE"""),63.63)</f>
        <v>63.63</v>
      </c>
    </row>
    <row r="15">
      <c r="A15" s="2" t="s">
        <v>16</v>
      </c>
      <c r="B15" s="3">
        <f>IFERROR(__xludf.DUMMYFUNCTION("""COMPUTED_VALUE"""),38079.645833333336)</f>
        <v>38079.64583</v>
      </c>
      <c r="C15" s="2">
        <f>IFERROR(__xludf.DUMMYFUNCTION("""COMPUTED_VALUE"""),64.44)</f>
        <v>64.44</v>
      </c>
    </row>
    <row r="16">
      <c r="A16" s="2" t="s">
        <v>17</v>
      </c>
      <c r="B16" s="3">
        <f>IFERROR(__xludf.DUMMYFUNCTION("""COMPUTED_VALUE"""),38085.645833333336)</f>
        <v>38085.64583</v>
      </c>
      <c r="C16" s="2">
        <f>IFERROR(__xludf.DUMMYFUNCTION("""COMPUTED_VALUE"""),66.59)</f>
        <v>66.59</v>
      </c>
    </row>
    <row r="17">
      <c r="A17" s="2" t="s">
        <v>18</v>
      </c>
      <c r="B17" s="3">
        <f>IFERROR(__xludf.DUMMYFUNCTION("""COMPUTED_VALUE"""),38100.645833333336)</f>
        <v>38100.64583</v>
      </c>
      <c r="C17" s="2">
        <f>IFERROR(__xludf.DUMMYFUNCTION("""COMPUTED_VALUE"""),65.1)</f>
        <v>65.1</v>
      </c>
    </row>
    <row r="18">
      <c r="A18" s="2" t="s">
        <v>19</v>
      </c>
      <c r="B18" s="3">
        <f>IFERROR(__xludf.DUMMYFUNCTION("""COMPUTED_VALUE"""),38107.645833333336)</f>
        <v>38107.64583</v>
      </c>
      <c r="C18" s="2">
        <f>IFERROR(__xludf.DUMMYFUNCTION("""COMPUTED_VALUE"""),62.96)</f>
        <v>62.96</v>
      </c>
    </row>
    <row r="19">
      <c r="B19" s="3">
        <f>IFERROR(__xludf.DUMMYFUNCTION("""COMPUTED_VALUE"""),38114.645833333336)</f>
        <v>38114.64583</v>
      </c>
      <c r="C19" s="2">
        <f>IFERROR(__xludf.DUMMYFUNCTION("""COMPUTED_VALUE"""),64.22)</f>
        <v>64.22</v>
      </c>
    </row>
    <row r="20">
      <c r="B20" s="3">
        <f>IFERROR(__xludf.DUMMYFUNCTION("""COMPUTED_VALUE"""),38121.645833333336)</f>
        <v>38121.64583</v>
      </c>
      <c r="C20" s="2">
        <f>IFERROR(__xludf.DUMMYFUNCTION("""COMPUTED_VALUE"""),63.24)</f>
        <v>63.24</v>
      </c>
    </row>
    <row r="21" ht="15.75" customHeight="1">
      <c r="B21" s="3">
        <f>IFERROR(__xludf.DUMMYFUNCTION("""COMPUTED_VALUE"""),38128.645833333336)</f>
        <v>38128.64583</v>
      </c>
      <c r="C21" s="2">
        <f>IFERROR(__xludf.DUMMYFUNCTION("""COMPUTED_VALUE"""),55.19)</f>
        <v>55.19</v>
      </c>
    </row>
    <row r="22" ht="15.75" customHeight="1">
      <c r="B22" s="3">
        <f>IFERROR(__xludf.DUMMYFUNCTION("""COMPUTED_VALUE"""),38135.645833333336)</f>
        <v>38135.64583</v>
      </c>
      <c r="C22" s="2">
        <f>IFERROR(__xludf.DUMMYFUNCTION("""COMPUTED_VALUE"""),54.99)</f>
        <v>54.99</v>
      </c>
    </row>
    <row r="23" ht="15.75" customHeight="1">
      <c r="B23" s="3">
        <f>IFERROR(__xludf.DUMMYFUNCTION("""COMPUTED_VALUE"""),38142.645833333336)</f>
        <v>38142.64583</v>
      </c>
      <c r="C23" s="2">
        <f>IFERROR(__xludf.DUMMYFUNCTION("""COMPUTED_VALUE"""),50.36)</f>
        <v>50.36</v>
      </c>
    </row>
    <row r="24" ht="15.75" customHeight="1">
      <c r="B24" s="3">
        <f>IFERROR(__xludf.DUMMYFUNCTION("""COMPUTED_VALUE"""),38149.645833333336)</f>
        <v>38149.64583</v>
      </c>
      <c r="C24" s="2">
        <f>IFERROR(__xludf.DUMMYFUNCTION("""COMPUTED_VALUE"""),50.74)</f>
        <v>50.74</v>
      </c>
    </row>
    <row r="25" ht="15.75" customHeight="1">
      <c r="B25" s="3">
        <f>IFERROR(__xludf.DUMMYFUNCTION("""COMPUTED_VALUE"""),38156.645833333336)</f>
        <v>38156.64583</v>
      </c>
      <c r="C25" s="2">
        <f>IFERROR(__xludf.DUMMYFUNCTION("""COMPUTED_VALUE"""),49.87)</f>
        <v>49.87</v>
      </c>
    </row>
    <row r="26" ht="15.75" customHeight="1">
      <c r="B26" s="3">
        <f>IFERROR(__xludf.DUMMYFUNCTION("""COMPUTED_VALUE"""),38163.645833333336)</f>
        <v>38163.64583</v>
      </c>
      <c r="C26" s="2">
        <f>IFERROR(__xludf.DUMMYFUNCTION("""COMPUTED_VALUE"""),48.15)</f>
        <v>48.15</v>
      </c>
    </row>
    <row r="27" ht="15.75" customHeight="1">
      <c r="B27" s="3">
        <f>IFERROR(__xludf.DUMMYFUNCTION("""COMPUTED_VALUE"""),38170.645833333336)</f>
        <v>38170.64583</v>
      </c>
      <c r="C27" s="2">
        <f>IFERROR(__xludf.DUMMYFUNCTION("""COMPUTED_VALUE"""),50.44)</f>
        <v>50.44</v>
      </c>
    </row>
    <row r="28" ht="15.75" customHeight="1">
      <c r="B28" s="3">
        <f>IFERROR(__xludf.DUMMYFUNCTION("""COMPUTED_VALUE"""),38177.645833333336)</f>
        <v>38177.64583</v>
      </c>
      <c r="C28" s="2">
        <f>IFERROR(__xludf.DUMMYFUNCTION("""COMPUTED_VALUE"""),52.47)</f>
        <v>52.47</v>
      </c>
    </row>
    <row r="29" ht="15.75" customHeight="1">
      <c r="B29" s="3">
        <f>IFERROR(__xludf.DUMMYFUNCTION("""COMPUTED_VALUE"""),38184.645833333336)</f>
        <v>38184.64583</v>
      </c>
      <c r="C29" s="2">
        <f>IFERROR(__xludf.DUMMYFUNCTION("""COMPUTED_VALUE"""),50.74)</f>
        <v>50.74</v>
      </c>
    </row>
    <row r="30" ht="15.75" customHeight="1">
      <c r="B30" s="3">
        <f>IFERROR(__xludf.DUMMYFUNCTION("""COMPUTED_VALUE"""),38191.645833333336)</f>
        <v>38191.64583</v>
      </c>
      <c r="C30" s="2">
        <f>IFERROR(__xludf.DUMMYFUNCTION("""COMPUTED_VALUE"""),53.33)</f>
        <v>53.33</v>
      </c>
    </row>
    <row r="31" ht="15.75" customHeight="1">
      <c r="B31" s="3">
        <f>IFERROR(__xludf.DUMMYFUNCTION("""COMPUTED_VALUE"""),38198.645833333336)</f>
        <v>38198.64583</v>
      </c>
      <c r="C31" s="2">
        <f>IFERROR(__xludf.DUMMYFUNCTION("""COMPUTED_VALUE"""),53.39)</f>
        <v>53.39</v>
      </c>
    </row>
    <row r="32" ht="15.75" customHeight="1">
      <c r="B32" s="3">
        <f>IFERROR(__xludf.DUMMYFUNCTION("""COMPUTED_VALUE"""),38205.645833333336)</f>
        <v>38205.64583</v>
      </c>
      <c r="C32" s="2">
        <f>IFERROR(__xludf.DUMMYFUNCTION("""COMPUTED_VALUE"""),54.87)</f>
        <v>54.87</v>
      </c>
    </row>
    <row r="33" ht="15.75" customHeight="1">
      <c r="B33" s="3">
        <f>IFERROR(__xludf.DUMMYFUNCTION("""COMPUTED_VALUE"""),38212.645833333336)</f>
        <v>38212.64583</v>
      </c>
      <c r="C33" s="2">
        <f>IFERROR(__xludf.DUMMYFUNCTION("""COMPUTED_VALUE"""),53.48)</f>
        <v>53.48</v>
      </c>
    </row>
    <row r="34" ht="15.75" customHeight="1">
      <c r="B34" s="3">
        <f>IFERROR(__xludf.DUMMYFUNCTION("""COMPUTED_VALUE"""),38219.645833333336)</f>
        <v>38219.64583</v>
      </c>
      <c r="C34" s="2">
        <f>IFERROR(__xludf.DUMMYFUNCTION("""COMPUTED_VALUE"""),51.81)</f>
        <v>51.81</v>
      </c>
    </row>
    <row r="35" ht="15.75" customHeight="1">
      <c r="B35" s="3">
        <f>IFERROR(__xludf.DUMMYFUNCTION("""COMPUTED_VALUE"""),38226.645833333336)</f>
        <v>38226.64583</v>
      </c>
      <c r="C35" s="2">
        <f>IFERROR(__xludf.DUMMYFUNCTION("""COMPUTED_VALUE"""),52.94)</f>
        <v>52.94</v>
      </c>
    </row>
    <row r="36" ht="15.75" customHeight="1">
      <c r="B36" s="3">
        <f>IFERROR(__xludf.DUMMYFUNCTION("""COMPUTED_VALUE"""),38233.645833333336)</f>
        <v>38233.64583</v>
      </c>
      <c r="C36" s="2">
        <f>IFERROR(__xludf.DUMMYFUNCTION("""COMPUTED_VALUE"""),53.55)</f>
        <v>53.55</v>
      </c>
    </row>
    <row r="37" ht="15.75" customHeight="1">
      <c r="B37" s="3">
        <f>IFERROR(__xludf.DUMMYFUNCTION("""COMPUTED_VALUE"""),38240.645833333336)</f>
        <v>38240.64583</v>
      </c>
      <c r="C37" s="2">
        <f>IFERROR(__xludf.DUMMYFUNCTION("""COMPUTED_VALUE"""),53.19)</f>
        <v>53.19</v>
      </c>
    </row>
    <row r="38" ht="15.75" customHeight="1">
      <c r="B38" s="3">
        <f>IFERROR(__xludf.DUMMYFUNCTION("""COMPUTED_VALUE"""),38247.645833333336)</f>
        <v>38247.64583</v>
      </c>
      <c r="C38" s="2">
        <f>IFERROR(__xludf.DUMMYFUNCTION("""COMPUTED_VALUE"""),55.5)</f>
        <v>55.5</v>
      </c>
    </row>
    <row r="39" ht="15.75" customHeight="1">
      <c r="B39" s="3">
        <f>IFERROR(__xludf.DUMMYFUNCTION("""COMPUTED_VALUE"""),38254.645833333336)</f>
        <v>38254.64583</v>
      </c>
      <c r="C39" s="2">
        <f>IFERROR(__xludf.DUMMYFUNCTION("""COMPUTED_VALUE"""),56.64)</f>
        <v>56.64</v>
      </c>
    </row>
    <row r="40" ht="15.75" customHeight="1">
      <c r="B40" s="3">
        <f>IFERROR(__xludf.DUMMYFUNCTION("""COMPUTED_VALUE"""),38261.645833333336)</f>
        <v>38261.64583</v>
      </c>
      <c r="C40" s="2">
        <f>IFERROR(__xludf.DUMMYFUNCTION("""COMPUTED_VALUE"""),58.13)</f>
        <v>58.13</v>
      </c>
    </row>
    <row r="41" ht="15.75" customHeight="1">
      <c r="B41" s="3">
        <f>IFERROR(__xludf.DUMMYFUNCTION("""COMPUTED_VALUE"""),38275.645833333336)</f>
        <v>38275.64583</v>
      </c>
      <c r="C41" s="2">
        <f>IFERROR(__xludf.DUMMYFUNCTION("""COMPUTED_VALUE"""),60.37)</f>
        <v>60.37</v>
      </c>
    </row>
    <row r="42" ht="15.75" customHeight="1">
      <c r="B42" s="3">
        <f>IFERROR(__xludf.DUMMYFUNCTION("""COMPUTED_VALUE"""),38281.645833333336)</f>
        <v>38281.64583</v>
      </c>
      <c r="C42" s="2">
        <f>IFERROR(__xludf.DUMMYFUNCTION("""COMPUTED_VALUE"""),60.79)</f>
        <v>60.79</v>
      </c>
    </row>
    <row r="43" ht="15.75" customHeight="1">
      <c r="B43" s="3">
        <f>IFERROR(__xludf.DUMMYFUNCTION("""COMPUTED_VALUE"""),38289.645833333336)</f>
        <v>38289.64583</v>
      </c>
      <c r="C43" s="2">
        <f>IFERROR(__xludf.DUMMYFUNCTION("""COMPUTED_VALUE"""),59.63)</f>
        <v>59.63</v>
      </c>
    </row>
    <row r="44" ht="15.75" customHeight="1">
      <c r="B44" s="3">
        <f>IFERROR(__xludf.DUMMYFUNCTION("""COMPUTED_VALUE"""),38296.645833333336)</f>
        <v>38296.64583</v>
      </c>
      <c r="C44" s="2">
        <f>IFERROR(__xludf.DUMMYFUNCTION("""COMPUTED_VALUE"""),60.13)</f>
        <v>60.13</v>
      </c>
    </row>
    <row r="45" ht="15.75" customHeight="1">
      <c r="B45" s="3">
        <f>IFERROR(__xludf.DUMMYFUNCTION("""COMPUTED_VALUE"""),38303.645833333336)</f>
        <v>38303.64583</v>
      </c>
      <c r="C45" s="2">
        <f>IFERROR(__xludf.DUMMYFUNCTION("""COMPUTED_VALUE"""),61.62)</f>
        <v>61.62</v>
      </c>
    </row>
    <row r="46" ht="15.75" customHeight="1">
      <c r="B46" s="3">
        <f>IFERROR(__xludf.DUMMYFUNCTION("""COMPUTED_VALUE"""),38310.645833333336)</f>
        <v>38310.64583</v>
      </c>
      <c r="C46" s="2">
        <f>IFERROR(__xludf.DUMMYFUNCTION("""COMPUTED_VALUE"""),60.59)</f>
        <v>60.59</v>
      </c>
    </row>
    <row r="47" ht="15.75" customHeight="1">
      <c r="B47" s="3">
        <f>IFERROR(__xludf.DUMMYFUNCTION("""COMPUTED_VALUE"""),38316.645833333336)</f>
        <v>38316.64583</v>
      </c>
      <c r="C47" s="2">
        <f>IFERROR(__xludf.DUMMYFUNCTION("""COMPUTED_VALUE"""),60.16)</f>
        <v>60.16</v>
      </c>
    </row>
    <row r="48" ht="15.75" customHeight="1">
      <c r="B48" s="3">
        <f>IFERROR(__xludf.DUMMYFUNCTION("""COMPUTED_VALUE"""),38324.645833333336)</f>
        <v>38324.64583</v>
      </c>
      <c r="C48" s="2">
        <f>IFERROR(__xludf.DUMMYFUNCTION("""COMPUTED_VALUE"""),62.67)</f>
        <v>62.67</v>
      </c>
    </row>
    <row r="49" ht="15.75" customHeight="1">
      <c r="B49" s="3">
        <f>IFERROR(__xludf.DUMMYFUNCTION("""COMPUTED_VALUE"""),38331.645833333336)</f>
        <v>38331.64583</v>
      </c>
      <c r="C49" s="2">
        <f>IFERROR(__xludf.DUMMYFUNCTION("""COMPUTED_VALUE"""),63.33)</f>
        <v>63.33</v>
      </c>
    </row>
    <row r="50" ht="15.75" customHeight="1">
      <c r="B50" s="3">
        <f>IFERROR(__xludf.DUMMYFUNCTION("""COMPUTED_VALUE"""),38338.645833333336)</f>
        <v>38338.64583</v>
      </c>
      <c r="C50" s="2">
        <f>IFERROR(__xludf.DUMMYFUNCTION("""COMPUTED_VALUE"""),63.29)</f>
        <v>63.29</v>
      </c>
    </row>
    <row r="51" ht="15.75" customHeight="1">
      <c r="B51" s="3">
        <f>IFERROR(__xludf.DUMMYFUNCTION("""COMPUTED_VALUE"""),38345.645833333336)</f>
        <v>38345.64583</v>
      </c>
      <c r="C51" s="2">
        <f>IFERROR(__xludf.DUMMYFUNCTION("""COMPUTED_VALUE"""),64.15)</f>
        <v>64.15</v>
      </c>
    </row>
    <row r="52" ht="15.75" customHeight="1">
      <c r="B52" s="3">
        <f>IFERROR(__xludf.DUMMYFUNCTION("""COMPUTED_VALUE"""),38352.645833333336)</f>
        <v>38352.64583</v>
      </c>
      <c r="C52" s="2">
        <f>IFERROR(__xludf.DUMMYFUNCTION("""COMPUTED_VALUE"""),63.41)</f>
        <v>63.41</v>
      </c>
    </row>
    <row r="53" ht="15.75" customHeight="1"/>
    <row r="54" ht="15.75" customHeight="1"/>
    <row r="55" ht="15.75" customHeight="1"/>
    <row r="56" ht="15.75" customHeight="1">
      <c r="B56" s="2" t="str">
        <f>IFERROR(__xludf.DUMMYFUNCTION("GOOGLEFINANCE(""NSE:ONGC"", ""high"",DATE(2005,1,1),DATE(2006,1,1),""weekly"")"),"Date")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IFERROR(__xludf.DUMMYFUNCTION("""COMPUTED_VALUE"""),38359.645833333336)</f>
        <v>38359.64583</v>
      </c>
      <c r="C57" s="2">
        <f>IFERROR(__xludf.DUMMYFUNCTION("""COMPUTED_VALUE"""),62.07)</f>
        <v>62.07</v>
      </c>
    </row>
    <row r="58" ht="15.75" customHeight="1">
      <c r="B58" s="3">
        <f>IFERROR(__xludf.DUMMYFUNCTION("""COMPUTED_VALUE"""),38366.645833333336)</f>
        <v>38366.64583</v>
      </c>
      <c r="C58" s="2">
        <f>IFERROR(__xludf.DUMMYFUNCTION("""COMPUTED_VALUE"""),59.62)</f>
        <v>59.62</v>
      </c>
    </row>
    <row r="59" ht="15.75" customHeight="1">
      <c r="B59" s="3">
        <f>IFERROR(__xludf.DUMMYFUNCTION("""COMPUTED_VALUE"""),38372.645833333336)</f>
        <v>38372.64583</v>
      </c>
      <c r="C59" s="2">
        <f>IFERROR(__xludf.DUMMYFUNCTION("""COMPUTED_VALUE"""),59.41)</f>
        <v>59.41</v>
      </c>
    </row>
    <row r="60" ht="15.75" customHeight="1">
      <c r="B60" s="3">
        <f>IFERROR(__xludf.DUMMYFUNCTION("""COMPUTED_VALUE"""),38380.645833333336)</f>
        <v>38380.64583</v>
      </c>
      <c r="C60" s="2">
        <f>IFERROR(__xludf.DUMMYFUNCTION("""COMPUTED_VALUE"""),59.48)</f>
        <v>59.48</v>
      </c>
    </row>
    <row r="61" ht="15.75" customHeight="1">
      <c r="B61" s="3">
        <f>IFERROR(__xludf.DUMMYFUNCTION("""COMPUTED_VALUE"""),38387.645833333336)</f>
        <v>38387.64583</v>
      </c>
      <c r="C61" s="2">
        <f>IFERROR(__xludf.DUMMYFUNCTION("""COMPUTED_VALUE"""),62.22)</f>
        <v>62.22</v>
      </c>
    </row>
    <row r="62" ht="15.75" customHeight="1">
      <c r="B62" s="3">
        <f>IFERROR(__xludf.DUMMYFUNCTION("""COMPUTED_VALUE"""),38394.645833333336)</f>
        <v>38394.64583</v>
      </c>
      <c r="C62" s="2">
        <f>IFERROR(__xludf.DUMMYFUNCTION("""COMPUTED_VALUE"""),61.84)</f>
        <v>61.84</v>
      </c>
    </row>
    <row r="63" ht="15.75" customHeight="1">
      <c r="B63" s="3">
        <f>IFERROR(__xludf.DUMMYFUNCTION("""COMPUTED_VALUE"""),38401.645833333336)</f>
        <v>38401.64583</v>
      </c>
      <c r="C63" s="2">
        <f>IFERROR(__xludf.DUMMYFUNCTION("""COMPUTED_VALUE"""),61.72)</f>
        <v>61.72</v>
      </c>
    </row>
    <row r="64" ht="15.75" customHeight="1">
      <c r="B64" s="3">
        <f>IFERROR(__xludf.DUMMYFUNCTION("""COMPUTED_VALUE"""),38408.645833333336)</f>
        <v>38408.64583</v>
      </c>
      <c r="C64" s="2">
        <f>IFERROR(__xludf.DUMMYFUNCTION("""COMPUTED_VALUE"""),62.79)</f>
        <v>62.79</v>
      </c>
    </row>
    <row r="65" ht="15.75" customHeight="1">
      <c r="B65" s="3">
        <f>IFERROR(__xludf.DUMMYFUNCTION("""COMPUTED_VALUE"""),38415.645833333336)</f>
        <v>38415.64583</v>
      </c>
      <c r="C65" s="2">
        <f>IFERROR(__xludf.DUMMYFUNCTION("""COMPUTED_VALUE"""),66.96)</f>
        <v>66.96</v>
      </c>
    </row>
    <row r="66" ht="15.75" customHeight="1">
      <c r="B66" s="3">
        <f>IFERROR(__xludf.DUMMYFUNCTION("""COMPUTED_VALUE"""),38422.645833333336)</f>
        <v>38422.64583</v>
      </c>
      <c r="C66" s="2">
        <f>IFERROR(__xludf.DUMMYFUNCTION("""COMPUTED_VALUE"""),69.63)</f>
        <v>69.63</v>
      </c>
    </row>
    <row r="67" ht="15.75" customHeight="1">
      <c r="B67" s="3">
        <f>IFERROR(__xludf.DUMMYFUNCTION("""COMPUTED_VALUE"""),38429.645833333336)</f>
        <v>38429.64583</v>
      </c>
      <c r="C67" s="2">
        <f>IFERROR(__xludf.DUMMYFUNCTION("""COMPUTED_VALUE"""),74.07)</f>
        <v>74.07</v>
      </c>
    </row>
    <row r="68" ht="15.75" customHeight="1">
      <c r="B68" s="3">
        <f>IFERROR(__xludf.DUMMYFUNCTION("""COMPUTED_VALUE"""),38435.645833333336)</f>
        <v>38435.64583</v>
      </c>
      <c r="C68" s="2">
        <f>IFERROR(__xludf.DUMMYFUNCTION("""COMPUTED_VALUE"""),68.14)</f>
        <v>68.14</v>
      </c>
    </row>
    <row r="69" ht="15.75" customHeight="1">
      <c r="B69" s="3">
        <f>IFERROR(__xludf.DUMMYFUNCTION("""COMPUTED_VALUE"""),38443.645833333336)</f>
        <v>38443.64583</v>
      </c>
      <c r="C69" s="2">
        <f>IFERROR(__xludf.DUMMYFUNCTION("""COMPUTED_VALUE"""),66.61)</f>
        <v>66.61</v>
      </c>
    </row>
    <row r="70" ht="15.75" customHeight="1">
      <c r="B70" s="3">
        <f>IFERROR(__xludf.DUMMYFUNCTION("""COMPUTED_VALUE"""),38450.645833333336)</f>
        <v>38450.64583</v>
      </c>
      <c r="C70" s="2">
        <f>IFERROR(__xludf.DUMMYFUNCTION("""COMPUTED_VALUE"""),68.36)</f>
        <v>68.36</v>
      </c>
    </row>
    <row r="71" ht="15.75" customHeight="1">
      <c r="B71" s="3">
        <f>IFERROR(__xludf.DUMMYFUNCTION("""COMPUTED_VALUE"""),38457.645833333336)</f>
        <v>38457.64583</v>
      </c>
      <c r="C71" s="2">
        <f>IFERROR(__xludf.DUMMYFUNCTION("""COMPUTED_VALUE"""),66.06)</f>
        <v>66.06</v>
      </c>
    </row>
    <row r="72" ht="15.75" customHeight="1">
      <c r="B72" s="3">
        <f>IFERROR(__xludf.DUMMYFUNCTION("""COMPUTED_VALUE"""),38464.645833333336)</f>
        <v>38464.64583</v>
      </c>
      <c r="C72" s="2">
        <f>IFERROR(__xludf.DUMMYFUNCTION("""COMPUTED_VALUE"""),69.48)</f>
        <v>69.48</v>
      </c>
    </row>
    <row r="73" ht="15.75" customHeight="1">
      <c r="B73" s="3">
        <f>IFERROR(__xludf.DUMMYFUNCTION("""COMPUTED_VALUE"""),38471.645833333336)</f>
        <v>38471.64583</v>
      </c>
      <c r="C73" s="2">
        <f>IFERROR(__xludf.DUMMYFUNCTION("""COMPUTED_VALUE"""),64.3)</f>
        <v>64.3</v>
      </c>
    </row>
    <row r="74" ht="15.75" customHeight="1">
      <c r="B74" s="3">
        <f>IFERROR(__xludf.DUMMYFUNCTION("""COMPUTED_VALUE"""),38478.645833333336)</f>
        <v>38478.64583</v>
      </c>
      <c r="C74" s="2">
        <f>IFERROR(__xludf.DUMMYFUNCTION("""COMPUTED_VALUE"""),64.3)</f>
        <v>64.3</v>
      </c>
    </row>
    <row r="75" ht="15.75" customHeight="1">
      <c r="B75" s="3">
        <f>IFERROR(__xludf.DUMMYFUNCTION("""COMPUTED_VALUE"""),38485.645833333336)</f>
        <v>38485.64583</v>
      </c>
      <c r="C75" s="2">
        <f>IFERROR(__xludf.DUMMYFUNCTION("""COMPUTED_VALUE"""),66.5)</f>
        <v>66.5</v>
      </c>
    </row>
    <row r="76" ht="15.75" customHeight="1">
      <c r="B76" s="3">
        <f>IFERROR(__xludf.DUMMYFUNCTION("""COMPUTED_VALUE"""),38492.645833333336)</f>
        <v>38492.64583</v>
      </c>
      <c r="C76" s="2">
        <f>IFERROR(__xludf.DUMMYFUNCTION("""COMPUTED_VALUE"""),66.3)</f>
        <v>66.3</v>
      </c>
    </row>
    <row r="77" ht="15.75" customHeight="1">
      <c r="B77" s="3">
        <f>IFERROR(__xludf.DUMMYFUNCTION("""COMPUTED_VALUE"""),38499.645833333336)</f>
        <v>38499.64583</v>
      </c>
      <c r="C77" s="2">
        <f>IFERROR(__xludf.DUMMYFUNCTION("""COMPUTED_VALUE"""),68.84)</f>
        <v>68.84</v>
      </c>
    </row>
    <row r="78" ht="15.75" customHeight="1">
      <c r="B78" s="3">
        <f>IFERROR(__xludf.DUMMYFUNCTION("""COMPUTED_VALUE"""),38513.645833333336)</f>
        <v>38513.64583</v>
      </c>
      <c r="C78" s="2">
        <f>IFERROR(__xludf.DUMMYFUNCTION("""COMPUTED_VALUE"""),74.07)</f>
        <v>74.07</v>
      </c>
    </row>
    <row r="79" ht="15.75" customHeight="1">
      <c r="B79" s="3">
        <f>IFERROR(__xludf.DUMMYFUNCTION("""COMPUTED_VALUE"""),38520.645833333336)</f>
        <v>38520.64583</v>
      </c>
      <c r="C79" s="2">
        <f>IFERROR(__xludf.DUMMYFUNCTION("""COMPUTED_VALUE"""),69.56)</f>
        <v>69.56</v>
      </c>
    </row>
    <row r="80" ht="15.75" customHeight="1">
      <c r="B80" s="3">
        <f>IFERROR(__xludf.DUMMYFUNCTION("""COMPUTED_VALUE"""),38527.645833333336)</f>
        <v>38527.64583</v>
      </c>
      <c r="C80" s="2">
        <f>IFERROR(__xludf.DUMMYFUNCTION("""COMPUTED_VALUE"""),72.52)</f>
        <v>72.52</v>
      </c>
    </row>
    <row r="81" ht="15.75" customHeight="1">
      <c r="B81" s="3">
        <f>IFERROR(__xludf.DUMMYFUNCTION("""COMPUTED_VALUE"""),38534.645833333336)</f>
        <v>38534.64583</v>
      </c>
      <c r="C81" s="2">
        <f>IFERROR(__xludf.DUMMYFUNCTION("""COMPUTED_VALUE"""),76.58)</f>
        <v>76.58</v>
      </c>
    </row>
    <row r="82" ht="15.75" customHeight="1">
      <c r="B82" s="3">
        <f>IFERROR(__xludf.DUMMYFUNCTION("""COMPUTED_VALUE"""),38541.645833333336)</f>
        <v>38541.64583</v>
      </c>
      <c r="C82" s="2">
        <f>IFERROR(__xludf.DUMMYFUNCTION("""COMPUTED_VALUE"""),74.03)</f>
        <v>74.03</v>
      </c>
    </row>
    <row r="83" ht="15.75" customHeight="1">
      <c r="B83" s="3">
        <f>IFERROR(__xludf.DUMMYFUNCTION("""COMPUTED_VALUE"""),38548.645833333336)</f>
        <v>38548.64583</v>
      </c>
      <c r="C83" s="2">
        <f>IFERROR(__xludf.DUMMYFUNCTION("""COMPUTED_VALUE"""),72.67)</f>
        <v>72.67</v>
      </c>
    </row>
    <row r="84" ht="15.75" customHeight="1">
      <c r="B84" s="3">
        <f>IFERROR(__xludf.DUMMYFUNCTION("""COMPUTED_VALUE"""),38555.645833333336)</f>
        <v>38555.64583</v>
      </c>
      <c r="C84" s="2">
        <f>IFERROR(__xludf.DUMMYFUNCTION("""COMPUTED_VALUE"""),69.78)</f>
        <v>69.78</v>
      </c>
    </row>
    <row r="85" ht="15.75" customHeight="1">
      <c r="B85" s="3">
        <f>IFERROR(__xludf.DUMMYFUNCTION("""COMPUTED_VALUE"""),38562.645833333336)</f>
        <v>38562.64583</v>
      </c>
      <c r="C85" s="2">
        <f>IFERROR(__xludf.DUMMYFUNCTION("""COMPUTED_VALUE"""),72.22)</f>
        <v>72.22</v>
      </c>
    </row>
    <row r="86" ht="15.75" customHeight="1">
      <c r="B86" s="3">
        <f>IFERROR(__xludf.DUMMYFUNCTION("""COMPUTED_VALUE"""),38569.645833333336)</f>
        <v>38569.64583</v>
      </c>
      <c r="C86" s="2">
        <f>IFERROR(__xludf.DUMMYFUNCTION("""COMPUTED_VALUE"""),72.29)</f>
        <v>72.29</v>
      </c>
    </row>
    <row r="87" ht="15.75" customHeight="1">
      <c r="B87" s="3">
        <f>IFERROR(__xludf.DUMMYFUNCTION("""COMPUTED_VALUE"""),38576.645833333336)</f>
        <v>38576.64583</v>
      </c>
      <c r="C87" s="2">
        <f>IFERROR(__xludf.DUMMYFUNCTION("""COMPUTED_VALUE"""),71.69)</f>
        <v>71.69</v>
      </c>
    </row>
    <row r="88" ht="15.75" customHeight="1">
      <c r="B88" s="3">
        <f>IFERROR(__xludf.DUMMYFUNCTION("""COMPUTED_VALUE"""),38583.645833333336)</f>
        <v>38583.64583</v>
      </c>
      <c r="C88" s="2">
        <f>IFERROR(__xludf.DUMMYFUNCTION("""COMPUTED_VALUE"""),75.37)</f>
        <v>75.37</v>
      </c>
    </row>
    <row r="89" ht="15.75" customHeight="1">
      <c r="B89" s="3">
        <f>IFERROR(__xludf.DUMMYFUNCTION("""COMPUTED_VALUE"""),38590.645833333336)</f>
        <v>38590.64583</v>
      </c>
      <c r="C89" s="2">
        <f>IFERROR(__xludf.DUMMYFUNCTION("""COMPUTED_VALUE"""),75.14)</f>
        <v>75.14</v>
      </c>
    </row>
    <row r="90" ht="15.75" customHeight="1">
      <c r="B90" s="3">
        <f>IFERROR(__xludf.DUMMYFUNCTION("""COMPUTED_VALUE"""),38597.645833333336)</f>
        <v>38597.64583</v>
      </c>
      <c r="C90" s="2">
        <f>IFERROR(__xludf.DUMMYFUNCTION("""COMPUTED_VALUE"""),73.98)</f>
        <v>73.98</v>
      </c>
    </row>
    <row r="91" ht="15.75" customHeight="1">
      <c r="B91" s="3">
        <f>IFERROR(__xludf.DUMMYFUNCTION("""COMPUTED_VALUE"""),38604.645833333336)</f>
        <v>38604.64583</v>
      </c>
      <c r="C91" s="2">
        <f>IFERROR(__xludf.DUMMYFUNCTION("""COMPUTED_VALUE"""),74.07)</f>
        <v>74.07</v>
      </c>
    </row>
    <row r="92" ht="15.75" customHeight="1">
      <c r="B92" s="3">
        <f>IFERROR(__xludf.DUMMYFUNCTION("""COMPUTED_VALUE"""),38611.645833333336)</f>
        <v>38611.64583</v>
      </c>
      <c r="C92" s="2">
        <f>IFERROR(__xludf.DUMMYFUNCTION("""COMPUTED_VALUE"""),76.74)</f>
        <v>76.74</v>
      </c>
    </row>
    <row r="93" ht="15.75" customHeight="1">
      <c r="B93" s="3">
        <f>IFERROR(__xludf.DUMMYFUNCTION("""COMPUTED_VALUE"""),38618.645833333336)</f>
        <v>38618.64583</v>
      </c>
      <c r="C93" s="2">
        <f>IFERROR(__xludf.DUMMYFUNCTION("""COMPUTED_VALUE"""),80.15)</f>
        <v>80.15</v>
      </c>
    </row>
    <row r="94" ht="15.75" customHeight="1">
      <c r="B94" s="3">
        <f>IFERROR(__xludf.DUMMYFUNCTION("""COMPUTED_VALUE"""),38625.645833333336)</f>
        <v>38625.64583</v>
      </c>
      <c r="C94" s="2">
        <f>IFERROR(__xludf.DUMMYFUNCTION("""COMPUTED_VALUE"""),81.48)</f>
        <v>81.48</v>
      </c>
    </row>
    <row r="95" ht="15.75" customHeight="1">
      <c r="B95" s="3">
        <f>IFERROR(__xludf.DUMMYFUNCTION("""COMPUTED_VALUE"""),38632.645833333336)</f>
        <v>38632.64583</v>
      </c>
      <c r="C95" s="2">
        <f>IFERROR(__xludf.DUMMYFUNCTION("""COMPUTED_VALUE"""),80.09)</f>
        <v>80.09</v>
      </c>
    </row>
    <row r="96" ht="15.75" customHeight="1">
      <c r="B96" s="3">
        <f>IFERROR(__xludf.DUMMYFUNCTION("""COMPUTED_VALUE"""),38639.645833333336)</f>
        <v>38639.64583</v>
      </c>
      <c r="C96" s="2">
        <f>IFERROR(__xludf.DUMMYFUNCTION("""COMPUTED_VALUE"""),78.67)</f>
        <v>78.67</v>
      </c>
    </row>
    <row r="97" ht="15.75" customHeight="1">
      <c r="B97" s="3">
        <f>IFERROR(__xludf.DUMMYFUNCTION("""COMPUTED_VALUE"""),38646.645833333336)</f>
        <v>38646.64583</v>
      </c>
      <c r="C97" s="2">
        <f>IFERROR(__xludf.DUMMYFUNCTION("""COMPUTED_VALUE"""),74.37)</f>
        <v>74.37</v>
      </c>
    </row>
    <row r="98" ht="15.75" customHeight="1">
      <c r="B98" s="3">
        <f>IFERROR(__xludf.DUMMYFUNCTION("""COMPUTED_VALUE"""),38653.645833333336)</f>
        <v>38653.64583</v>
      </c>
      <c r="C98" s="2">
        <f>IFERROR(__xludf.DUMMYFUNCTION("""COMPUTED_VALUE"""),71.26)</f>
        <v>71.26</v>
      </c>
    </row>
    <row r="99" ht="15.75" customHeight="1">
      <c r="B99" s="3">
        <f>IFERROR(__xludf.DUMMYFUNCTION("""COMPUTED_VALUE"""),38658.645833333336)</f>
        <v>38658.64583</v>
      </c>
      <c r="C99" s="2">
        <f>IFERROR(__xludf.DUMMYFUNCTION("""COMPUTED_VALUE"""),71.48)</f>
        <v>71.48</v>
      </c>
    </row>
    <row r="100" ht="15.75" customHeight="1">
      <c r="B100" s="3">
        <f>IFERROR(__xludf.DUMMYFUNCTION("""COMPUTED_VALUE"""),38667.645833333336)</f>
        <v>38667.64583</v>
      </c>
      <c r="C100" s="2">
        <f>IFERROR(__xludf.DUMMYFUNCTION("""COMPUTED_VALUE"""),73.3)</f>
        <v>73.3</v>
      </c>
    </row>
    <row r="101" ht="15.75" customHeight="1">
      <c r="B101" s="3">
        <f>IFERROR(__xludf.DUMMYFUNCTION("""COMPUTED_VALUE"""),38674.645833333336)</f>
        <v>38674.64583</v>
      </c>
      <c r="C101" s="2">
        <f>IFERROR(__xludf.DUMMYFUNCTION("""COMPUTED_VALUE"""),76.07)</f>
        <v>76.07</v>
      </c>
    </row>
    <row r="102" ht="15.75" customHeight="1">
      <c r="B102" s="3">
        <f>IFERROR(__xludf.DUMMYFUNCTION("""COMPUTED_VALUE"""),38688.645833333336)</f>
        <v>38688.64583</v>
      </c>
      <c r="C102" s="2">
        <f>IFERROR(__xludf.DUMMYFUNCTION("""COMPUTED_VALUE"""),80.37)</f>
        <v>80.37</v>
      </c>
    </row>
    <row r="103" ht="15.75" customHeight="1">
      <c r="B103" s="3">
        <f>IFERROR(__xludf.DUMMYFUNCTION("""COMPUTED_VALUE"""),38695.645833333336)</f>
        <v>38695.64583</v>
      </c>
      <c r="C103" s="2">
        <f>IFERROR(__xludf.DUMMYFUNCTION("""COMPUTED_VALUE"""),84.21)</f>
        <v>84.21</v>
      </c>
    </row>
    <row r="104" ht="15.75" customHeight="1">
      <c r="B104" s="3">
        <f>IFERROR(__xludf.DUMMYFUNCTION("""COMPUTED_VALUE"""),38702.645833333336)</f>
        <v>38702.64583</v>
      </c>
      <c r="C104" s="2">
        <f>IFERROR(__xludf.DUMMYFUNCTION("""COMPUTED_VALUE"""),88.14)</f>
        <v>88.14</v>
      </c>
    </row>
    <row r="105" ht="15.75" customHeight="1">
      <c r="B105" s="3">
        <f>IFERROR(__xludf.DUMMYFUNCTION("""COMPUTED_VALUE"""),38709.645833333336)</f>
        <v>38709.64583</v>
      </c>
      <c r="C105" s="2">
        <f>IFERROR(__xludf.DUMMYFUNCTION("""COMPUTED_VALUE"""),89.24)</f>
        <v>89.24</v>
      </c>
    </row>
    <row r="106" ht="15.75" customHeight="1">
      <c r="B106" s="3">
        <f>IFERROR(__xludf.DUMMYFUNCTION("""COMPUTED_VALUE"""),38716.645833333336)</f>
        <v>38716.64583</v>
      </c>
      <c r="C106" s="2">
        <f>IFERROR(__xludf.DUMMYFUNCTION("""COMPUTED_VALUE"""),90.37)</f>
        <v>90.37</v>
      </c>
    </row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IFERROR(__xludf.DUMMYFUNCTION("GOOGLEFINANCE(""NSE:ONGC"", ""high"",DATE(2006,1,1),DATE(2007,1,1),""weekly"")"),"Date")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IFERROR(__xludf.DUMMYFUNCTION("""COMPUTED_VALUE"""),38723.645833333336)</f>
        <v>38723.64583</v>
      </c>
      <c r="C112" s="2">
        <f>IFERROR(__xludf.DUMMYFUNCTION("""COMPUTED_VALUE"""),90.06)</f>
        <v>90.06</v>
      </c>
    </row>
    <row r="113" ht="15.75" customHeight="1">
      <c r="B113" s="3">
        <f>IFERROR(__xludf.DUMMYFUNCTION("""COMPUTED_VALUE"""),38730.645833333336)</f>
        <v>38730.64583</v>
      </c>
      <c r="C113" s="2">
        <f>IFERROR(__xludf.DUMMYFUNCTION("""COMPUTED_VALUE"""),91.11)</f>
        <v>91.11</v>
      </c>
    </row>
    <row r="114" ht="15.75" customHeight="1">
      <c r="B114" s="3">
        <f>IFERROR(__xludf.DUMMYFUNCTION("""COMPUTED_VALUE"""),38737.645833333336)</f>
        <v>38737.64583</v>
      </c>
      <c r="C114" s="2">
        <f>IFERROR(__xludf.DUMMYFUNCTION("""COMPUTED_VALUE"""),94.52)</f>
        <v>94.52</v>
      </c>
    </row>
    <row r="115" ht="15.75" customHeight="1">
      <c r="B115" s="3">
        <f>IFERROR(__xludf.DUMMYFUNCTION("""COMPUTED_VALUE"""),38744.645833333336)</f>
        <v>38744.64583</v>
      </c>
      <c r="C115" s="2">
        <f>IFERROR(__xludf.DUMMYFUNCTION("""COMPUTED_VALUE"""),96.15)</f>
        <v>96.15</v>
      </c>
    </row>
    <row r="116" ht="15.75" customHeight="1">
      <c r="B116" s="3">
        <f>IFERROR(__xludf.DUMMYFUNCTION("""COMPUTED_VALUE"""),38751.645833333336)</f>
        <v>38751.64583</v>
      </c>
      <c r="C116" s="2">
        <f>IFERROR(__xludf.DUMMYFUNCTION("""COMPUTED_VALUE"""),95.19)</f>
        <v>95.19</v>
      </c>
    </row>
    <row r="117" ht="15.75" customHeight="1">
      <c r="B117" s="3">
        <f>IFERROR(__xludf.DUMMYFUNCTION("""COMPUTED_VALUE"""),38758.645833333336)</f>
        <v>38758.64583</v>
      </c>
      <c r="C117" s="2">
        <f>IFERROR(__xludf.DUMMYFUNCTION("""COMPUTED_VALUE"""),89.3)</f>
        <v>89.3</v>
      </c>
    </row>
    <row r="118" ht="15.75" customHeight="1">
      <c r="B118" s="3">
        <f>IFERROR(__xludf.DUMMYFUNCTION("""COMPUTED_VALUE"""),38765.645833333336)</f>
        <v>38765.64583</v>
      </c>
      <c r="C118" s="2">
        <f>IFERROR(__xludf.DUMMYFUNCTION("""COMPUTED_VALUE"""),88.67)</f>
        <v>88.67</v>
      </c>
    </row>
    <row r="119" ht="15.75" customHeight="1">
      <c r="B119" s="3">
        <f>IFERROR(__xludf.DUMMYFUNCTION("""COMPUTED_VALUE"""),38772.645833333336)</f>
        <v>38772.64583</v>
      </c>
      <c r="C119" s="2">
        <f>IFERROR(__xludf.DUMMYFUNCTION("""COMPUTED_VALUE"""),89.26)</f>
        <v>89.26</v>
      </c>
    </row>
    <row r="120" ht="15.75" customHeight="1">
      <c r="B120" s="3">
        <f>IFERROR(__xludf.DUMMYFUNCTION("""COMPUTED_VALUE"""),38779.645833333336)</f>
        <v>38779.64583</v>
      </c>
      <c r="C120" s="2">
        <f>IFERROR(__xludf.DUMMYFUNCTION("""COMPUTED_VALUE"""),87.85)</f>
        <v>87.85</v>
      </c>
    </row>
    <row r="121" ht="15.75" customHeight="1">
      <c r="B121" s="3">
        <f>IFERROR(__xludf.DUMMYFUNCTION("""COMPUTED_VALUE"""),38786.645833333336)</f>
        <v>38786.64583</v>
      </c>
      <c r="C121" s="2">
        <f>IFERROR(__xludf.DUMMYFUNCTION("""COMPUTED_VALUE"""),87.41)</f>
        <v>87.41</v>
      </c>
    </row>
    <row r="122" ht="15.75" customHeight="1">
      <c r="B122" s="3">
        <f>IFERROR(__xludf.DUMMYFUNCTION("""COMPUTED_VALUE"""),38793.645833333336)</f>
        <v>38793.64583</v>
      </c>
      <c r="C122" s="2">
        <f>IFERROR(__xludf.DUMMYFUNCTION("""COMPUTED_VALUE"""),91.47)</f>
        <v>91.47</v>
      </c>
    </row>
    <row r="123" ht="15.75" customHeight="1">
      <c r="B123" s="3">
        <f>IFERROR(__xludf.DUMMYFUNCTION("""COMPUTED_VALUE"""),38800.645833333336)</f>
        <v>38800.64583</v>
      </c>
      <c r="C123" s="2">
        <f>IFERROR(__xludf.DUMMYFUNCTION("""COMPUTED_VALUE"""),91.7)</f>
        <v>91.7</v>
      </c>
    </row>
    <row r="124" ht="15.75" customHeight="1">
      <c r="B124" s="3">
        <f>IFERROR(__xludf.DUMMYFUNCTION("""COMPUTED_VALUE"""),38807.645833333336)</f>
        <v>38807.64583</v>
      </c>
      <c r="C124" s="2">
        <f>IFERROR(__xludf.DUMMYFUNCTION("""COMPUTED_VALUE"""),100.37)</f>
        <v>100.37</v>
      </c>
    </row>
    <row r="125" ht="15.75" customHeight="1">
      <c r="B125" s="3">
        <f>IFERROR(__xludf.DUMMYFUNCTION("""COMPUTED_VALUE"""),38814.645833333336)</f>
        <v>38814.64583</v>
      </c>
      <c r="C125" s="2">
        <f>IFERROR(__xludf.DUMMYFUNCTION("""COMPUTED_VALUE"""),98.52)</f>
        <v>98.52</v>
      </c>
    </row>
    <row r="126" ht="15.75" customHeight="1">
      <c r="B126" s="3">
        <f>IFERROR(__xludf.DUMMYFUNCTION("""COMPUTED_VALUE"""),38820.645833333336)</f>
        <v>38820.64583</v>
      </c>
      <c r="C126" s="2">
        <f>IFERROR(__xludf.DUMMYFUNCTION("""COMPUTED_VALUE"""),97.41)</f>
        <v>97.41</v>
      </c>
    </row>
    <row r="127" ht="15.75" customHeight="1">
      <c r="B127" s="3">
        <f>IFERROR(__xludf.DUMMYFUNCTION("""COMPUTED_VALUE"""),38828.645833333336)</f>
        <v>38828.64583</v>
      </c>
      <c r="C127" s="2">
        <f>IFERROR(__xludf.DUMMYFUNCTION("""COMPUTED_VALUE"""),100.74)</f>
        <v>100.74</v>
      </c>
    </row>
    <row r="128" ht="15.75" customHeight="1">
      <c r="B128" s="3">
        <f>IFERROR(__xludf.DUMMYFUNCTION("""COMPUTED_VALUE"""),38842.645833333336)</f>
        <v>38842.64583</v>
      </c>
      <c r="C128" s="2">
        <f>IFERROR(__xludf.DUMMYFUNCTION("""COMPUTED_VALUE"""),101.85)</f>
        <v>101.85</v>
      </c>
    </row>
    <row r="129" ht="15.75" customHeight="1">
      <c r="B129" s="3">
        <f>IFERROR(__xludf.DUMMYFUNCTION("""COMPUTED_VALUE"""),38849.645833333336)</f>
        <v>38849.64583</v>
      </c>
      <c r="C129" s="2">
        <f>IFERROR(__xludf.DUMMYFUNCTION("""COMPUTED_VALUE"""),112.14)</f>
        <v>112.14</v>
      </c>
    </row>
    <row r="130" ht="15.75" customHeight="1">
      <c r="B130" s="3">
        <f>IFERROR(__xludf.DUMMYFUNCTION("""COMPUTED_VALUE"""),38856.645833333336)</f>
        <v>38856.64583</v>
      </c>
      <c r="C130" s="2">
        <f>IFERROR(__xludf.DUMMYFUNCTION("""COMPUTED_VALUE"""),107.77)</f>
        <v>107.77</v>
      </c>
    </row>
    <row r="131" ht="15.75" customHeight="1">
      <c r="B131" s="3">
        <f>IFERROR(__xludf.DUMMYFUNCTION("""COMPUTED_VALUE"""),38863.645833333336)</f>
        <v>38863.64583</v>
      </c>
      <c r="C131" s="2">
        <f>IFERROR(__xludf.DUMMYFUNCTION("""COMPUTED_VALUE"""),98.0)</f>
        <v>98</v>
      </c>
    </row>
    <row r="132" ht="15.75" customHeight="1">
      <c r="B132" s="3">
        <f>IFERROR(__xludf.DUMMYFUNCTION("""COMPUTED_VALUE"""),38870.645833333336)</f>
        <v>38870.64583</v>
      </c>
      <c r="C132" s="2">
        <f>IFERROR(__xludf.DUMMYFUNCTION("""COMPUTED_VALUE"""),90.94)</f>
        <v>90.94</v>
      </c>
    </row>
    <row r="133" ht="15.75" customHeight="1">
      <c r="B133" s="3">
        <f>IFERROR(__xludf.DUMMYFUNCTION("""COMPUTED_VALUE"""),38877.645833333336)</f>
        <v>38877.64583</v>
      </c>
      <c r="C133" s="2">
        <f>IFERROR(__xludf.DUMMYFUNCTION("""COMPUTED_VALUE"""),85.76)</f>
        <v>85.76</v>
      </c>
    </row>
    <row r="134" ht="15.75" customHeight="1">
      <c r="B134" s="3">
        <f>IFERROR(__xludf.DUMMYFUNCTION("""COMPUTED_VALUE"""),38884.645833333336)</f>
        <v>38884.64583</v>
      </c>
      <c r="C134" s="2">
        <f>IFERROR(__xludf.DUMMYFUNCTION("""COMPUTED_VALUE"""),78.74)</f>
        <v>78.74</v>
      </c>
    </row>
    <row r="135" ht="15.75" customHeight="1">
      <c r="B135" s="3">
        <f>IFERROR(__xludf.DUMMYFUNCTION("""COMPUTED_VALUE"""),38891.645833333336)</f>
        <v>38891.64583</v>
      </c>
      <c r="C135" s="2">
        <f>IFERROR(__xludf.DUMMYFUNCTION("""COMPUTED_VALUE"""),83.33)</f>
        <v>83.33</v>
      </c>
    </row>
    <row r="136" ht="15.75" customHeight="1">
      <c r="B136" s="3">
        <f>IFERROR(__xludf.DUMMYFUNCTION("""COMPUTED_VALUE"""),38898.645833333336)</f>
        <v>38898.64583</v>
      </c>
      <c r="C136" s="2">
        <f>IFERROR(__xludf.DUMMYFUNCTION("""COMPUTED_VALUE"""),84.25)</f>
        <v>84.25</v>
      </c>
    </row>
    <row r="137" ht="15.75" customHeight="1">
      <c r="B137" s="3">
        <f>IFERROR(__xludf.DUMMYFUNCTION("""COMPUTED_VALUE"""),38905.645833333336)</f>
        <v>38905.64583</v>
      </c>
      <c r="C137" s="2">
        <f>IFERROR(__xludf.DUMMYFUNCTION("""COMPUTED_VALUE"""),84.15)</f>
        <v>84.15</v>
      </c>
    </row>
    <row r="138" ht="15.75" customHeight="1">
      <c r="B138" s="3">
        <f>IFERROR(__xludf.DUMMYFUNCTION("""COMPUTED_VALUE"""),38912.645833333336)</f>
        <v>38912.64583</v>
      </c>
      <c r="C138" s="2">
        <f>IFERROR(__xludf.DUMMYFUNCTION("""COMPUTED_VALUE"""),85.41)</f>
        <v>85.41</v>
      </c>
    </row>
    <row r="139" ht="15.75" customHeight="1">
      <c r="B139" s="3">
        <f>IFERROR(__xludf.DUMMYFUNCTION("""COMPUTED_VALUE"""),38919.645833333336)</f>
        <v>38919.64583</v>
      </c>
      <c r="C139" s="2">
        <f>IFERROR(__xludf.DUMMYFUNCTION("""COMPUTED_VALUE"""),81.98)</f>
        <v>81.98</v>
      </c>
    </row>
    <row r="140" ht="15.75" customHeight="1">
      <c r="B140" s="3">
        <f>IFERROR(__xludf.DUMMYFUNCTION("""COMPUTED_VALUE"""),38926.645833333336)</f>
        <v>38926.64583</v>
      </c>
      <c r="C140" s="2">
        <f>IFERROR(__xludf.DUMMYFUNCTION("""COMPUTED_VALUE"""),88.89)</f>
        <v>88.89</v>
      </c>
    </row>
    <row r="141" ht="15.75" customHeight="1">
      <c r="B141" s="3">
        <f>IFERROR(__xludf.DUMMYFUNCTION("""COMPUTED_VALUE"""),38933.645833333336)</f>
        <v>38933.64583</v>
      </c>
      <c r="C141" s="2">
        <f>IFERROR(__xludf.DUMMYFUNCTION("""COMPUTED_VALUE"""),90.44)</f>
        <v>90.44</v>
      </c>
    </row>
    <row r="142" ht="15.75" customHeight="1">
      <c r="B142" s="3">
        <f>IFERROR(__xludf.DUMMYFUNCTION("""COMPUTED_VALUE"""),38940.645833333336)</f>
        <v>38940.64583</v>
      </c>
      <c r="C142" s="2">
        <f>IFERROR(__xludf.DUMMYFUNCTION("""COMPUTED_VALUE"""),89.78)</f>
        <v>89.78</v>
      </c>
    </row>
    <row r="143" ht="15.75" customHeight="1">
      <c r="B143" s="3">
        <f>IFERROR(__xludf.DUMMYFUNCTION("""COMPUTED_VALUE"""),38947.645833333336)</f>
        <v>38947.64583</v>
      </c>
      <c r="C143" s="2">
        <f>IFERROR(__xludf.DUMMYFUNCTION("""COMPUTED_VALUE"""),92.95)</f>
        <v>92.95</v>
      </c>
    </row>
    <row r="144" ht="15.75" customHeight="1">
      <c r="B144" s="3">
        <f>IFERROR(__xludf.DUMMYFUNCTION("""COMPUTED_VALUE"""),38954.645833333336)</f>
        <v>38954.64583</v>
      </c>
      <c r="C144" s="2">
        <f>IFERROR(__xludf.DUMMYFUNCTION("""COMPUTED_VALUE"""),92.51)</f>
        <v>92.51</v>
      </c>
    </row>
    <row r="145" ht="15.75" customHeight="1">
      <c r="B145" s="3">
        <f>IFERROR(__xludf.DUMMYFUNCTION("""COMPUTED_VALUE"""),38961.645833333336)</f>
        <v>38961.64583</v>
      </c>
      <c r="C145" s="2">
        <f>IFERROR(__xludf.DUMMYFUNCTION("""COMPUTED_VALUE"""),91.79)</f>
        <v>91.79</v>
      </c>
    </row>
    <row r="146" ht="15.75" customHeight="1">
      <c r="B146" s="3">
        <f>IFERROR(__xludf.DUMMYFUNCTION("""COMPUTED_VALUE"""),38968.645833333336)</f>
        <v>38968.64583</v>
      </c>
      <c r="C146" s="2">
        <f>IFERROR(__xludf.DUMMYFUNCTION("""COMPUTED_VALUE"""),91.48)</f>
        <v>91.48</v>
      </c>
    </row>
    <row r="147" ht="15.75" customHeight="1">
      <c r="B147" s="3">
        <f>IFERROR(__xludf.DUMMYFUNCTION("""COMPUTED_VALUE"""),38975.645833333336)</f>
        <v>38975.64583</v>
      </c>
      <c r="C147" s="2">
        <f>IFERROR(__xludf.DUMMYFUNCTION("""COMPUTED_VALUE"""),90.07)</f>
        <v>90.07</v>
      </c>
    </row>
    <row r="148" ht="15.75" customHeight="1">
      <c r="B148" s="3">
        <f>IFERROR(__xludf.DUMMYFUNCTION("""COMPUTED_VALUE"""),38982.645833333336)</f>
        <v>38982.64583</v>
      </c>
      <c r="C148" s="2">
        <f>IFERROR(__xludf.DUMMYFUNCTION("""COMPUTED_VALUE"""),88.89)</f>
        <v>88.89</v>
      </c>
    </row>
    <row r="149" ht="15.75" customHeight="1">
      <c r="B149" s="3">
        <f>IFERROR(__xludf.DUMMYFUNCTION("""COMPUTED_VALUE"""),38989.645833333336)</f>
        <v>38989.64583</v>
      </c>
      <c r="C149" s="2">
        <f>IFERROR(__xludf.DUMMYFUNCTION("""COMPUTED_VALUE"""),89.26)</f>
        <v>89.26</v>
      </c>
    </row>
    <row r="150" ht="15.75" customHeight="1">
      <c r="B150" s="3">
        <f>IFERROR(__xludf.DUMMYFUNCTION("""COMPUTED_VALUE"""),38996.645833333336)</f>
        <v>38996.64583</v>
      </c>
      <c r="C150" s="2">
        <f>IFERROR(__xludf.DUMMYFUNCTION("""COMPUTED_VALUE"""),87.04)</f>
        <v>87.04</v>
      </c>
    </row>
    <row r="151" ht="15.75" customHeight="1">
      <c r="B151" s="3">
        <f>IFERROR(__xludf.DUMMYFUNCTION("""COMPUTED_VALUE"""),39003.645833333336)</f>
        <v>39003.64583</v>
      </c>
      <c r="C151" s="2">
        <f>IFERROR(__xludf.DUMMYFUNCTION("""COMPUTED_VALUE"""),86.19)</f>
        <v>86.19</v>
      </c>
    </row>
    <row r="152" ht="15.75" customHeight="1">
      <c r="B152" s="3">
        <f>IFERROR(__xludf.DUMMYFUNCTION("""COMPUTED_VALUE"""),39017.645833333336)</f>
        <v>39017.64583</v>
      </c>
      <c r="C152" s="2">
        <f>IFERROR(__xludf.DUMMYFUNCTION("""COMPUTED_VALUE"""),133.17)</f>
        <v>133.17</v>
      </c>
    </row>
    <row r="153" ht="15.75" customHeight="1">
      <c r="B153" s="3">
        <f>IFERROR(__xludf.DUMMYFUNCTION("""COMPUTED_VALUE"""),39024.645833333336)</f>
        <v>39024.64583</v>
      </c>
      <c r="C153" s="2">
        <f>IFERROR(__xludf.DUMMYFUNCTION("""COMPUTED_VALUE"""),147.5)</f>
        <v>147.5</v>
      </c>
    </row>
    <row r="154" ht="15.75" customHeight="1">
      <c r="B154" s="3">
        <f>IFERROR(__xludf.DUMMYFUNCTION("""COMPUTED_VALUE"""),39031.645833333336)</f>
        <v>39031.64583</v>
      </c>
      <c r="C154" s="2">
        <f>IFERROR(__xludf.DUMMYFUNCTION("""COMPUTED_VALUE"""),149.17)</f>
        <v>149.17</v>
      </c>
    </row>
    <row r="155" ht="15.75" customHeight="1">
      <c r="B155" s="3">
        <f>IFERROR(__xludf.DUMMYFUNCTION("""COMPUTED_VALUE"""),39038.645833333336)</f>
        <v>39038.64583</v>
      </c>
      <c r="C155" s="2">
        <f>IFERROR(__xludf.DUMMYFUNCTION("""COMPUTED_VALUE"""),149.08)</f>
        <v>149.08</v>
      </c>
    </row>
    <row r="156" ht="15.75" customHeight="1">
      <c r="B156" s="3">
        <f>IFERROR(__xludf.DUMMYFUNCTION("""COMPUTED_VALUE"""),39045.645833333336)</f>
        <v>39045.64583</v>
      </c>
      <c r="C156" s="2">
        <f>IFERROR(__xludf.DUMMYFUNCTION("""COMPUTED_VALUE"""),144.02)</f>
        <v>144.02</v>
      </c>
    </row>
    <row r="157" ht="15.75" customHeight="1">
      <c r="B157" s="3">
        <f>IFERROR(__xludf.DUMMYFUNCTION("""COMPUTED_VALUE"""),39052.645833333336)</f>
        <v>39052.64583</v>
      </c>
      <c r="C157" s="2">
        <f>IFERROR(__xludf.DUMMYFUNCTION("""COMPUTED_VALUE"""),146.58)</f>
        <v>146.58</v>
      </c>
    </row>
    <row r="158" ht="15.75" customHeight="1">
      <c r="B158" s="3">
        <f>IFERROR(__xludf.DUMMYFUNCTION("""COMPUTED_VALUE"""),39059.645833333336)</f>
        <v>39059.64583</v>
      </c>
      <c r="C158" s="2">
        <f>IFERROR(__xludf.DUMMYFUNCTION("""COMPUTED_VALUE"""),145.0)</f>
        <v>145</v>
      </c>
    </row>
    <row r="159" ht="15.75" customHeight="1">
      <c r="B159" s="3">
        <f>IFERROR(__xludf.DUMMYFUNCTION("""COMPUTED_VALUE"""),39066.645833333336)</f>
        <v>39066.64583</v>
      </c>
      <c r="C159" s="2">
        <f>IFERROR(__xludf.DUMMYFUNCTION("""COMPUTED_VALUE"""),141.6)</f>
        <v>141.6</v>
      </c>
    </row>
    <row r="160" ht="15.75" customHeight="1">
      <c r="B160" s="3">
        <f>IFERROR(__xludf.DUMMYFUNCTION("""COMPUTED_VALUE"""),39073.645833333336)</f>
        <v>39073.64583</v>
      </c>
      <c r="C160" s="2">
        <f>IFERROR(__xludf.DUMMYFUNCTION("""COMPUTED_VALUE"""),148.17)</f>
        <v>148.17</v>
      </c>
    </row>
    <row r="161" ht="15.75" customHeight="1">
      <c r="B161" s="3">
        <f>IFERROR(__xludf.DUMMYFUNCTION("""COMPUTED_VALUE"""),39080.645833333336)</f>
        <v>39080.64583</v>
      </c>
      <c r="C161" s="2">
        <f>IFERROR(__xludf.DUMMYFUNCTION("""COMPUTED_VALUE"""),148.37)</f>
        <v>148.37</v>
      </c>
    </row>
    <row r="162" ht="15.75" customHeight="1"/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IFERROR(__xludf.DUMMYFUNCTION("GOOGLEFINANCE(""NSE:ONGC"", ""high"",DATE(2007,1,1),DATE(2008,1,1),""weekly"")"),"Date")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IFERROR(__xludf.DUMMYFUNCTION("""COMPUTED_VALUE"""),39087.645833333336)</f>
        <v>39087.64583</v>
      </c>
      <c r="C167" s="2">
        <f>IFERROR(__xludf.DUMMYFUNCTION("""COMPUTED_VALUE"""),151.33)</f>
        <v>151.33</v>
      </c>
    </row>
    <row r="168" ht="15.75" customHeight="1">
      <c r="B168" s="3">
        <f>IFERROR(__xludf.DUMMYFUNCTION("""COMPUTED_VALUE"""),39094.645833333336)</f>
        <v>39094.64583</v>
      </c>
      <c r="C168" s="2">
        <f>IFERROR(__xludf.DUMMYFUNCTION("""COMPUTED_VALUE"""),155.98)</f>
        <v>155.98</v>
      </c>
    </row>
    <row r="169" ht="15.75" customHeight="1">
      <c r="B169" s="3">
        <f>IFERROR(__xludf.DUMMYFUNCTION("""COMPUTED_VALUE"""),39101.645833333336)</f>
        <v>39101.64583</v>
      </c>
      <c r="C169" s="2">
        <f>IFERROR(__xludf.DUMMYFUNCTION("""COMPUTED_VALUE"""),156.13)</f>
        <v>156.13</v>
      </c>
    </row>
    <row r="170" ht="15.75" customHeight="1">
      <c r="B170" s="3">
        <f>IFERROR(__xludf.DUMMYFUNCTION("""COMPUTED_VALUE"""),39107.645833333336)</f>
        <v>39107.64583</v>
      </c>
      <c r="C170" s="2">
        <f>IFERROR(__xludf.DUMMYFUNCTION("""COMPUTED_VALUE"""),154.58)</f>
        <v>154.58</v>
      </c>
    </row>
    <row r="171" ht="15.75" customHeight="1">
      <c r="B171" s="3">
        <f>IFERROR(__xludf.DUMMYFUNCTION("""COMPUTED_VALUE"""),39115.645833333336)</f>
        <v>39115.64583</v>
      </c>
      <c r="C171" s="2">
        <f>IFERROR(__xludf.DUMMYFUNCTION("""COMPUTED_VALUE"""),154.83)</f>
        <v>154.83</v>
      </c>
    </row>
    <row r="172" ht="15.75" customHeight="1">
      <c r="B172" s="3">
        <f>IFERROR(__xludf.DUMMYFUNCTION("""COMPUTED_VALUE"""),39122.645833333336)</f>
        <v>39122.64583</v>
      </c>
      <c r="C172" s="2">
        <f>IFERROR(__xludf.DUMMYFUNCTION("""COMPUTED_VALUE"""),154.68)</f>
        <v>154.68</v>
      </c>
    </row>
    <row r="173" ht="15.75" customHeight="1">
      <c r="B173" s="3">
        <f>IFERROR(__xludf.DUMMYFUNCTION("""COMPUTED_VALUE"""),39128.645833333336)</f>
        <v>39128.64583</v>
      </c>
      <c r="C173" s="2">
        <f>IFERROR(__xludf.DUMMYFUNCTION("""COMPUTED_VALUE"""),153.0)</f>
        <v>153</v>
      </c>
    </row>
    <row r="174" ht="15.75" customHeight="1">
      <c r="B174" s="3">
        <f>IFERROR(__xludf.DUMMYFUNCTION("""COMPUTED_VALUE"""),39136.645833333336)</f>
        <v>39136.64583</v>
      </c>
      <c r="C174" s="2">
        <f>IFERROR(__xludf.DUMMYFUNCTION("""COMPUTED_VALUE"""),152.0)</f>
        <v>152</v>
      </c>
    </row>
    <row r="175" ht="15.75" customHeight="1">
      <c r="B175" s="3">
        <f>IFERROR(__xludf.DUMMYFUNCTION("""COMPUTED_VALUE"""),39143.645833333336)</f>
        <v>39143.64583</v>
      </c>
      <c r="C175" s="2">
        <f>IFERROR(__xludf.DUMMYFUNCTION("""COMPUTED_VALUE"""),140.67)</f>
        <v>140.67</v>
      </c>
    </row>
    <row r="176" ht="15.75" customHeight="1">
      <c r="B176" s="3">
        <f>IFERROR(__xludf.DUMMYFUNCTION("""COMPUTED_VALUE"""),39150.645833333336)</f>
        <v>39150.64583</v>
      </c>
      <c r="C176" s="2">
        <f>IFERROR(__xludf.DUMMYFUNCTION("""COMPUTED_VALUE"""),133.33)</f>
        <v>133.33</v>
      </c>
    </row>
    <row r="177" ht="15.75" customHeight="1">
      <c r="B177" s="3">
        <f>IFERROR(__xludf.DUMMYFUNCTION("""COMPUTED_VALUE"""),39157.645833333336)</f>
        <v>39157.64583</v>
      </c>
      <c r="C177" s="2">
        <f>IFERROR(__xludf.DUMMYFUNCTION("""COMPUTED_VALUE"""),135.83)</f>
        <v>135.83</v>
      </c>
    </row>
    <row r="178" ht="15.75" customHeight="1">
      <c r="B178" s="3">
        <f>IFERROR(__xludf.DUMMYFUNCTION("""COMPUTED_VALUE"""),39164.645833333336)</f>
        <v>39164.64583</v>
      </c>
      <c r="C178" s="2">
        <f>IFERROR(__xludf.DUMMYFUNCTION("""COMPUTED_VALUE"""),145.67)</f>
        <v>145.67</v>
      </c>
    </row>
    <row r="179" ht="15.75" customHeight="1">
      <c r="B179" s="3">
        <f>IFERROR(__xludf.DUMMYFUNCTION("""COMPUTED_VALUE"""),39171.645833333336)</f>
        <v>39171.64583</v>
      </c>
      <c r="C179" s="2">
        <f>IFERROR(__xludf.DUMMYFUNCTION("""COMPUTED_VALUE"""),147.5)</f>
        <v>147.5</v>
      </c>
    </row>
    <row r="180" ht="15.75" customHeight="1">
      <c r="B180" s="3">
        <f>IFERROR(__xludf.DUMMYFUNCTION("""COMPUTED_VALUE"""),39177.645833333336)</f>
        <v>39177.64583</v>
      </c>
      <c r="C180" s="2">
        <f>IFERROR(__xludf.DUMMYFUNCTION("""COMPUTED_VALUE"""),145.83)</f>
        <v>145.83</v>
      </c>
    </row>
    <row r="181" ht="15.75" customHeight="1">
      <c r="B181" s="3">
        <f>IFERROR(__xludf.DUMMYFUNCTION("""COMPUTED_VALUE"""),39185.645833333336)</f>
        <v>39185.64583</v>
      </c>
      <c r="C181" s="2">
        <f>IFERROR(__xludf.DUMMYFUNCTION("""COMPUTED_VALUE"""),148.13)</f>
        <v>148.13</v>
      </c>
    </row>
    <row r="182" ht="15.75" customHeight="1">
      <c r="B182" s="3">
        <f>IFERROR(__xludf.DUMMYFUNCTION("""COMPUTED_VALUE"""),39192.645833333336)</f>
        <v>39192.64583</v>
      </c>
      <c r="C182" s="2">
        <f>IFERROR(__xludf.DUMMYFUNCTION("""COMPUTED_VALUE"""),154.17)</f>
        <v>154.17</v>
      </c>
    </row>
    <row r="183" ht="15.75" customHeight="1">
      <c r="B183" s="3">
        <f>IFERROR(__xludf.DUMMYFUNCTION("""COMPUTED_VALUE"""),39199.645833333336)</f>
        <v>39199.64583</v>
      </c>
      <c r="C183" s="2">
        <f>IFERROR(__xludf.DUMMYFUNCTION("""COMPUTED_VALUE"""),165.0)</f>
        <v>165</v>
      </c>
    </row>
    <row r="184" ht="15.75" customHeight="1">
      <c r="B184" s="3">
        <f>IFERROR(__xludf.DUMMYFUNCTION("""COMPUTED_VALUE"""),39206.645833333336)</f>
        <v>39206.64583</v>
      </c>
      <c r="C184" s="2">
        <f>IFERROR(__xludf.DUMMYFUNCTION("""COMPUTED_VALUE"""),156.97)</f>
        <v>156.97</v>
      </c>
    </row>
    <row r="185" ht="15.75" customHeight="1">
      <c r="B185" s="3">
        <f>IFERROR(__xludf.DUMMYFUNCTION("""COMPUTED_VALUE"""),39213.645833333336)</f>
        <v>39213.64583</v>
      </c>
      <c r="C185" s="2">
        <f>IFERROR(__xludf.DUMMYFUNCTION("""COMPUTED_VALUE"""),157.48)</f>
        <v>157.48</v>
      </c>
    </row>
    <row r="186" ht="15.75" customHeight="1">
      <c r="B186" s="3">
        <f>IFERROR(__xludf.DUMMYFUNCTION("""COMPUTED_VALUE"""),39220.645833333336)</f>
        <v>39220.64583</v>
      </c>
      <c r="C186" s="2">
        <f>IFERROR(__xludf.DUMMYFUNCTION("""COMPUTED_VALUE"""),154.12)</f>
        <v>154.12</v>
      </c>
    </row>
    <row r="187" ht="15.75" customHeight="1">
      <c r="B187" s="3">
        <f>IFERROR(__xludf.DUMMYFUNCTION("""COMPUTED_VALUE"""),39227.645833333336)</f>
        <v>39227.64583</v>
      </c>
      <c r="C187" s="2">
        <f>IFERROR(__xludf.DUMMYFUNCTION("""COMPUTED_VALUE"""),157.28)</f>
        <v>157.28</v>
      </c>
    </row>
    <row r="188" ht="15.75" customHeight="1">
      <c r="B188" s="3">
        <f>IFERROR(__xludf.DUMMYFUNCTION("""COMPUTED_VALUE"""),39234.645833333336)</f>
        <v>39234.64583</v>
      </c>
      <c r="C188" s="2">
        <f>IFERROR(__xludf.DUMMYFUNCTION("""COMPUTED_VALUE"""),154.67)</f>
        <v>154.67</v>
      </c>
    </row>
    <row r="189" ht="15.75" customHeight="1">
      <c r="B189" s="3">
        <f>IFERROR(__xludf.DUMMYFUNCTION("""COMPUTED_VALUE"""),39241.645833333336)</f>
        <v>39241.64583</v>
      </c>
      <c r="C189" s="2">
        <f>IFERROR(__xludf.DUMMYFUNCTION("""COMPUTED_VALUE"""),157.41)</f>
        <v>157.41</v>
      </c>
    </row>
    <row r="190" ht="15.75" customHeight="1">
      <c r="B190" s="3">
        <f>IFERROR(__xludf.DUMMYFUNCTION("""COMPUTED_VALUE"""),39248.645833333336)</f>
        <v>39248.64583</v>
      </c>
      <c r="C190" s="2">
        <f>IFERROR(__xludf.DUMMYFUNCTION("""COMPUTED_VALUE"""),148.61)</f>
        <v>148.61</v>
      </c>
    </row>
    <row r="191" ht="15.75" customHeight="1">
      <c r="B191" s="3">
        <f>IFERROR(__xludf.DUMMYFUNCTION("""COMPUTED_VALUE"""),39255.645833333336)</f>
        <v>39255.64583</v>
      </c>
      <c r="C191" s="2">
        <f>IFERROR(__xludf.DUMMYFUNCTION("""COMPUTED_VALUE"""),154.17)</f>
        <v>154.17</v>
      </c>
    </row>
    <row r="192" ht="15.75" customHeight="1">
      <c r="B192" s="3">
        <f>IFERROR(__xludf.DUMMYFUNCTION("""COMPUTED_VALUE"""),39262.645833333336)</f>
        <v>39262.64583</v>
      </c>
      <c r="C192" s="2">
        <f>IFERROR(__xludf.DUMMYFUNCTION("""COMPUTED_VALUE"""),158.33)</f>
        <v>158.33</v>
      </c>
    </row>
    <row r="193" ht="15.75" customHeight="1">
      <c r="B193" s="3">
        <f>IFERROR(__xludf.DUMMYFUNCTION("""COMPUTED_VALUE"""),39269.645833333336)</f>
        <v>39269.64583</v>
      </c>
      <c r="C193" s="2">
        <f>IFERROR(__xludf.DUMMYFUNCTION("""COMPUTED_VALUE"""),152.5)</f>
        <v>152.5</v>
      </c>
    </row>
    <row r="194" ht="15.75" customHeight="1">
      <c r="B194" s="3">
        <f>IFERROR(__xludf.DUMMYFUNCTION("""COMPUTED_VALUE"""),39276.645833333336)</f>
        <v>39276.64583</v>
      </c>
      <c r="C194" s="2">
        <f>IFERROR(__xludf.DUMMYFUNCTION("""COMPUTED_VALUE"""),151.17)</f>
        <v>151.17</v>
      </c>
    </row>
    <row r="195" ht="15.75" customHeight="1">
      <c r="B195" s="3">
        <f>IFERROR(__xludf.DUMMYFUNCTION("""COMPUTED_VALUE"""),39283.645833333336)</f>
        <v>39283.64583</v>
      </c>
      <c r="C195" s="2">
        <f>IFERROR(__xludf.DUMMYFUNCTION("""COMPUTED_VALUE"""),154.68)</f>
        <v>154.68</v>
      </c>
    </row>
    <row r="196" ht="15.75" customHeight="1">
      <c r="B196" s="3">
        <f>IFERROR(__xludf.DUMMYFUNCTION("""COMPUTED_VALUE"""),39290.645833333336)</f>
        <v>39290.64583</v>
      </c>
      <c r="C196" s="2">
        <f>IFERROR(__xludf.DUMMYFUNCTION("""COMPUTED_VALUE"""),159.83)</f>
        <v>159.83</v>
      </c>
    </row>
    <row r="197" ht="15.75" customHeight="1">
      <c r="B197" s="3">
        <f>IFERROR(__xludf.DUMMYFUNCTION("""COMPUTED_VALUE"""),39297.645833333336)</f>
        <v>39297.64583</v>
      </c>
      <c r="C197" s="2">
        <f>IFERROR(__xludf.DUMMYFUNCTION("""COMPUTED_VALUE"""),153.17)</f>
        <v>153.17</v>
      </c>
    </row>
    <row r="198" ht="15.75" customHeight="1">
      <c r="B198" s="3">
        <f>IFERROR(__xludf.DUMMYFUNCTION("""COMPUTED_VALUE"""),39304.645833333336)</f>
        <v>39304.64583</v>
      </c>
      <c r="C198" s="2">
        <f>IFERROR(__xludf.DUMMYFUNCTION("""COMPUTED_VALUE"""),150.83)</f>
        <v>150.83</v>
      </c>
    </row>
    <row r="199" ht="15.75" customHeight="1">
      <c r="B199" s="3">
        <f>IFERROR(__xludf.DUMMYFUNCTION("""COMPUTED_VALUE"""),39311.645833333336)</f>
        <v>39311.64583</v>
      </c>
      <c r="C199" s="2">
        <f>IFERROR(__xludf.DUMMYFUNCTION("""COMPUTED_VALUE"""),143.33)</f>
        <v>143.33</v>
      </c>
    </row>
    <row r="200" ht="15.75" customHeight="1">
      <c r="B200" s="3">
        <f>IFERROR(__xludf.DUMMYFUNCTION("""COMPUTED_VALUE"""),39318.645833333336)</f>
        <v>39318.64583</v>
      </c>
      <c r="C200" s="2">
        <f>IFERROR(__xludf.DUMMYFUNCTION("""COMPUTED_VALUE"""),139.68)</f>
        <v>139.68</v>
      </c>
    </row>
    <row r="201" ht="15.75" customHeight="1">
      <c r="B201" s="3">
        <f>IFERROR(__xludf.DUMMYFUNCTION("""COMPUTED_VALUE"""),39325.645833333336)</f>
        <v>39325.64583</v>
      </c>
      <c r="C201" s="2">
        <f>IFERROR(__xludf.DUMMYFUNCTION("""COMPUTED_VALUE"""),144.33)</f>
        <v>144.33</v>
      </c>
    </row>
    <row r="202" ht="15.75" customHeight="1">
      <c r="B202" s="3">
        <f>IFERROR(__xludf.DUMMYFUNCTION("""COMPUTED_VALUE"""),39332.645833333336)</f>
        <v>39332.64583</v>
      </c>
      <c r="C202" s="2">
        <f>IFERROR(__xludf.DUMMYFUNCTION("""COMPUTED_VALUE"""),144.12)</f>
        <v>144.12</v>
      </c>
    </row>
    <row r="203" ht="15.75" customHeight="1">
      <c r="B203" s="3">
        <f>IFERROR(__xludf.DUMMYFUNCTION("""COMPUTED_VALUE"""),39339.645833333336)</f>
        <v>39339.64583</v>
      </c>
      <c r="C203" s="2">
        <f>IFERROR(__xludf.DUMMYFUNCTION("""COMPUTED_VALUE"""),142.17)</f>
        <v>142.17</v>
      </c>
    </row>
    <row r="204" ht="15.75" customHeight="1">
      <c r="B204" s="3">
        <f>IFERROR(__xludf.DUMMYFUNCTION("""COMPUTED_VALUE"""),39346.645833333336)</f>
        <v>39346.64583</v>
      </c>
      <c r="C204" s="2">
        <f>IFERROR(__xludf.DUMMYFUNCTION("""COMPUTED_VALUE"""),155.43)</f>
        <v>155.43</v>
      </c>
    </row>
    <row r="205" ht="15.75" customHeight="1">
      <c r="B205" s="3">
        <f>IFERROR(__xludf.DUMMYFUNCTION("""COMPUTED_VALUE"""),39353.645833333336)</f>
        <v>39353.64583</v>
      </c>
      <c r="C205" s="2">
        <f>IFERROR(__xludf.DUMMYFUNCTION("""COMPUTED_VALUE"""),164.0)</f>
        <v>164</v>
      </c>
    </row>
    <row r="206" ht="15.75" customHeight="1">
      <c r="B206" s="3">
        <f>IFERROR(__xludf.DUMMYFUNCTION("""COMPUTED_VALUE"""),39360.645833333336)</f>
        <v>39360.64583</v>
      </c>
      <c r="C206" s="2">
        <f>IFERROR(__xludf.DUMMYFUNCTION("""COMPUTED_VALUE"""),175.33)</f>
        <v>175.33</v>
      </c>
    </row>
    <row r="207" ht="15.75" customHeight="1">
      <c r="B207" s="3">
        <f>IFERROR(__xludf.DUMMYFUNCTION("""COMPUTED_VALUE"""),39367.645833333336)</f>
        <v>39367.64583</v>
      </c>
      <c r="C207" s="2">
        <f>IFERROR(__xludf.DUMMYFUNCTION("""COMPUTED_VALUE"""),186.67)</f>
        <v>186.67</v>
      </c>
    </row>
    <row r="208" ht="15.75" customHeight="1">
      <c r="B208" s="3">
        <f>IFERROR(__xludf.DUMMYFUNCTION("""COMPUTED_VALUE"""),39374.645833333336)</f>
        <v>39374.64583</v>
      </c>
      <c r="C208" s="2">
        <f>IFERROR(__xludf.DUMMYFUNCTION("""COMPUTED_VALUE"""),203.41)</f>
        <v>203.41</v>
      </c>
    </row>
    <row r="209" ht="15.75" customHeight="1">
      <c r="B209" s="3">
        <f>IFERROR(__xludf.DUMMYFUNCTION("""COMPUTED_VALUE"""),39381.645833333336)</f>
        <v>39381.64583</v>
      </c>
      <c r="C209" s="2">
        <f>IFERROR(__xludf.DUMMYFUNCTION("""COMPUTED_VALUE"""),194.17)</f>
        <v>194.17</v>
      </c>
    </row>
    <row r="210" ht="15.75" customHeight="1">
      <c r="B210" s="3">
        <f>IFERROR(__xludf.DUMMYFUNCTION("""COMPUTED_VALUE"""),39388.645833333336)</f>
        <v>39388.64583</v>
      </c>
      <c r="C210" s="2">
        <f>IFERROR(__xludf.DUMMYFUNCTION("""COMPUTED_VALUE"""),230.84)</f>
        <v>230.84</v>
      </c>
    </row>
    <row r="211" ht="15.75" customHeight="1">
      <c r="B211" s="3">
        <f>IFERROR(__xludf.DUMMYFUNCTION("""COMPUTED_VALUE"""),39402.645833333336)</f>
        <v>39402.64583</v>
      </c>
      <c r="C211" s="2">
        <f>IFERROR(__xludf.DUMMYFUNCTION("""COMPUTED_VALUE"""),210.0)</f>
        <v>210</v>
      </c>
    </row>
    <row r="212" ht="15.75" customHeight="1">
      <c r="B212" s="3">
        <f>IFERROR(__xludf.DUMMYFUNCTION("""COMPUTED_VALUE"""),39409.645833333336)</f>
        <v>39409.64583</v>
      </c>
      <c r="C212" s="2">
        <f>IFERROR(__xludf.DUMMYFUNCTION("""COMPUTED_VALUE"""),217.17)</f>
        <v>217.17</v>
      </c>
    </row>
    <row r="213" ht="15.75" customHeight="1">
      <c r="B213" s="3">
        <f>IFERROR(__xludf.DUMMYFUNCTION("""COMPUTED_VALUE"""),39416.645833333336)</f>
        <v>39416.64583</v>
      </c>
      <c r="C213" s="2">
        <f>IFERROR(__xludf.DUMMYFUNCTION("""COMPUTED_VALUE"""),201.5)</f>
        <v>201.5</v>
      </c>
    </row>
    <row r="214" ht="15.75" customHeight="1">
      <c r="B214" s="3">
        <f>IFERROR(__xludf.DUMMYFUNCTION("""COMPUTED_VALUE"""),39423.645833333336)</f>
        <v>39423.64583</v>
      </c>
      <c r="C214" s="2">
        <f>IFERROR(__xludf.DUMMYFUNCTION("""COMPUTED_VALUE"""),204.67)</f>
        <v>204.67</v>
      </c>
    </row>
    <row r="215" ht="15.75" customHeight="1">
      <c r="B215" s="3">
        <f>IFERROR(__xludf.DUMMYFUNCTION("""COMPUTED_VALUE"""),39430.645833333336)</f>
        <v>39430.64583</v>
      </c>
      <c r="C215" s="2">
        <f>IFERROR(__xludf.DUMMYFUNCTION("""COMPUTED_VALUE"""),212.27)</f>
        <v>212.27</v>
      </c>
    </row>
    <row r="216" ht="15.75" customHeight="1">
      <c r="B216" s="3">
        <f>IFERROR(__xludf.DUMMYFUNCTION("""COMPUTED_VALUE"""),39436.645833333336)</f>
        <v>39436.64583</v>
      </c>
      <c r="C216" s="2">
        <f>IFERROR(__xludf.DUMMYFUNCTION("""COMPUTED_VALUE"""),205.0)</f>
        <v>205</v>
      </c>
    </row>
    <row r="217" ht="15.75" customHeight="1">
      <c r="B217" s="3">
        <f>IFERROR(__xludf.DUMMYFUNCTION("""COMPUTED_VALUE"""),39444.645833333336)</f>
        <v>39444.64583</v>
      </c>
      <c r="C217" s="2">
        <f>IFERROR(__xludf.DUMMYFUNCTION("""COMPUTED_VALUE"""),211.67)</f>
        <v>211.67</v>
      </c>
    </row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IFERROR(__xludf.DUMMYFUNCTION("GOOGLEFINANCE(""NSE:ONGC"", ""high"",DATE(2008,1,1),DATE(2009,1,1),""weekly"")"),"Date")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IFERROR(__xludf.DUMMYFUNCTION("""COMPUTED_VALUE"""),39451.645833333336)</f>
        <v>39451.64583</v>
      </c>
      <c r="C222" s="2">
        <f>IFERROR(__xludf.DUMMYFUNCTION("""COMPUTED_VALUE"""),226.0)</f>
        <v>226</v>
      </c>
    </row>
    <row r="223" ht="15.75" customHeight="1">
      <c r="B223" s="3">
        <f>IFERROR(__xludf.DUMMYFUNCTION("""COMPUTED_VALUE"""),39458.645833333336)</f>
        <v>39458.64583</v>
      </c>
      <c r="C223" s="2">
        <f>IFERROR(__xludf.DUMMYFUNCTION("""COMPUTED_VALUE"""),223.67)</f>
        <v>223.67</v>
      </c>
    </row>
    <row r="224" ht="15.75" customHeight="1">
      <c r="B224" s="3">
        <f>IFERROR(__xludf.DUMMYFUNCTION("""COMPUTED_VALUE"""),39465.645833333336)</f>
        <v>39465.64583</v>
      </c>
      <c r="C224" s="2">
        <f>IFERROR(__xludf.DUMMYFUNCTION("""COMPUTED_VALUE"""),218.67)</f>
        <v>218.67</v>
      </c>
    </row>
    <row r="225" ht="15.75" customHeight="1">
      <c r="B225" s="3">
        <f>IFERROR(__xludf.DUMMYFUNCTION("""COMPUTED_VALUE"""),39472.645833333336)</f>
        <v>39472.64583</v>
      </c>
      <c r="C225" s="2">
        <f>IFERROR(__xludf.DUMMYFUNCTION("""COMPUTED_VALUE"""),201.62)</f>
        <v>201.62</v>
      </c>
    </row>
    <row r="226" ht="15.75" customHeight="1">
      <c r="B226" s="3">
        <f>IFERROR(__xludf.DUMMYFUNCTION("""COMPUTED_VALUE"""),39479.645833333336)</f>
        <v>39479.64583</v>
      </c>
      <c r="C226" s="2">
        <f>IFERROR(__xludf.DUMMYFUNCTION("""COMPUTED_VALUE"""),176.67)</f>
        <v>176.67</v>
      </c>
    </row>
    <row r="227" ht="15.75" customHeight="1">
      <c r="B227" s="3">
        <f>IFERROR(__xludf.DUMMYFUNCTION("""COMPUTED_VALUE"""),39486.645833333336)</f>
        <v>39486.64583</v>
      </c>
      <c r="C227" s="2">
        <f>IFERROR(__xludf.DUMMYFUNCTION("""COMPUTED_VALUE"""),186.9)</f>
        <v>186.9</v>
      </c>
    </row>
    <row r="228" ht="15.75" customHeight="1">
      <c r="B228" s="3">
        <f>IFERROR(__xludf.DUMMYFUNCTION("""COMPUTED_VALUE"""),39493.645833333336)</f>
        <v>39493.64583</v>
      </c>
      <c r="C228" s="2">
        <f>IFERROR(__xludf.DUMMYFUNCTION("""COMPUTED_VALUE"""),175.83)</f>
        <v>175.83</v>
      </c>
    </row>
    <row r="229" ht="15.75" customHeight="1">
      <c r="B229" s="3">
        <f>IFERROR(__xludf.DUMMYFUNCTION("""COMPUTED_VALUE"""),39500.645833333336)</f>
        <v>39500.64583</v>
      </c>
      <c r="C229" s="2">
        <f>IFERROR(__xludf.DUMMYFUNCTION("""COMPUTED_VALUE"""),175.83)</f>
        <v>175.83</v>
      </c>
    </row>
    <row r="230" ht="15.75" customHeight="1">
      <c r="B230" s="3">
        <f>IFERROR(__xludf.DUMMYFUNCTION("""COMPUTED_VALUE"""),39507.645833333336)</f>
        <v>39507.64583</v>
      </c>
      <c r="C230" s="2">
        <f>IFERROR(__xludf.DUMMYFUNCTION("""COMPUTED_VALUE"""),175.68)</f>
        <v>175.68</v>
      </c>
    </row>
    <row r="231" ht="15.75" customHeight="1">
      <c r="B231" s="3">
        <f>IFERROR(__xludf.DUMMYFUNCTION("""COMPUTED_VALUE"""),39514.645833333336)</f>
        <v>39514.64583</v>
      </c>
      <c r="C231" s="2">
        <f>IFERROR(__xludf.DUMMYFUNCTION("""COMPUTED_VALUE"""),170.73)</f>
        <v>170.73</v>
      </c>
    </row>
    <row r="232" ht="15.75" customHeight="1">
      <c r="B232" s="3">
        <f>IFERROR(__xludf.DUMMYFUNCTION("""COMPUTED_VALUE"""),39521.645833333336)</f>
        <v>39521.64583</v>
      </c>
      <c r="C232" s="2">
        <f>IFERROR(__xludf.DUMMYFUNCTION("""COMPUTED_VALUE"""),170.07)</f>
        <v>170.07</v>
      </c>
    </row>
    <row r="233" ht="15.75" customHeight="1">
      <c r="B233" s="3">
        <f>IFERROR(__xludf.DUMMYFUNCTION("""COMPUTED_VALUE"""),39526.645833333336)</f>
        <v>39526.64583</v>
      </c>
      <c r="C233" s="2">
        <f>IFERROR(__xludf.DUMMYFUNCTION("""COMPUTED_VALUE"""),170.5)</f>
        <v>170.5</v>
      </c>
    </row>
    <row r="234" ht="15.75" customHeight="1">
      <c r="B234" s="3">
        <f>IFERROR(__xludf.DUMMYFUNCTION("""COMPUTED_VALUE"""),39535.645833333336)</f>
        <v>39535.64583</v>
      </c>
      <c r="C234" s="2">
        <f>IFERROR(__xludf.DUMMYFUNCTION("""COMPUTED_VALUE"""),184.47)</f>
        <v>184.47</v>
      </c>
    </row>
    <row r="235" ht="15.75" customHeight="1">
      <c r="B235" s="3">
        <f>IFERROR(__xludf.DUMMYFUNCTION("""COMPUTED_VALUE"""),39542.645833333336)</f>
        <v>39542.64583</v>
      </c>
      <c r="C235" s="2">
        <f>IFERROR(__xludf.DUMMYFUNCTION("""COMPUTED_VALUE"""),181.65)</f>
        <v>181.65</v>
      </c>
    </row>
    <row r="236" ht="15.75" customHeight="1">
      <c r="B236" s="3">
        <f>IFERROR(__xludf.DUMMYFUNCTION("""COMPUTED_VALUE"""),39549.645833333336)</f>
        <v>39549.64583</v>
      </c>
      <c r="C236" s="2">
        <f>IFERROR(__xludf.DUMMYFUNCTION("""COMPUTED_VALUE"""),173.81)</f>
        <v>173.81</v>
      </c>
    </row>
    <row r="237" ht="15.75" customHeight="1">
      <c r="B237" s="3">
        <f>IFERROR(__xludf.DUMMYFUNCTION("""COMPUTED_VALUE"""),39555.645833333336)</f>
        <v>39555.64583</v>
      </c>
      <c r="C237" s="2">
        <f>IFERROR(__xludf.DUMMYFUNCTION("""COMPUTED_VALUE"""),173.83)</f>
        <v>173.83</v>
      </c>
    </row>
    <row r="238" ht="15.75" customHeight="1">
      <c r="B238" s="3">
        <f>IFERROR(__xludf.DUMMYFUNCTION("""COMPUTED_VALUE"""),39563.645833333336)</f>
        <v>39563.64583</v>
      </c>
      <c r="C238" s="2">
        <f>IFERROR(__xludf.DUMMYFUNCTION("""COMPUTED_VALUE"""),177.83)</f>
        <v>177.83</v>
      </c>
    </row>
    <row r="239" ht="15.75" customHeight="1">
      <c r="B239" s="3">
        <f>IFERROR(__xludf.DUMMYFUNCTION("""COMPUTED_VALUE"""),39570.645833333336)</f>
        <v>39570.64583</v>
      </c>
      <c r="C239" s="2">
        <f>IFERROR(__xludf.DUMMYFUNCTION("""COMPUTED_VALUE"""),178.83)</f>
        <v>178.83</v>
      </c>
    </row>
    <row r="240" ht="15.75" customHeight="1">
      <c r="B240" s="3">
        <f>IFERROR(__xludf.DUMMYFUNCTION("""COMPUTED_VALUE"""),39577.645833333336)</f>
        <v>39577.64583</v>
      </c>
      <c r="C240" s="2">
        <f>IFERROR(__xludf.DUMMYFUNCTION("""COMPUTED_VALUE"""),175.75)</f>
        <v>175.75</v>
      </c>
    </row>
    <row r="241" ht="15.75" customHeight="1">
      <c r="B241" s="3">
        <f>IFERROR(__xludf.DUMMYFUNCTION("""COMPUTED_VALUE"""),39584.645833333336)</f>
        <v>39584.64583</v>
      </c>
      <c r="C241" s="2">
        <f>IFERROR(__xludf.DUMMYFUNCTION("""COMPUTED_VALUE"""),173.4)</f>
        <v>173.4</v>
      </c>
    </row>
    <row r="242" ht="15.75" customHeight="1">
      <c r="B242" s="3">
        <f>IFERROR(__xludf.DUMMYFUNCTION("""COMPUTED_VALUE"""),39591.645833333336)</f>
        <v>39591.64583</v>
      </c>
      <c r="C242" s="2">
        <f>IFERROR(__xludf.DUMMYFUNCTION("""COMPUTED_VALUE"""),158.7)</f>
        <v>158.7</v>
      </c>
    </row>
    <row r="243" ht="15.75" customHeight="1">
      <c r="B243" s="3">
        <f>IFERROR(__xludf.DUMMYFUNCTION("""COMPUTED_VALUE"""),39598.645833333336)</f>
        <v>39598.64583</v>
      </c>
      <c r="C243" s="2">
        <f>IFERROR(__xludf.DUMMYFUNCTION("""COMPUTED_VALUE"""),151.98)</f>
        <v>151.98</v>
      </c>
    </row>
    <row r="244" ht="15.75" customHeight="1">
      <c r="B244" s="3">
        <f>IFERROR(__xludf.DUMMYFUNCTION("""COMPUTED_VALUE"""),39605.645833333336)</f>
        <v>39605.64583</v>
      </c>
      <c r="C244" s="2">
        <f>IFERROR(__xludf.DUMMYFUNCTION("""COMPUTED_VALUE"""),162.48)</f>
        <v>162.48</v>
      </c>
    </row>
    <row r="245" ht="15.75" customHeight="1">
      <c r="B245" s="3">
        <f>IFERROR(__xludf.DUMMYFUNCTION("""COMPUTED_VALUE"""),39612.645833333336)</f>
        <v>39612.64583</v>
      </c>
      <c r="C245" s="2">
        <f>IFERROR(__xludf.DUMMYFUNCTION("""COMPUTED_VALUE"""),153.33)</f>
        <v>153.33</v>
      </c>
    </row>
    <row r="246" ht="15.75" customHeight="1">
      <c r="B246" s="3">
        <f>IFERROR(__xludf.DUMMYFUNCTION("""COMPUTED_VALUE"""),39619.645833333336)</f>
        <v>39619.64583</v>
      </c>
      <c r="C246" s="2">
        <f>IFERROR(__xludf.DUMMYFUNCTION("""COMPUTED_VALUE"""),149.82)</f>
        <v>149.82</v>
      </c>
    </row>
    <row r="247" ht="15.75" customHeight="1">
      <c r="B247" s="3">
        <f>IFERROR(__xludf.DUMMYFUNCTION("""COMPUTED_VALUE"""),39626.645833333336)</f>
        <v>39626.64583</v>
      </c>
      <c r="C247" s="2">
        <f>IFERROR(__xludf.DUMMYFUNCTION("""COMPUTED_VALUE"""),150.0)</f>
        <v>150</v>
      </c>
    </row>
    <row r="248" ht="15.75" customHeight="1">
      <c r="B248" s="3">
        <f>IFERROR(__xludf.DUMMYFUNCTION("""COMPUTED_VALUE"""),39633.645833333336)</f>
        <v>39633.64583</v>
      </c>
      <c r="C248" s="2">
        <f>IFERROR(__xludf.DUMMYFUNCTION("""COMPUTED_VALUE"""),147.33)</f>
        <v>147.33</v>
      </c>
    </row>
    <row r="249" ht="15.75" customHeight="1">
      <c r="B249" s="3">
        <f>IFERROR(__xludf.DUMMYFUNCTION("""COMPUTED_VALUE"""),39640.645833333336)</f>
        <v>39640.64583</v>
      </c>
      <c r="C249" s="2">
        <f>IFERROR(__xludf.DUMMYFUNCTION("""COMPUTED_VALUE"""),154.54)</f>
        <v>154.54</v>
      </c>
    </row>
    <row r="250" ht="15.75" customHeight="1">
      <c r="B250" s="3">
        <f>IFERROR(__xludf.DUMMYFUNCTION("""COMPUTED_VALUE"""),39647.645833333336)</f>
        <v>39647.64583</v>
      </c>
      <c r="C250" s="2">
        <f>IFERROR(__xludf.DUMMYFUNCTION("""COMPUTED_VALUE"""),158.32)</f>
        <v>158.32</v>
      </c>
    </row>
    <row r="251" ht="15.75" customHeight="1">
      <c r="B251" s="3">
        <f>IFERROR(__xludf.DUMMYFUNCTION("""COMPUTED_VALUE"""),39654.645833333336)</f>
        <v>39654.64583</v>
      </c>
      <c r="C251" s="2">
        <f>IFERROR(__xludf.DUMMYFUNCTION("""COMPUTED_VALUE"""),181.33)</f>
        <v>181.33</v>
      </c>
    </row>
    <row r="252" ht="15.75" customHeight="1">
      <c r="B252" s="3">
        <f>IFERROR(__xludf.DUMMYFUNCTION("""COMPUTED_VALUE"""),39661.645833333336)</f>
        <v>39661.64583</v>
      </c>
      <c r="C252" s="2">
        <f>IFERROR(__xludf.DUMMYFUNCTION("""COMPUTED_VALUE"""),174.0)</f>
        <v>174</v>
      </c>
    </row>
    <row r="253" ht="15.75" customHeight="1">
      <c r="B253" s="3">
        <f>IFERROR(__xludf.DUMMYFUNCTION("""COMPUTED_VALUE"""),39668.645833333336)</f>
        <v>39668.64583</v>
      </c>
      <c r="C253" s="2">
        <f>IFERROR(__xludf.DUMMYFUNCTION("""COMPUTED_VALUE"""),178.97)</f>
        <v>178.97</v>
      </c>
    </row>
    <row r="254" ht="15.75" customHeight="1">
      <c r="B254" s="3">
        <f>IFERROR(__xludf.DUMMYFUNCTION("""COMPUTED_VALUE"""),39674.645833333336)</f>
        <v>39674.64583</v>
      </c>
      <c r="C254" s="2">
        <f>IFERROR(__xludf.DUMMYFUNCTION("""COMPUTED_VALUE"""),190.0)</f>
        <v>190</v>
      </c>
    </row>
    <row r="255" ht="15.75" customHeight="1">
      <c r="B255" s="3">
        <f>IFERROR(__xludf.DUMMYFUNCTION("""COMPUTED_VALUE"""),39682.645833333336)</f>
        <v>39682.64583</v>
      </c>
      <c r="C255" s="2">
        <f>IFERROR(__xludf.DUMMYFUNCTION("""COMPUTED_VALUE"""),180.83)</f>
        <v>180.83</v>
      </c>
    </row>
    <row r="256" ht="15.75" customHeight="1">
      <c r="B256" s="3">
        <f>IFERROR(__xludf.DUMMYFUNCTION("""COMPUTED_VALUE"""),39689.645833333336)</f>
        <v>39689.64583</v>
      </c>
      <c r="C256" s="2">
        <f>IFERROR(__xludf.DUMMYFUNCTION("""COMPUTED_VALUE"""),173.13)</f>
        <v>173.13</v>
      </c>
    </row>
    <row r="257" ht="15.75" customHeight="1">
      <c r="B257" s="3">
        <f>IFERROR(__xludf.DUMMYFUNCTION("""COMPUTED_VALUE"""),39696.645833333336)</f>
        <v>39696.64583</v>
      </c>
      <c r="C257" s="2">
        <f>IFERROR(__xludf.DUMMYFUNCTION("""COMPUTED_VALUE"""),186.67)</f>
        <v>186.67</v>
      </c>
    </row>
    <row r="258" ht="15.75" customHeight="1">
      <c r="B258" s="3">
        <f>IFERROR(__xludf.DUMMYFUNCTION("""COMPUTED_VALUE"""),39703.645833333336)</f>
        <v>39703.64583</v>
      </c>
      <c r="C258" s="2">
        <f>IFERROR(__xludf.DUMMYFUNCTION("""COMPUTED_VALUE"""),188.28)</f>
        <v>188.28</v>
      </c>
    </row>
    <row r="259" ht="15.75" customHeight="1">
      <c r="B259" s="3">
        <f>IFERROR(__xludf.DUMMYFUNCTION("""COMPUTED_VALUE"""),39710.645833333336)</f>
        <v>39710.64583</v>
      </c>
      <c r="C259" s="2">
        <f>IFERROR(__xludf.DUMMYFUNCTION("""COMPUTED_VALUE"""),180.78)</f>
        <v>180.78</v>
      </c>
    </row>
    <row r="260" ht="15.75" customHeight="1">
      <c r="B260" s="3">
        <f>IFERROR(__xludf.DUMMYFUNCTION("""COMPUTED_VALUE"""),39717.645833333336)</f>
        <v>39717.64583</v>
      </c>
      <c r="C260" s="2">
        <f>IFERROR(__xludf.DUMMYFUNCTION("""COMPUTED_VALUE"""),181.33)</f>
        <v>181.33</v>
      </c>
    </row>
    <row r="261" ht="15.75" customHeight="1">
      <c r="B261" s="3">
        <f>IFERROR(__xludf.DUMMYFUNCTION("""COMPUTED_VALUE"""),39724.645833333336)</f>
        <v>39724.64583</v>
      </c>
      <c r="C261" s="2">
        <f>IFERROR(__xludf.DUMMYFUNCTION("""COMPUTED_VALUE"""),177.4)</f>
        <v>177.4</v>
      </c>
    </row>
    <row r="262" ht="15.75" customHeight="1">
      <c r="B262" s="3">
        <f>IFERROR(__xludf.DUMMYFUNCTION("""COMPUTED_VALUE"""),39731.645833333336)</f>
        <v>39731.64583</v>
      </c>
      <c r="C262" s="2">
        <f>IFERROR(__xludf.DUMMYFUNCTION("""COMPUTED_VALUE"""),173.27)</f>
        <v>173.27</v>
      </c>
    </row>
    <row r="263" ht="15.75" customHeight="1">
      <c r="B263" s="3">
        <f>IFERROR(__xludf.DUMMYFUNCTION("""COMPUTED_VALUE"""),39738.645833333336)</f>
        <v>39738.64583</v>
      </c>
      <c r="C263" s="2">
        <f>IFERROR(__xludf.DUMMYFUNCTION("""COMPUTED_VALUE"""),159.17)</f>
        <v>159.17</v>
      </c>
    </row>
    <row r="264" ht="15.75" customHeight="1">
      <c r="B264" s="3">
        <f>IFERROR(__xludf.DUMMYFUNCTION("""COMPUTED_VALUE"""),39745.645833333336)</f>
        <v>39745.64583</v>
      </c>
      <c r="C264" s="2">
        <f>IFERROR(__xludf.DUMMYFUNCTION("""COMPUTED_VALUE"""),138.77)</f>
        <v>138.77</v>
      </c>
    </row>
    <row r="265" ht="15.75" customHeight="1">
      <c r="B265" s="3">
        <f>IFERROR(__xludf.DUMMYFUNCTION("""COMPUTED_VALUE"""),39752.645833333336)</f>
        <v>39752.64583</v>
      </c>
      <c r="C265" s="2">
        <f>IFERROR(__xludf.DUMMYFUNCTION("""COMPUTED_VALUE"""),116.47)</f>
        <v>116.47</v>
      </c>
    </row>
    <row r="266" ht="15.75" customHeight="1">
      <c r="B266" s="3">
        <f>IFERROR(__xludf.DUMMYFUNCTION("""COMPUTED_VALUE"""),39759.645833333336)</f>
        <v>39759.64583</v>
      </c>
      <c r="C266" s="2">
        <f>IFERROR(__xludf.DUMMYFUNCTION("""COMPUTED_VALUE"""),134.79)</f>
        <v>134.79</v>
      </c>
    </row>
    <row r="267" ht="15.75" customHeight="1">
      <c r="B267" s="3">
        <f>IFERROR(__xludf.DUMMYFUNCTION("""COMPUTED_VALUE"""),39766.645833333336)</f>
        <v>39766.64583</v>
      </c>
      <c r="C267" s="2">
        <f>IFERROR(__xludf.DUMMYFUNCTION("""COMPUTED_VALUE"""),135.0)</f>
        <v>135</v>
      </c>
    </row>
    <row r="268" ht="15.75" customHeight="1">
      <c r="B268" s="3">
        <f>IFERROR(__xludf.DUMMYFUNCTION("""COMPUTED_VALUE"""),39773.645833333336)</f>
        <v>39773.64583</v>
      </c>
      <c r="C268" s="2">
        <f>IFERROR(__xludf.DUMMYFUNCTION("""COMPUTED_VALUE"""),119.53)</f>
        <v>119.53</v>
      </c>
    </row>
    <row r="269" ht="15.75" customHeight="1">
      <c r="B269" s="3">
        <f>IFERROR(__xludf.DUMMYFUNCTION("""COMPUTED_VALUE"""),39780.645833333336)</f>
        <v>39780.64583</v>
      </c>
      <c r="C269" s="2">
        <f>IFERROR(__xludf.DUMMYFUNCTION("""COMPUTED_VALUE"""),123.52)</f>
        <v>123.52</v>
      </c>
    </row>
    <row r="270" ht="15.75" customHeight="1">
      <c r="B270" s="3">
        <f>IFERROR(__xludf.DUMMYFUNCTION("""COMPUTED_VALUE"""),39787.645833333336)</f>
        <v>39787.64583</v>
      </c>
      <c r="C270" s="2">
        <f>IFERROR(__xludf.DUMMYFUNCTION("""COMPUTED_VALUE"""),121.67)</f>
        <v>121.67</v>
      </c>
    </row>
    <row r="271" ht="15.75" customHeight="1">
      <c r="B271" s="3">
        <f>IFERROR(__xludf.DUMMYFUNCTION("""COMPUTED_VALUE"""),39794.645833333336)</f>
        <v>39794.64583</v>
      </c>
      <c r="C271" s="2">
        <f>IFERROR(__xludf.DUMMYFUNCTION("""COMPUTED_VALUE"""),116.23)</f>
        <v>116.23</v>
      </c>
    </row>
    <row r="272" ht="15.75" customHeight="1">
      <c r="B272" s="3">
        <f>IFERROR(__xludf.DUMMYFUNCTION("""COMPUTED_VALUE"""),39801.645833333336)</f>
        <v>39801.64583</v>
      </c>
      <c r="C272" s="2">
        <f>IFERROR(__xludf.DUMMYFUNCTION("""COMPUTED_VALUE"""),123.49)</f>
        <v>123.49</v>
      </c>
    </row>
    <row r="273" ht="15.75" customHeight="1">
      <c r="B273" s="3">
        <f>IFERROR(__xludf.DUMMYFUNCTION("""COMPUTED_VALUE"""),39808.645833333336)</f>
        <v>39808.64583</v>
      </c>
      <c r="C273" s="2">
        <f>IFERROR(__xludf.DUMMYFUNCTION("""COMPUTED_VALUE"""),123.62)</f>
        <v>123.62</v>
      </c>
    </row>
    <row r="274" ht="15.75" customHeight="1"/>
    <row r="275" ht="15.75" customHeight="1"/>
    <row r="276" ht="15.75" customHeight="1">
      <c r="B276" s="2" t="str">
        <f>IFERROR(__xludf.DUMMYFUNCTION("GOOGLEFINANCE(""NSE:ONGC"", ""high"",DATE(2009,1,1),DATE(2010,1,1),""weekly"")"),"Date")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IFERROR(__xludf.DUMMYFUNCTION("""COMPUTED_VALUE"""),39815.645833333336)</f>
        <v>39815.64583</v>
      </c>
      <c r="C277" s="2">
        <f>IFERROR(__xludf.DUMMYFUNCTION("""COMPUTED_VALUE"""),115.33)</f>
        <v>115.33</v>
      </c>
    </row>
    <row r="278" ht="15.75" customHeight="1">
      <c r="B278" s="3">
        <f>IFERROR(__xludf.DUMMYFUNCTION("""COMPUTED_VALUE"""),39822.645833333336)</f>
        <v>39822.64583</v>
      </c>
      <c r="C278" s="2">
        <f>IFERROR(__xludf.DUMMYFUNCTION("""COMPUTED_VALUE"""),132.9)</f>
        <v>132.9</v>
      </c>
    </row>
    <row r="279" ht="15.75" customHeight="1">
      <c r="B279" s="3">
        <f>IFERROR(__xludf.DUMMYFUNCTION("""COMPUTED_VALUE"""),39829.645833333336)</f>
        <v>39829.64583</v>
      </c>
      <c r="C279" s="2">
        <f>IFERROR(__xludf.DUMMYFUNCTION("""COMPUTED_VALUE"""),113.0)</f>
        <v>113</v>
      </c>
    </row>
    <row r="280" ht="15.75" customHeight="1">
      <c r="B280" s="3">
        <f>IFERROR(__xludf.DUMMYFUNCTION("""COMPUTED_VALUE"""),39836.645833333336)</f>
        <v>39836.64583</v>
      </c>
      <c r="C280" s="2">
        <f>IFERROR(__xludf.DUMMYFUNCTION("""COMPUTED_VALUE"""),113.07)</f>
        <v>113.07</v>
      </c>
    </row>
    <row r="281" ht="15.75" customHeight="1">
      <c r="B281" s="3">
        <f>IFERROR(__xludf.DUMMYFUNCTION("""COMPUTED_VALUE"""),39843.645833333336)</f>
        <v>39843.64583</v>
      </c>
      <c r="C281" s="2">
        <f>IFERROR(__xludf.DUMMYFUNCTION("""COMPUTED_VALUE"""),110.82)</f>
        <v>110.82</v>
      </c>
    </row>
    <row r="282" ht="15.75" customHeight="1">
      <c r="B282" s="3">
        <f>IFERROR(__xludf.DUMMYFUNCTION("""COMPUTED_VALUE"""),39850.645833333336)</f>
        <v>39850.64583</v>
      </c>
      <c r="C282" s="2">
        <f>IFERROR(__xludf.DUMMYFUNCTION("""COMPUTED_VALUE"""),114.67)</f>
        <v>114.67</v>
      </c>
    </row>
    <row r="283" ht="15.75" customHeight="1">
      <c r="B283" s="3">
        <f>IFERROR(__xludf.DUMMYFUNCTION("""COMPUTED_VALUE"""),39857.645833333336)</f>
        <v>39857.64583</v>
      </c>
      <c r="C283" s="2">
        <f>IFERROR(__xludf.DUMMYFUNCTION("""COMPUTED_VALUE"""),123.1)</f>
        <v>123.1</v>
      </c>
    </row>
    <row r="284" ht="15.75" customHeight="1">
      <c r="B284" s="3">
        <f>IFERROR(__xludf.DUMMYFUNCTION("""COMPUTED_VALUE"""),39864.645833333336)</f>
        <v>39864.64583</v>
      </c>
      <c r="C284" s="2">
        <f>IFERROR(__xludf.DUMMYFUNCTION("""COMPUTED_VALUE"""),117.52)</f>
        <v>117.52</v>
      </c>
    </row>
    <row r="285" ht="15.75" customHeight="1">
      <c r="B285" s="3">
        <f>IFERROR(__xludf.DUMMYFUNCTION("""COMPUTED_VALUE"""),39871.645833333336)</f>
        <v>39871.64583</v>
      </c>
      <c r="C285" s="2">
        <f>IFERROR(__xludf.DUMMYFUNCTION("""COMPUTED_VALUE"""),121.62)</f>
        <v>121.62</v>
      </c>
    </row>
    <row r="286" ht="15.75" customHeight="1">
      <c r="B286" s="3">
        <f>IFERROR(__xludf.DUMMYFUNCTION("""COMPUTED_VALUE"""),39878.645833333336)</f>
        <v>39878.64583</v>
      </c>
      <c r="C286" s="2">
        <f>IFERROR(__xludf.DUMMYFUNCTION("""COMPUTED_VALUE"""),115.82)</f>
        <v>115.82</v>
      </c>
    </row>
    <row r="287" ht="15.75" customHeight="1">
      <c r="B287" s="3">
        <f>IFERROR(__xludf.DUMMYFUNCTION("""COMPUTED_VALUE"""),39885.645833333336)</f>
        <v>39885.64583</v>
      </c>
      <c r="C287" s="2">
        <f>IFERROR(__xludf.DUMMYFUNCTION("""COMPUTED_VALUE"""),118.32)</f>
        <v>118.32</v>
      </c>
    </row>
    <row r="288" ht="15.75" customHeight="1">
      <c r="B288" s="3">
        <f>IFERROR(__xludf.DUMMYFUNCTION("""COMPUTED_VALUE"""),39892.645833333336)</f>
        <v>39892.64583</v>
      </c>
      <c r="C288" s="2">
        <f>IFERROR(__xludf.DUMMYFUNCTION("""COMPUTED_VALUE"""),126.75)</f>
        <v>126.75</v>
      </c>
    </row>
    <row r="289" ht="15.75" customHeight="1">
      <c r="B289" s="3">
        <f>IFERROR(__xludf.DUMMYFUNCTION("""COMPUTED_VALUE"""),39899.645833333336)</f>
        <v>39899.64583</v>
      </c>
      <c r="C289" s="2">
        <f>IFERROR(__xludf.DUMMYFUNCTION("""COMPUTED_VALUE"""),140.57)</f>
        <v>140.57</v>
      </c>
    </row>
    <row r="290" ht="15.75" customHeight="1">
      <c r="B290" s="3">
        <f>IFERROR(__xludf.DUMMYFUNCTION("""COMPUTED_VALUE"""),39905.645833333336)</f>
        <v>39905.64583</v>
      </c>
      <c r="C290" s="2">
        <f>IFERROR(__xludf.DUMMYFUNCTION("""COMPUTED_VALUE"""),146.97)</f>
        <v>146.97</v>
      </c>
    </row>
    <row r="291" ht="15.75" customHeight="1">
      <c r="B291" s="3">
        <f>IFERROR(__xludf.DUMMYFUNCTION("""COMPUTED_VALUE"""),39912.645833333336)</f>
        <v>39912.64583</v>
      </c>
      <c r="C291" s="2">
        <f>IFERROR(__xludf.DUMMYFUNCTION("""COMPUTED_VALUE"""),153.75)</f>
        <v>153.75</v>
      </c>
    </row>
    <row r="292" ht="15.75" customHeight="1">
      <c r="B292" s="3">
        <f>IFERROR(__xludf.DUMMYFUNCTION("""COMPUTED_VALUE"""),39920.645833333336)</f>
        <v>39920.64583</v>
      </c>
      <c r="C292" s="2">
        <f>IFERROR(__xludf.DUMMYFUNCTION("""COMPUTED_VALUE"""),151.62)</f>
        <v>151.62</v>
      </c>
    </row>
    <row r="293" ht="15.75" customHeight="1">
      <c r="B293" s="3">
        <f>IFERROR(__xludf.DUMMYFUNCTION("""COMPUTED_VALUE"""),39927.645833333336)</f>
        <v>39927.64583</v>
      </c>
      <c r="C293" s="2">
        <f>IFERROR(__xludf.DUMMYFUNCTION("""COMPUTED_VALUE"""),147.92)</f>
        <v>147.92</v>
      </c>
    </row>
    <row r="294" ht="15.75" customHeight="1">
      <c r="B294" s="3">
        <f>IFERROR(__xludf.DUMMYFUNCTION("""COMPUTED_VALUE"""),39932.645833333336)</f>
        <v>39932.64583</v>
      </c>
      <c r="C294" s="2">
        <f>IFERROR(__xludf.DUMMYFUNCTION("""COMPUTED_VALUE"""),145.0)</f>
        <v>145</v>
      </c>
    </row>
    <row r="295" ht="15.75" customHeight="1">
      <c r="B295" s="3">
        <f>IFERROR(__xludf.DUMMYFUNCTION("""COMPUTED_VALUE"""),39941.645833333336)</f>
        <v>39941.64583</v>
      </c>
      <c r="C295" s="2">
        <f>IFERROR(__xludf.DUMMYFUNCTION("""COMPUTED_VALUE"""),153.53)</f>
        <v>153.53</v>
      </c>
    </row>
    <row r="296" ht="15.75" customHeight="1">
      <c r="B296" s="3">
        <f>IFERROR(__xludf.DUMMYFUNCTION("""COMPUTED_VALUE"""),39948.645833333336)</f>
        <v>39948.64583</v>
      </c>
      <c r="C296" s="2">
        <f>IFERROR(__xludf.DUMMYFUNCTION("""COMPUTED_VALUE"""),150.63)</f>
        <v>150.63</v>
      </c>
    </row>
    <row r="297" ht="15.75" customHeight="1">
      <c r="B297" s="3">
        <f>IFERROR(__xludf.DUMMYFUNCTION("""COMPUTED_VALUE"""),39955.645833333336)</f>
        <v>39955.64583</v>
      </c>
      <c r="C297" s="2">
        <f>IFERROR(__xludf.DUMMYFUNCTION("""COMPUTED_VALUE"""),187.83)</f>
        <v>187.83</v>
      </c>
    </row>
    <row r="298" ht="15.75" customHeight="1">
      <c r="B298" s="3">
        <f>IFERROR(__xludf.DUMMYFUNCTION("""COMPUTED_VALUE"""),39962.645833333336)</f>
        <v>39962.64583</v>
      </c>
      <c r="C298" s="2">
        <f>IFERROR(__xludf.DUMMYFUNCTION("""COMPUTED_VALUE"""),203.33)</f>
        <v>203.33</v>
      </c>
    </row>
    <row r="299" ht="15.75" customHeight="1">
      <c r="B299" s="3">
        <f>IFERROR(__xludf.DUMMYFUNCTION("""COMPUTED_VALUE"""),39969.645833333336)</f>
        <v>39969.64583</v>
      </c>
      <c r="C299" s="2">
        <f>IFERROR(__xludf.DUMMYFUNCTION("""COMPUTED_VALUE"""),203.33)</f>
        <v>203.33</v>
      </c>
    </row>
    <row r="300" ht="15.75" customHeight="1">
      <c r="B300" s="3">
        <f>IFERROR(__xludf.DUMMYFUNCTION("""COMPUTED_VALUE"""),39976.645833333336)</f>
        <v>39976.64583</v>
      </c>
      <c r="C300" s="2">
        <f>IFERROR(__xludf.DUMMYFUNCTION("""COMPUTED_VALUE"""),198.95)</f>
        <v>198.95</v>
      </c>
    </row>
    <row r="301" ht="15.75" customHeight="1">
      <c r="B301" s="3">
        <f>IFERROR(__xludf.DUMMYFUNCTION("""COMPUTED_VALUE"""),39983.645833333336)</f>
        <v>39983.64583</v>
      </c>
      <c r="C301" s="2">
        <f>IFERROR(__xludf.DUMMYFUNCTION("""COMPUTED_VALUE"""),194.78)</f>
        <v>194.78</v>
      </c>
    </row>
    <row r="302" ht="15.75" customHeight="1">
      <c r="B302" s="3">
        <f>IFERROR(__xludf.DUMMYFUNCTION("""COMPUTED_VALUE"""),39990.645833333336)</f>
        <v>39990.64583</v>
      </c>
      <c r="C302" s="2">
        <f>IFERROR(__xludf.DUMMYFUNCTION("""COMPUTED_VALUE"""),176.6)</f>
        <v>176.6</v>
      </c>
    </row>
    <row r="303" ht="15.75" customHeight="1">
      <c r="B303" s="3">
        <f>IFERROR(__xludf.DUMMYFUNCTION("""COMPUTED_VALUE"""),39997.645833333336)</f>
        <v>39997.64583</v>
      </c>
      <c r="C303" s="2">
        <f>IFERROR(__xludf.DUMMYFUNCTION("""COMPUTED_VALUE"""),193.0)</f>
        <v>193</v>
      </c>
    </row>
    <row r="304" ht="15.75" customHeight="1">
      <c r="B304" s="3">
        <f>IFERROR(__xludf.DUMMYFUNCTION("""COMPUTED_VALUE"""),40004.645833333336)</f>
        <v>40004.64583</v>
      </c>
      <c r="C304" s="2">
        <f>IFERROR(__xludf.DUMMYFUNCTION("""COMPUTED_VALUE"""),189.83)</f>
        <v>189.83</v>
      </c>
    </row>
    <row r="305" ht="15.75" customHeight="1">
      <c r="B305" s="3">
        <f>IFERROR(__xludf.DUMMYFUNCTION("""COMPUTED_VALUE"""),40011.645833333336)</f>
        <v>40011.64583</v>
      </c>
      <c r="C305" s="2">
        <f>IFERROR(__xludf.DUMMYFUNCTION("""COMPUTED_VALUE"""),175.67)</f>
        <v>175.67</v>
      </c>
    </row>
    <row r="306" ht="15.75" customHeight="1">
      <c r="B306" s="3">
        <f>IFERROR(__xludf.DUMMYFUNCTION("""COMPUTED_VALUE"""),40018.645833333336)</f>
        <v>40018.64583</v>
      </c>
      <c r="C306" s="2">
        <f>IFERROR(__xludf.DUMMYFUNCTION("""COMPUTED_VALUE"""),191.25)</f>
        <v>191.25</v>
      </c>
    </row>
    <row r="307" ht="15.75" customHeight="1">
      <c r="B307" s="3">
        <f>IFERROR(__xludf.DUMMYFUNCTION("""COMPUTED_VALUE"""),40025.645833333336)</f>
        <v>40025.64583</v>
      </c>
      <c r="C307" s="2">
        <f>IFERROR(__xludf.DUMMYFUNCTION("""COMPUTED_VALUE"""),196.28)</f>
        <v>196.28</v>
      </c>
    </row>
    <row r="308" ht="15.75" customHeight="1">
      <c r="B308" s="3">
        <f>IFERROR(__xludf.DUMMYFUNCTION("""COMPUTED_VALUE"""),40032.645833333336)</f>
        <v>40032.64583</v>
      </c>
      <c r="C308" s="2">
        <f>IFERROR(__xludf.DUMMYFUNCTION("""COMPUTED_VALUE"""),201.5)</f>
        <v>201.5</v>
      </c>
    </row>
    <row r="309" ht="15.75" customHeight="1">
      <c r="B309" s="3">
        <f>IFERROR(__xludf.DUMMYFUNCTION("""COMPUTED_VALUE"""),40039.645833333336)</f>
        <v>40039.64583</v>
      </c>
      <c r="C309" s="2">
        <f>IFERROR(__xludf.DUMMYFUNCTION("""COMPUTED_VALUE"""),205.0)</f>
        <v>205</v>
      </c>
    </row>
    <row r="310" ht="15.75" customHeight="1">
      <c r="B310" s="3">
        <f>IFERROR(__xludf.DUMMYFUNCTION("""COMPUTED_VALUE"""),40046.645833333336)</f>
        <v>40046.64583</v>
      </c>
      <c r="C310" s="2">
        <f>IFERROR(__xludf.DUMMYFUNCTION("""COMPUTED_VALUE"""),202.61)</f>
        <v>202.61</v>
      </c>
    </row>
    <row r="311" ht="15.75" customHeight="1">
      <c r="B311" s="3">
        <f>IFERROR(__xludf.DUMMYFUNCTION("""COMPUTED_VALUE"""),40053.645833333336)</f>
        <v>40053.64583</v>
      </c>
      <c r="C311" s="2">
        <f>IFERROR(__xludf.DUMMYFUNCTION("""COMPUTED_VALUE"""),202.93)</f>
        <v>202.93</v>
      </c>
    </row>
    <row r="312" ht="15.75" customHeight="1">
      <c r="B312" s="3">
        <f>IFERROR(__xludf.DUMMYFUNCTION("""COMPUTED_VALUE"""),40060.645833333336)</f>
        <v>40060.64583</v>
      </c>
      <c r="C312" s="2">
        <f>IFERROR(__xludf.DUMMYFUNCTION("""COMPUTED_VALUE"""),200.33)</f>
        <v>200.33</v>
      </c>
    </row>
    <row r="313" ht="15.75" customHeight="1">
      <c r="B313" s="3">
        <f>IFERROR(__xludf.DUMMYFUNCTION("""COMPUTED_VALUE"""),40067.645833333336)</f>
        <v>40067.64583</v>
      </c>
      <c r="C313" s="2">
        <f>IFERROR(__xludf.DUMMYFUNCTION("""COMPUTED_VALUE"""),199.67)</f>
        <v>199.67</v>
      </c>
    </row>
    <row r="314" ht="15.75" customHeight="1">
      <c r="B314" s="3">
        <f>IFERROR(__xludf.DUMMYFUNCTION("""COMPUTED_VALUE"""),40074.645833333336)</f>
        <v>40074.64583</v>
      </c>
      <c r="C314" s="2">
        <f>IFERROR(__xludf.DUMMYFUNCTION("""COMPUTED_VALUE"""),199.5)</f>
        <v>199.5</v>
      </c>
    </row>
    <row r="315" ht="15.75" customHeight="1">
      <c r="B315" s="3">
        <f>IFERROR(__xludf.DUMMYFUNCTION("""COMPUTED_VALUE"""),40081.645833333336)</f>
        <v>40081.64583</v>
      </c>
      <c r="C315" s="2">
        <f>IFERROR(__xludf.DUMMYFUNCTION("""COMPUTED_VALUE"""),195.83)</f>
        <v>195.83</v>
      </c>
    </row>
    <row r="316" ht="15.75" customHeight="1">
      <c r="B316" s="3">
        <f>IFERROR(__xludf.DUMMYFUNCTION("""COMPUTED_VALUE"""),40087.645833333336)</f>
        <v>40087.64583</v>
      </c>
      <c r="C316" s="2">
        <f>IFERROR(__xludf.DUMMYFUNCTION("""COMPUTED_VALUE"""),202.38)</f>
        <v>202.38</v>
      </c>
    </row>
    <row r="317" ht="15.75" customHeight="1">
      <c r="B317" s="3">
        <f>IFERROR(__xludf.DUMMYFUNCTION("""COMPUTED_VALUE"""),40095.645833333336)</f>
        <v>40095.64583</v>
      </c>
      <c r="C317" s="2">
        <f>IFERROR(__xludf.DUMMYFUNCTION("""COMPUTED_VALUE"""),204.81)</f>
        <v>204.81</v>
      </c>
    </row>
    <row r="318" ht="15.75" customHeight="1">
      <c r="B318" s="3">
        <f>IFERROR(__xludf.DUMMYFUNCTION("""COMPUTED_VALUE"""),40109.645833333336)</f>
        <v>40109.64583</v>
      </c>
      <c r="C318" s="2">
        <f>IFERROR(__xludf.DUMMYFUNCTION("""COMPUTED_VALUE"""),208.61)</f>
        <v>208.61</v>
      </c>
    </row>
    <row r="319" ht="15.75" customHeight="1">
      <c r="B319" s="3">
        <f>IFERROR(__xludf.DUMMYFUNCTION("""COMPUTED_VALUE"""),40116.645833333336)</f>
        <v>40116.64583</v>
      </c>
      <c r="C319" s="2">
        <f>IFERROR(__xludf.DUMMYFUNCTION("""COMPUTED_VALUE"""),197.48)</f>
        <v>197.48</v>
      </c>
    </row>
    <row r="320" ht="15.75" customHeight="1">
      <c r="B320" s="3">
        <f>IFERROR(__xludf.DUMMYFUNCTION("""COMPUTED_VALUE"""),40123.645833333336)</f>
        <v>40123.64583</v>
      </c>
      <c r="C320" s="2">
        <f>IFERROR(__xludf.DUMMYFUNCTION("""COMPUTED_VALUE"""),194.67)</f>
        <v>194.67</v>
      </c>
    </row>
    <row r="321" ht="15.75" customHeight="1">
      <c r="B321" s="3">
        <f>IFERROR(__xludf.DUMMYFUNCTION("""COMPUTED_VALUE"""),40130.645833333336)</f>
        <v>40130.64583</v>
      </c>
      <c r="C321" s="2">
        <f>IFERROR(__xludf.DUMMYFUNCTION("""COMPUTED_VALUE"""),200.67)</f>
        <v>200.67</v>
      </c>
    </row>
    <row r="322" ht="15.75" customHeight="1">
      <c r="B322" s="3">
        <f>IFERROR(__xludf.DUMMYFUNCTION("""COMPUTED_VALUE"""),40137.645833333336)</f>
        <v>40137.64583</v>
      </c>
      <c r="C322" s="2">
        <f>IFERROR(__xludf.DUMMYFUNCTION("""COMPUTED_VALUE"""),201.97)</f>
        <v>201.97</v>
      </c>
    </row>
    <row r="323" ht="15.75" customHeight="1">
      <c r="B323" s="3">
        <f>IFERROR(__xludf.DUMMYFUNCTION("""COMPUTED_VALUE"""),40144.645833333336)</f>
        <v>40144.64583</v>
      </c>
      <c r="C323" s="2">
        <f>IFERROR(__xludf.DUMMYFUNCTION("""COMPUTED_VALUE"""),200.67)</f>
        <v>200.67</v>
      </c>
    </row>
    <row r="324" ht="15.75" customHeight="1">
      <c r="B324" s="3">
        <f>IFERROR(__xludf.DUMMYFUNCTION("""COMPUTED_VALUE"""),40151.645833333336)</f>
        <v>40151.64583</v>
      </c>
      <c r="C324" s="2">
        <f>IFERROR(__xludf.DUMMYFUNCTION("""COMPUTED_VALUE"""),202.49)</f>
        <v>202.49</v>
      </c>
    </row>
    <row r="325" ht="15.75" customHeight="1">
      <c r="B325" s="3">
        <f>IFERROR(__xludf.DUMMYFUNCTION("""COMPUTED_VALUE"""),40158.645833333336)</f>
        <v>40158.64583</v>
      </c>
      <c r="C325" s="2">
        <f>IFERROR(__xludf.DUMMYFUNCTION("""COMPUTED_VALUE"""),200.88)</f>
        <v>200.88</v>
      </c>
    </row>
    <row r="326" ht="15.75" customHeight="1">
      <c r="B326" s="3">
        <f>IFERROR(__xludf.DUMMYFUNCTION("""COMPUTED_VALUE"""),40165.645833333336)</f>
        <v>40165.64583</v>
      </c>
      <c r="C326" s="2">
        <f>IFERROR(__xludf.DUMMYFUNCTION("""COMPUTED_VALUE"""),202.83)</f>
        <v>202.83</v>
      </c>
    </row>
    <row r="327" ht="15.75" customHeight="1">
      <c r="B327" s="3">
        <f>IFERROR(__xludf.DUMMYFUNCTION("""COMPUTED_VALUE"""),40171.645833333336)</f>
        <v>40171.64583</v>
      </c>
      <c r="C327" s="2">
        <f>IFERROR(__xludf.DUMMYFUNCTION("""COMPUTED_VALUE"""),200.24)</f>
        <v>200.24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IFERROR(__xludf.DUMMYFUNCTION("GOOGLEFINANCE(""NSE:ONGC"", ""high"",DATE(2010,1,1),DATE(2011,1,1),""weekly"")"),"Date")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IFERROR(__xludf.DUMMYFUNCTION("""COMPUTED_VALUE"""),40186.645833333336)</f>
        <v>40186.64583</v>
      </c>
      <c r="C332" s="2">
        <f>IFERROR(__xludf.DUMMYFUNCTION("""COMPUTED_VALUE"""),206.43)</f>
        <v>206.43</v>
      </c>
    </row>
    <row r="333" ht="15.75" customHeight="1">
      <c r="B333" s="3">
        <f>IFERROR(__xludf.DUMMYFUNCTION("""COMPUTED_VALUE"""),40193.645833333336)</f>
        <v>40193.64583</v>
      </c>
      <c r="C333" s="2">
        <f>IFERROR(__xludf.DUMMYFUNCTION("""COMPUTED_VALUE"""),207.79)</f>
        <v>207.79</v>
      </c>
    </row>
    <row r="334" ht="15.75" customHeight="1">
      <c r="B334" s="3">
        <f>IFERROR(__xludf.DUMMYFUNCTION("""COMPUTED_VALUE"""),40200.645833333336)</f>
        <v>40200.64583</v>
      </c>
      <c r="C334" s="2">
        <f>IFERROR(__xludf.DUMMYFUNCTION("""COMPUTED_VALUE"""),203.83)</f>
        <v>203.83</v>
      </c>
    </row>
    <row r="335" ht="15.75" customHeight="1">
      <c r="B335" s="3">
        <f>IFERROR(__xludf.DUMMYFUNCTION("""COMPUTED_VALUE"""),40207.645833333336)</f>
        <v>40207.64583</v>
      </c>
      <c r="C335" s="2">
        <f>IFERROR(__xludf.DUMMYFUNCTION("""COMPUTED_VALUE"""),188.93)</f>
        <v>188.93</v>
      </c>
    </row>
    <row r="336" ht="15.75" customHeight="1">
      <c r="B336" s="3">
        <f>IFERROR(__xludf.DUMMYFUNCTION("""COMPUTED_VALUE"""),40220.645833333336)</f>
        <v>40220.64583</v>
      </c>
      <c r="C336" s="2">
        <f>IFERROR(__xludf.DUMMYFUNCTION("""COMPUTED_VALUE"""),189.5)</f>
        <v>189.5</v>
      </c>
    </row>
    <row r="337" ht="15.75" customHeight="1">
      <c r="B337" s="3">
        <f>IFERROR(__xludf.DUMMYFUNCTION("""COMPUTED_VALUE"""),40228.645833333336)</f>
        <v>40228.64583</v>
      </c>
      <c r="C337" s="2">
        <f>IFERROR(__xludf.DUMMYFUNCTION("""COMPUTED_VALUE"""),186.5)</f>
        <v>186.5</v>
      </c>
    </row>
    <row r="338" ht="15.75" customHeight="1">
      <c r="B338" s="3">
        <f>IFERROR(__xludf.DUMMYFUNCTION("""COMPUTED_VALUE"""),40235.645833333336)</f>
        <v>40235.64583</v>
      </c>
      <c r="C338" s="2">
        <f>IFERROR(__xludf.DUMMYFUNCTION("""COMPUTED_VALUE"""),188.93)</f>
        <v>188.93</v>
      </c>
    </row>
    <row r="339" ht="15.75" customHeight="1">
      <c r="B339" s="3">
        <f>IFERROR(__xludf.DUMMYFUNCTION("""COMPUTED_VALUE"""),40242.645833333336)</f>
        <v>40242.64583</v>
      </c>
      <c r="C339" s="2">
        <f>IFERROR(__xludf.DUMMYFUNCTION("""COMPUTED_VALUE"""),189.77)</f>
        <v>189.77</v>
      </c>
    </row>
    <row r="340" ht="15.75" customHeight="1">
      <c r="B340" s="3">
        <f>IFERROR(__xludf.DUMMYFUNCTION("""COMPUTED_VALUE"""),40249.645833333336)</f>
        <v>40249.64583</v>
      </c>
      <c r="C340" s="2">
        <f>IFERROR(__xludf.DUMMYFUNCTION("""COMPUTED_VALUE"""),184.58)</f>
        <v>184.58</v>
      </c>
    </row>
    <row r="341" ht="15.75" customHeight="1">
      <c r="B341" s="3">
        <f>IFERROR(__xludf.DUMMYFUNCTION("""COMPUTED_VALUE"""),40256.645833333336)</f>
        <v>40256.64583</v>
      </c>
      <c r="C341" s="2">
        <f>IFERROR(__xludf.DUMMYFUNCTION("""COMPUTED_VALUE"""),181.21)</f>
        <v>181.21</v>
      </c>
    </row>
    <row r="342" ht="15.75" customHeight="1">
      <c r="B342" s="3">
        <f>IFERROR(__xludf.DUMMYFUNCTION("""COMPUTED_VALUE"""),40263.645833333336)</f>
        <v>40263.64583</v>
      </c>
      <c r="C342" s="2">
        <f>IFERROR(__xludf.DUMMYFUNCTION("""COMPUTED_VALUE"""),180.67)</f>
        <v>180.67</v>
      </c>
    </row>
    <row r="343" ht="15.75" customHeight="1">
      <c r="B343" s="3">
        <f>IFERROR(__xludf.DUMMYFUNCTION("""COMPUTED_VALUE"""),40269.645833333336)</f>
        <v>40269.64583</v>
      </c>
      <c r="C343" s="2">
        <f>IFERROR(__xludf.DUMMYFUNCTION("""COMPUTED_VALUE"""),185.35)</f>
        <v>185.35</v>
      </c>
    </row>
    <row r="344" ht="15.75" customHeight="1">
      <c r="B344" s="3">
        <f>IFERROR(__xludf.DUMMYFUNCTION("""COMPUTED_VALUE"""),40277.645833333336)</f>
        <v>40277.64583</v>
      </c>
      <c r="C344" s="2">
        <f>IFERROR(__xludf.DUMMYFUNCTION("""COMPUTED_VALUE"""),185.0)</f>
        <v>185</v>
      </c>
    </row>
    <row r="345" ht="15.75" customHeight="1">
      <c r="B345" s="3">
        <f>IFERROR(__xludf.DUMMYFUNCTION("""COMPUTED_VALUE"""),40284.645833333336)</f>
        <v>40284.64583</v>
      </c>
      <c r="C345" s="2">
        <f>IFERROR(__xludf.DUMMYFUNCTION("""COMPUTED_VALUE"""),179.14)</f>
        <v>179.14</v>
      </c>
    </row>
    <row r="346" ht="15.75" customHeight="1">
      <c r="B346" s="3">
        <f>IFERROR(__xludf.DUMMYFUNCTION("""COMPUTED_VALUE"""),40291.645833333336)</f>
        <v>40291.64583</v>
      </c>
      <c r="C346" s="2">
        <f>IFERROR(__xludf.DUMMYFUNCTION("""COMPUTED_VALUE"""),171.5)</f>
        <v>171.5</v>
      </c>
    </row>
    <row r="347" ht="15.75" customHeight="1">
      <c r="B347" s="3">
        <f>IFERROR(__xludf.DUMMYFUNCTION("""COMPUTED_VALUE"""),40298.645833333336)</f>
        <v>40298.64583</v>
      </c>
      <c r="C347" s="2">
        <f>IFERROR(__xludf.DUMMYFUNCTION("""COMPUTED_VALUE"""),176.87)</f>
        <v>176.87</v>
      </c>
    </row>
    <row r="348" ht="15.75" customHeight="1">
      <c r="B348" s="3">
        <f>IFERROR(__xludf.DUMMYFUNCTION("""COMPUTED_VALUE"""),40305.645833333336)</f>
        <v>40305.64583</v>
      </c>
      <c r="C348" s="2">
        <f>IFERROR(__xludf.DUMMYFUNCTION("""COMPUTED_VALUE"""),176.93)</f>
        <v>176.93</v>
      </c>
    </row>
    <row r="349" ht="15.75" customHeight="1">
      <c r="B349" s="3">
        <f>IFERROR(__xludf.DUMMYFUNCTION("""COMPUTED_VALUE"""),40312.645833333336)</f>
        <v>40312.64583</v>
      </c>
      <c r="C349" s="2">
        <f>IFERROR(__xludf.DUMMYFUNCTION("""COMPUTED_VALUE"""),175.92)</f>
        <v>175.92</v>
      </c>
    </row>
    <row r="350" ht="15.75" customHeight="1">
      <c r="B350" s="3">
        <f>IFERROR(__xludf.DUMMYFUNCTION("""COMPUTED_VALUE"""),40319.645833333336)</f>
        <v>40319.64583</v>
      </c>
      <c r="C350" s="2">
        <f>IFERROR(__xludf.DUMMYFUNCTION("""COMPUTED_VALUE"""),190.33)</f>
        <v>190.33</v>
      </c>
    </row>
    <row r="351" ht="15.75" customHeight="1">
      <c r="B351" s="3">
        <f>IFERROR(__xludf.DUMMYFUNCTION("""COMPUTED_VALUE"""),40326.645833333336)</f>
        <v>40326.64583</v>
      </c>
      <c r="C351" s="2">
        <f>IFERROR(__xludf.DUMMYFUNCTION("""COMPUTED_VALUE"""),190.83)</f>
        <v>190.83</v>
      </c>
    </row>
    <row r="352" ht="15.75" customHeight="1">
      <c r="B352" s="3">
        <f>IFERROR(__xludf.DUMMYFUNCTION("""COMPUTED_VALUE"""),40333.645833333336)</f>
        <v>40333.64583</v>
      </c>
      <c r="C352" s="2">
        <f>IFERROR(__xludf.DUMMYFUNCTION("""COMPUTED_VALUE"""),205.0)</f>
        <v>205</v>
      </c>
    </row>
    <row r="353" ht="15.75" customHeight="1">
      <c r="B353" s="3">
        <f>IFERROR(__xludf.DUMMYFUNCTION("""COMPUTED_VALUE"""),40340.645833333336)</f>
        <v>40340.64583</v>
      </c>
      <c r="C353" s="2">
        <f>IFERROR(__xludf.DUMMYFUNCTION("""COMPUTED_VALUE"""),201.33)</f>
        <v>201.33</v>
      </c>
    </row>
    <row r="354" ht="15.75" customHeight="1">
      <c r="B354" s="3">
        <f>IFERROR(__xludf.DUMMYFUNCTION("""COMPUTED_VALUE"""),40347.645833333336)</f>
        <v>40347.64583</v>
      </c>
      <c r="C354" s="2">
        <f>IFERROR(__xludf.DUMMYFUNCTION("""COMPUTED_VALUE"""),200.83)</f>
        <v>200.83</v>
      </c>
    </row>
    <row r="355" ht="15.75" customHeight="1">
      <c r="B355" s="3">
        <f>IFERROR(__xludf.DUMMYFUNCTION("""COMPUTED_VALUE"""),40354.645833333336)</f>
        <v>40354.64583</v>
      </c>
      <c r="C355" s="2">
        <f>IFERROR(__xludf.DUMMYFUNCTION("""COMPUTED_VALUE"""),215.17)</f>
        <v>215.17</v>
      </c>
    </row>
    <row r="356" ht="15.75" customHeight="1">
      <c r="B356" s="3">
        <f>IFERROR(__xludf.DUMMYFUNCTION("""COMPUTED_VALUE"""),40361.645833333336)</f>
        <v>40361.64583</v>
      </c>
      <c r="C356" s="2">
        <f>IFERROR(__xludf.DUMMYFUNCTION("""COMPUTED_VALUE"""),224.48)</f>
        <v>224.48</v>
      </c>
    </row>
    <row r="357" ht="15.75" customHeight="1">
      <c r="B357" s="3">
        <f>IFERROR(__xludf.DUMMYFUNCTION("""COMPUTED_VALUE"""),40368.645833333336)</f>
        <v>40368.64583</v>
      </c>
      <c r="C357" s="2">
        <f>IFERROR(__xludf.DUMMYFUNCTION("""COMPUTED_VALUE"""),218.32)</f>
        <v>218.32</v>
      </c>
    </row>
    <row r="358" ht="15.75" customHeight="1">
      <c r="B358" s="3">
        <f>IFERROR(__xludf.DUMMYFUNCTION("""COMPUTED_VALUE"""),40375.645833333336)</f>
        <v>40375.64583</v>
      </c>
      <c r="C358" s="2">
        <f>IFERROR(__xludf.DUMMYFUNCTION("""COMPUTED_VALUE"""),217.33)</f>
        <v>217.33</v>
      </c>
    </row>
    <row r="359" ht="15.75" customHeight="1">
      <c r="B359" s="3">
        <f>IFERROR(__xludf.DUMMYFUNCTION("""COMPUTED_VALUE"""),40382.645833333336)</f>
        <v>40382.64583</v>
      </c>
      <c r="C359" s="2">
        <f>IFERROR(__xludf.DUMMYFUNCTION("""COMPUTED_VALUE"""),213.8)</f>
        <v>213.8</v>
      </c>
    </row>
    <row r="360" ht="15.75" customHeight="1">
      <c r="B360" s="3">
        <f>IFERROR(__xludf.DUMMYFUNCTION("""COMPUTED_VALUE"""),40389.645833333336)</f>
        <v>40389.64583</v>
      </c>
      <c r="C360" s="2">
        <f>IFERROR(__xludf.DUMMYFUNCTION("""COMPUTED_VALUE"""),213.28)</f>
        <v>213.28</v>
      </c>
    </row>
    <row r="361" ht="15.75" customHeight="1">
      <c r="B361" s="3">
        <f>IFERROR(__xludf.DUMMYFUNCTION("""COMPUTED_VALUE"""),40396.645833333336)</f>
        <v>40396.64583</v>
      </c>
      <c r="C361" s="2">
        <f>IFERROR(__xludf.DUMMYFUNCTION("""COMPUTED_VALUE"""),215.0)</f>
        <v>215</v>
      </c>
    </row>
    <row r="362" ht="15.75" customHeight="1">
      <c r="B362" s="3">
        <f>IFERROR(__xludf.DUMMYFUNCTION("""COMPUTED_VALUE"""),40403.645833333336)</f>
        <v>40403.64583</v>
      </c>
      <c r="C362" s="2">
        <f>IFERROR(__xludf.DUMMYFUNCTION("""COMPUTED_VALUE"""),214.67)</f>
        <v>214.67</v>
      </c>
    </row>
    <row r="363" ht="15.75" customHeight="1">
      <c r="B363" s="3">
        <f>IFERROR(__xludf.DUMMYFUNCTION("""COMPUTED_VALUE"""),40410.645833333336)</f>
        <v>40410.64583</v>
      </c>
      <c r="C363" s="2">
        <f>IFERROR(__xludf.DUMMYFUNCTION("""COMPUTED_VALUE"""),217.18)</f>
        <v>217.18</v>
      </c>
    </row>
    <row r="364" ht="15.75" customHeight="1">
      <c r="B364" s="3">
        <f>IFERROR(__xludf.DUMMYFUNCTION("""COMPUTED_VALUE"""),40417.645833333336)</f>
        <v>40417.64583</v>
      </c>
      <c r="C364" s="2">
        <f>IFERROR(__xludf.DUMMYFUNCTION("""COMPUTED_VALUE"""),222.32)</f>
        <v>222.32</v>
      </c>
    </row>
    <row r="365" ht="15.75" customHeight="1">
      <c r="B365" s="3">
        <f>IFERROR(__xludf.DUMMYFUNCTION("""COMPUTED_VALUE"""),40424.645833333336)</f>
        <v>40424.64583</v>
      </c>
      <c r="C365" s="2">
        <f>IFERROR(__xludf.DUMMYFUNCTION("""COMPUTED_VALUE"""),226.65)</f>
        <v>226.65</v>
      </c>
    </row>
    <row r="366" ht="15.75" customHeight="1">
      <c r="B366" s="3">
        <f>IFERROR(__xludf.DUMMYFUNCTION("""COMPUTED_VALUE"""),40430.645833333336)</f>
        <v>40430.64583</v>
      </c>
      <c r="C366" s="2">
        <f>IFERROR(__xludf.DUMMYFUNCTION("""COMPUTED_VALUE"""),228.67)</f>
        <v>228.67</v>
      </c>
    </row>
    <row r="367" ht="15.75" customHeight="1">
      <c r="B367" s="3">
        <f>IFERROR(__xludf.DUMMYFUNCTION("""COMPUTED_VALUE"""),40438.645833333336)</f>
        <v>40438.64583</v>
      </c>
      <c r="C367" s="2">
        <f>IFERROR(__xludf.DUMMYFUNCTION("""COMPUTED_VALUE"""),242.23)</f>
        <v>242.23</v>
      </c>
    </row>
    <row r="368" ht="15.75" customHeight="1">
      <c r="B368" s="3">
        <f>IFERROR(__xludf.DUMMYFUNCTION("""COMPUTED_VALUE"""),40445.645833333336)</f>
        <v>40445.64583</v>
      </c>
      <c r="C368" s="2">
        <f>IFERROR(__xludf.DUMMYFUNCTION("""COMPUTED_VALUE"""),241.28)</f>
        <v>241.28</v>
      </c>
    </row>
    <row r="369" ht="15.75" customHeight="1">
      <c r="B369" s="3">
        <f>IFERROR(__xludf.DUMMYFUNCTION("""COMPUTED_VALUE"""),40452.645833333336)</f>
        <v>40452.64583</v>
      </c>
      <c r="C369" s="2">
        <f>IFERROR(__xludf.DUMMYFUNCTION("""COMPUTED_VALUE"""),245.43)</f>
        <v>245.43</v>
      </c>
    </row>
    <row r="370" ht="15.75" customHeight="1">
      <c r="B370" s="3">
        <f>IFERROR(__xludf.DUMMYFUNCTION("""COMPUTED_VALUE"""),40459.645833333336)</f>
        <v>40459.64583</v>
      </c>
      <c r="C370" s="2">
        <f>IFERROR(__xludf.DUMMYFUNCTION("""COMPUTED_VALUE"""),240.73)</f>
        <v>240.73</v>
      </c>
    </row>
    <row r="371" ht="15.75" customHeight="1">
      <c r="B371" s="3">
        <f>IFERROR(__xludf.DUMMYFUNCTION("""COMPUTED_VALUE"""),40466.645833333336)</f>
        <v>40466.64583</v>
      </c>
      <c r="C371" s="2">
        <f>IFERROR(__xludf.DUMMYFUNCTION("""COMPUTED_VALUE"""),231.65)</f>
        <v>231.65</v>
      </c>
    </row>
    <row r="372" ht="15.75" customHeight="1">
      <c r="B372" s="3">
        <f>IFERROR(__xludf.DUMMYFUNCTION("""COMPUTED_VALUE"""),40473.645833333336)</f>
        <v>40473.64583</v>
      </c>
      <c r="C372" s="2">
        <f>IFERROR(__xludf.DUMMYFUNCTION("""COMPUTED_VALUE"""),229.07)</f>
        <v>229.07</v>
      </c>
    </row>
    <row r="373" ht="15.75" customHeight="1">
      <c r="B373" s="3">
        <f>IFERROR(__xludf.DUMMYFUNCTION("""COMPUTED_VALUE"""),40480.645833333336)</f>
        <v>40480.64583</v>
      </c>
      <c r="C373" s="2">
        <f>IFERROR(__xludf.DUMMYFUNCTION("""COMPUTED_VALUE"""),227.0)</f>
        <v>227</v>
      </c>
    </row>
    <row r="374" ht="15.75" customHeight="1">
      <c r="B374" s="3">
        <f>IFERROR(__xludf.DUMMYFUNCTION("""COMPUTED_VALUE"""),40487.645833333336)</f>
        <v>40487.64583</v>
      </c>
      <c r="C374" s="2">
        <f>IFERROR(__xludf.DUMMYFUNCTION("""COMPUTED_VALUE"""),231.67)</f>
        <v>231.67</v>
      </c>
    </row>
    <row r="375" ht="15.75" customHeight="1">
      <c r="B375" s="3">
        <f>IFERROR(__xludf.DUMMYFUNCTION("""COMPUTED_VALUE"""),40494.645833333336)</f>
        <v>40494.64583</v>
      </c>
      <c r="C375" s="2">
        <f>IFERROR(__xludf.DUMMYFUNCTION("""COMPUTED_VALUE"""),232.67)</f>
        <v>232.67</v>
      </c>
    </row>
    <row r="376" ht="15.75" customHeight="1">
      <c r="B376" s="3">
        <f>IFERROR(__xludf.DUMMYFUNCTION("""COMPUTED_VALUE"""),40501.645833333336)</f>
        <v>40501.64583</v>
      </c>
      <c r="C376" s="2">
        <f>IFERROR(__xludf.DUMMYFUNCTION("""COMPUTED_VALUE"""),221.32)</f>
        <v>221.32</v>
      </c>
    </row>
    <row r="377" ht="15.75" customHeight="1">
      <c r="B377" s="3">
        <f>IFERROR(__xludf.DUMMYFUNCTION("""COMPUTED_VALUE"""),40508.645833333336)</f>
        <v>40508.64583</v>
      </c>
      <c r="C377" s="2">
        <f>IFERROR(__xludf.DUMMYFUNCTION("""COMPUTED_VALUE"""),217.5)</f>
        <v>217.5</v>
      </c>
    </row>
    <row r="378" ht="15.75" customHeight="1">
      <c r="B378" s="3">
        <f>IFERROR(__xludf.DUMMYFUNCTION("""COMPUTED_VALUE"""),40515.645833333336)</f>
        <v>40515.64583</v>
      </c>
      <c r="C378" s="2">
        <f>IFERROR(__xludf.DUMMYFUNCTION("""COMPUTED_VALUE"""),225.78)</f>
        <v>225.78</v>
      </c>
    </row>
    <row r="379" ht="15.75" customHeight="1">
      <c r="B379" s="3">
        <f>IFERROR(__xludf.DUMMYFUNCTION("""COMPUTED_VALUE"""),40522.645833333336)</f>
        <v>40522.64583</v>
      </c>
      <c r="C379" s="2">
        <f>IFERROR(__xludf.DUMMYFUNCTION("""COMPUTED_VALUE"""),227.31)</f>
        <v>227.31</v>
      </c>
    </row>
    <row r="380" ht="15.75" customHeight="1">
      <c r="B380" s="3">
        <f>IFERROR(__xludf.DUMMYFUNCTION("""COMPUTED_VALUE"""),40528.645833333336)</f>
        <v>40528.64583</v>
      </c>
      <c r="C380" s="2">
        <f>IFERROR(__xludf.DUMMYFUNCTION("""COMPUTED_VALUE"""),223.98)</f>
        <v>223.98</v>
      </c>
    </row>
    <row r="381" ht="15.75" customHeight="1">
      <c r="B381" s="3">
        <f>IFERROR(__xludf.DUMMYFUNCTION("""COMPUTED_VALUE"""),40536.645833333336)</f>
        <v>40536.64583</v>
      </c>
      <c r="C381" s="2">
        <f>IFERROR(__xludf.DUMMYFUNCTION("""COMPUTED_VALUE"""),220.67)</f>
        <v>220.67</v>
      </c>
    </row>
    <row r="382" ht="15.75" customHeight="1">
      <c r="B382" s="3">
        <f>IFERROR(__xludf.DUMMYFUNCTION("""COMPUTED_VALUE"""),40543.645833333336)</f>
        <v>40543.64583</v>
      </c>
      <c r="C382" s="2">
        <f>IFERROR(__xludf.DUMMYFUNCTION("""COMPUTED_VALUE"""),217.67)</f>
        <v>217.67</v>
      </c>
    </row>
    <row r="383" ht="15.75" customHeight="1"/>
    <row r="384" ht="15.75" customHeight="1"/>
    <row r="385" ht="15.75" customHeight="1"/>
    <row r="386" ht="15.75" customHeight="1">
      <c r="B386" s="2" t="str">
        <f>IFERROR(__xludf.DUMMYFUNCTION("GOOGLEFINANCE(""NSE:ONGC"", ""high"",DATE(2011,1,1),DATE(2012,1,1),""weekly"")"),"Date")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IFERROR(__xludf.DUMMYFUNCTION("""COMPUTED_VALUE"""),40550.645833333336)</f>
        <v>40550.64583</v>
      </c>
      <c r="C387" s="2">
        <f>IFERROR(__xludf.DUMMYFUNCTION("""COMPUTED_VALUE"""),217.33)</f>
        <v>217.33</v>
      </c>
    </row>
    <row r="388" ht="15.75" customHeight="1">
      <c r="B388" s="3">
        <f>IFERROR(__xludf.DUMMYFUNCTION("""COMPUTED_VALUE"""),40557.645833333336)</f>
        <v>40557.64583</v>
      </c>
      <c r="C388" s="2">
        <f>IFERROR(__xludf.DUMMYFUNCTION("""COMPUTED_VALUE"""),202.5)</f>
        <v>202.5</v>
      </c>
    </row>
    <row r="389" ht="15.75" customHeight="1">
      <c r="B389" s="3">
        <f>IFERROR(__xludf.DUMMYFUNCTION("""COMPUTED_VALUE"""),40564.645833333336)</f>
        <v>40564.64583</v>
      </c>
      <c r="C389" s="2">
        <f>IFERROR(__xludf.DUMMYFUNCTION("""COMPUTED_VALUE"""),197.83)</f>
        <v>197.83</v>
      </c>
    </row>
    <row r="390" ht="15.75" customHeight="1">
      <c r="B390" s="3">
        <f>IFERROR(__xludf.DUMMYFUNCTION("""COMPUTED_VALUE"""),40571.645833333336)</f>
        <v>40571.64583</v>
      </c>
      <c r="C390" s="2">
        <f>IFERROR(__xludf.DUMMYFUNCTION("""COMPUTED_VALUE"""),191.63)</f>
        <v>191.63</v>
      </c>
    </row>
    <row r="391" ht="15.75" customHeight="1">
      <c r="B391" s="3">
        <f>IFERROR(__xludf.DUMMYFUNCTION("""COMPUTED_VALUE"""),40578.645833333336)</f>
        <v>40578.64583</v>
      </c>
      <c r="C391" s="2">
        <f>IFERROR(__xludf.DUMMYFUNCTION("""COMPUTED_VALUE"""),205.53)</f>
        <v>205.53</v>
      </c>
    </row>
    <row r="392" ht="15.75" customHeight="1">
      <c r="B392" s="3">
        <f>IFERROR(__xludf.DUMMYFUNCTION("""COMPUTED_VALUE"""),40585.645833333336)</f>
        <v>40585.64583</v>
      </c>
      <c r="C392" s="2">
        <f>IFERROR(__xludf.DUMMYFUNCTION("""COMPUTED_VALUE"""),203.0)</f>
        <v>203</v>
      </c>
    </row>
    <row r="393" ht="15.75" customHeight="1">
      <c r="B393" s="3">
        <f>IFERROR(__xludf.DUMMYFUNCTION("""COMPUTED_VALUE"""),40592.645833333336)</f>
        <v>40592.64583</v>
      </c>
      <c r="C393" s="2">
        <f>IFERROR(__xludf.DUMMYFUNCTION("""COMPUTED_VALUE"""),190.6)</f>
        <v>190.6</v>
      </c>
    </row>
    <row r="394" ht="15.75" customHeight="1">
      <c r="B394" s="3">
        <f>IFERROR(__xludf.DUMMYFUNCTION("""COMPUTED_VALUE"""),40599.645833333336)</f>
        <v>40599.64583</v>
      </c>
      <c r="C394" s="2">
        <f>IFERROR(__xludf.DUMMYFUNCTION("""COMPUTED_VALUE"""),184.93)</f>
        <v>184.93</v>
      </c>
    </row>
    <row r="395" ht="15.75" customHeight="1">
      <c r="B395" s="3">
        <f>IFERROR(__xludf.DUMMYFUNCTION("""COMPUTED_VALUE"""),40606.645833333336)</f>
        <v>40606.64583</v>
      </c>
      <c r="C395" s="2">
        <f>IFERROR(__xludf.DUMMYFUNCTION("""COMPUTED_VALUE"""),183.73)</f>
        <v>183.73</v>
      </c>
    </row>
    <row r="396" ht="15.75" customHeight="1">
      <c r="B396" s="3">
        <f>IFERROR(__xludf.DUMMYFUNCTION("""COMPUTED_VALUE"""),40613.645833333336)</f>
        <v>40613.64583</v>
      </c>
      <c r="C396" s="2">
        <f>IFERROR(__xludf.DUMMYFUNCTION("""COMPUTED_VALUE"""),190.27)</f>
        <v>190.27</v>
      </c>
    </row>
    <row r="397" ht="15.75" customHeight="1">
      <c r="B397" s="3">
        <f>IFERROR(__xludf.DUMMYFUNCTION("""COMPUTED_VALUE"""),40620.645833333336)</f>
        <v>40620.64583</v>
      </c>
      <c r="C397" s="2">
        <f>IFERROR(__xludf.DUMMYFUNCTION("""COMPUTED_VALUE"""),190.67)</f>
        <v>190.67</v>
      </c>
    </row>
    <row r="398" ht="15.75" customHeight="1">
      <c r="B398" s="3">
        <f>IFERROR(__xludf.DUMMYFUNCTION("""COMPUTED_VALUE"""),40627.645833333336)</f>
        <v>40627.64583</v>
      </c>
      <c r="C398" s="2">
        <f>IFERROR(__xludf.DUMMYFUNCTION("""COMPUTED_VALUE"""),185.1)</f>
        <v>185.1</v>
      </c>
    </row>
    <row r="399" ht="15.75" customHeight="1">
      <c r="B399" s="3">
        <f>IFERROR(__xludf.DUMMYFUNCTION("""COMPUTED_VALUE"""),40634.645833333336)</f>
        <v>40634.64583</v>
      </c>
      <c r="C399" s="2">
        <f>IFERROR(__xludf.DUMMYFUNCTION("""COMPUTED_VALUE"""),197.1)</f>
        <v>197.1</v>
      </c>
    </row>
    <row r="400" ht="15.75" customHeight="1">
      <c r="B400" s="3">
        <f>IFERROR(__xludf.DUMMYFUNCTION("""COMPUTED_VALUE"""),40641.645833333336)</f>
        <v>40641.64583</v>
      </c>
      <c r="C400" s="2">
        <f>IFERROR(__xludf.DUMMYFUNCTION("""COMPUTED_VALUE"""),202.3)</f>
        <v>202.3</v>
      </c>
    </row>
    <row r="401" ht="15.75" customHeight="1">
      <c r="B401" s="3">
        <f>IFERROR(__xludf.DUMMYFUNCTION("""COMPUTED_VALUE"""),40648.645833333336)</f>
        <v>40648.64583</v>
      </c>
      <c r="C401" s="2">
        <f>IFERROR(__xludf.DUMMYFUNCTION("""COMPUTED_VALUE"""),193.7)</f>
        <v>193.7</v>
      </c>
    </row>
    <row r="402" ht="15.75" customHeight="1">
      <c r="B402" s="3">
        <f>IFERROR(__xludf.DUMMYFUNCTION("""COMPUTED_VALUE"""),40654.645833333336)</f>
        <v>40654.64583</v>
      </c>
      <c r="C402" s="2">
        <f>IFERROR(__xludf.DUMMYFUNCTION("""COMPUTED_VALUE"""),203.8)</f>
        <v>203.8</v>
      </c>
    </row>
    <row r="403" ht="15.75" customHeight="1">
      <c r="B403" s="3">
        <f>IFERROR(__xludf.DUMMYFUNCTION("""COMPUTED_VALUE"""),40662.645833333336)</f>
        <v>40662.64583</v>
      </c>
      <c r="C403" s="2">
        <f>IFERROR(__xludf.DUMMYFUNCTION("""COMPUTED_VALUE"""),217.1)</f>
        <v>217.1</v>
      </c>
    </row>
    <row r="404" ht="15.75" customHeight="1">
      <c r="B404" s="3">
        <f>IFERROR(__xludf.DUMMYFUNCTION("""COMPUTED_VALUE"""),40669.645833333336)</f>
        <v>40669.64583</v>
      </c>
      <c r="C404" s="2">
        <f>IFERROR(__xludf.DUMMYFUNCTION("""COMPUTED_VALUE"""),210.53)</f>
        <v>210.53</v>
      </c>
    </row>
    <row r="405" ht="15.75" customHeight="1">
      <c r="B405" s="3">
        <f>IFERROR(__xludf.DUMMYFUNCTION("""COMPUTED_VALUE"""),40676.645833333336)</f>
        <v>40676.64583</v>
      </c>
      <c r="C405" s="2">
        <f>IFERROR(__xludf.DUMMYFUNCTION("""COMPUTED_VALUE"""),208.2)</f>
        <v>208.2</v>
      </c>
    </row>
    <row r="406" ht="15.75" customHeight="1">
      <c r="B406" s="3">
        <f>IFERROR(__xludf.DUMMYFUNCTION("""COMPUTED_VALUE"""),40683.645833333336)</f>
        <v>40683.64583</v>
      </c>
      <c r="C406" s="2">
        <f>IFERROR(__xludf.DUMMYFUNCTION("""COMPUTED_VALUE"""),205.6)</f>
        <v>205.6</v>
      </c>
    </row>
    <row r="407" ht="15.75" customHeight="1">
      <c r="B407" s="3">
        <f>IFERROR(__xludf.DUMMYFUNCTION("""COMPUTED_VALUE"""),40690.645833333336)</f>
        <v>40690.64583</v>
      </c>
      <c r="C407" s="2">
        <f>IFERROR(__xludf.DUMMYFUNCTION("""COMPUTED_VALUE"""),189.93)</f>
        <v>189.93</v>
      </c>
    </row>
    <row r="408" ht="15.75" customHeight="1">
      <c r="B408" s="3">
        <f>IFERROR(__xludf.DUMMYFUNCTION("""COMPUTED_VALUE"""),40697.645833333336)</f>
        <v>40697.64583</v>
      </c>
      <c r="C408" s="2">
        <f>IFERROR(__xludf.DUMMYFUNCTION("""COMPUTED_VALUE"""),190.9)</f>
        <v>190.9</v>
      </c>
    </row>
    <row r="409" ht="15.75" customHeight="1">
      <c r="B409" s="3">
        <f>IFERROR(__xludf.DUMMYFUNCTION("""COMPUTED_VALUE"""),40704.645833333336)</f>
        <v>40704.64583</v>
      </c>
      <c r="C409" s="2">
        <f>IFERROR(__xludf.DUMMYFUNCTION("""COMPUTED_VALUE"""),186.5)</f>
        <v>186.5</v>
      </c>
    </row>
    <row r="410" ht="15.75" customHeight="1">
      <c r="B410" s="3">
        <f>IFERROR(__xludf.DUMMYFUNCTION("""COMPUTED_VALUE"""),40711.645833333336)</f>
        <v>40711.64583</v>
      </c>
      <c r="C410" s="2">
        <f>IFERROR(__xludf.DUMMYFUNCTION("""COMPUTED_VALUE"""),182.67)</f>
        <v>182.67</v>
      </c>
    </row>
    <row r="411" ht="15.75" customHeight="1">
      <c r="B411" s="3">
        <f>IFERROR(__xludf.DUMMYFUNCTION("""COMPUTED_VALUE"""),40718.645833333336)</f>
        <v>40718.64583</v>
      </c>
      <c r="C411" s="2">
        <f>IFERROR(__xludf.DUMMYFUNCTION("""COMPUTED_VALUE"""),183.6)</f>
        <v>183.6</v>
      </c>
    </row>
    <row r="412" ht="15.75" customHeight="1">
      <c r="B412" s="3">
        <f>IFERROR(__xludf.DUMMYFUNCTION("""COMPUTED_VALUE"""),40725.645833333336)</f>
        <v>40725.64583</v>
      </c>
      <c r="C412" s="2">
        <f>IFERROR(__xludf.DUMMYFUNCTION("""COMPUTED_VALUE"""),198.33)</f>
        <v>198.33</v>
      </c>
    </row>
    <row r="413" ht="15.75" customHeight="1">
      <c r="B413" s="3">
        <f>IFERROR(__xludf.DUMMYFUNCTION("""COMPUTED_VALUE"""),40732.645833333336)</f>
        <v>40732.64583</v>
      </c>
      <c r="C413" s="2">
        <f>IFERROR(__xludf.DUMMYFUNCTION("""COMPUTED_VALUE"""),187.1)</f>
        <v>187.1</v>
      </c>
    </row>
    <row r="414" ht="15.75" customHeight="1">
      <c r="B414" s="3">
        <f>IFERROR(__xludf.DUMMYFUNCTION("""COMPUTED_VALUE"""),40739.645833333336)</f>
        <v>40739.64583</v>
      </c>
      <c r="C414" s="2">
        <f>IFERROR(__xludf.DUMMYFUNCTION("""COMPUTED_VALUE"""),192.53)</f>
        <v>192.53</v>
      </c>
    </row>
    <row r="415" ht="15.75" customHeight="1">
      <c r="B415" s="3">
        <f>IFERROR(__xludf.DUMMYFUNCTION("""COMPUTED_VALUE"""),40746.645833333336)</f>
        <v>40746.64583</v>
      </c>
      <c r="C415" s="2">
        <f>IFERROR(__xludf.DUMMYFUNCTION("""COMPUTED_VALUE"""),187.93)</f>
        <v>187.93</v>
      </c>
    </row>
    <row r="416" ht="15.75" customHeight="1">
      <c r="B416" s="3">
        <f>IFERROR(__xludf.DUMMYFUNCTION("""COMPUTED_VALUE"""),40753.645833333336)</f>
        <v>40753.64583</v>
      </c>
      <c r="C416" s="2">
        <f>IFERROR(__xludf.DUMMYFUNCTION("""COMPUTED_VALUE"""),188.27)</f>
        <v>188.27</v>
      </c>
    </row>
    <row r="417" ht="15.75" customHeight="1">
      <c r="B417" s="3">
        <f>IFERROR(__xludf.DUMMYFUNCTION("""COMPUTED_VALUE"""),40760.645833333336)</f>
        <v>40760.64583</v>
      </c>
      <c r="C417" s="2">
        <f>IFERROR(__xludf.DUMMYFUNCTION("""COMPUTED_VALUE"""),187.03)</f>
        <v>187.03</v>
      </c>
    </row>
    <row r="418" ht="15.75" customHeight="1">
      <c r="B418" s="3">
        <f>IFERROR(__xludf.DUMMYFUNCTION("""COMPUTED_VALUE"""),40767.645833333336)</f>
        <v>40767.64583</v>
      </c>
      <c r="C418" s="2">
        <f>IFERROR(__xludf.DUMMYFUNCTION("""COMPUTED_VALUE"""),193.43)</f>
        <v>193.43</v>
      </c>
    </row>
    <row r="419" ht="15.75" customHeight="1">
      <c r="B419" s="3">
        <f>IFERROR(__xludf.DUMMYFUNCTION("""COMPUTED_VALUE"""),40774.645833333336)</f>
        <v>40774.64583</v>
      </c>
      <c r="C419" s="2">
        <f>IFERROR(__xludf.DUMMYFUNCTION("""COMPUTED_VALUE"""),190.57)</f>
        <v>190.57</v>
      </c>
    </row>
    <row r="420" ht="15.75" customHeight="1">
      <c r="B420" s="3">
        <f>IFERROR(__xludf.DUMMYFUNCTION("""COMPUTED_VALUE"""),40781.645833333336)</f>
        <v>40781.64583</v>
      </c>
      <c r="C420" s="2">
        <f>IFERROR(__xludf.DUMMYFUNCTION("""COMPUTED_VALUE"""),192.53)</f>
        <v>192.53</v>
      </c>
    </row>
    <row r="421" ht="15.75" customHeight="1">
      <c r="B421" s="3">
        <f>IFERROR(__xludf.DUMMYFUNCTION("""COMPUTED_VALUE"""),40788.645833333336)</f>
        <v>40788.64583</v>
      </c>
      <c r="C421" s="2">
        <f>IFERROR(__xludf.DUMMYFUNCTION("""COMPUTED_VALUE"""),188.13)</f>
        <v>188.13</v>
      </c>
    </row>
    <row r="422" ht="15.75" customHeight="1">
      <c r="B422" s="3">
        <f>IFERROR(__xludf.DUMMYFUNCTION("""COMPUTED_VALUE"""),40795.645833333336)</f>
        <v>40795.64583</v>
      </c>
      <c r="C422" s="2">
        <f>IFERROR(__xludf.DUMMYFUNCTION("""COMPUTED_VALUE"""),176.07)</f>
        <v>176.07</v>
      </c>
    </row>
    <row r="423" ht="15.75" customHeight="1">
      <c r="B423" s="3">
        <f>IFERROR(__xludf.DUMMYFUNCTION("""COMPUTED_VALUE"""),40802.645833333336)</f>
        <v>40802.64583</v>
      </c>
      <c r="C423" s="2">
        <f>IFERROR(__xludf.DUMMYFUNCTION("""COMPUTED_VALUE"""),187.03)</f>
        <v>187.03</v>
      </c>
    </row>
    <row r="424" ht="15.75" customHeight="1">
      <c r="B424" s="3">
        <f>IFERROR(__xludf.DUMMYFUNCTION("""COMPUTED_VALUE"""),40809.645833333336)</f>
        <v>40809.64583</v>
      </c>
      <c r="C424" s="2">
        <f>IFERROR(__xludf.DUMMYFUNCTION("""COMPUTED_VALUE"""),186.17)</f>
        <v>186.17</v>
      </c>
    </row>
    <row r="425" ht="15.75" customHeight="1">
      <c r="B425" s="3">
        <f>IFERROR(__xludf.DUMMYFUNCTION("""COMPUTED_VALUE"""),40816.645833333336)</f>
        <v>40816.64583</v>
      </c>
      <c r="C425" s="2">
        <f>IFERROR(__xludf.DUMMYFUNCTION("""COMPUTED_VALUE"""),181.17)</f>
        <v>181.17</v>
      </c>
    </row>
    <row r="426" ht="15.75" customHeight="1">
      <c r="B426" s="3">
        <f>IFERROR(__xludf.DUMMYFUNCTION("""COMPUTED_VALUE"""),40823.645833333336)</f>
        <v>40823.64583</v>
      </c>
      <c r="C426" s="2">
        <f>IFERROR(__xludf.DUMMYFUNCTION("""COMPUTED_VALUE"""),180.9)</f>
        <v>180.9</v>
      </c>
    </row>
    <row r="427" ht="15.75" customHeight="1">
      <c r="B427" s="3">
        <f>IFERROR(__xludf.DUMMYFUNCTION("""COMPUTED_VALUE"""),40830.645833333336)</f>
        <v>40830.64583</v>
      </c>
      <c r="C427" s="2">
        <f>IFERROR(__xludf.DUMMYFUNCTION("""COMPUTED_VALUE"""),183.3)</f>
        <v>183.3</v>
      </c>
    </row>
    <row r="428" ht="15.75" customHeight="1">
      <c r="B428" s="3">
        <f>IFERROR(__xludf.DUMMYFUNCTION("""COMPUTED_VALUE"""),40837.645833333336)</f>
        <v>40837.64583</v>
      </c>
      <c r="C428" s="2">
        <f>IFERROR(__xludf.DUMMYFUNCTION("""COMPUTED_VALUE"""),181.0)</f>
        <v>181</v>
      </c>
    </row>
    <row r="429" ht="15.75" customHeight="1">
      <c r="B429" s="3">
        <f>IFERROR(__xludf.DUMMYFUNCTION("""COMPUTED_VALUE"""),40844.645833333336)</f>
        <v>40844.64583</v>
      </c>
      <c r="C429" s="2">
        <f>IFERROR(__xludf.DUMMYFUNCTION("""COMPUTED_VALUE"""),196.53)</f>
        <v>196.53</v>
      </c>
    </row>
    <row r="430" ht="15.75" customHeight="1">
      <c r="B430" s="3">
        <f>IFERROR(__xludf.DUMMYFUNCTION("""COMPUTED_VALUE"""),40851.645833333336)</f>
        <v>40851.64583</v>
      </c>
      <c r="C430" s="2">
        <f>IFERROR(__xludf.DUMMYFUNCTION("""COMPUTED_VALUE"""),190.07)</f>
        <v>190.07</v>
      </c>
    </row>
    <row r="431" ht="15.75" customHeight="1">
      <c r="B431" s="3">
        <f>IFERROR(__xludf.DUMMYFUNCTION("""COMPUTED_VALUE"""),40858.645833333336)</f>
        <v>40858.64583</v>
      </c>
      <c r="C431" s="2">
        <f>IFERROR(__xludf.DUMMYFUNCTION("""COMPUTED_VALUE"""),192.03)</f>
        <v>192.03</v>
      </c>
    </row>
    <row r="432" ht="15.75" customHeight="1">
      <c r="B432" s="3">
        <f>IFERROR(__xludf.DUMMYFUNCTION("""COMPUTED_VALUE"""),40865.645833333336)</f>
        <v>40865.64583</v>
      </c>
      <c r="C432" s="2">
        <f>IFERROR(__xludf.DUMMYFUNCTION("""COMPUTED_VALUE"""),179.37)</f>
        <v>179.37</v>
      </c>
    </row>
    <row r="433" ht="15.75" customHeight="1">
      <c r="B433" s="3">
        <f>IFERROR(__xludf.DUMMYFUNCTION("""COMPUTED_VALUE"""),40872.645833333336)</f>
        <v>40872.64583</v>
      </c>
      <c r="C433" s="2">
        <f>IFERROR(__xludf.DUMMYFUNCTION("""COMPUTED_VALUE"""),174.67)</f>
        <v>174.67</v>
      </c>
    </row>
    <row r="434" ht="15.75" customHeight="1">
      <c r="B434" s="3">
        <f>IFERROR(__xludf.DUMMYFUNCTION("""COMPUTED_VALUE"""),40879.645833333336)</f>
        <v>40879.64583</v>
      </c>
      <c r="C434" s="2">
        <f>IFERROR(__xludf.DUMMYFUNCTION("""COMPUTED_VALUE"""),185.2)</f>
        <v>185.2</v>
      </c>
    </row>
    <row r="435" ht="15.75" customHeight="1">
      <c r="B435" s="3">
        <f>IFERROR(__xludf.DUMMYFUNCTION("""COMPUTED_VALUE"""),40886.645833333336)</f>
        <v>40886.64583</v>
      </c>
      <c r="C435" s="2">
        <f>IFERROR(__xludf.DUMMYFUNCTION("""COMPUTED_VALUE"""),182.67)</f>
        <v>182.67</v>
      </c>
    </row>
    <row r="436" ht="15.75" customHeight="1">
      <c r="B436" s="3">
        <f>IFERROR(__xludf.DUMMYFUNCTION("""COMPUTED_VALUE"""),40893.645833333336)</f>
        <v>40893.64583</v>
      </c>
      <c r="C436" s="2">
        <f>IFERROR(__xludf.DUMMYFUNCTION("""COMPUTED_VALUE"""),177.23)</f>
        <v>177.23</v>
      </c>
    </row>
    <row r="437" ht="15.75" customHeight="1">
      <c r="B437" s="3">
        <f>IFERROR(__xludf.DUMMYFUNCTION("""COMPUTED_VALUE"""),40900.645833333336)</f>
        <v>40900.64583</v>
      </c>
      <c r="C437" s="2">
        <f>IFERROR(__xludf.DUMMYFUNCTION("""COMPUTED_VALUE"""),178.0)</f>
        <v>178</v>
      </c>
    </row>
    <row r="438" ht="15.75" customHeight="1">
      <c r="B438" s="3">
        <f>IFERROR(__xludf.DUMMYFUNCTION("""COMPUTED_VALUE"""),40907.645833333336)</f>
        <v>40907.64583</v>
      </c>
      <c r="C438" s="2">
        <f>IFERROR(__xludf.DUMMYFUNCTION("""COMPUTED_VALUE"""),176.0)</f>
        <v>176</v>
      </c>
    </row>
    <row r="439" ht="15.75" customHeight="1"/>
    <row r="440" ht="15.75" customHeight="1"/>
    <row r="441" ht="15.75" customHeight="1">
      <c r="B441" s="2" t="str">
        <f>IFERROR(__xludf.DUMMYFUNCTION("GOOGLEFINANCE(""NSE:ONGC"", ""high"",DATE(2012,1,1),DATE(2013,1,1),""weekly"")"),"Date")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IFERROR(__xludf.DUMMYFUNCTION("""COMPUTED_VALUE"""),40921.645833333336)</f>
        <v>40921.64583</v>
      </c>
      <c r="C442" s="2">
        <f>IFERROR(__xludf.DUMMYFUNCTION("""COMPUTED_VALUE"""),175.33)</f>
        <v>175.33</v>
      </c>
    </row>
    <row r="443" ht="15.75" customHeight="1">
      <c r="B443" s="3">
        <f>IFERROR(__xludf.DUMMYFUNCTION("""COMPUTED_VALUE"""),40928.645833333336)</f>
        <v>40928.64583</v>
      </c>
      <c r="C443" s="2">
        <f>IFERROR(__xludf.DUMMYFUNCTION("""COMPUTED_VALUE"""),185.27)</f>
        <v>185.27</v>
      </c>
    </row>
    <row r="444" ht="15.75" customHeight="1">
      <c r="B444" s="3">
        <f>IFERROR(__xludf.DUMMYFUNCTION("""COMPUTED_VALUE"""),40935.645833333336)</f>
        <v>40935.64583</v>
      </c>
      <c r="C444" s="2">
        <f>IFERROR(__xludf.DUMMYFUNCTION("""COMPUTED_VALUE"""),186.73)</f>
        <v>186.73</v>
      </c>
    </row>
    <row r="445" ht="15.75" customHeight="1">
      <c r="B445" s="3">
        <f>IFERROR(__xludf.DUMMYFUNCTION("""COMPUTED_VALUE"""),40942.645833333336)</f>
        <v>40942.64583</v>
      </c>
      <c r="C445" s="2">
        <f>IFERROR(__xludf.DUMMYFUNCTION("""COMPUTED_VALUE"""),189.0)</f>
        <v>189</v>
      </c>
    </row>
    <row r="446" ht="15.75" customHeight="1">
      <c r="B446" s="3">
        <f>IFERROR(__xludf.DUMMYFUNCTION("""COMPUTED_VALUE"""),40949.645833333336)</f>
        <v>40949.64583</v>
      </c>
      <c r="C446" s="2">
        <f>IFERROR(__xludf.DUMMYFUNCTION("""COMPUTED_VALUE"""),192.33)</f>
        <v>192.33</v>
      </c>
    </row>
    <row r="447" ht="15.75" customHeight="1">
      <c r="B447" s="3">
        <f>IFERROR(__xludf.DUMMYFUNCTION("""COMPUTED_VALUE"""),40956.645833333336)</f>
        <v>40956.64583</v>
      </c>
      <c r="C447" s="2">
        <f>IFERROR(__xludf.DUMMYFUNCTION("""COMPUTED_VALUE"""),193.67)</f>
        <v>193.67</v>
      </c>
    </row>
    <row r="448" ht="15.75" customHeight="1">
      <c r="B448" s="3">
        <f>IFERROR(__xludf.DUMMYFUNCTION("""COMPUTED_VALUE"""),40963.645833333336)</f>
        <v>40963.64583</v>
      </c>
      <c r="C448" s="2">
        <f>IFERROR(__xludf.DUMMYFUNCTION("""COMPUTED_VALUE"""),202.83)</f>
        <v>202.83</v>
      </c>
    </row>
    <row r="449" ht="15.75" customHeight="1">
      <c r="B449" s="3">
        <f>IFERROR(__xludf.DUMMYFUNCTION("""COMPUTED_VALUE"""),40977.645833333336)</f>
        <v>40977.64583</v>
      </c>
      <c r="C449" s="2">
        <f>IFERROR(__xludf.DUMMYFUNCTION("""COMPUTED_VALUE"""),192.67)</f>
        <v>192.67</v>
      </c>
    </row>
    <row r="450" ht="15.75" customHeight="1">
      <c r="B450" s="3">
        <f>IFERROR(__xludf.DUMMYFUNCTION("""COMPUTED_VALUE"""),40984.645833333336)</f>
        <v>40984.64583</v>
      </c>
      <c r="C450" s="2">
        <f>IFERROR(__xludf.DUMMYFUNCTION("""COMPUTED_VALUE"""),196.67)</f>
        <v>196.67</v>
      </c>
    </row>
    <row r="451" ht="15.75" customHeight="1">
      <c r="B451" s="3">
        <f>IFERROR(__xludf.DUMMYFUNCTION("""COMPUTED_VALUE"""),40991.645833333336)</f>
        <v>40991.64583</v>
      </c>
      <c r="C451" s="2">
        <f>IFERROR(__xludf.DUMMYFUNCTION("""COMPUTED_VALUE"""),183.97)</f>
        <v>183.97</v>
      </c>
    </row>
    <row r="452" ht="15.75" customHeight="1">
      <c r="B452" s="3">
        <f>IFERROR(__xludf.DUMMYFUNCTION("""COMPUTED_VALUE"""),40998.645833333336)</f>
        <v>40998.64583</v>
      </c>
      <c r="C452" s="2">
        <f>IFERROR(__xludf.DUMMYFUNCTION("""COMPUTED_VALUE"""),180.13)</f>
        <v>180.13</v>
      </c>
    </row>
    <row r="453" ht="15.75" customHeight="1">
      <c r="B453" s="3">
        <f>IFERROR(__xludf.DUMMYFUNCTION("""COMPUTED_VALUE"""),41003.645833333336)</f>
        <v>41003.64583</v>
      </c>
      <c r="C453" s="2">
        <f>IFERROR(__xludf.DUMMYFUNCTION("""COMPUTED_VALUE"""),183.97)</f>
        <v>183.97</v>
      </c>
    </row>
    <row r="454" ht="15.75" customHeight="1">
      <c r="B454" s="3">
        <f>IFERROR(__xludf.DUMMYFUNCTION("""COMPUTED_VALUE"""),41012.645833333336)</f>
        <v>41012.64583</v>
      </c>
      <c r="C454" s="2">
        <f>IFERROR(__xludf.DUMMYFUNCTION("""COMPUTED_VALUE"""),182.63)</f>
        <v>182.63</v>
      </c>
    </row>
    <row r="455" ht="15.75" customHeight="1">
      <c r="B455" s="3">
        <f>IFERROR(__xludf.DUMMYFUNCTION("""COMPUTED_VALUE"""),41019.645833333336)</f>
        <v>41019.64583</v>
      </c>
      <c r="C455" s="2">
        <f>IFERROR(__xludf.DUMMYFUNCTION("""COMPUTED_VALUE"""),183.63)</f>
        <v>183.63</v>
      </c>
    </row>
    <row r="456" ht="15.75" customHeight="1">
      <c r="B456" s="3">
        <f>IFERROR(__xludf.DUMMYFUNCTION("""COMPUTED_VALUE"""),41033.645833333336)</f>
        <v>41033.64583</v>
      </c>
      <c r="C456" s="2">
        <f>IFERROR(__xludf.DUMMYFUNCTION("""COMPUTED_VALUE"""),180.67)</f>
        <v>180.67</v>
      </c>
    </row>
    <row r="457" ht="15.75" customHeight="1">
      <c r="B457" s="3">
        <f>IFERROR(__xludf.DUMMYFUNCTION("""COMPUTED_VALUE"""),41040.645833333336)</f>
        <v>41040.64583</v>
      </c>
      <c r="C457" s="2">
        <f>IFERROR(__xludf.DUMMYFUNCTION("""COMPUTED_VALUE"""),175.3)</f>
        <v>175.3</v>
      </c>
    </row>
    <row r="458" ht="15.75" customHeight="1">
      <c r="B458" s="3">
        <f>IFERROR(__xludf.DUMMYFUNCTION("""COMPUTED_VALUE"""),41047.645833333336)</f>
        <v>41047.64583</v>
      </c>
      <c r="C458" s="2">
        <f>IFERROR(__xludf.DUMMYFUNCTION("""COMPUTED_VALUE"""),169.27)</f>
        <v>169.27</v>
      </c>
    </row>
    <row r="459" ht="15.75" customHeight="1">
      <c r="B459" s="3">
        <f>IFERROR(__xludf.DUMMYFUNCTION("""COMPUTED_VALUE"""),41054.645833333336)</f>
        <v>41054.64583</v>
      </c>
      <c r="C459" s="2">
        <f>IFERROR(__xludf.DUMMYFUNCTION("""COMPUTED_VALUE"""),173.2)</f>
        <v>173.2</v>
      </c>
    </row>
    <row r="460" ht="15.75" customHeight="1">
      <c r="B460" s="3">
        <f>IFERROR(__xludf.DUMMYFUNCTION("""COMPUTED_VALUE"""),41061.645833333336)</f>
        <v>41061.64583</v>
      </c>
      <c r="C460" s="2">
        <f>IFERROR(__xludf.DUMMYFUNCTION("""COMPUTED_VALUE"""),174.37)</f>
        <v>174.37</v>
      </c>
    </row>
    <row r="461" ht="15.75" customHeight="1">
      <c r="B461" s="3">
        <f>IFERROR(__xludf.DUMMYFUNCTION("""COMPUTED_VALUE"""),41068.645833333336)</f>
        <v>41068.64583</v>
      </c>
      <c r="C461" s="2">
        <f>IFERROR(__xludf.DUMMYFUNCTION("""COMPUTED_VALUE"""),176.63)</f>
        <v>176.63</v>
      </c>
    </row>
    <row r="462" ht="15.75" customHeight="1">
      <c r="B462" s="3">
        <f>IFERROR(__xludf.DUMMYFUNCTION("""COMPUTED_VALUE"""),41075.645833333336)</f>
        <v>41075.64583</v>
      </c>
      <c r="C462" s="2">
        <f>IFERROR(__xludf.DUMMYFUNCTION("""COMPUTED_VALUE"""),182.6)</f>
        <v>182.6</v>
      </c>
    </row>
    <row r="463" ht="15.75" customHeight="1">
      <c r="B463" s="3">
        <f>IFERROR(__xludf.DUMMYFUNCTION("""COMPUTED_VALUE"""),41082.645833333336)</f>
        <v>41082.64583</v>
      </c>
      <c r="C463" s="2">
        <f>IFERROR(__xludf.DUMMYFUNCTION("""COMPUTED_VALUE"""),186.73)</f>
        <v>186.73</v>
      </c>
    </row>
    <row r="464" ht="15.75" customHeight="1">
      <c r="B464" s="3">
        <f>IFERROR(__xludf.DUMMYFUNCTION("""COMPUTED_VALUE"""),41089.645833333336)</f>
        <v>41089.64583</v>
      </c>
      <c r="C464" s="2">
        <f>IFERROR(__xludf.DUMMYFUNCTION("""COMPUTED_VALUE"""),190.53)</f>
        <v>190.53</v>
      </c>
    </row>
    <row r="465" ht="15.75" customHeight="1">
      <c r="B465" s="3">
        <f>IFERROR(__xludf.DUMMYFUNCTION("""COMPUTED_VALUE"""),41096.645833333336)</f>
        <v>41096.64583</v>
      </c>
      <c r="C465" s="2">
        <f>IFERROR(__xludf.DUMMYFUNCTION("""COMPUTED_VALUE"""),195.5)</f>
        <v>195.5</v>
      </c>
    </row>
    <row r="466" ht="15.75" customHeight="1">
      <c r="B466" s="3">
        <f>IFERROR(__xludf.DUMMYFUNCTION("""COMPUTED_VALUE"""),41103.645833333336)</f>
        <v>41103.64583</v>
      </c>
      <c r="C466" s="2">
        <f>IFERROR(__xludf.DUMMYFUNCTION("""COMPUTED_VALUE"""),190.67)</f>
        <v>190.67</v>
      </c>
    </row>
    <row r="467" ht="15.75" customHeight="1">
      <c r="B467" s="3">
        <f>IFERROR(__xludf.DUMMYFUNCTION("""COMPUTED_VALUE"""),41110.645833333336)</f>
        <v>41110.64583</v>
      </c>
      <c r="C467" s="2">
        <f>IFERROR(__xludf.DUMMYFUNCTION("""COMPUTED_VALUE"""),193.33)</f>
        <v>193.33</v>
      </c>
    </row>
    <row r="468" ht="15.75" customHeight="1">
      <c r="B468" s="3">
        <f>IFERROR(__xludf.DUMMYFUNCTION("""COMPUTED_VALUE"""),41117.645833333336)</f>
        <v>41117.64583</v>
      </c>
      <c r="C468" s="2">
        <f>IFERROR(__xludf.DUMMYFUNCTION("""COMPUTED_VALUE"""),191.8)</f>
        <v>191.8</v>
      </c>
    </row>
    <row r="469" ht="15.75" customHeight="1">
      <c r="B469" s="3">
        <f>IFERROR(__xludf.DUMMYFUNCTION("""COMPUTED_VALUE"""),41124.645833333336)</f>
        <v>41124.64583</v>
      </c>
      <c r="C469" s="2">
        <f>IFERROR(__xludf.DUMMYFUNCTION("""COMPUTED_VALUE"""),192.93)</f>
        <v>192.93</v>
      </c>
    </row>
    <row r="470" ht="15.75" customHeight="1">
      <c r="B470" s="3">
        <f>IFERROR(__xludf.DUMMYFUNCTION("""COMPUTED_VALUE"""),41131.645833333336)</f>
        <v>41131.64583</v>
      </c>
      <c r="C470" s="2">
        <f>IFERROR(__xludf.DUMMYFUNCTION("""COMPUTED_VALUE"""),189.6)</f>
        <v>189.6</v>
      </c>
    </row>
    <row r="471" ht="15.75" customHeight="1">
      <c r="B471" s="3">
        <f>IFERROR(__xludf.DUMMYFUNCTION("""COMPUTED_VALUE"""),41138.645833333336)</f>
        <v>41138.64583</v>
      </c>
      <c r="C471" s="2">
        <f>IFERROR(__xludf.DUMMYFUNCTION("""COMPUTED_VALUE"""),193.77)</f>
        <v>193.77</v>
      </c>
    </row>
    <row r="472" ht="15.75" customHeight="1">
      <c r="B472" s="3">
        <f>IFERROR(__xludf.DUMMYFUNCTION("""COMPUTED_VALUE"""),41145.645833333336)</f>
        <v>41145.64583</v>
      </c>
      <c r="C472" s="2">
        <f>IFERROR(__xludf.DUMMYFUNCTION("""COMPUTED_VALUE"""),192.83)</f>
        <v>192.83</v>
      </c>
    </row>
    <row r="473" ht="15.75" customHeight="1">
      <c r="B473" s="3">
        <f>IFERROR(__xludf.DUMMYFUNCTION("""COMPUTED_VALUE"""),41152.645833333336)</f>
        <v>41152.64583</v>
      </c>
      <c r="C473" s="2">
        <f>IFERROR(__xludf.DUMMYFUNCTION("""COMPUTED_VALUE"""),193.13)</f>
        <v>193.13</v>
      </c>
    </row>
    <row r="474" ht="15.75" customHeight="1">
      <c r="B474" s="3">
        <f>IFERROR(__xludf.DUMMYFUNCTION("""COMPUTED_VALUE"""),41166.645833333336)</f>
        <v>41166.64583</v>
      </c>
      <c r="C474" s="2">
        <f>IFERROR(__xludf.DUMMYFUNCTION("""COMPUTED_VALUE"""),196.0)</f>
        <v>196</v>
      </c>
    </row>
    <row r="475" ht="15.75" customHeight="1">
      <c r="B475" s="3">
        <f>IFERROR(__xludf.DUMMYFUNCTION("""COMPUTED_VALUE"""),41173.645833333336)</f>
        <v>41173.64583</v>
      </c>
      <c r="C475" s="2">
        <f>IFERROR(__xludf.DUMMYFUNCTION("""COMPUTED_VALUE"""),198.0)</f>
        <v>198</v>
      </c>
    </row>
    <row r="476" ht="15.75" customHeight="1">
      <c r="B476" s="3">
        <f>IFERROR(__xludf.DUMMYFUNCTION("""COMPUTED_VALUE"""),41180.645833333336)</f>
        <v>41180.64583</v>
      </c>
      <c r="C476" s="2">
        <f>IFERROR(__xludf.DUMMYFUNCTION("""COMPUTED_VALUE"""),196.67)</f>
        <v>196.67</v>
      </c>
    </row>
    <row r="477" ht="15.75" customHeight="1">
      <c r="B477" s="3">
        <f>IFERROR(__xludf.DUMMYFUNCTION("""COMPUTED_VALUE"""),41187.645833333336)</f>
        <v>41187.64583</v>
      </c>
      <c r="C477" s="2">
        <f>IFERROR(__xludf.DUMMYFUNCTION("""COMPUTED_VALUE"""),192.27)</f>
        <v>192.27</v>
      </c>
    </row>
    <row r="478" ht="15.75" customHeight="1">
      <c r="B478" s="3">
        <f>IFERROR(__xludf.DUMMYFUNCTION("""COMPUTED_VALUE"""),41194.645833333336)</f>
        <v>41194.64583</v>
      </c>
      <c r="C478" s="2">
        <f>IFERROR(__xludf.DUMMYFUNCTION("""COMPUTED_VALUE"""),192.67)</f>
        <v>192.67</v>
      </c>
    </row>
    <row r="479" ht="15.75" customHeight="1">
      <c r="B479" s="3">
        <f>IFERROR(__xludf.DUMMYFUNCTION("""COMPUTED_VALUE"""),41201.645833333336)</f>
        <v>41201.64583</v>
      </c>
      <c r="C479" s="2">
        <f>IFERROR(__xludf.DUMMYFUNCTION("""COMPUTED_VALUE"""),189.93)</f>
        <v>189.93</v>
      </c>
    </row>
    <row r="480" ht="15.75" customHeight="1">
      <c r="B480" s="3">
        <f>IFERROR(__xludf.DUMMYFUNCTION("""COMPUTED_VALUE"""),41208.645833333336)</f>
        <v>41208.64583</v>
      </c>
      <c r="C480" s="2">
        <f>IFERROR(__xludf.DUMMYFUNCTION("""COMPUTED_VALUE"""),187.07)</f>
        <v>187.07</v>
      </c>
    </row>
    <row r="481" ht="15.75" customHeight="1">
      <c r="B481" s="3">
        <f>IFERROR(__xludf.DUMMYFUNCTION("""COMPUTED_VALUE"""),41215.645833333336)</f>
        <v>41215.64583</v>
      </c>
      <c r="C481" s="2">
        <f>IFERROR(__xludf.DUMMYFUNCTION("""COMPUTED_VALUE"""),184.6)</f>
        <v>184.6</v>
      </c>
    </row>
    <row r="482" ht="15.75" customHeight="1">
      <c r="B482" s="3">
        <f>IFERROR(__xludf.DUMMYFUNCTION("""COMPUTED_VALUE"""),41222.645833333336)</f>
        <v>41222.64583</v>
      </c>
      <c r="C482" s="2">
        <f>IFERROR(__xludf.DUMMYFUNCTION("""COMPUTED_VALUE"""),179.7)</f>
        <v>179.7</v>
      </c>
    </row>
    <row r="483" ht="15.75" customHeight="1">
      <c r="B483" s="3">
        <f>IFERROR(__xludf.DUMMYFUNCTION("""COMPUTED_VALUE"""),41229.645833333336)</f>
        <v>41229.64583</v>
      </c>
      <c r="C483" s="2">
        <f>IFERROR(__xludf.DUMMYFUNCTION("""COMPUTED_VALUE"""),172.93)</f>
        <v>172.93</v>
      </c>
    </row>
    <row r="484" ht="15.75" customHeight="1">
      <c r="B484" s="3">
        <f>IFERROR(__xludf.DUMMYFUNCTION("""COMPUTED_VALUE"""),41236.645833333336)</f>
        <v>41236.64583</v>
      </c>
      <c r="C484" s="2">
        <f>IFERROR(__xludf.DUMMYFUNCTION("""COMPUTED_VALUE"""),172.4)</f>
        <v>172.4</v>
      </c>
    </row>
    <row r="485" ht="15.75" customHeight="1">
      <c r="B485" s="3">
        <f>IFERROR(__xludf.DUMMYFUNCTION("""COMPUTED_VALUE"""),41243.645833333336)</f>
        <v>41243.64583</v>
      </c>
      <c r="C485" s="2">
        <f>IFERROR(__xludf.DUMMYFUNCTION("""COMPUTED_VALUE"""),177.83)</f>
        <v>177.83</v>
      </c>
    </row>
    <row r="486" ht="15.75" customHeight="1">
      <c r="B486" s="3">
        <f>IFERROR(__xludf.DUMMYFUNCTION("""COMPUTED_VALUE"""),41250.645833333336)</f>
        <v>41250.64583</v>
      </c>
      <c r="C486" s="2">
        <f>IFERROR(__xludf.DUMMYFUNCTION("""COMPUTED_VALUE"""),179.73)</f>
        <v>179.73</v>
      </c>
    </row>
    <row r="487" ht="15.75" customHeight="1">
      <c r="B487" s="3">
        <f>IFERROR(__xludf.DUMMYFUNCTION("""COMPUTED_VALUE"""),41257.645833333336)</f>
        <v>41257.64583</v>
      </c>
      <c r="C487" s="2">
        <f>IFERROR(__xludf.DUMMYFUNCTION("""COMPUTED_VALUE"""),180.67)</f>
        <v>180.67</v>
      </c>
    </row>
    <row r="488" ht="15.75" customHeight="1">
      <c r="B488" s="3">
        <f>IFERROR(__xludf.DUMMYFUNCTION("""COMPUTED_VALUE"""),41264.645833333336)</f>
        <v>41264.64583</v>
      </c>
      <c r="C488" s="2">
        <f>IFERROR(__xludf.DUMMYFUNCTION("""COMPUTED_VALUE"""),177.6)</f>
        <v>177.6</v>
      </c>
    </row>
    <row r="489" ht="15.75" customHeight="1">
      <c r="B489" s="3">
        <f>IFERROR(__xludf.DUMMYFUNCTION("""COMPUTED_VALUE"""),41271.645833333336)</f>
        <v>41271.64583</v>
      </c>
      <c r="C489" s="2">
        <f>IFERROR(__xludf.DUMMYFUNCTION("""COMPUTED_VALUE"""),178.0)</f>
        <v>178</v>
      </c>
    </row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IFERROR(__xludf.DUMMYFUNCTION("GOOGLEFINANCE(""NSE:ONGC"", ""high"",DATE(2013,1,1),DATE(2014,1,1),""weekly"")"),"Date")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IFERROR(__xludf.DUMMYFUNCTION("""COMPUTED_VALUE"""),41278.645833333336)</f>
        <v>41278.64583</v>
      </c>
      <c r="C497" s="2">
        <f>IFERROR(__xludf.DUMMYFUNCTION("""COMPUTED_VALUE"""),192.17)</f>
        <v>192.17</v>
      </c>
    </row>
    <row r="498" ht="15.75" customHeight="1">
      <c r="B498" s="3">
        <f>IFERROR(__xludf.DUMMYFUNCTION("""COMPUTED_VALUE"""),41285.645833333336)</f>
        <v>41285.64583</v>
      </c>
      <c r="C498" s="2">
        <f>IFERROR(__xludf.DUMMYFUNCTION("""COMPUTED_VALUE"""),202.0)</f>
        <v>202</v>
      </c>
    </row>
    <row r="499" ht="15.75" customHeight="1">
      <c r="B499" s="3">
        <f>IFERROR(__xludf.DUMMYFUNCTION("""COMPUTED_VALUE"""),41292.645833333336)</f>
        <v>41292.64583</v>
      </c>
      <c r="C499" s="2">
        <f>IFERROR(__xludf.DUMMYFUNCTION("""COMPUTED_VALUE"""),236.67)</f>
        <v>236.67</v>
      </c>
    </row>
    <row r="500" ht="15.75" customHeight="1">
      <c r="B500" s="3">
        <f>IFERROR(__xludf.DUMMYFUNCTION("""COMPUTED_VALUE"""),41299.645833333336)</f>
        <v>41299.64583</v>
      </c>
      <c r="C500" s="2">
        <f>IFERROR(__xludf.DUMMYFUNCTION("""COMPUTED_VALUE"""),235.67)</f>
        <v>235.67</v>
      </c>
    </row>
    <row r="501" ht="15.75" customHeight="1">
      <c r="B501" s="3">
        <f>IFERROR(__xludf.DUMMYFUNCTION("""COMPUTED_VALUE"""),41306.645833333336)</f>
        <v>41306.64583</v>
      </c>
      <c r="C501" s="2">
        <f>IFERROR(__xludf.DUMMYFUNCTION("""COMPUTED_VALUE"""),229.87)</f>
        <v>229.87</v>
      </c>
    </row>
    <row r="502" ht="15.75" customHeight="1">
      <c r="B502" s="3">
        <f>IFERROR(__xludf.DUMMYFUNCTION("""COMPUTED_VALUE"""),41313.645833333336)</f>
        <v>41313.64583</v>
      </c>
      <c r="C502" s="2">
        <f>IFERROR(__xludf.DUMMYFUNCTION("""COMPUTED_VALUE"""),224.0)</f>
        <v>224</v>
      </c>
    </row>
    <row r="503" ht="15.75" customHeight="1">
      <c r="B503" s="3">
        <f>IFERROR(__xludf.DUMMYFUNCTION("""COMPUTED_VALUE"""),41320.645833333336)</f>
        <v>41320.64583</v>
      </c>
      <c r="C503" s="2">
        <f>IFERROR(__xludf.DUMMYFUNCTION("""COMPUTED_VALUE"""),219.67)</f>
        <v>219.67</v>
      </c>
    </row>
    <row r="504" ht="15.75" customHeight="1">
      <c r="B504" s="3">
        <f>IFERROR(__xludf.DUMMYFUNCTION("""COMPUTED_VALUE"""),41327.645833333336)</f>
        <v>41327.64583</v>
      </c>
      <c r="C504" s="2">
        <f>IFERROR(__xludf.DUMMYFUNCTION("""COMPUTED_VALUE"""),222.47)</f>
        <v>222.47</v>
      </c>
    </row>
    <row r="505" ht="15.75" customHeight="1">
      <c r="B505" s="3">
        <f>IFERROR(__xludf.DUMMYFUNCTION("""COMPUTED_VALUE"""),41334.645833333336)</f>
        <v>41334.64583</v>
      </c>
      <c r="C505" s="2">
        <f>IFERROR(__xludf.DUMMYFUNCTION("""COMPUTED_VALUE"""),216.53)</f>
        <v>216.53</v>
      </c>
    </row>
    <row r="506" ht="15.75" customHeight="1">
      <c r="B506" s="3">
        <f>IFERROR(__xludf.DUMMYFUNCTION("""COMPUTED_VALUE"""),41341.645833333336)</f>
        <v>41341.64583</v>
      </c>
      <c r="C506" s="2">
        <f>IFERROR(__xludf.DUMMYFUNCTION("""COMPUTED_VALUE"""),218.47)</f>
        <v>218.47</v>
      </c>
    </row>
    <row r="507" ht="15.75" customHeight="1">
      <c r="B507" s="3">
        <f>IFERROR(__xludf.DUMMYFUNCTION("""COMPUTED_VALUE"""),41348.645833333336)</f>
        <v>41348.64583</v>
      </c>
      <c r="C507" s="2">
        <f>IFERROR(__xludf.DUMMYFUNCTION("""COMPUTED_VALUE"""),220.0)</f>
        <v>220</v>
      </c>
    </row>
    <row r="508" ht="15.75" customHeight="1">
      <c r="B508" s="3">
        <f>IFERROR(__xludf.DUMMYFUNCTION("""COMPUTED_VALUE"""),41355.645833333336)</f>
        <v>41355.64583</v>
      </c>
      <c r="C508" s="2">
        <f>IFERROR(__xludf.DUMMYFUNCTION("""COMPUTED_VALUE"""),213.9)</f>
        <v>213.9</v>
      </c>
    </row>
    <row r="509" ht="15.75" customHeight="1">
      <c r="B509" s="3">
        <f>IFERROR(__xludf.DUMMYFUNCTION("""COMPUTED_VALUE"""),41361.645833333336)</f>
        <v>41361.64583</v>
      </c>
      <c r="C509" s="2">
        <f>IFERROR(__xludf.DUMMYFUNCTION("""COMPUTED_VALUE"""),209.33)</f>
        <v>209.33</v>
      </c>
    </row>
    <row r="510" ht="15.75" customHeight="1">
      <c r="B510" s="3">
        <f>IFERROR(__xludf.DUMMYFUNCTION("""COMPUTED_VALUE"""),41369.645833333336)</f>
        <v>41369.64583</v>
      </c>
      <c r="C510" s="2">
        <f>IFERROR(__xludf.DUMMYFUNCTION("""COMPUTED_VALUE"""),212.33)</f>
        <v>212.33</v>
      </c>
    </row>
    <row r="511" ht="15.75" customHeight="1">
      <c r="B511" s="3">
        <f>IFERROR(__xludf.DUMMYFUNCTION("""COMPUTED_VALUE"""),41376.645833333336)</f>
        <v>41376.64583</v>
      </c>
      <c r="C511" s="2">
        <f>IFERROR(__xludf.DUMMYFUNCTION("""COMPUTED_VALUE"""),212.27)</f>
        <v>212.27</v>
      </c>
    </row>
    <row r="512" ht="15.75" customHeight="1">
      <c r="B512" s="3">
        <f>IFERROR(__xludf.DUMMYFUNCTION("""COMPUTED_VALUE"""),41382.645833333336)</f>
        <v>41382.64583</v>
      </c>
      <c r="C512" s="2">
        <f>IFERROR(__xludf.DUMMYFUNCTION("""COMPUTED_VALUE"""),224.33)</f>
        <v>224.33</v>
      </c>
    </row>
    <row r="513" ht="15.75" customHeight="1">
      <c r="B513" s="3">
        <f>IFERROR(__xludf.DUMMYFUNCTION("""COMPUTED_VALUE"""),41390.645833333336)</f>
        <v>41390.64583</v>
      </c>
      <c r="C513" s="2">
        <f>IFERROR(__xludf.DUMMYFUNCTION("""COMPUTED_VALUE"""),224.27)</f>
        <v>224.27</v>
      </c>
    </row>
    <row r="514" ht="15.75" customHeight="1">
      <c r="B514" s="3">
        <f>IFERROR(__xludf.DUMMYFUNCTION("""COMPUTED_VALUE"""),41397.645833333336)</f>
        <v>41397.64583</v>
      </c>
      <c r="C514" s="2">
        <f>IFERROR(__xludf.DUMMYFUNCTION("""COMPUTED_VALUE"""),221.73)</f>
        <v>221.73</v>
      </c>
    </row>
    <row r="515" ht="15.75" customHeight="1">
      <c r="B515" s="3">
        <f>IFERROR(__xludf.DUMMYFUNCTION("""COMPUTED_VALUE"""),41411.645833333336)</f>
        <v>41411.64583</v>
      </c>
      <c r="C515" s="2">
        <f>IFERROR(__xludf.DUMMYFUNCTION("""COMPUTED_VALUE"""),230.13)</f>
        <v>230.13</v>
      </c>
    </row>
    <row r="516" ht="15.75" customHeight="1">
      <c r="B516" s="3">
        <f>IFERROR(__xludf.DUMMYFUNCTION("""COMPUTED_VALUE"""),41418.645833333336)</f>
        <v>41418.64583</v>
      </c>
      <c r="C516" s="2">
        <f>IFERROR(__xludf.DUMMYFUNCTION("""COMPUTED_VALUE"""),228.67)</f>
        <v>228.67</v>
      </c>
    </row>
    <row r="517" ht="15.75" customHeight="1">
      <c r="B517" s="3">
        <f>IFERROR(__xludf.DUMMYFUNCTION("""COMPUTED_VALUE"""),41425.645833333336)</f>
        <v>41425.64583</v>
      </c>
      <c r="C517" s="2">
        <f>IFERROR(__xludf.DUMMYFUNCTION("""COMPUTED_VALUE"""),225.07)</f>
        <v>225.07</v>
      </c>
    </row>
    <row r="518" ht="15.75" customHeight="1">
      <c r="B518" s="3">
        <f>IFERROR(__xludf.DUMMYFUNCTION("""COMPUTED_VALUE"""),41432.645833333336)</f>
        <v>41432.64583</v>
      </c>
      <c r="C518" s="2">
        <f>IFERROR(__xludf.DUMMYFUNCTION("""COMPUTED_VALUE"""),219.7)</f>
        <v>219.7</v>
      </c>
    </row>
    <row r="519" ht="15.75" customHeight="1">
      <c r="B519" s="3">
        <f>IFERROR(__xludf.DUMMYFUNCTION("""COMPUTED_VALUE"""),41439.645833333336)</f>
        <v>41439.64583</v>
      </c>
      <c r="C519" s="2">
        <f>IFERROR(__xludf.DUMMYFUNCTION("""COMPUTED_VALUE"""),216.23)</f>
        <v>216.23</v>
      </c>
    </row>
    <row r="520" ht="15.75" customHeight="1">
      <c r="B520" s="3">
        <f>IFERROR(__xludf.DUMMYFUNCTION("""COMPUTED_VALUE"""),41446.645833333336)</f>
        <v>41446.64583</v>
      </c>
      <c r="C520" s="2">
        <f>IFERROR(__xludf.DUMMYFUNCTION("""COMPUTED_VALUE"""),209.07)</f>
        <v>209.07</v>
      </c>
    </row>
    <row r="521" ht="15.75" customHeight="1">
      <c r="B521" s="3">
        <f>IFERROR(__xludf.DUMMYFUNCTION("""COMPUTED_VALUE"""),41453.645833333336)</f>
        <v>41453.64583</v>
      </c>
      <c r="C521" s="2">
        <f>IFERROR(__xludf.DUMMYFUNCTION("""COMPUTED_VALUE"""),235.37)</f>
        <v>235.37</v>
      </c>
    </row>
    <row r="522" ht="15.75" customHeight="1">
      <c r="B522" s="3">
        <f>IFERROR(__xludf.DUMMYFUNCTION("""COMPUTED_VALUE"""),41460.645833333336)</f>
        <v>41460.64583</v>
      </c>
      <c r="C522" s="2">
        <f>IFERROR(__xludf.DUMMYFUNCTION("""COMPUTED_VALUE"""),226.17)</f>
        <v>226.17</v>
      </c>
    </row>
    <row r="523" ht="15.75" customHeight="1">
      <c r="B523" s="3">
        <f>IFERROR(__xludf.DUMMYFUNCTION("""COMPUTED_VALUE"""),41467.645833333336)</f>
        <v>41467.64583</v>
      </c>
      <c r="C523" s="2">
        <f>IFERROR(__xludf.DUMMYFUNCTION("""COMPUTED_VALUE"""),210.57)</f>
        <v>210.57</v>
      </c>
    </row>
    <row r="524" ht="15.75" customHeight="1">
      <c r="B524" s="3">
        <f>IFERROR(__xludf.DUMMYFUNCTION("""COMPUTED_VALUE"""),41474.645833333336)</f>
        <v>41474.64583</v>
      </c>
      <c r="C524" s="2">
        <f>IFERROR(__xludf.DUMMYFUNCTION("""COMPUTED_VALUE"""),213.2)</f>
        <v>213.2</v>
      </c>
    </row>
    <row r="525" ht="15.75" customHeight="1">
      <c r="B525" s="3">
        <f>IFERROR(__xludf.DUMMYFUNCTION("""COMPUTED_VALUE"""),41481.645833333336)</f>
        <v>41481.64583</v>
      </c>
      <c r="C525" s="2">
        <f>IFERROR(__xludf.DUMMYFUNCTION("""COMPUTED_VALUE"""),211.23)</f>
        <v>211.23</v>
      </c>
    </row>
    <row r="526" ht="15.75" customHeight="1">
      <c r="B526" s="3">
        <f>IFERROR(__xludf.DUMMYFUNCTION("""COMPUTED_VALUE"""),41488.645833333336)</f>
        <v>41488.64583</v>
      </c>
      <c r="C526" s="2">
        <f>IFERROR(__xludf.DUMMYFUNCTION("""COMPUTED_VALUE"""),204.67)</f>
        <v>204.67</v>
      </c>
    </row>
    <row r="527" ht="15.75" customHeight="1">
      <c r="B527" s="3">
        <f>IFERROR(__xludf.DUMMYFUNCTION("""COMPUTED_VALUE"""),41494.645833333336)</f>
        <v>41494.64583</v>
      </c>
      <c r="C527" s="2">
        <f>IFERROR(__xludf.DUMMYFUNCTION("""COMPUTED_VALUE"""),187.67)</f>
        <v>187.67</v>
      </c>
    </row>
    <row r="528" ht="15.75" customHeight="1">
      <c r="B528" s="3">
        <f>IFERROR(__xludf.DUMMYFUNCTION("""COMPUTED_VALUE"""),41502.645833333336)</f>
        <v>41502.64583</v>
      </c>
      <c r="C528" s="2">
        <f>IFERROR(__xludf.DUMMYFUNCTION("""COMPUTED_VALUE"""),194.6)</f>
        <v>194.6</v>
      </c>
    </row>
    <row r="529" ht="15.75" customHeight="1">
      <c r="B529" s="3">
        <f>IFERROR(__xludf.DUMMYFUNCTION("""COMPUTED_VALUE"""),41509.645833333336)</f>
        <v>41509.64583</v>
      </c>
      <c r="C529" s="2">
        <f>IFERROR(__xludf.DUMMYFUNCTION("""COMPUTED_VALUE"""),186.53)</f>
        <v>186.53</v>
      </c>
    </row>
    <row r="530" ht="15.75" customHeight="1">
      <c r="B530" s="3">
        <f>IFERROR(__xludf.DUMMYFUNCTION("""COMPUTED_VALUE"""),41516.645833333336)</f>
        <v>41516.64583</v>
      </c>
      <c r="C530" s="2">
        <f>IFERROR(__xludf.DUMMYFUNCTION("""COMPUTED_VALUE"""),186.5)</f>
        <v>186.5</v>
      </c>
    </row>
    <row r="531" ht="15.75" customHeight="1">
      <c r="B531" s="3">
        <f>IFERROR(__xludf.DUMMYFUNCTION("""COMPUTED_VALUE"""),41523.645833333336)</f>
        <v>41523.64583</v>
      </c>
      <c r="C531" s="2">
        <f>IFERROR(__xludf.DUMMYFUNCTION("""COMPUTED_VALUE"""),194.47)</f>
        <v>194.47</v>
      </c>
    </row>
    <row r="532" ht="15.75" customHeight="1">
      <c r="B532" s="3">
        <f>IFERROR(__xludf.DUMMYFUNCTION("""COMPUTED_VALUE"""),41530.645833333336)</f>
        <v>41530.64583</v>
      </c>
      <c r="C532" s="2">
        <f>IFERROR(__xludf.DUMMYFUNCTION("""COMPUTED_VALUE"""),199.33)</f>
        <v>199.33</v>
      </c>
    </row>
    <row r="533" ht="15.75" customHeight="1">
      <c r="B533" s="3">
        <f>IFERROR(__xludf.DUMMYFUNCTION("""COMPUTED_VALUE"""),41537.645833333336)</f>
        <v>41537.64583</v>
      </c>
      <c r="C533" s="2">
        <f>IFERROR(__xludf.DUMMYFUNCTION("""COMPUTED_VALUE"""),201.67)</f>
        <v>201.67</v>
      </c>
    </row>
    <row r="534" ht="15.75" customHeight="1">
      <c r="B534" s="3">
        <f>IFERROR(__xludf.DUMMYFUNCTION("""COMPUTED_VALUE"""),41544.645833333336)</f>
        <v>41544.64583</v>
      </c>
      <c r="C534" s="2">
        <f>IFERROR(__xludf.DUMMYFUNCTION("""COMPUTED_VALUE"""),192.53)</f>
        <v>192.53</v>
      </c>
    </row>
    <row r="535" ht="15.75" customHeight="1">
      <c r="B535" s="3">
        <f>IFERROR(__xludf.DUMMYFUNCTION("""COMPUTED_VALUE"""),41551.645833333336)</f>
        <v>41551.64583</v>
      </c>
      <c r="C535" s="2">
        <f>IFERROR(__xludf.DUMMYFUNCTION("""COMPUTED_VALUE"""),183.0)</f>
        <v>183</v>
      </c>
    </row>
    <row r="536" ht="15.75" customHeight="1">
      <c r="B536" s="3">
        <f>IFERROR(__xludf.DUMMYFUNCTION("""COMPUTED_VALUE"""),41558.645833333336)</f>
        <v>41558.64583</v>
      </c>
      <c r="C536" s="2">
        <f>IFERROR(__xludf.DUMMYFUNCTION("""COMPUTED_VALUE"""),185.77)</f>
        <v>185.77</v>
      </c>
    </row>
    <row r="537" ht="15.75" customHeight="1">
      <c r="B537" s="3">
        <f>IFERROR(__xludf.DUMMYFUNCTION("""COMPUTED_VALUE"""),41565.645833333336)</f>
        <v>41565.64583</v>
      </c>
      <c r="C537" s="2">
        <f>IFERROR(__xludf.DUMMYFUNCTION("""COMPUTED_VALUE"""),190.63)</f>
        <v>190.63</v>
      </c>
    </row>
    <row r="538" ht="15.75" customHeight="1">
      <c r="B538" s="3">
        <f>IFERROR(__xludf.DUMMYFUNCTION("""COMPUTED_VALUE"""),41572.645833333336)</f>
        <v>41572.64583</v>
      </c>
      <c r="C538" s="2">
        <f>IFERROR(__xludf.DUMMYFUNCTION("""COMPUTED_VALUE"""),192.67)</f>
        <v>192.67</v>
      </c>
    </row>
    <row r="539" ht="15.75" customHeight="1">
      <c r="B539" s="3">
        <f>IFERROR(__xludf.DUMMYFUNCTION("""COMPUTED_VALUE"""),41579.645833333336)</f>
        <v>41579.64583</v>
      </c>
      <c r="C539" s="2">
        <f>IFERROR(__xludf.DUMMYFUNCTION("""COMPUTED_VALUE"""),200.53)</f>
        <v>200.53</v>
      </c>
    </row>
    <row r="540" ht="15.75" customHeight="1">
      <c r="B540" s="3">
        <f>IFERROR(__xludf.DUMMYFUNCTION("""COMPUTED_VALUE"""),41586.645833333336)</f>
        <v>41586.64583</v>
      </c>
      <c r="C540" s="2">
        <f>IFERROR(__xludf.DUMMYFUNCTION("""COMPUTED_VALUE"""),194.53)</f>
        <v>194.53</v>
      </c>
    </row>
    <row r="541" ht="15.75" customHeight="1">
      <c r="B541" s="3">
        <f>IFERROR(__xludf.DUMMYFUNCTION("""COMPUTED_VALUE"""),41592.645833333336)</f>
        <v>41592.64583</v>
      </c>
      <c r="C541" s="2">
        <f>IFERROR(__xludf.DUMMYFUNCTION("""COMPUTED_VALUE"""),184.67)</f>
        <v>184.67</v>
      </c>
    </row>
    <row r="542" ht="15.75" customHeight="1">
      <c r="B542" s="3">
        <f>IFERROR(__xludf.DUMMYFUNCTION("""COMPUTED_VALUE"""),41600.645833333336)</f>
        <v>41600.64583</v>
      </c>
      <c r="C542" s="2">
        <f>IFERROR(__xludf.DUMMYFUNCTION("""COMPUTED_VALUE"""),188.3)</f>
        <v>188.3</v>
      </c>
    </row>
    <row r="543" ht="15.75" customHeight="1">
      <c r="B543" s="3">
        <f>IFERROR(__xludf.DUMMYFUNCTION("""COMPUTED_VALUE"""),41607.645833333336)</f>
        <v>41607.64583</v>
      </c>
      <c r="C543" s="2">
        <f>IFERROR(__xludf.DUMMYFUNCTION("""COMPUTED_VALUE"""),199.87)</f>
        <v>199.87</v>
      </c>
    </row>
    <row r="544" ht="15.75" customHeight="1">
      <c r="B544" s="3">
        <f>IFERROR(__xludf.DUMMYFUNCTION("""COMPUTED_VALUE"""),41614.645833333336)</f>
        <v>41614.64583</v>
      </c>
      <c r="C544" s="2">
        <f>IFERROR(__xludf.DUMMYFUNCTION("""COMPUTED_VALUE"""),199.33)</f>
        <v>199.33</v>
      </c>
    </row>
    <row r="545" ht="15.75" customHeight="1">
      <c r="B545" s="3">
        <f>IFERROR(__xludf.DUMMYFUNCTION("""COMPUTED_VALUE"""),41621.645833333336)</f>
        <v>41621.64583</v>
      </c>
      <c r="C545" s="2">
        <f>IFERROR(__xludf.DUMMYFUNCTION("""COMPUTED_VALUE"""),204.97)</f>
        <v>204.97</v>
      </c>
    </row>
    <row r="546" ht="15.75" customHeight="1">
      <c r="B546" s="3">
        <f>IFERROR(__xludf.DUMMYFUNCTION("""COMPUTED_VALUE"""),41628.645833333336)</f>
        <v>41628.64583</v>
      </c>
      <c r="C546" s="2">
        <f>IFERROR(__xludf.DUMMYFUNCTION("""COMPUTED_VALUE"""),191.0)</f>
        <v>191</v>
      </c>
    </row>
    <row r="547" ht="15.75" customHeight="1">
      <c r="B547" s="3">
        <f>IFERROR(__xludf.DUMMYFUNCTION("""COMPUTED_VALUE"""),41635.645833333336)</f>
        <v>41635.64583</v>
      </c>
      <c r="C547" s="2">
        <f>IFERROR(__xludf.DUMMYFUNCTION("""COMPUTED_VALUE"""),196.33)</f>
        <v>196.33</v>
      </c>
    </row>
    <row r="548" ht="15.75" customHeight="1"/>
    <row r="549" ht="15.75" customHeight="1"/>
    <row r="550" ht="15.75" customHeight="1"/>
    <row r="551" ht="15.75" customHeight="1">
      <c r="B551" s="2" t="str">
        <f>IFERROR(__xludf.DUMMYFUNCTION("GOOGLEFINANCE(""NSE:ONGC"", ""high"",DATE(2014,1,1),DATE(2015,1,1),""weekly"")"),"Date")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IFERROR(__xludf.DUMMYFUNCTION("""COMPUTED_VALUE"""),41642.645833333336)</f>
        <v>41642.64583</v>
      </c>
      <c r="C552" s="2">
        <f>IFERROR(__xludf.DUMMYFUNCTION("""COMPUTED_VALUE"""),195.53)</f>
        <v>195.53</v>
      </c>
    </row>
    <row r="553" ht="15.75" customHeight="1">
      <c r="B553" s="3">
        <f>IFERROR(__xludf.DUMMYFUNCTION("""COMPUTED_VALUE"""),41649.645833333336)</f>
        <v>41649.64583</v>
      </c>
      <c r="C553" s="2">
        <f>IFERROR(__xludf.DUMMYFUNCTION("""COMPUTED_VALUE"""),191.8)</f>
        <v>191.8</v>
      </c>
    </row>
    <row r="554" ht="15.75" customHeight="1">
      <c r="B554" s="3">
        <f>IFERROR(__xludf.DUMMYFUNCTION("""COMPUTED_VALUE"""),41656.645833333336)</f>
        <v>41656.64583</v>
      </c>
      <c r="C554" s="2">
        <f>IFERROR(__xludf.DUMMYFUNCTION("""COMPUTED_VALUE"""),196.53)</f>
        <v>196.53</v>
      </c>
    </row>
    <row r="555" ht="15.75" customHeight="1">
      <c r="B555" s="3">
        <f>IFERROR(__xludf.DUMMYFUNCTION("""COMPUTED_VALUE"""),41663.645833333336)</f>
        <v>41663.64583</v>
      </c>
      <c r="C555" s="2">
        <f>IFERROR(__xludf.DUMMYFUNCTION("""COMPUTED_VALUE"""),194.33)</f>
        <v>194.33</v>
      </c>
    </row>
    <row r="556" ht="15.75" customHeight="1">
      <c r="B556" s="3">
        <f>IFERROR(__xludf.DUMMYFUNCTION("""COMPUTED_VALUE"""),41670.645833333336)</f>
        <v>41670.64583</v>
      </c>
      <c r="C556" s="2">
        <f>IFERROR(__xludf.DUMMYFUNCTION("""COMPUTED_VALUE"""),187.6)</f>
        <v>187.6</v>
      </c>
    </row>
    <row r="557" ht="15.75" customHeight="1">
      <c r="B557" s="3">
        <f>IFERROR(__xludf.DUMMYFUNCTION("""COMPUTED_VALUE"""),41677.645833333336)</f>
        <v>41677.64583</v>
      </c>
      <c r="C557" s="2">
        <f>IFERROR(__xludf.DUMMYFUNCTION("""COMPUTED_VALUE"""),183.53)</f>
        <v>183.53</v>
      </c>
    </row>
    <row r="558" ht="15.75" customHeight="1">
      <c r="B558" s="3">
        <f>IFERROR(__xludf.DUMMYFUNCTION("""COMPUTED_VALUE"""),41684.645833333336)</f>
        <v>41684.64583</v>
      </c>
      <c r="C558" s="2">
        <f>IFERROR(__xludf.DUMMYFUNCTION("""COMPUTED_VALUE"""),189.33)</f>
        <v>189.33</v>
      </c>
    </row>
    <row r="559" ht="15.75" customHeight="1">
      <c r="B559" s="3">
        <f>IFERROR(__xludf.DUMMYFUNCTION("""COMPUTED_VALUE"""),41691.645833333336)</f>
        <v>41691.64583</v>
      </c>
      <c r="C559" s="2">
        <f>IFERROR(__xludf.DUMMYFUNCTION("""COMPUTED_VALUE"""),186.67)</f>
        <v>186.67</v>
      </c>
    </row>
    <row r="560" ht="15.75" customHeight="1">
      <c r="B560" s="3">
        <f>IFERROR(__xludf.DUMMYFUNCTION("""COMPUTED_VALUE"""),41698.645833333336)</f>
        <v>41698.64583</v>
      </c>
      <c r="C560" s="2">
        <f>IFERROR(__xludf.DUMMYFUNCTION("""COMPUTED_VALUE"""),195.17)</f>
        <v>195.17</v>
      </c>
    </row>
    <row r="561" ht="15.75" customHeight="1">
      <c r="B561" s="3">
        <f>IFERROR(__xludf.DUMMYFUNCTION("""COMPUTED_VALUE"""),41705.645833333336)</f>
        <v>41705.64583</v>
      </c>
      <c r="C561" s="2">
        <f>IFERROR(__xludf.DUMMYFUNCTION("""COMPUTED_VALUE"""),212.13)</f>
        <v>212.13</v>
      </c>
    </row>
    <row r="562" ht="15.75" customHeight="1">
      <c r="B562" s="3">
        <f>IFERROR(__xludf.DUMMYFUNCTION("""COMPUTED_VALUE"""),41712.645833333336)</f>
        <v>41712.64583</v>
      </c>
      <c r="C562" s="2">
        <f>IFERROR(__xludf.DUMMYFUNCTION("""COMPUTED_VALUE"""),219.0)</f>
        <v>219</v>
      </c>
    </row>
    <row r="563" ht="15.75" customHeight="1">
      <c r="B563" s="3">
        <f>IFERROR(__xludf.DUMMYFUNCTION("""COMPUTED_VALUE"""),41726.645833333336)</f>
        <v>41726.64583</v>
      </c>
      <c r="C563" s="2">
        <f>IFERROR(__xludf.DUMMYFUNCTION("""COMPUTED_VALUE"""),222.67)</f>
        <v>222.67</v>
      </c>
    </row>
    <row r="564" ht="15.75" customHeight="1">
      <c r="B564" s="3">
        <f>IFERROR(__xludf.DUMMYFUNCTION("""COMPUTED_VALUE"""),41733.645833333336)</f>
        <v>41733.64583</v>
      </c>
      <c r="C564" s="2">
        <f>IFERROR(__xludf.DUMMYFUNCTION("""COMPUTED_VALUE"""),223.6)</f>
        <v>223.6</v>
      </c>
    </row>
    <row r="565" ht="15.75" customHeight="1">
      <c r="B565" s="3">
        <f>IFERROR(__xludf.DUMMYFUNCTION("""COMPUTED_VALUE"""),41740.645833333336)</f>
        <v>41740.64583</v>
      </c>
      <c r="C565" s="2">
        <f>IFERROR(__xludf.DUMMYFUNCTION("""COMPUTED_VALUE"""),219.93)</f>
        <v>219.93</v>
      </c>
    </row>
    <row r="566" ht="15.75" customHeight="1">
      <c r="B566" s="3">
        <f>IFERROR(__xludf.DUMMYFUNCTION("""COMPUTED_VALUE"""),41746.645833333336)</f>
        <v>41746.64583</v>
      </c>
      <c r="C566" s="2">
        <f>IFERROR(__xludf.DUMMYFUNCTION("""COMPUTED_VALUE"""),215.63)</f>
        <v>215.63</v>
      </c>
    </row>
    <row r="567" ht="15.75" customHeight="1">
      <c r="B567" s="3">
        <f>IFERROR(__xludf.DUMMYFUNCTION("""COMPUTED_VALUE"""),41754.645833333336)</f>
        <v>41754.64583</v>
      </c>
      <c r="C567" s="2">
        <f>IFERROR(__xludf.DUMMYFUNCTION("""COMPUTED_VALUE"""),221.63)</f>
        <v>221.63</v>
      </c>
    </row>
    <row r="568" ht="15.75" customHeight="1">
      <c r="B568" s="3">
        <f>IFERROR(__xludf.DUMMYFUNCTION("""COMPUTED_VALUE"""),41761.645833333336)</f>
        <v>41761.64583</v>
      </c>
      <c r="C568" s="2">
        <f>IFERROR(__xludf.DUMMYFUNCTION("""COMPUTED_VALUE"""),221.5)</f>
        <v>221.5</v>
      </c>
    </row>
    <row r="569" ht="15.75" customHeight="1">
      <c r="B569" s="3">
        <f>IFERROR(__xludf.DUMMYFUNCTION("""COMPUTED_VALUE"""),41768.645833333336)</f>
        <v>41768.64583</v>
      </c>
      <c r="C569" s="2">
        <f>IFERROR(__xludf.DUMMYFUNCTION("""COMPUTED_VALUE"""),233.33)</f>
        <v>233.33</v>
      </c>
    </row>
    <row r="570" ht="15.75" customHeight="1">
      <c r="B570" s="3">
        <f>IFERROR(__xludf.DUMMYFUNCTION("""COMPUTED_VALUE"""),41775.645833333336)</f>
        <v>41775.64583</v>
      </c>
      <c r="C570" s="2">
        <f>IFERROR(__xludf.DUMMYFUNCTION("""COMPUTED_VALUE"""),277.57)</f>
        <v>277.57</v>
      </c>
    </row>
    <row r="571" ht="15.75" customHeight="1">
      <c r="B571" s="3">
        <f>IFERROR(__xludf.DUMMYFUNCTION("""COMPUTED_VALUE"""),41782.645833333336)</f>
        <v>41782.64583</v>
      </c>
      <c r="C571" s="2">
        <f>IFERROR(__xludf.DUMMYFUNCTION("""COMPUTED_VALUE"""),280.0)</f>
        <v>280</v>
      </c>
    </row>
    <row r="572" ht="15.75" customHeight="1">
      <c r="B572" s="3">
        <f>IFERROR(__xludf.DUMMYFUNCTION("""COMPUTED_VALUE"""),41789.645833333336)</f>
        <v>41789.64583</v>
      </c>
      <c r="C572" s="2">
        <f>IFERROR(__xludf.DUMMYFUNCTION("""COMPUTED_VALUE"""),283.33)</f>
        <v>283.33</v>
      </c>
    </row>
    <row r="573" ht="15.75" customHeight="1">
      <c r="B573" s="3">
        <f>IFERROR(__xludf.DUMMYFUNCTION("""COMPUTED_VALUE"""),41796.645833333336)</f>
        <v>41796.64583</v>
      </c>
      <c r="C573" s="2">
        <f>IFERROR(__xludf.DUMMYFUNCTION("""COMPUTED_VALUE"""),313.23)</f>
        <v>313.23</v>
      </c>
    </row>
    <row r="574" ht="15.75" customHeight="1">
      <c r="B574" s="3">
        <f>IFERROR(__xludf.DUMMYFUNCTION("""COMPUTED_VALUE"""),41803.645833333336)</f>
        <v>41803.64583</v>
      </c>
      <c r="C574" s="2">
        <f>IFERROR(__xludf.DUMMYFUNCTION("""COMPUTED_VALUE"""),314.57)</f>
        <v>314.57</v>
      </c>
    </row>
    <row r="575" ht="15.75" customHeight="1">
      <c r="B575" s="3">
        <f>IFERROR(__xludf.DUMMYFUNCTION("""COMPUTED_VALUE"""),41810.645833333336)</f>
        <v>41810.64583</v>
      </c>
      <c r="C575" s="2">
        <f>IFERROR(__xludf.DUMMYFUNCTION("""COMPUTED_VALUE"""),302.33)</f>
        <v>302.33</v>
      </c>
    </row>
    <row r="576" ht="15.75" customHeight="1">
      <c r="B576" s="3">
        <f>IFERROR(__xludf.DUMMYFUNCTION("""COMPUTED_VALUE"""),41817.645833333336)</f>
        <v>41817.64583</v>
      </c>
      <c r="C576" s="2">
        <f>IFERROR(__xludf.DUMMYFUNCTION("""COMPUTED_VALUE"""),298.83)</f>
        <v>298.83</v>
      </c>
    </row>
    <row r="577" ht="15.75" customHeight="1">
      <c r="B577" s="3">
        <f>IFERROR(__xludf.DUMMYFUNCTION("""COMPUTED_VALUE"""),41824.645833333336)</f>
        <v>41824.64583</v>
      </c>
      <c r="C577" s="2">
        <f>IFERROR(__xludf.DUMMYFUNCTION("""COMPUTED_VALUE"""),286.67)</f>
        <v>286.67</v>
      </c>
    </row>
    <row r="578" ht="15.75" customHeight="1">
      <c r="B578" s="3">
        <f>IFERROR(__xludf.DUMMYFUNCTION("""COMPUTED_VALUE"""),41831.645833333336)</f>
        <v>41831.64583</v>
      </c>
      <c r="C578" s="2">
        <f>IFERROR(__xludf.DUMMYFUNCTION("""COMPUTED_VALUE"""),283.8)</f>
        <v>283.8</v>
      </c>
    </row>
    <row r="579" ht="15.75" customHeight="1">
      <c r="B579" s="3">
        <f>IFERROR(__xludf.DUMMYFUNCTION("""COMPUTED_VALUE"""),41838.645833333336)</f>
        <v>41838.64583</v>
      </c>
      <c r="C579" s="2">
        <f>IFERROR(__xludf.DUMMYFUNCTION("""COMPUTED_VALUE"""),278.53)</f>
        <v>278.53</v>
      </c>
    </row>
    <row r="580" ht="15.75" customHeight="1">
      <c r="B580" s="3">
        <f>IFERROR(__xludf.DUMMYFUNCTION("""COMPUTED_VALUE"""),41845.645833333336)</f>
        <v>41845.64583</v>
      </c>
      <c r="C580" s="2">
        <f>IFERROR(__xludf.DUMMYFUNCTION("""COMPUTED_VALUE"""),275.33)</f>
        <v>275.33</v>
      </c>
    </row>
    <row r="581" ht="15.75" customHeight="1">
      <c r="B581" s="3">
        <f>IFERROR(__xludf.DUMMYFUNCTION("""COMPUTED_VALUE"""),41852.645833333336)</f>
        <v>41852.64583</v>
      </c>
      <c r="C581" s="2">
        <f>IFERROR(__xludf.DUMMYFUNCTION("""COMPUTED_VALUE"""),269.1)</f>
        <v>269.1</v>
      </c>
    </row>
    <row r="582" ht="15.75" customHeight="1">
      <c r="B582" s="3">
        <f>IFERROR(__xludf.DUMMYFUNCTION("""COMPUTED_VALUE"""),41859.645833333336)</f>
        <v>41859.64583</v>
      </c>
      <c r="C582" s="2">
        <f>IFERROR(__xludf.DUMMYFUNCTION("""COMPUTED_VALUE"""),271.23)</f>
        <v>271.23</v>
      </c>
    </row>
    <row r="583" ht="15.75" customHeight="1">
      <c r="B583" s="3">
        <f>IFERROR(__xludf.DUMMYFUNCTION("""COMPUTED_VALUE"""),41865.645833333336)</f>
        <v>41865.64583</v>
      </c>
      <c r="C583" s="2">
        <f>IFERROR(__xludf.DUMMYFUNCTION("""COMPUTED_VALUE"""),275.6)</f>
        <v>275.6</v>
      </c>
    </row>
    <row r="584" ht="15.75" customHeight="1">
      <c r="B584" s="3">
        <f>IFERROR(__xludf.DUMMYFUNCTION("""COMPUTED_VALUE"""),41873.645833333336)</f>
        <v>41873.64583</v>
      </c>
      <c r="C584" s="2">
        <f>IFERROR(__xludf.DUMMYFUNCTION("""COMPUTED_VALUE"""),293.67)</f>
        <v>293.67</v>
      </c>
    </row>
    <row r="585" ht="15.75" customHeight="1">
      <c r="B585" s="3">
        <f>IFERROR(__xludf.DUMMYFUNCTION("""COMPUTED_VALUE"""),41879.645833333336)</f>
        <v>41879.64583</v>
      </c>
      <c r="C585" s="2">
        <f>IFERROR(__xludf.DUMMYFUNCTION("""COMPUTED_VALUE"""),292.67)</f>
        <v>292.67</v>
      </c>
    </row>
    <row r="586" ht="15.75" customHeight="1">
      <c r="B586" s="3">
        <f>IFERROR(__xludf.DUMMYFUNCTION("""COMPUTED_VALUE"""),41887.645833333336)</f>
        <v>41887.64583</v>
      </c>
      <c r="C586" s="2">
        <f>IFERROR(__xludf.DUMMYFUNCTION("""COMPUTED_VALUE"""),300.17)</f>
        <v>300.17</v>
      </c>
    </row>
    <row r="587" ht="15.75" customHeight="1">
      <c r="B587" s="3">
        <f>IFERROR(__xludf.DUMMYFUNCTION("""COMPUTED_VALUE"""),41894.645833333336)</f>
        <v>41894.64583</v>
      </c>
      <c r="C587" s="2">
        <f>IFERROR(__xludf.DUMMYFUNCTION("""COMPUTED_VALUE"""),305.3)</f>
        <v>305.3</v>
      </c>
    </row>
    <row r="588" ht="15.75" customHeight="1">
      <c r="B588" s="3">
        <f>IFERROR(__xludf.DUMMYFUNCTION("""COMPUTED_VALUE"""),41901.645833333336)</f>
        <v>41901.64583</v>
      </c>
      <c r="C588" s="2">
        <f>IFERROR(__xludf.DUMMYFUNCTION("""COMPUTED_VALUE"""),285.17)</f>
        <v>285.17</v>
      </c>
    </row>
    <row r="589" ht="15.75" customHeight="1">
      <c r="B589" s="3">
        <f>IFERROR(__xludf.DUMMYFUNCTION("""COMPUTED_VALUE"""),41908.645833333336)</f>
        <v>41908.64583</v>
      </c>
      <c r="C589" s="2">
        <f>IFERROR(__xludf.DUMMYFUNCTION("""COMPUTED_VALUE"""),281.2)</f>
        <v>281.2</v>
      </c>
    </row>
    <row r="590" ht="15.75" customHeight="1">
      <c r="B590" s="3">
        <f>IFERROR(__xludf.DUMMYFUNCTION("""COMPUTED_VALUE"""),41913.645833333336)</f>
        <v>41913.64583</v>
      </c>
      <c r="C590" s="2">
        <f>IFERROR(__xludf.DUMMYFUNCTION("""COMPUTED_VALUE"""),277.6)</f>
        <v>277.6</v>
      </c>
    </row>
    <row r="591" ht="15.75" customHeight="1">
      <c r="B591" s="3">
        <f>IFERROR(__xludf.DUMMYFUNCTION("""COMPUTED_VALUE"""),41922.645833333336)</f>
        <v>41922.64583</v>
      </c>
      <c r="C591" s="2">
        <f>IFERROR(__xludf.DUMMYFUNCTION("""COMPUTED_VALUE"""),276.23)</f>
        <v>276.23</v>
      </c>
    </row>
    <row r="592" ht="15.75" customHeight="1">
      <c r="B592" s="3">
        <f>IFERROR(__xludf.DUMMYFUNCTION("""COMPUTED_VALUE"""),41929.645833333336)</f>
        <v>41929.64583</v>
      </c>
      <c r="C592" s="2">
        <f>IFERROR(__xludf.DUMMYFUNCTION("""COMPUTED_VALUE"""),272.97)</f>
        <v>272.97</v>
      </c>
    </row>
    <row r="593" ht="15.75" customHeight="1">
      <c r="B593" s="3">
        <f>IFERROR(__xludf.DUMMYFUNCTION("""COMPUTED_VALUE"""),41935.645833333336)</f>
        <v>41935.64583</v>
      </c>
      <c r="C593" s="2">
        <f>IFERROR(__xludf.DUMMYFUNCTION("""COMPUTED_VALUE"""),286.0)</f>
        <v>286</v>
      </c>
    </row>
    <row r="594" ht="15.75" customHeight="1">
      <c r="B594" s="3">
        <f>IFERROR(__xludf.DUMMYFUNCTION("""COMPUTED_VALUE"""),41943.645833333336)</f>
        <v>41943.64583</v>
      </c>
      <c r="C594" s="2">
        <f>IFERROR(__xludf.DUMMYFUNCTION("""COMPUTED_VALUE"""),271.1)</f>
        <v>271.1</v>
      </c>
    </row>
    <row r="595" ht="15.75" customHeight="1">
      <c r="B595" s="3">
        <f>IFERROR(__xludf.DUMMYFUNCTION("""COMPUTED_VALUE"""),41950.645833333336)</f>
        <v>41950.64583</v>
      </c>
      <c r="C595" s="2">
        <f>IFERROR(__xludf.DUMMYFUNCTION("""COMPUTED_VALUE"""),274.47)</f>
        <v>274.47</v>
      </c>
    </row>
    <row r="596" ht="15.75" customHeight="1">
      <c r="B596" s="3">
        <f>IFERROR(__xludf.DUMMYFUNCTION("""COMPUTED_VALUE"""),41957.64583333333)</f>
        <v>41957.64583</v>
      </c>
      <c r="C596" s="2">
        <f>IFERROR(__xludf.DUMMYFUNCTION("""COMPUTED_VALUE"""),275.0)</f>
        <v>275</v>
      </c>
    </row>
    <row r="597" ht="15.75" customHeight="1">
      <c r="B597" s="3">
        <f>IFERROR(__xludf.DUMMYFUNCTION("""COMPUTED_VALUE"""),41964.64583333333)</f>
        <v>41964.64583</v>
      </c>
      <c r="C597" s="2">
        <f>IFERROR(__xludf.DUMMYFUNCTION("""COMPUTED_VALUE"""),266.07)</f>
        <v>266.07</v>
      </c>
    </row>
    <row r="598" ht="15.75" customHeight="1">
      <c r="B598" s="3">
        <f>IFERROR(__xludf.DUMMYFUNCTION("""COMPUTED_VALUE"""),41971.64583333333)</f>
        <v>41971.64583</v>
      </c>
      <c r="C598" s="2">
        <f>IFERROR(__xludf.DUMMYFUNCTION("""COMPUTED_VALUE"""),260.37)</f>
        <v>260.37</v>
      </c>
    </row>
    <row r="599" ht="15.75" customHeight="1">
      <c r="B599" s="3">
        <f>IFERROR(__xludf.DUMMYFUNCTION("""COMPUTED_VALUE"""),41978.64583333333)</f>
        <v>41978.64583</v>
      </c>
      <c r="C599" s="2">
        <f>IFERROR(__xludf.DUMMYFUNCTION("""COMPUTED_VALUE"""),254.67)</f>
        <v>254.67</v>
      </c>
    </row>
    <row r="600" ht="15.75" customHeight="1">
      <c r="B600" s="3">
        <f>IFERROR(__xludf.DUMMYFUNCTION("""COMPUTED_VALUE"""),41985.64583333333)</f>
        <v>41985.64583</v>
      </c>
      <c r="C600" s="2">
        <f>IFERROR(__xludf.DUMMYFUNCTION("""COMPUTED_VALUE"""),247.97)</f>
        <v>247.97</v>
      </c>
    </row>
    <row r="601" ht="15.75" customHeight="1">
      <c r="B601" s="3">
        <f>IFERROR(__xludf.DUMMYFUNCTION("""COMPUTED_VALUE"""),41992.64583333333)</f>
        <v>41992.64583</v>
      </c>
      <c r="C601" s="2">
        <f>IFERROR(__xludf.DUMMYFUNCTION("""COMPUTED_VALUE"""),236.0)</f>
        <v>236</v>
      </c>
    </row>
    <row r="602" ht="15.75" customHeight="1">
      <c r="B602" s="3">
        <f>IFERROR(__xludf.DUMMYFUNCTION("""COMPUTED_VALUE"""),41999.64583333333)</f>
        <v>41999.64583</v>
      </c>
      <c r="C602" s="2">
        <f>IFERROR(__xludf.DUMMYFUNCTION("""COMPUTED_VALUE"""),238.87)</f>
        <v>238.87</v>
      </c>
    </row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IFERROR(__xludf.DUMMYFUNCTION("GOOGLEFINANCE(""NSE:ONGC"", ""high"",DATE(2015,1,1),DATE(2016,1,1),""weekly"")"),"Date")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IFERROR(__xludf.DUMMYFUNCTION("""COMPUTED_VALUE"""),42006.64583333333)</f>
        <v>42006.64583</v>
      </c>
      <c r="C607" s="2">
        <f>IFERROR(__xludf.DUMMYFUNCTION("""COMPUTED_VALUE"""),235.0)</f>
        <v>235</v>
      </c>
    </row>
    <row r="608" ht="15.75" customHeight="1">
      <c r="B608" s="3">
        <f>IFERROR(__xludf.DUMMYFUNCTION("""COMPUTED_VALUE"""),42013.64583333333)</f>
        <v>42013.64583</v>
      </c>
      <c r="C608" s="2">
        <f>IFERROR(__xludf.DUMMYFUNCTION("""COMPUTED_VALUE"""),238.67)</f>
        <v>238.67</v>
      </c>
    </row>
    <row r="609" ht="15.75" customHeight="1">
      <c r="B609" s="3">
        <f>IFERROR(__xludf.DUMMYFUNCTION("""COMPUTED_VALUE"""),42020.64583333333)</f>
        <v>42020.64583</v>
      </c>
      <c r="C609" s="2">
        <f>IFERROR(__xludf.DUMMYFUNCTION("""COMPUTED_VALUE"""),235.33)</f>
        <v>235.33</v>
      </c>
    </row>
    <row r="610" ht="15.75" customHeight="1">
      <c r="B610" s="3">
        <f>IFERROR(__xludf.DUMMYFUNCTION("""COMPUTED_VALUE"""),42027.64583333333)</f>
        <v>42027.64583</v>
      </c>
      <c r="C610" s="2">
        <f>IFERROR(__xludf.DUMMYFUNCTION("""COMPUTED_VALUE"""),237.33)</f>
        <v>237.33</v>
      </c>
    </row>
    <row r="611" ht="15.75" customHeight="1">
      <c r="B611" s="3">
        <f>IFERROR(__xludf.DUMMYFUNCTION("""COMPUTED_VALUE"""),42034.64583333333)</f>
        <v>42034.64583</v>
      </c>
      <c r="C611" s="2">
        <f>IFERROR(__xludf.DUMMYFUNCTION("""COMPUTED_VALUE"""),237.67)</f>
        <v>237.67</v>
      </c>
    </row>
    <row r="612" ht="15.75" customHeight="1">
      <c r="B612" s="3">
        <f>IFERROR(__xludf.DUMMYFUNCTION("""COMPUTED_VALUE"""),42041.64583333333)</f>
        <v>42041.64583</v>
      </c>
      <c r="C612" s="2">
        <f>IFERROR(__xludf.DUMMYFUNCTION("""COMPUTED_VALUE"""),249.2)</f>
        <v>249.2</v>
      </c>
    </row>
    <row r="613" ht="15.75" customHeight="1">
      <c r="B613" s="3">
        <f>IFERROR(__xludf.DUMMYFUNCTION("""COMPUTED_VALUE"""),42048.64583333333)</f>
        <v>42048.64583</v>
      </c>
      <c r="C613" s="2">
        <f>IFERROR(__xludf.DUMMYFUNCTION("""COMPUTED_VALUE"""),239.4)</f>
        <v>239.4</v>
      </c>
    </row>
    <row r="614" ht="15.75" customHeight="1">
      <c r="B614" s="3">
        <f>IFERROR(__xludf.DUMMYFUNCTION("""COMPUTED_VALUE"""),42055.64583333333)</f>
        <v>42055.64583</v>
      </c>
      <c r="C614" s="2">
        <f>IFERROR(__xludf.DUMMYFUNCTION("""COMPUTED_VALUE"""),229.8)</f>
        <v>229.8</v>
      </c>
    </row>
    <row r="615" ht="15.75" customHeight="1">
      <c r="B615" s="3">
        <f>IFERROR(__xludf.DUMMYFUNCTION("""COMPUTED_VALUE"""),42068.64583333333)</f>
        <v>42068.64583</v>
      </c>
      <c r="C615" s="2">
        <f>IFERROR(__xludf.DUMMYFUNCTION("""COMPUTED_VALUE"""),219.73)</f>
        <v>219.73</v>
      </c>
    </row>
    <row r="616" ht="15.75" customHeight="1">
      <c r="B616" s="3">
        <f>IFERROR(__xludf.DUMMYFUNCTION("""COMPUTED_VALUE"""),42076.64583333333)</f>
        <v>42076.64583</v>
      </c>
      <c r="C616" s="2">
        <f>IFERROR(__xludf.DUMMYFUNCTION("""COMPUTED_VALUE"""),212.63)</f>
        <v>212.63</v>
      </c>
    </row>
    <row r="617" ht="15.75" customHeight="1">
      <c r="B617" s="3">
        <f>IFERROR(__xludf.DUMMYFUNCTION("""COMPUTED_VALUE"""),42083.64583333333)</f>
        <v>42083.64583</v>
      </c>
      <c r="C617" s="2">
        <f>IFERROR(__xludf.DUMMYFUNCTION("""COMPUTED_VALUE"""),210.33)</f>
        <v>210.33</v>
      </c>
    </row>
    <row r="618" ht="15.75" customHeight="1">
      <c r="B618" s="3">
        <f>IFERROR(__xludf.DUMMYFUNCTION("""COMPUTED_VALUE"""),42090.64583333333)</f>
        <v>42090.64583</v>
      </c>
      <c r="C618" s="2">
        <f>IFERROR(__xludf.DUMMYFUNCTION("""COMPUTED_VALUE"""),210.97)</f>
        <v>210.97</v>
      </c>
    </row>
    <row r="619" ht="15.75" customHeight="1">
      <c r="B619" s="3">
        <f>IFERROR(__xludf.DUMMYFUNCTION("""COMPUTED_VALUE"""),42095.64583333333)</f>
        <v>42095.64583</v>
      </c>
      <c r="C619" s="2">
        <f>IFERROR(__xludf.DUMMYFUNCTION("""COMPUTED_VALUE"""),213.07)</f>
        <v>213.07</v>
      </c>
    </row>
    <row r="620" ht="15.75" customHeight="1">
      <c r="B620" s="3">
        <f>IFERROR(__xludf.DUMMYFUNCTION("""COMPUTED_VALUE"""),42104.64583333333)</f>
        <v>42104.64583</v>
      </c>
      <c r="C620" s="2">
        <f>IFERROR(__xludf.DUMMYFUNCTION("""COMPUTED_VALUE"""),213.67)</f>
        <v>213.67</v>
      </c>
    </row>
    <row r="621" ht="15.75" customHeight="1">
      <c r="B621" s="3">
        <f>IFERROR(__xludf.DUMMYFUNCTION("""COMPUTED_VALUE"""),42111.64583333333)</f>
        <v>42111.64583</v>
      </c>
      <c r="C621" s="2">
        <f>IFERROR(__xludf.DUMMYFUNCTION("""COMPUTED_VALUE"""),221.9)</f>
        <v>221.9</v>
      </c>
    </row>
    <row r="622" ht="15.75" customHeight="1">
      <c r="B622" s="3">
        <f>IFERROR(__xludf.DUMMYFUNCTION("""COMPUTED_VALUE"""),42118.64583333333)</f>
        <v>42118.64583</v>
      </c>
      <c r="C622" s="2">
        <f>IFERROR(__xludf.DUMMYFUNCTION("""COMPUTED_VALUE"""),221.93)</f>
        <v>221.93</v>
      </c>
    </row>
    <row r="623" ht="15.75" customHeight="1">
      <c r="B623" s="3">
        <f>IFERROR(__xludf.DUMMYFUNCTION("""COMPUTED_VALUE"""),42124.64583333333)</f>
        <v>42124.64583</v>
      </c>
      <c r="C623" s="2">
        <f>IFERROR(__xludf.DUMMYFUNCTION("""COMPUTED_VALUE"""),211.97)</f>
        <v>211.97</v>
      </c>
    </row>
    <row r="624" ht="15.75" customHeight="1">
      <c r="B624" s="3">
        <f>IFERROR(__xludf.DUMMYFUNCTION("""COMPUTED_VALUE"""),42132.64583333333)</f>
        <v>42132.64583</v>
      </c>
      <c r="C624" s="2">
        <f>IFERROR(__xludf.DUMMYFUNCTION("""COMPUTED_VALUE"""),228.8)</f>
        <v>228.8</v>
      </c>
    </row>
    <row r="625" ht="15.75" customHeight="1">
      <c r="B625" s="3">
        <f>IFERROR(__xludf.DUMMYFUNCTION("""COMPUTED_VALUE"""),42139.64583333333)</f>
        <v>42139.64583</v>
      </c>
      <c r="C625" s="2">
        <f>IFERROR(__xludf.DUMMYFUNCTION("""COMPUTED_VALUE"""),213.87)</f>
        <v>213.87</v>
      </c>
    </row>
    <row r="626" ht="15.75" customHeight="1">
      <c r="B626" s="3">
        <f>IFERROR(__xludf.DUMMYFUNCTION("""COMPUTED_VALUE"""),42146.64583333333)</f>
        <v>42146.64583</v>
      </c>
      <c r="C626" s="2">
        <f>IFERROR(__xludf.DUMMYFUNCTION("""COMPUTED_VALUE"""),216.67)</f>
        <v>216.67</v>
      </c>
    </row>
    <row r="627" ht="15.75" customHeight="1">
      <c r="B627" s="3">
        <f>IFERROR(__xludf.DUMMYFUNCTION("""COMPUTED_VALUE"""),42153.64583333333)</f>
        <v>42153.64583</v>
      </c>
      <c r="C627" s="2">
        <f>IFERROR(__xludf.DUMMYFUNCTION("""COMPUTED_VALUE"""),224.8)</f>
        <v>224.8</v>
      </c>
    </row>
    <row r="628" ht="15.75" customHeight="1">
      <c r="B628" s="3">
        <f>IFERROR(__xludf.DUMMYFUNCTION("""COMPUTED_VALUE"""),42160.64583333333)</f>
        <v>42160.64583</v>
      </c>
      <c r="C628" s="2">
        <f>IFERROR(__xludf.DUMMYFUNCTION("""COMPUTED_VALUE"""),219.93)</f>
        <v>219.93</v>
      </c>
    </row>
    <row r="629" ht="15.75" customHeight="1">
      <c r="B629" s="3">
        <f>IFERROR(__xludf.DUMMYFUNCTION("""COMPUTED_VALUE"""),42167.64583333333)</f>
        <v>42167.64583</v>
      </c>
      <c r="C629" s="2">
        <f>IFERROR(__xludf.DUMMYFUNCTION("""COMPUTED_VALUE"""),206.67)</f>
        <v>206.67</v>
      </c>
    </row>
    <row r="630" ht="15.75" customHeight="1">
      <c r="B630" s="3">
        <f>IFERROR(__xludf.DUMMYFUNCTION("""COMPUTED_VALUE"""),42174.64583333333)</f>
        <v>42174.64583</v>
      </c>
      <c r="C630" s="2">
        <f>IFERROR(__xludf.DUMMYFUNCTION("""COMPUTED_VALUE"""),214.0)</f>
        <v>214</v>
      </c>
    </row>
    <row r="631" ht="15.75" customHeight="1">
      <c r="B631" s="3">
        <f>IFERROR(__xludf.DUMMYFUNCTION("""COMPUTED_VALUE"""),42181.64583333333)</f>
        <v>42181.64583</v>
      </c>
      <c r="C631" s="2">
        <f>IFERROR(__xludf.DUMMYFUNCTION("""COMPUTED_VALUE"""),215.6)</f>
        <v>215.6</v>
      </c>
    </row>
    <row r="632" ht="15.75" customHeight="1">
      <c r="B632" s="3">
        <f>IFERROR(__xludf.DUMMYFUNCTION("""COMPUTED_VALUE"""),42188.64583333333)</f>
        <v>42188.64583</v>
      </c>
      <c r="C632" s="2">
        <f>IFERROR(__xludf.DUMMYFUNCTION("""COMPUTED_VALUE"""),211.4)</f>
        <v>211.4</v>
      </c>
    </row>
    <row r="633" ht="15.75" customHeight="1">
      <c r="B633" s="3">
        <f>IFERROR(__xludf.DUMMYFUNCTION("""COMPUTED_VALUE"""),42195.64583333333)</f>
        <v>42195.64583</v>
      </c>
      <c r="C633" s="2">
        <f>IFERROR(__xludf.DUMMYFUNCTION("""COMPUTED_VALUE"""),206.03)</f>
        <v>206.03</v>
      </c>
    </row>
    <row r="634" ht="15.75" customHeight="1">
      <c r="B634" s="3">
        <f>IFERROR(__xludf.DUMMYFUNCTION("""COMPUTED_VALUE"""),42202.64583333333)</f>
        <v>42202.64583</v>
      </c>
      <c r="C634" s="2">
        <f>IFERROR(__xludf.DUMMYFUNCTION("""COMPUTED_VALUE"""),197.27)</f>
        <v>197.27</v>
      </c>
    </row>
    <row r="635" ht="15.75" customHeight="1">
      <c r="B635" s="3">
        <f>IFERROR(__xludf.DUMMYFUNCTION("""COMPUTED_VALUE"""),42209.64583333333)</f>
        <v>42209.64583</v>
      </c>
      <c r="C635" s="2">
        <f>IFERROR(__xludf.DUMMYFUNCTION("""COMPUTED_VALUE"""),196.07)</f>
        <v>196.07</v>
      </c>
    </row>
    <row r="636" ht="15.75" customHeight="1">
      <c r="B636" s="3">
        <f>IFERROR(__xludf.DUMMYFUNCTION("""COMPUTED_VALUE"""),42216.64583333333)</f>
        <v>42216.64583</v>
      </c>
      <c r="C636" s="2">
        <f>IFERROR(__xludf.DUMMYFUNCTION("""COMPUTED_VALUE"""),188.57)</f>
        <v>188.57</v>
      </c>
    </row>
    <row r="637" ht="15.75" customHeight="1">
      <c r="B637" s="3">
        <f>IFERROR(__xludf.DUMMYFUNCTION("""COMPUTED_VALUE"""),42223.64583333333)</f>
        <v>42223.64583</v>
      </c>
      <c r="C637" s="2">
        <f>IFERROR(__xludf.DUMMYFUNCTION("""COMPUTED_VALUE"""),189.3)</f>
        <v>189.3</v>
      </c>
    </row>
    <row r="638" ht="15.75" customHeight="1">
      <c r="B638" s="3">
        <f>IFERROR(__xludf.DUMMYFUNCTION("""COMPUTED_VALUE"""),42230.64583333333)</f>
        <v>42230.64583</v>
      </c>
      <c r="C638" s="2">
        <f>IFERROR(__xludf.DUMMYFUNCTION("""COMPUTED_VALUE"""),189.8)</f>
        <v>189.8</v>
      </c>
    </row>
    <row r="639" ht="15.75" customHeight="1">
      <c r="B639" s="3">
        <f>IFERROR(__xludf.DUMMYFUNCTION("""COMPUTED_VALUE"""),42237.64583333333)</f>
        <v>42237.64583</v>
      </c>
      <c r="C639" s="2">
        <f>IFERROR(__xludf.DUMMYFUNCTION("""COMPUTED_VALUE"""),180.1)</f>
        <v>180.1</v>
      </c>
    </row>
    <row r="640" ht="15.75" customHeight="1">
      <c r="B640" s="3">
        <f>IFERROR(__xludf.DUMMYFUNCTION("""COMPUTED_VALUE"""),42244.64583333333)</f>
        <v>42244.64583</v>
      </c>
      <c r="C640" s="2">
        <f>IFERROR(__xludf.DUMMYFUNCTION("""COMPUTED_VALUE"""),167.2)</f>
        <v>167.2</v>
      </c>
    </row>
    <row r="641" ht="15.75" customHeight="1">
      <c r="B641" s="3">
        <f>IFERROR(__xludf.DUMMYFUNCTION("""COMPUTED_VALUE"""),42251.64583333333)</f>
        <v>42251.64583</v>
      </c>
      <c r="C641" s="2">
        <f>IFERROR(__xludf.DUMMYFUNCTION("""COMPUTED_VALUE"""),165.6)</f>
        <v>165.6</v>
      </c>
    </row>
    <row r="642" ht="15.75" customHeight="1">
      <c r="B642" s="3">
        <f>IFERROR(__xludf.DUMMYFUNCTION("""COMPUTED_VALUE"""),42258.64583333333)</f>
        <v>42258.64583</v>
      </c>
      <c r="C642" s="2">
        <f>IFERROR(__xludf.DUMMYFUNCTION("""COMPUTED_VALUE"""),155.73)</f>
        <v>155.73</v>
      </c>
    </row>
    <row r="643" ht="15.75" customHeight="1">
      <c r="B643" s="3">
        <f>IFERROR(__xludf.DUMMYFUNCTION("""COMPUTED_VALUE"""),42265.64583333333)</f>
        <v>42265.64583</v>
      </c>
      <c r="C643" s="2">
        <f>IFERROR(__xludf.DUMMYFUNCTION("""COMPUTED_VALUE"""),160.8)</f>
        <v>160.8</v>
      </c>
    </row>
    <row r="644" ht="15.75" customHeight="1">
      <c r="B644" s="3">
        <f>IFERROR(__xludf.DUMMYFUNCTION("""COMPUTED_VALUE"""),42271.64583333333)</f>
        <v>42271.64583</v>
      </c>
      <c r="C644" s="2">
        <f>IFERROR(__xludf.DUMMYFUNCTION("""COMPUTED_VALUE"""),161.2)</f>
        <v>161.2</v>
      </c>
    </row>
    <row r="645" ht="15.75" customHeight="1">
      <c r="B645" s="3">
        <f>IFERROR(__xludf.DUMMYFUNCTION("""COMPUTED_VALUE"""),42278.64583333333)</f>
        <v>42278.64583</v>
      </c>
      <c r="C645" s="2">
        <f>IFERROR(__xludf.DUMMYFUNCTION("""COMPUTED_VALUE"""),156.0)</f>
        <v>156</v>
      </c>
    </row>
    <row r="646" ht="15.75" customHeight="1">
      <c r="B646" s="3">
        <f>IFERROR(__xludf.DUMMYFUNCTION("""COMPUTED_VALUE"""),42286.64583333333)</f>
        <v>42286.64583</v>
      </c>
      <c r="C646" s="2">
        <f>IFERROR(__xludf.DUMMYFUNCTION("""COMPUTED_VALUE"""),176.67)</f>
        <v>176.67</v>
      </c>
    </row>
    <row r="647" ht="15.75" customHeight="1">
      <c r="B647" s="3">
        <f>IFERROR(__xludf.DUMMYFUNCTION("""COMPUTED_VALUE"""),42293.64583333333)</f>
        <v>42293.64583</v>
      </c>
      <c r="C647" s="2">
        <f>IFERROR(__xludf.DUMMYFUNCTION("""COMPUTED_VALUE"""),178.5)</f>
        <v>178.5</v>
      </c>
    </row>
    <row r="648" ht="15.75" customHeight="1">
      <c r="B648" s="3">
        <f>IFERROR(__xludf.DUMMYFUNCTION("""COMPUTED_VALUE"""),42300.64583333333)</f>
        <v>42300.64583</v>
      </c>
      <c r="C648" s="2">
        <f>IFERROR(__xludf.DUMMYFUNCTION("""COMPUTED_VALUE"""),176.23)</f>
        <v>176.23</v>
      </c>
    </row>
    <row r="649" ht="15.75" customHeight="1">
      <c r="B649" s="3">
        <f>IFERROR(__xludf.DUMMYFUNCTION("""COMPUTED_VALUE"""),42307.64583333333)</f>
        <v>42307.64583</v>
      </c>
      <c r="C649" s="2">
        <f>IFERROR(__xludf.DUMMYFUNCTION("""COMPUTED_VALUE"""),173.87)</f>
        <v>173.87</v>
      </c>
    </row>
    <row r="650" ht="15.75" customHeight="1">
      <c r="B650" s="3">
        <f>IFERROR(__xludf.DUMMYFUNCTION("""COMPUTED_VALUE"""),42314.64583333333)</f>
        <v>42314.64583</v>
      </c>
      <c r="C650" s="2">
        <f>IFERROR(__xludf.DUMMYFUNCTION("""COMPUTED_VALUE"""),171.07)</f>
        <v>171.07</v>
      </c>
    </row>
    <row r="651" ht="15.75" customHeight="1">
      <c r="B651" s="3">
        <f>IFERROR(__xludf.DUMMYFUNCTION("""COMPUTED_VALUE"""),42321.64583333333)</f>
        <v>42321.64583</v>
      </c>
      <c r="C651" s="2">
        <f>IFERROR(__xludf.DUMMYFUNCTION("""COMPUTED_VALUE"""),167.33)</f>
        <v>167.33</v>
      </c>
    </row>
    <row r="652" ht="15.75" customHeight="1">
      <c r="B652" s="3">
        <f>IFERROR(__xludf.DUMMYFUNCTION("""COMPUTED_VALUE"""),42328.64583333333)</f>
        <v>42328.64583</v>
      </c>
      <c r="C652" s="2">
        <f>IFERROR(__xludf.DUMMYFUNCTION("""COMPUTED_VALUE"""),157.17)</f>
        <v>157.17</v>
      </c>
    </row>
    <row r="653" ht="15.75" customHeight="1">
      <c r="B653" s="3">
        <f>IFERROR(__xludf.DUMMYFUNCTION("""COMPUTED_VALUE"""),42335.64583333333)</f>
        <v>42335.64583</v>
      </c>
      <c r="C653" s="2">
        <f>IFERROR(__xludf.DUMMYFUNCTION("""COMPUTED_VALUE"""),159.17)</f>
        <v>159.17</v>
      </c>
    </row>
    <row r="654" ht="15.75" customHeight="1">
      <c r="B654" s="3">
        <f>IFERROR(__xludf.DUMMYFUNCTION("""COMPUTED_VALUE"""),42342.64583333333)</f>
        <v>42342.64583</v>
      </c>
      <c r="C654" s="2">
        <f>IFERROR(__xludf.DUMMYFUNCTION("""COMPUTED_VALUE"""),158.97)</f>
        <v>158.97</v>
      </c>
    </row>
    <row r="655" ht="15.75" customHeight="1">
      <c r="B655" s="3">
        <f>IFERROR(__xludf.DUMMYFUNCTION("""COMPUTED_VALUE"""),42349.64583333333)</f>
        <v>42349.64583</v>
      </c>
      <c r="C655" s="2">
        <f>IFERROR(__xludf.DUMMYFUNCTION("""COMPUTED_VALUE"""),152.33)</f>
        <v>152.33</v>
      </c>
    </row>
    <row r="656" ht="15.75" customHeight="1">
      <c r="B656" s="3">
        <f>IFERROR(__xludf.DUMMYFUNCTION("""COMPUTED_VALUE"""),42356.64583333333)</f>
        <v>42356.64583</v>
      </c>
      <c r="C656" s="2">
        <f>IFERROR(__xludf.DUMMYFUNCTION("""COMPUTED_VALUE"""),151.73)</f>
        <v>151.73</v>
      </c>
    </row>
    <row r="657" ht="15.75" customHeight="1">
      <c r="B657" s="3">
        <f>IFERROR(__xludf.DUMMYFUNCTION("""COMPUTED_VALUE"""),42362.64583333333)</f>
        <v>42362.64583</v>
      </c>
      <c r="C657" s="2">
        <f>IFERROR(__xludf.DUMMYFUNCTION("""COMPUTED_VALUE"""),159.87)</f>
        <v>159.87</v>
      </c>
    </row>
    <row r="658" ht="15.75" customHeight="1">
      <c r="B658" s="3">
        <f>IFERROR(__xludf.DUMMYFUNCTION("""COMPUTED_VALUE"""),42370.64583333333)</f>
        <v>42370.64583</v>
      </c>
      <c r="C658" s="2">
        <f>IFERROR(__xludf.DUMMYFUNCTION("""COMPUTED_VALUE"""),162.53)</f>
        <v>162.53</v>
      </c>
    </row>
    <row r="659" ht="15.75" customHeight="1"/>
    <row r="660" ht="15.75" customHeight="1"/>
    <row r="661" ht="15.75" customHeight="1">
      <c r="B661" s="2" t="str">
        <f>IFERROR(__xludf.DUMMYFUNCTION("GOOGLEFINANCE(""NSE:ONGC"", ""high"",DATE(2016,1,1),DATE(2017,1,1),""weekly"")"),"Date")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IFERROR(__xludf.DUMMYFUNCTION("""COMPUTED_VALUE"""),42377.64583333333)</f>
        <v>42377.64583</v>
      </c>
      <c r="C662" s="2">
        <f>IFERROR(__xludf.DUMMYFUNCTION("""COMPUTED_VALUE"""),163.2)</f>
        <v>163.2</v>
      </c>
    </row>
    <row r="663" ht="15.75" customHeight="1">
      <c r="B663" s="3">
        <f>IFERROR(__xludf.DUMMYFUNCTION("""COMPUTED_VALUE"""),42384.64583333333)</f>
        <v>42384.64583</v>
      </c>
      <c r="C663" s="2">
        <f>IFERROR(__xludf.DUMMYFUNCTION("""COMPUTED_VALUE"""),151.5)</f>
        <v>151.5</v>
      </c>
    </row>
    <row r="664" ht="15.75" customHeight="1">
      <c r="B664" s="3">
        <f>IFERROR(__xludf.DUMMYFUNCTION("""COMPUTED_VALUE"""),42391.64583333333)</f>
        <v>42391.64583</v>
      </c>
      <c r="C664" s="2">
        <f>IFERROR(__xludf.DUMMYFUNCTION("""COMPUTED_VALUE"""),146.27)</f>
        <v>146.27</v>
      </c>
    </row>
    <row r="665" ht="15.75" customHeight="1">
      <c r="B665" s="3">
        <f>IFERROR(__xludf.DUMMYFUNCTION("""COMPUTED_VALUE"""),42398.64583333333)</f>
        <v>42398.64583</v>
      </c>
      <c r="C665" s="2">
        <f>IFERROR(__xludf.DUMMYFUNCTION("""COMPUTED_VALUE"""),151.9)</f>
        <v>151.9</v>
      </c>
    </row>
    <row r="666" ht="15.75" customHeight="1">
      <c r="B666" s="3">
        <f>IFERROR(__xludf.DUMMYFUNCTION("""COMPUTED_VALUE"""),42405.64583333333)</f>
        <v>42405.64583</v>
      </c>
      <c r="C666" s="2">
        <f>IFERROR(__xludf.DUMMYFUNCTION("""COMPUTED_VALUE"""),151.87)</f>
        <v>151.87</v>
      </c>
    </row>
    <row r="667" ht="15.75" customHeight="1">
      <c r="B667" s="3">
        <f>IFERROR(__xludf.DUMMYFUNCTION("""COMPUTED_VALUE"""),42419.64583333333)</f>
        <v>42419.64583</v>
      </c>
      <c r="C667" s="2">
        <f>IFERROR(__xludf.DUMMYFUNCTION("""COMPUTED_VALUE"""),141.4)</f>
        <v>141.4</v>
      </c>
    </row>
    <row r="668" ht="15.75" customHeight="1">
      <c r="B668" s="3">
        <f>IFERROR(__xludf.DUMMYFUNCTION("""COMPUTED_VALUE"""),42426.64583333333)</f>
        <v>42426.64583</v>
      </c>
      <c r="C668" s="2">
        <f>IFERROR(__xludf.DUMMYFUNCTION("""COMPUTED_VALUE"""),145.7)</f>
        <v>145.7</v>
      </c>
    </row>
    <row r="669" ht="15.75" customHeight="1">
      <c r="B669" s="3">
        <f>IFERROR(__xludf.DUMMYFUNCTION("""COMPUTED_VALUE"""),42433.64583333333)</f>
        <v>42433.64583</v>
      </c>
      <c r="C669" s="2">
        <f>IFERROR(__xludf.DUMMYFUNCTION("""COMPUTED_VALUE"""),147.4)</f>
        <v>147.4</v>
      </c>
    </row>
    <row r="670" ht="15.75" customHeight="1">
      <c r="B670" s="3">
        <f>IFERROR(__xludf.DUMMYFUNCTION("""COMPUTED_VALUE"""),42440.64583333333)</f>
        <v>42440.64583</v>
      </c>
      <c r="C670" s="2">
        <f>IFERROR(__xludf.DUMMYFUNCTION("""COMPUTED_VALUE"""),139.3)</f>
        <v>139.3</v>
      </c>
    </row>
    <row r="671" ht="15.75" customHeight="1">
      <c r="B671" s="3">
        <f>IFERROR(__xludf.DUMMYFUNCTION("""COMPUTED_VALUE"""),42447.64583333333)</f>
        <v>42447.64583</v>
      </c>
      <c r="C671" s="2">
        <f>IFERROR(__xludf.DUMMYFUNCTION("""COMPUTED_VALUE"""),143.33)</f>
        <v>143.33</v>
      </c>
    </row>
    <row r="672" ht="15.75" customHeight="1">
      <c r="B672" s="3">
        <f>IFERROR(__xludf.DUMMYFUNCTION("""COMPUTED_VALUE"""),42452.64583333333)</f>
        <v>42452.64583</v>
      </c>
      <c r="C672" s="2">
        <f>IFERROR(__xludf.DUMMYFUNCTION("""COMPUTED_VALUE"""),146.1)</f>
        <v>146.1</v>
      </c>
    </row>
    <row r="673" ht="15.75" customHeight="1">
      <c r="B673" s="3">
        <f>IFERROR(__xludf.DUMMYFUNCTION("""COMPUTED_VALUE"""),42461.64583333333)</f>
        <v>42461.64583</v>
      </c>
      <c r="C673" s="2">
        <f>IFERROR(__xludf.DUMMYFUNCTION("""COMPUTED_VALUE"""),146.0)</f>
        <v>146</v>
      </c>
    </row>
    <row r="674" ht="15.75" customHeight="1">
      <c r="B674" s="3">
        <f>IFERROR(__xludf.DUMMYFUNCTION("""COMPUTED_VALUE"""),42468.64583333333)</f>
        <v>42468.64583</v>
      </c>
      <c r="C674" s="2">
        <f>IFERROR(__xludf.DUMMYFUNCTION("""COMPUTED_VALUE"""),139.67)</f>
        <v>139.67</v>
      </c>
    </row>
    <row r="675" ht="15.75" customHeight="1">
      <c r="B675" s="3">
        <f>IFERROR(__xludf.DUMMYFUNCTION("""COMPUTED_VALUE"""),42473.64583333333)</f>
        <v>42473.64583</v>
      </c>
      <c r="C675" s="2">
        <f>IFERROR(__xludf.DUMMYFUNCTION("""COMPUTED_VALUE"""),143.6)</f>
        <v>143.6</v>
      </c>
    </row>
    <row r="676" ht="15.75" customHeight="1">
      <c r="B676" s="3">
        <f>IFERROR(__xludf.DUMMYFUNCTION("""COMPUTED_VALUE"""),42482.64583333333)</f>
        <v>42482.64583</v>
      </c>
      <c r="C676" s="2">
        <f>IFERROR(__xludf.DUMMYFUNCTION("""COMPUTED_VALUE"""),144.9)</f>
        <v>144.9</v>
      </c>
    </row>
    <row r="677" ht="15.75" customHeight="1">
      <c r="B677" s="3">
        <f>IFERROR(__xludf.DUMMYFUNCTION("""COMPUTED_VALUE"""),42489.64583333333)</f>
        <v>42489.64583</v>
      </c>
      <c r="C677" s="2">
        <f>IFERROR(__xludf.DUMMYFUNCTION("""COMPUTED_VALUE"""),150.27)</f>
        <v>150.27</v>
      </c>
    </row>
    <row r="678" ht="15.75" customHeight="1">
      <c r="B678" s="3">
        <f>IFERROR(__xludf.DUMMYFUNCTION("""COMPUTED_VALUE"""),42496.64583333333)</f>
        <v>42496.64583</v>
      </c>
      <c r="C678" s="2">
        <f>IFERROR(__xludf.DUMMYFUNCTION("""COMPUTED_VALUE"""),147.27)</f>
        <v>147.27</v>
      </c>
    </row>
    <row r="679" ht="15.75" customHeight="1">
      <c r="B679" s="3">
        <f>IFERROR(__xludf.DUMMYFUNCTION("""COMPUTED_VALUE"""),42503.64583333333)</f>
        <v>42503.64583</v>
      </c>
      <c r="C679" s="2">
        <f>IFERROR(__xludf.DUMMYFUNCTION("""COMPUTED_VALUE"""),141.67)</f>
        <v>141.67</v>
      </c>
    </row>
    <row r="680" ht="15.75" customHeight="1">
      <c r="B680" s="3">
        <f>IFERROR(__xludf.DUMMYFUNCTION("""COMPUTED_VALUE"""),42510.64583333333)</f>
        <v>42510.64583</v>
      </c>
      <c r="C680" s="2">
        <f>IFERROR(__xludf.DUMMYFUNCTION("""COMPUTED_VALUE"""),143.53)</f>
        <v>143.53</v>
      </c>
    </row>
    <row r="681" ht="15.75" customHeight="1">
      <c r="B681" s="3">
        <f>IFERROR(__xludf.DUMMYFUNCTION("""COMPUTED_VALUE"""),42517.64583333333)</f>
        <v>42517.64583</v>
      </c>
      <c r="C681" s="2">
        <f>IFERROR(__xludf.DUMMYFUNCTION("""COMPUTED_VALUE"""),147.43)</f>
        <v>147.43</v>
      </c>
    </row>
    <row r="682" ht="15.75" customHeight="1">
      <c r="B682" s="3">
        <f>IFERROR(__xludf.DUMMYFUNCTION("""COMPUTED_VALUE"""),42524.64583333333)</f>
        <v>42524.64583</v>
      </c>
      <c r="C682" s="2">
        <f>IFERROR(__xludf.DUMMYFUNCTION("""COMPUTED_VALUE"""),143.8)</f>
        <v>143.8</v>
      </c>
    </row>
    <row r="683" ht="15.75" customHeight="1">
      <c r="B683" s="3">
        <f>IFERROR(__xludf.DUMMYFUNCTION("""COMPUTED_VALUE"""),42531.64583333333)</f>
        <v>42531.64583</v>
      </c>
      <c r="C683" s="2">
        <f>IFERROR(__xludf.DUMMYFUNCTION("""COMPUTED_VALUE"""),148.47)</f>
        <v>148.47</v>
      </c>
    </row>
    <row r="684" ht="15.75" customHeight="1">
      <c r="B684" s="3">
        <f>IFERROR(__xludf.DUMMYFUNCTION("""COMPUTED_VALUE"""),42538.64583333333)</f>
        <v>42538.64583</v>
      </c>
      <c r="C684" s="2">
        <f>IFERROR(__xludf.DUMMYFUNCTION("""COMPUTED_VALUE"""),144.27)</f>
        <v>144.27</v>
      </c>
    </row>
    <row r="685" ht="15.75" customHeight="1">
      <c r="B685" s="3">
        <f>IFERROR(__xludf.DUMMYFUNCTION("""COMPUTED_VALUE"""),42545.64583333333)</f>
        <v>42545.64583</v>
      </c>
      <c r="C685" s="2">
        <f>IFERROR(__xludf.DUMMYFUNCTION("""COMPUTED_VALUE"""),146.37)</f>
        <v>146.37</v>
      </c>
    </row>
    <row r="686" ht="15.75" customHeight="1">
      <c r="B686" s="3">
        <f>IFERROR(__xludf.DUMMYFUNCTION("""COMPUTED_VALUE"""),42552.64583333333)</f>
        <v>42552.64583</v>
      </c>
      <c r="C686" s="2">
        <f>IFERROR(__xludf.DUMMYFUNCTION("""COMPUTED_VALUE"""),153.2)</f>
        <v>153.2</v>
      </c>
    </row>
    <row r="687" ht="15.75" customHeight="1">
      <c r="B687" s="3">
        <f>IFERROR(__xludf.DUMMYFUNCTION("""COMPUTED_VALUE"""),42559.64583333333)</f>
        <v>42559.64583</v>
      </c>
      <c r="C687" s="2">
        <f>IFERROR(__xludf.DUMMYFUNCTION("""COMPUTED_VALUE"""),157.6)</f>
        <v>157.6</v>
      </c>
    </row>
    <row r="688" ht="15.75" customHeight="1">
      <c r="B688" s="3">
        <f>IFERROR(__xludf.DUMMYFUNCTION("""COMPUTED_VALUE"""),42566.64583333333)</f>
        <v>42566.64583</v>
      </c>
      <c r="C688" s="2">
        <f>IFERROR(__xludf.DUMMYFUNCTION("""COMPUTED_VALUE"""),161.03)</f>
        <v>161.03</v>
      </c>
    </row>
    <row r="689" ht="15.75" customHeight="1">
      <c r="B689" s="3">
        <f>IFERROR(__xludf.DUMMYFUNCTION("""COMPUTED_VALUE"""),42573.64583333333)</f>
        <v>42573.64583</v>
      </c>
      <c r="C689" s="2">
        <f>IFERROR(__xludf.DUMMYFUNCTION("""COMPUTED_VALUE"""),152.67)</f>
        <v>152.67</v>
      </c>
    </row>
    <row r="690" ht="15.75" customHeight="1">
      <c r="B690" s="3">
        <f>IFERROR(__xludf.DUMMYFUNCTION("""COMPUTED_VALUE"""),42580.64583333333)</f>
        <v>42580.64583</v>
      </c>
      <c r="C690" s="2">
        <f>IFERROR(__xludf.DUMMYFUNCTION("""COMPUTED_VALUE"""),153.07)</f>
        <v>153.07</v>
      </c>
    </row>
    <row r="691" ht="15.75" customHeight="1">
      <c r="B691" s="3">
        <f>IFERROR(__xludf.DUMMYFUNCTION("""COMPUTED_VALUE"""),42587.64583333333)</f>
        <v>42587.64583</v>
      </c>
      <c r="C691" s="2">
        <f>IFERROR(__xludf.DUMMYFUNCTION("""COMPUTED_VALUE"""),151.13)</f>
        <v>151.13</v>
      </c>
    </row>
    <row r="692" ht="15.75" customHeight="1">
      <c r="B692" s="3">
        <f>IFERROR(__xludf.DUMMYFUNCTION("""COMPUTED_VALUE"""),42594.64583333333)</f>
        <v>42594.64583</v>
      </c>
      <c r="C692" s="2">
        <f>IFERROR(__xludf.DUMMYFUNCTION("""COMPUTED_VALUE"""),156.27)</f>
        <v>156.27</v>
      </c>
    </row>
    <row r="693" ht="15.75" customHeight="1">
      <c r="B693" s="3">
        <f>IFERROR(__xludf.DUMMYFUNCTION("""COMPUTED_VALUE"""),42601.64583333333)</f>
        <v>42601.64583</v>
      </c>
      <c r="C693" s="2">
        <f>IFERROR(__xludf.DUMMYFUNCTION("""COMPUTED_VALUE"""),162.33)</f>
        <v>162.33</v>
      </c>
    </row>
    <row r="694" ht="15.75" customHeight="1">
      <c r="B694" s="3">
        <f>IFERROR(__xludf.DUMMYFUNCTION("""COMPUTED_VALUE"""),42608.64583333333)</f>
        <v>42608.64583</v>
      </c>
      <c r="C694" s="2">
        <f>IFERROR(__xludf.DUMMYFUNCTION("""COMPUTED_VALUE"""),162.6)</f>
        <v>162.6</v>
      </c>
    </row>
    <row r="695" ht="15.75" customHeight="1">
      <c r="B695" s="3">
        <f>IFERROR(__xludf.DUMMYFUNCTION("""COMPUTED_VALUE"""),42615.64583333333)</f>
        <v>42615.64583</v>
      </c>
      <c r="C695" s="2">
        <f>IFERROR(__xludf.DUMMYFUNCTION("""COMPUTED_VALUE"""),161.67)</f>
        <v>161.67</v>
      </c>
    </row>
    <row r="696" ht="15.75" customHeight="1">
      <c r="B696" s="3">
        <f>IFERROR(__xludf.DUMMYFUNCTION("""COMPUTED_VALUE"""),42622.64583333333)</f>
        <v>42622.64583</v>
      </c>
      <c r="C696" s="2">
        <f>IFERROR(__xludf.DUMMYFUNCTION("""COMPUTED_VALUE"""),171.67)</f>
        <v>171.67</v>
      </c>
    </row>
    <row r="697" ht="15.75" customHeight="1">
      <c r="B697" s="3">
        <f>IFERROR(__xludf.DUMMYFUNCTION("""COMPUTED_VALUE"""),42629.64583333333)</f>
        <v>42629.64583</v>
      </c>
      <c r="C697" s="2">
        <f>IFERROR(__xludf.DUMMYFUNCTION("""COMPUTED_VALUE"""),168.67)</f>
        <v>168.67</v>
      </c>
    </row>
    <row r="698" ht="15.75" customHeight="1">
      <c r="B698" s="3">
        <f>IFERROR(__xludf.DUMMYFUNCTION("""COMPUTED_VALUE"""),42636.64583333333)</f>
        <v>42636.64583</v>
      </c>
      <c r="C698" s="2">
        <f>IFERROR(__xludf.DUMMYFUNCTION("""COMPUTED_VALUE"""),175.57)</f>
        <v>175.57</v>
      </c>
    </row>
    <row r="699" ht="15.75" customHeight="1">
      <c r="B699" s="3">
        <f>IFERROR(__xludf.DUMMYFUNCTION("""COMPUTED_VALUE"""),42643.64583333333)</f>
        <v>42643.64583</v>
      </c>
      <c r="C699" s="2">
        <f>IFERROR(__xludf.DUMMYFUNCTION("""COMPUTED_VALUE"""),173.67)</f>
        <v>173.67</v>
      </c>
    </row>
    <row r="700" ht="15.75" customHeight="1">
      <c r="B700" s="3">
        <f>IFERROR(__xludf.DUMMYFUNCTION("""COMPUTED_VALUE"""),42650.64583333333)</f>
        <v>42650.64583</v>
      </c>
      <c r="C700" s="2">
        <f>IFERROR(__xludf.DUMMYFUNCTION("""COMPUTED_VALUE"""),183.5)</f>
        <v>183.5</v>
      </c>
    </row>
    <row r="701" ht="15.75" customHeight="1">
      <c r="B701" s="3">
        <f>IFERROR(__xludf.DUMMYFUNCTION("""COMPUTED_VALUE"""),42657.64583333333)</f>
        <v>42657.64583</v>
      </c>
      <c r="C701" s="2">
        <f>IFERROR(__xludf.DUMMYFUNCTION("""COMPUTED_VALUE"""),186.13)</f>
        <v>186.13</v>
      </c>
    </row>
    <row r="702" ht="15.75" customHeight="1">
      <c r="B702" s="3">
        <f>IFERROR(__xludf.DUMMYFUNCTION("""COMPUTED_VALUE"""),42664.64583333333)</f>
        <v>42664.64583</v>
      </c>
      <c r="C702" s="2">
        <f>IFERROR(__xludf.DUMMYFUNCTION("""COMPUTED_VALUE"""),188.77)</f>
        <v>188.77</v>
      </c>
    </row>
    <row r="703" ht="15.75" customHeight="1">
      <c r="B703" s="3">
        <f>IFERROR(__xludf.DUMMYFUNCTION("""COMPUTED_VALUE"""),42671.64583333333)</f>
        <v>42671.64583</v>
      </c>
      <c r="C703" s="2">
        <f>IFERROR(__xludf.DUMMYFUNCTION("""COMPUTED_VALUE"""),198.27)</f>
        <v>198.27</v>
      </c>
    </row>
    <row r="704" ht="15.75" customHeight="1">
      <c r="B704" s="3">
        <f>IFERROR(__xludf.DUMMYFUNCTION("""COMPUTED_VALUE"""),42678.64583333333)</f>
        <v>42678.64583</v>
      </c>
      <c r="C704" s="2">
        <f>IFERROR(__xludf.DUMMYFUNCTION("""COMPUTED_VALUE"""),193.53)</f>
        <v>193.53</v>
      </c>
    </row>
    <row r="705" ht="15.75" customHeight="1">
      <c r="B705" s="3">
        <f>IFERROR(__xludf.DUMMYFUNCTION("""COMPUTED_VALUE"""),42685.64583333333)</f>
        <v>42685.64583</v>
      </c>
      <c r="C705" s="2">
        <f>IFERROR(__xludf.DUMMYFUNCTION("""COMPUTED_VALUE"""),186.3)</f>
        <v>186.3</v>
      </c>
    </row>
    <row r="706" ht="15.75" customHeight="1">
      <c r="B706" s="3">
        <f>IFERROR(__xludf.DUMMYFUNCTION("""COMPUTED_VALUE"""),42692.64583333333)</f>
        <v>42692.64583</v>
      </c>
      <c r="C706" s="2">
        <f>IFERROR(__xludf.DUMMYFUNCTION("""COMPUTED_VALUE"""),190.97)</f>
        <v>190.97</v>
      </c>
    </row>
    <row r="707" ht="15.75" customHeight="1">
      <c r="B707" s="3">
        <f>IFERROR(__xludf.DUMMYFUNCTION("""COMPUTED_VALUE"""),42699.64583333333)</f>
        <v>42699.64583</v>
      </c>
      <c r="C707" s="2">
        <f>IFERROR(__xludf.DUMMYFUNCTION("""COMPUTED_VALUE"""),189.0)</f>
        <v>189</v>
      </c>
    </row>
    <row r="708" ht="15.75" customHeight="1">
      <c r="B708" s="3">
        <f>IFERROR(__xludf.DUMMYFUNCTION("""COMPUTED_VALUE"""),42706.64583333333)</f>
        <v>42706.64583</v>
      </c>
      <c r="C708" s="2">
        <f>IFERROR(__xludf.DUMMYFUNCTION("""COMPUTED_VALUE"""),199.07)</f>
        <v>199.07</v>
      </c>
    </row>
    <row r="709" ht="15.75" customHeight="1">
      <c r="B709" s="3">
        <f>IFERROR(__xludf.DUMMYFUNCTION("""COMPUTED_VALUE"""),42713.64583333333)</f>
        <v>42713.64583</v>
      </c>
      <c r="C709" s="2">
        <f>IFERROR(__xludf.DUMMYFUNCTION("""COMPUTED_VALUE"""),205.2)</f>
        <v>205.2</v>
      </c>
    </row>
    <row r="710" ht="15.75" customHeight="1">
      <c r="B710" s="3">
        <f>IFERROR(__xludf.DUMMYFUNCTION("""COMPUTED_VALUE"""),42720.64583333333)</f>
        <v>42720.64583</v>
      </c>
      <c r="C710" s="2">
        <f>IFERROR(__xludf.DUMMYFUNCTION("""COMPUTED_VALUE"""),209.73)</f>
        <v>209.73</v>
      </c>
    </row>
    <row r="711" ht="15.75" customHeight="1">
      <c r="B711" s="3">
        <f>IFERROR(__xludf.DUMMYFUNCTION("""COMPUTED_VALUE"""),42727.64583333333)</f>
        <v>42727.64583</v>
      </c>
      <c r="C711" s="2">
        <f>IFERROR(__xludf.DUMMYFUNCTION("""COMPUTED_VALUE"""),203.4)</f>
        <v>203.4</v>
      </c>
    </row>
    <row r="712" ht="15.75" customHeight="1">
      <c r="B712" s="3">
        <f>IFERROR(__xludf.DUMMYFUNCTION("""COMPUTED_VALUE"""),42734.64583333333)</f>
        <v>42734.64583</v>
      </c>
      <c r="C712" s="2">
        <f>IFERROR(__xludf.DUMMYFUNCTION("""COMPUTED_VALUE"""),193.75)</f>
        <v>193.75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IFERROR(__xludf.DUMMYFUNCTION("GOOGLEFINANCE(""NSE:ONGC"", ""high"",DATE(2017,1,1),DATE(2018,1,1),""weekly"")"),"Date")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IFERROR(__xludf.DUMMYFUNCTION("""COMPUTED_VALUE"""),42741.64583333333)</f>
        <v>42741.64583</v>
      </c>
      <c r="C717" s="2">
        <f>IFERROR(__xludf.DUMMYFUNCTION("""COMPUTED_VALUE"""),206.95)</f>
        <v>206.95</v>
      </c>
    </row>
    <row r="718" ht="15.75" customHeight="1">
      <c r="B718" s="3">
        <f>IFERROR(__xludf.DUMMYFUNCTION("""COMPUTED_VALUE"""),42748.64583333333)</f>
        <v>42748.64583</v>
      </c>
      <c r="C718" s="2">
        <f>IFERROR(__xludf.DUMMYFUNCTION("""COMPUTED_VALUE"""),204.95)</f>
        <v>204.95</v>
      </c>
    </row>
    <row r="719" ht="15.75" customHeight="1">
      <c r="B719" s="3">
        <f>IFERROR(__xludf.DUMMYFUNCTION("""COMPUTED_VALUE"""),42755.64583333333)</f>
        <v>42755.64583</v>
      </c>
      <c r="C719" s="2">
        <f>IFERROR(__xludf.DUMMYFUNCTION("""COMPUTED_VALUE"""),202.0)</f>
        <v>202</v>
      </c>
    </row>
    <row r="720" ht="15.75" customHeight="1">
      <c r="B720" s="3">
        <f>IFERROR(__xludf.DUMMYFUNCTION("""COMPUTED_VALUE"""),42762.64583333333)</f>
        <v>42762.64583</v>
      </c>
      <c r="C720" s="2">
        <f>IFERROR(__xludf.DUMMYFUNCTION("""COMPUTED_VALUE"""),208.0)</f>
        <v>208</v>
      </c>
    </row>
    <row r="721" ht="15.75" customHeight="1">
      <c r="B721" s="3">
        <f>IFERROR(__xludf.DUMMYFUNCTION("""COMPUTED_VALUE"""),42769.64583333333)</f>
        <v>42769.64583</v>
      </c>
      <c r="C721" s="2">
        <f>IFERROR(__xludf.DUMMYFUNCTION("""COMPUTED_VALUE"""),211.8)</f>
        <v>211.8</v>
      </c>
    </row>
    <row r="722" ht="15.75" customHeight="1">
      <c r="B722" s="3">
        <f>IFERROR(__xludf.DUMMYFUNCTION("""COMPUTED_VALUE"""),42776.64583333333)</f>
        <v>42776.64583</v>
      </c>
      <c r="C722" s="2">
        <f>IFERROR(__xludf.DUMMYFUNCTION("""COMPUTED_VALUE"""),202.85)</f>
        <v>202.85</v>
      </c>
    </row>
    <row r="723" ht="15.75" customHeight="1">
      <c r="B723" s="3">
        <f>IFERROR(__xludf.DUMMYFUNCTION("""COMPUTED_VALUE"""),42783.64583333333)</f>
        <v>42783.64583</v>
      </c>
      <c r="C723" s="2">
        <f>IFERROR(__xludf.DUMMYFUNCTION("""COMPUTED_VALUE"""),197.8)</f>
        <v>197.8</v>
      </c>
    </row>
    <row r="724" ht="15.75" customHeight="1">
      <c r="B724" s="3">
        <f>IFERROR(__xludf.DUMMYFUNCTION("""COMPUTED_VALUE"""),42789.64583333333)</f>
        <v>42789.64583</v>
      </c>
      <c r="C724" s="2">
        <f>IFERROR(__xludf.DUMMYFUNCTION("""COMPUTED_VALUE"""),198.5)</f>
        <v>198.5</v>
      </c>
    </row>
    <row r="725" ht="15.75" customHeight="1">
      <c r="B725" s="3">
        <f>IFERROR(__xludf.DUMMYFUNCTION("""COMPUTED_VALUE"""),42797.64583333333)</f>
        <v>42797.64583</v>
      </c>
      <c r="C725" s="2">
        <f>IFERROR(__xludf.DUMMYFUNCTION("""COMPUTED_VALUE"""),198.0)</f>
        <v>198</v>
      </c>
    </row>
    <row r="726" ht="15.75" customHeight="1">
      <c r="B726" s="3">
        <f>IFERROR(__xludf.DUMMYFUNCTION("""COMPUTED_VALUE"""),42804.64583333333)</f>
        <v>42804.64583</v>
      </c>
      <c r="C726" s="2">
        <f>IFERROR(__xludf.DUMMYFUNCTION("""COMPUTED_VALUE"""),197.2)</f>
        <v>197.2</v>
      </c>
    </row>
    <row r="727" ht="15.75" customHeight="1">
      <c r="B727" s="3">
        <f>IFERROR(__xludf.DUMMYFUNCTION("""COMPUTED_VALUE"""),42811.64583333333)</f>
        <v>42811.64583</v>
      </c>
      <c r="C727" s="2">
        <f>IFERROR(__xludf.DUMMYFUNCTION("""COMPUTED_VALUE"""),194.6)</f>
        <v>194.6</v>
      </c>
    </row>
    <row r="728" ht="15.75" customHeight="1">
      <c r="B728" s="3">
        <f>IFERROR(__xludf.DUMMYFUNCTION("""COMPUTED_VALUE"""),42818.64583333333)</f>
        <v>42818.64583</v>
      </c>
      <c r="C728" s="2">
        <f>IFERROR(__xludf.DUMMYFUNCTION("""COMPUTED_VALUE"""),194.5)</f>
        <v>194.5</v>
      </c>
    </row>
    <row r="729" ht="15.75" customHeight="1">
      <c r="B729" s="3">
        <f>IFERROR(__xludf.DUMMYFUNCTION("""COMPUTED_VALUE"""),42825.64583333333)</f>
        <v>42825.64583</v>
      </c>
      <c r="C729" s="2">
        <f>IFERROR(__xludf.DUMMYFUNCTION("""COMPUTED_VALUE"""),192.0)</f>
        <v>192</v>
      </c>
    </row>
    <row r="730" ht="15.75" customHeight="1">
      <c r="B730" s="3">
        <f>IFERROR(__xludf.DUMMYFUNCTION("""COMPUTED_VALUE"""),42832.64583333333)</f>
        <v>42832.64583</v>
      </c>
      <c r="C730" s="2">
        <f>IFERROR(__xludf.DUMMYFUNCTION("""COMPUTED_VALUE"""),188.45)</f>
        <v>188.45</v>
      </c>
    </row>
    <row r="731" ht="15.75" customHeight="1">
      <c r="B731" s="3">
        <f>IFERROR(__xludf.DUMMYFUNCTION("""COMPUTED_VALUE"""),42838.64583333333)</f>
        <v>42838.64583</v>
      </c>
      <c r="C731" s="2">
        <f>IFERROR(__xludf.DUMMYFUNCTION("""COMPUTED_VALUE"""),188.7)</f>
        <v>188.7</v>
      </c>
    </row>
    <row r="732" ht="15.75" customHeight="1">
      <c r="B732" s="3">
        <f>IFERROR(__xludf.DUMMYFUNCTION("""COMPUTED_VALUE"""),42846.64583333333)</f>
        <v>42846.64583</v>
      </c>
      <c r="C732" s="2">
        <f>IFERROR(__xludf.DUMMYFUNCTION("""COMPUTED_VALUE"""),185.4)</f>
        <v>185.4</v>
      </c>
    </row>
    <row r="733" ht="15.75" customHeight="1">
      <c r="B733" s="3">
        <f>IFERROR(__xludf.DUMMYFUNCTION("""COMPUTED_VALUE"""),42853.64583333333)</f>
        <v>42853.64583</v>
      </c>
      <c r="C733" s="2">
        <f>IFERROR(__xludf.DUMMYFUNCTION("""COMPUTED_VALUE"""),187.15)</f>
        <v>187.15</v>
      </c>
    </row>
    <row r="734" ht="15.75" customHeight="1">
      <c r="B734" s="3">
        <f>IFERROR(__xludf.DUMMYFUNCTION("""COMPUTED_VALUE"""),42860.64583333333)</f>
        <v>42860.64583</v>
      </c>
      <c r="C734" s="2">
        <f>IFERROR(__xludf.DUMMYFUNCTION("""COMPUTED_VALUE"""),194.75)</f>
        <v>194.75</v>
      </c>
    </row>
    <row r="735" ht="15.75" customHeight="1">
      <c r="B735" s="3">
        <f>IFERROR(__xludf.DUMMYFUNCTION("""COMPUTED_VALUE"""),42867.64583333333)</f>
        <v>42867.64583</v>
      </c>
      <c r="C735" s="2">
        <f>IFERROR(__xludf.DUMMYFUNCTION("""COMPUTED_VALUE"""),190.25)</f>
        <v>190.25</v>
      </c>
    </row>
    <row r="736" ht="15.75" customHeight="1">
      <c r="B736" s="3">
        <f>IFERROR(__xludf.DUMMYFUNCTION("""COMPUTED_VALUE"""),42874.64583333333)</f>
        <v>42874.64583</v>
      </c>
      <c r="C736" s="2">
        <f>IFERROR(__xludf.DUMMYFUNCTION("""COMPUTED_VALUE"""),188.3)</f>
        <v>188.3</v>
      </c>
    </row>
    <row r="737" ht="15.75" customHeight="1">
      <c r="B737" s="3">
        <f>IFERROR(__xludf.DUMMYFUNCTION("""COMPUTED_VALUE"""),42881.64583333333)</f>
        <v>42881.64583</v>
      </c>
      <c r="C737" s="2">
        <f>IFERROR(__xludf.DUMMYFUNCTION("""COMPUTED_VALUE"""),181.6)</f>
        <v>181.6</v>
      </c>
    </row>
    <row r="738" ht="15.75" customHeight="1">
      <c r="B738" s="3">
        <f>IFERROR(__xludf.DUMMYFUNCTION("""COMPUTED_VALUE"""),42888.64583333333)</f>
        <v>42888.64583</v>
      </c>
      <c r="C738" s="2">
        <f>IFERROR(__xludf.DUMMYFUNCTION("""COMPUTED_VALUE"""),179.35)</f>
        <v>179.35</v>
      </c>
    </row>
    <row r="739" ht="15.75" customHeight="1">
      <c r="B739" s="3">
        <f>IFERROR(__xludf.DUMMYFUNCTION("""COMPUTED_VALUE"""),42895.64583333333)</f>
        <v>42895.64583</v>
      </c>
      <c r="C739" s="2">
        <f>IFERROR(__xludf.DUMMYFUNCTION("""COMPUTED_VALUE"""),178.5)</f>
        <v>178.5</v>
      </c>
    </row>
    <row r="740" ht="15.75" customHeight="1">
      <c r="B740" s="3">
        <f>IFERROR(__xludf.DUMMYFUNCTION("""COMPUTED_VALUE"""),42902.64583333333)</f>
        <v>42902.64583</v>
      </c>
      <c r="C740" s="2">
        <f>IFERROR(__xludf.DUMMYFUNCTION("""COMPUTED_VALUE"""),170.9)</f>
        <v>170.9</v>
      </c>
    </row>
    <row r="741" ht="15.75" customHeight="1">
      <c r="B741" s="3">
        <f>IFERROR(__xludf.DUMMYFUNCTION("""COMPUTED_VALUE"""),42909.64583333333)</f>
        <v>42909.64583</v>
      </c>
      <c r="C741" s="2">
        <f>IFERROR(__xludf.DUMMYFUNCTION("""COMPUTED_VALUE"""),170.35)</f>
        <v>170.35</v>
      </c>
    </row>
    <row r="742" ht="15.75" customHeight="1">
      <c r="B742" s="3">
        <f>IFERROR(__xludf.DUMMYFUNCTION("""COMPUTED_VALUE"""),42916.64583333333)</f>
        <v>42916.64583</v>
      </c>
      <c r="C742" s="2">
        <f>IFERROR(__xludf.DUMMYFUNCTION("""COMPUTED_VALUE"""),161.45)</f>
        <v>161.45</v>
      </c>
    </row>
    <row r="743" ht="15.75" customHeight="1">
      <c r="B743" s="3">
        <f>IFERROR(__xludf.DUMMYFUNCTION("""COMPUTED_VALUE"""),42923.64583333333)</f>
        <v>42923.64583</v>
      </c>
      <c r="C743" s="2">
        <f>IFERROR(__xludf.DUMMYFUNCTION("""COMPUTED_VALUE"""),163.5)</f>
        <v>163.5</v>
      </c>
    </row>
    <row r="744" ht="15.75" customHeight="1">
      <c r="B744" s="3">
        <f>IFERROR(__xludf.DUMMYFUNCTION("""COMPUTED_VALUE"""),42930.64583333333)</f>
        <v>42930.64583</v>
      </c>
      <c r="C744" s="2">
        <f>IFERROR(__xludf.DUMMYFUNCTION("""COMPUTED_VALUE"""),165.9)</f>
        <v>165.9</v>
      </c>
    </row>
    <row r="745" ht="15.75" customHeight="1">
      <c r="B745" s="3">
        <f>IFERROR(__xludf.DUMMYFUNCTION("""COMPUTED_VALUE"""),42937.64583333333)</f>
        <v>42937.64583</v>
      </c>
      <c r="C745" s="2">
        <f>IFERROR(__xludf.DUMMYFUNCTION("""COMPUTED_VALUE"""),167.85)</f>
        <v>167.85</v>
      </c>
    </row>
    <row r="746" ht="15.75" customHeight="1">
      <c r="B746" s="3">
        <f>IFERROR(__xludf.DUMMYFUNCTION("""COMPUTED_VALUE"""),42944.64583333333)</f>
        <v>42944.64583</v>
      </c>
      <c r="C746" s="2">
        <f>IFERROR(__xludf.DUMMYFUNCTION("""COMPUTED_VALUE"""),165.5)</f>
        <v>165.5</v>
      </c>
    </row>
    <row r="747" ht="15.75" customHeight="1">
      <c r="B747" s="3">
        <f>IFERROR(__xludf.DUMMYFUNCTION("""COMPUTED_VALUE"""),42951.64583333333)</f>
        <v>42951.64583</v>
      </c>
      <c r="C747" s="2">
        <f>IFERROR(__xludf.DUMMYFUNCTION("""COMPUTED_VALUE"""),170.3)</f>
        <v>170.3</v>
      </c>
    </row>
    <row r="748" ht="15.75" customHeight="1">
      <c r="B748" s="3">
        <f>IFERROR(__xludf.DUMMYFUNCTION("""COMPUTED_VALUE"""),42958.64583333333)</f>
        <v>42958.64583</v>
      </c>
      <c r="C748" s="2">
        <f>IFERROR(__xludf.DUMMYFUNCTION("""COMPUTED_VALUE"""),167.05)</f>
        <v>167.05</v>
      </c>
    </row>
    <row r="749" ht="15.75" customHeight="1">
      <c r="B749" s="3">
        <f>IFERROR(__xludf.DUMMYFUNCTION("""COMPUTED_VALUE"""),42965.64583333333)</f>
        <v>42965.64583</v>
      </c>
      <c r="C749" s="2">
        <f>IFERROR(__xludf.DUMMYFUNCTION("""COMPUTED_VALUE"""),162.3)</f>
        <v>162.3</v>
      </c>
    </row>
    <row r="750" ht="15.75" customHeight="1">
      <c r="B750" s="3">
        <f>IFERROR(__xludf.DUMMYFUNCTION("""COMPUTED_VALUE"""),42971.64583333333)</f>
        <v>42971.64583</v>
      </c>
      <c r="C750" s="2">
        <f>IFERROR(__xludf.DUMMYFUNCTION("""COMPUTED_VALUE"""),164.55)</f>
        <v>164.55</v>
      </c>
    </row>
    <row r="751" ht="15.75" customHeight="1">
      <c r="B751" s="3">
        <f>IFERROR(__xludf.DUMMYFUNCTION("""COMPUTED_VALUE"""),42979.64583333333)</f>
        <v>42979.64583</v>
      </c>
      <c r="C751" s="2">
        <f>IFERROR(__xludf.DUMMYFUNCTION("""COMPUTED_VALUE"""),161.4)</f>
        <v>161.4</v>
      </c>
    </row>
    <row r="752" ht="15.75" customHeight="1">
      <c r="B752" s="3">
        <f>IFERROR(__xludf.DUMMYFUNCTION("""COMPUTED_VALUE"""),42986.64583333333)</f>
        <v>42986.64583</v>
      </c>
      <c r="C752" s="2">
        <f>IFERROR(__xludf.DUMMYFUNCTION("""COMPUTED_VALUE"""),163.8)</f>
        <v>163.8</v>
      </c>
    </row>
    <row r="753" ht="15.75" customHeight="1">
      <c r="B753" s="3">
        <f>IFERROR(__xludf.DUMMYFUNCTION("""COMPUTED_VALUE"""),42993.64583333333)</f>
        <v>42993.64583</v>
      </c>
      <c r="C753" s="2">
        <f>IFERROR(__xludf.DUMMYFUNCTION("""COMPUTED_VALUE"""),167.85)</f>
        <v>167.85</v>
      </c>
    </row>
    <row r="754" ht="15.75" customHeight="1">
      <c r="B754" s="3">
        <f>IFERROR(__xludf.DUMMYFUNCTION("""COMPUTED_VALUE"""),43000.64583333333)</f>
        <v>43000.64583</v>
      </c>
      <c r="C754" s="2">
        <f>IFERROR(__xludf.DUMMYFUNCTION("""COMPUTED_VALUE"""),170.9)</f>
        <v>170.9</v>
      </c>
    </row>
    <row r="755" ht="15.75" customHeight="1">
      <c r="B755" s="3">
        <f>IFERROR(__xludf.DUMMYFUNCTION("""COMPUTED_VALUE"""),43007.64583333333)</f>
        <v>43007.64583</v>
      </c>
      <c r="C755" s="2">
        <f>IFERROR(__xludf.DUMMYFUNCTION("""COMPUTED_VALUE"""),174.35)</f>
        <v>174.35</v>
      </c>
    </row>
    <row r="756" ht="15.75" customHeight="1">
      <c r="B756" s="3">
        <f>IFERROR(__xludf.DUMMYFUNCTION("""COMPUTED_VALUE"""),43014.64583333333)</f>
        <v>43014.64583</v>
      </c>
      <c r="C756" s="2">
        <f>IFERROR(__xludf.DUMMYFUNCTION("""COMPUTED_VALUE"""),174.7)</f>
        <v>174.7</v>
      </c>
    </row>
    <row r="757" ht="15.75" customHeight="1">
      <c r="B757" s="3">
        <f>IFERROR(__xludf.DUMMYFUNCTION("""COMPUTED_VALUE"""),43021.64583333333)</f>
        <v>43021.64583</v>
      </c>
      <c r="C757" s="2">
        <f>IFERROR(__xludf.DUMMYFUNCTION("""COMPUTED_VALUE"""),173.45)</f>
        <v>173.45</v>
      </c>
    </row>
    <row r="758" ht="15.75" customHeight="1">
      <c r="B758" s="3">
        <f>IFERROR(__xludf.DUMMYFUNCTION("""COMPUTED_VALUE"""),43027.83333333333)</f>
        <v>43027.83333</v>
      </c>
      <c r="C758" s="2">
        <f>IFERROR(__xludf.DUMMYFUNCTION("""COMPUTED_VALUE"""),175.5)</f>
        <v>175.5</v>
      </c>
    </row>
    <row r="759" ht="15.75" customHeight="1">
      <c r="B759" s="3">
        <f>IFERROR(__xludf.DUMMYFUNCTION("""COMPUTED_VALUE"""),43035.64583333333)</f>
        <v>43035.64583</v>
      </c>
      <c r="C759" s="2">
        <f>IFERROR(__xludf.DUMMYFUNCTION("""COMPUTED_VALUE"""),184.9)</f>
        <v>184.9</v>
      </c>
    </row>
    <row r="760" ht="15.75" customHeight="1">
      <c r="B760" s="3">
        <f>IFERROR(__xludf.DUMMYFUNCTION("""COMPUTED_VALUE"""),43042.64583333333)</f>
        <v>43042.64583</v>
      </c>
      <c r="C760" s="2">
        <f>IFERROR(__xludf.DUMMYFUNCTION("""COMPUTED_VALUE"""),193.2)</f>
        <v>193.2</v>
      </c>
    </row>
    <row r="761" ht="15.75" customHeight="1">
      <c r="B761" s="3">
        <f>IFERROR(__xludf.DUMMYFUNCTION("""COMPUTED_VALUE"""),43049.64583333333)</f>
        <v>43049.64583</v>
      </c>
      <c r="C761" s="2">
        <f>IFERROR(__xludf.DUMMYFUNCTION("""COMPUTED_VALUE"""),205.5)</f>
        <v>205.5</v>
      </c>
    </row>
    <row r="762" ht="15.75" customHeight="1">
      <c r="B762" s="3">
        <f>IFERROR(__xludf.DUMMYFUNCTION("""COMPUTED_VALUE"""),43056.64583333333)</f>
        <v>43056.64583</v>
      </c>
      <c r="C762" s="2">
        <f>IFERROR(__xludf.DUMMYFUNCTION("""COMPUTED_VALUE"""),190.3)</f>
        <v>190.3</v>
      </c>
    </row>
    <row r="763" ht="15.75" customHeight="1">
      <c r="B763" s="3">
        <f>IFERROR(__xludf.DUMMYFUNCTION("""COMPUTED_VALUE"""),43063.64583333333)</f>
        <v>43063.64583</v>
      </c>
      <c r="C763" s="2">
        <f>IFERROR(__xludf.DUMMYFUNCTION("""COMPUTED_VALUE"""),182.75)</f>
        <v>182.75</v>
      </c>
    </row>
    <row r="764" ht="15.75" customHeight="1">
      <c r="B764" s="3">
        <f>IFERROR(__xludf.DUMMYFUNCTION("""COMPUTED_VALUE"""),43070.64583333333)</f>
        <v>43070.64583</v>
      </c>
      <c r="C764" s="2">
        <f>IFERROR(__xludf.DUMMYFUNCTION("""COMPUTED_VALUE"""),184.45)</f>
        <v>184.45</v>
      </c>
    </row>
    <row r="765" ht="15.75" customHeight="1">
      <c r="B765" s="3">
        <f>IFERROR(__xludf.DUMMYFUNCTION("""COMPUTED_VALUE"""),43077.64583333333)</f>
        <v>43077.64583</v>
      </c>
      <c r="C765" s="2">
        <f>IFERROR(__xludf.DUMMYFUNCTION("""COMPUTED_VALUE"""),183.8)</f>
        <v>183.8</v>
      </c>
    </row>
    <row r="766" ht="15.75" customHeight="1">
      <c r="B766" s="3">
        <f>IFERROR(__xludf.DUMMYFUNCTION("""COMPUTED_VALUE"""),43084.64583333333)</f>
        <v>43084.64583</v>
      </c>
      <c r="C766" s="2">
        <f>IFERROR(__xludf.DUMMYFUNCTION("""COMPUTED_VALUE"""),187.0)</f>
        <v>187</v>
      </c>
    </row>
    <row r="767" ht="15.75" customHeight="1">
      <c r="B767" s="3">
        <f>IFERROR(__xludf.DUMMYFUNCTION("""COMPUTED_VALUE"""),43091.64583333333)</f>
        <v>43091.64583</v>
      </c>
      <c r="C767" s="2">
        <f>IFERROR(__xludf.DUMMYFUNCTION("""COMPUTED_VALUE"""),193.8)</f>
        <v>193.8</v>
      </c>
    </row>
    <row r="768" ht="15.75" customHeight="1">
      <c r="B768" s="3">
        <f>IFERROR(__xludf.DUMMYFUNCTION("""COMPUTED_VALUE"""),43098.64583333333)</f>
        <v>43098.64583</v>
      </c>
      <c r="C768" s="2">
        <f>IFERROR(__xludf.DUMMYFUNCTION("""COMPUTED_VALUE"""),197.15)</f>
        <v>197.15</v>
      </c>
    </row>
    <row r="769" ht="15.75" customHeight="1"/>
    <row r="770" ht="15.75" customHeight="1"/>
    <row r="771" ht="15.75" customHeight="1">
      <c r="B771" s="2" t="str">
        <f>IFERROR(__xludf.DUMMYFUNCTION("GOOGLEFINANCE(""NSE:ONGC"", ""high"",DATE(2018,1,1),DATE(2019,1,1),""weekly"")"),"Date")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IFERROR(__xludf.DUMMYFUNCTION("""COMPUTED_VALUE"""),43105.64583333333)</f>
        <v>43105.64583</v>
      </c>
      <c r="C772" s="2">
        <f>IFERROR(__xludf.DUMMYFUNCTION("""COMPUTED_VALUE"""),200.95)</f>
        <v>200.95</v>
      </c>
    </row>
    <row r="773" ht="15.75" customHeight="1">
      <c r="B773" s="3">
        <f>IFERROR(__xludf.DUMMYFUNCTION("""COMPUTED_VALUE"""),43112.64583333333)</f>
        <v>43112.64583</v>
      </c>
      <c r="C773" s="2">
        <f>IFERROR(__xludf.DUMMYFUNCTION("""COMPUTED_VALUE"""),201.95)</f>
        <v>201.95</v>
      </c>
    </row>
    <row r="774" ht="15.75" customHeight="1">
      <c r="B774" s="3">
        <f>IFERROR(__xludf.DUMMYFUNCTION("""COMPUTED_VALUE"""),43119.64583333333)</f>
        <v>43119.64583</v>
      </c>
      <c r="C774" s="2">
        <f>IFERROR(__xludf.DUMMYFUNCTION("""COMPUTED_VALUE"""),200.35)</f>
        <v>200.35</v>
      </c>
    </row>
    <row r="775" ht="15.75" customHeight="1">
      <c r="B775" s="3">
        <f>IFERROR(__xludf.DUMMYFUNCTION("""COMPUTED_VALUE"""),43125.64583333333)</f>
        <v>43125.64583</v>
      </c>
      <c r="C775" s="2">
        <f>IFERROR(__xludf.DUMMYFUNCTION("""COMPUTED_VALUE"""),212.85)</f>
        <v>212.85</v>
      </c>
    </row>
    <row r="776" ht="15.75" customHeight="1">
      <c r="B776" s="3">
        <f>IFERROR(__xludf.DUMMYFUNCTION("""COMPUTED_VALUE"""),43133.64583333333)</f>
        <v>43133.64583</v>
      </c>
      <c r="C776" s="2">
        <f>IFERROR(__xludf.DUMMYFUNCTION("""COMPUTED_VALUE"""),208.45)</f>
        <v>208.45</v>
      </c>
    </row>
    <row r="777" ht="15.75" customHeight="1">
      <c r="B777" s="3">
        <f>IFERROR(__xludf.DUMMYFUNCTION("""COMPUTED_VALUE"""),43140.64583333333)</f>
        <v>43140.64583</v>
      </c>
      <c r="C777" s="2">
        <f>IFERROR(__xludf.DUMMYFUNCTION("""COMPUTED_VALUE"""),192.45)</f>
        <v>192.45</v>
      </c>
    </row>
    <row r="778" ht="15.75" customHeight="1">
      <c r="B778" s="3">
        <f>IFERROR(__xludf.DUMMYFUNCTION("""COMPUTED_VALUE"""),43147.64583333333)</f>
        <v>43147.64583</v>
      </c>
      <c r="C778" s="2">
        <f>IFERROR(__xludf.DUMMYFUNCTION("""COMPUTED_VALUE"""),194.5)</f>
        <v>194.5</v>
      </c>
    </row>
    <row r="779" ht="15.75" customHeight="1">
      <c r="B779" s="3">
        <f>IFERROR(__xludf.DUMMYFUNCTION("""COMPUTED_VALUE"""),43154.64583333333)</f>
        <v>43154.64583</v>
      </c>
      <c r="C779" s="2">
        <f>IFERROR(__xludf.DUMMYFUNCTION("""COMPUTED_VALUE"""),190.85)</f>
        <v>190.85</v>
      </c>
    </row>
    <row r="780" ht="15.75" customHeight="1">
      <c r="B780" s="3">
        <f>IFERROR(__xludf.DUMMYFUNCTION("""COMPUTED_VALUE"""),43160.64583333333)</f>
        <v>43160.64583</v>
      </c>
      <c r="C780" s="2">
        <f>IFERROR(__xludf.DUMMYFUNCTION("""COMPUTED_VALUE"""),194.35)</f>
        <v>194.35</v>
      </c>
    </row>
    <row r="781" ht="15.75" customHeight="1">
      <c r="B781" s="3">
        <f>IFERROR(__xludf.DUMMYFUNCTION("""COMPUTED_VALUE"""),43168.64583333333)</f>
        <v>43168.64583</v>
      </c>
      <c r="C781" s="2">
        <f>IFERROR(__xludf.DUMMYFUNCTION("""COMPUTED_VALUE"""),189.4)</f>
        <v>189.4</v>
      </c>
    </row>
    <row r="782" ht="15.75" customHeight="1">
      <c r="B782" s="3">
        <f>IFERROR(__xludf.DUMMYFUNCTION("""COMPUTED_VALUE"""),43175.64583333333)</f>
        <v>43175.64583</v>
      </c>
      <c r="C782" s="2">
        <f>IFERROR(__xludf.DUMMYFUNCTION("""COMPUTED_VALUE"""),184.3)</f>
        <v>184.3</v>
      </c>
    </row>
    <row r="783" ht="15.75" customHeight="1">
      <c r="B783" s="3">
        <f>IFERROR(__xludf.DUMMYFUNCTION("""COMPUTED_VALUE"""),43182.64583333333)</f>
        <v>43182.64583</v>
      </c>
      <c r="C783" s="2">
        <f>IFERROR(__xludf.DUMMYFUNCTION("""COMPUTED_VALUE"""),181.7)</f>
        <v>181.7</v>
      </c>
    </row>
    <row r="784" ht="15.75" customHeight="1">
      <c r="B784" s="3">
        <f>IFERROR(__xludf.DUMMYFUNCTION("""COMPUTED_VALUE"""),43187.64583333333)</f>
        <v>43187.64583</v>
      </c>
      <c r="C784" s="2">
        <f>IFERROR(__xludf.DUMMYFUNCTION("""COMPUTED_VALUE"""),181.1)</f>
        <v>181.1</v>
      </c>
    </row>
    <row r="785" ht="15.75" customHeight="1">
      <c r="B785" s="3">
        <f>IFERROR(__xludf.DUMMYFUNCTION("""COMPUTED_VALUE"""),43196.64583333333)</f>
        <v>43196.64583</v>
      </c>
      <c r="C785" s="2">
        <f>IFERROR(__xludf.DUMMYFUNCTION("""COMPUTED_VALUE"""),180.9)</f>
        <v>180.9</v>
      </c>
    </row>
    <row r="786" ht="15.75" customHeight="1">
      <c r="B786" s="3">
        <f>IFERROR(__xludf.DUMMYFUNCTION("""COMPUTED_VALUE"""),43203.64583333333)</f>
        <v>43203.64583</v>
      </c>
      <c r="C786" s="2">
        <f>IFERROR(__xludf.DUMMYFUNCTION("""COMPUTED_VALUE"""),185.4)</f>
        <v>185.4</v>
      </c>
    </row>
    <row r="787" ht="15.75" customHeight="1">
      <c r="B787" s="3">
        <f>IFERROR(__xludf.DUMMYFUNCTION("""COMPUTED_VALUE"""),43210.64583333333)</f>
        <v>43210.64583</v>
      </c>
      <c r="C787" s="2">
        <f>IFERROR(__xludf.DUMMYFUNCTION("""COMPUTED_VALUE"""),186.25)</f>
        <v>186.25</v>
      </c>
    </row>
    <row r="788" ht="15.75" customHeight="1">
      <c r="B788" s="3">
        <f>IFERROR(__xludf.DUMMYFUNCTION("""COMPUTED_VALUE"""),43217.64583333333)</f>
        <v>43217.64583</v>
      </c>
      <c r="C788" s="2">
        <f>IFERROR(__xludf.DUMMYFUNCTION("""COMPUTED_VALUE"""),183.75)</f>
        <v>183.75</v>
      </c>
    </row>
    <row r="789" ht="15.75" customHeight="1">
      <c r="B789" s="3">
        <f>IFERROR(__xludf.DUMMYFUNCTION("""COMPUTED_VALUE"""),43224.64583333333)</f>
        <v>43224.64583</v>
      </c>
      <c r="C789" s="2">
        <f>IFERROR(__xludf.DUMMYFUNCTION("""COMPUTED_VALUE"""),185.15)</f>
        <v>185.15</v>
      </c>
    </row>
    <row r="790" ht="15.75" customHeight="1">
      <c r="B790" s="3">
        <f>IFERROR(__xludf.DUMMYFUNCTION("""COMPUTED_VALUE"""),43231.64583333333)</f>
        <v>43231.64583</v>
      </c>
      <c r="C790" s="2">
        <f>IFERROR(__xludf.DUMMYFUNCTION("""COMPUTED_VALUE"""),189.35)</f>
        <v>189.35</v>
      </c>
    </row>
    <row r="791" ht="15.75" customHeight="1">
      <c r="B791" s="3">
        <f>IFERROR(__xludf.DUMMYFUNCTION("""COMPUTED_VALUE"""),43238.64583333333)</f>
        <v>43238.64583</v>
      </c>
      <c r="C791" s="2">
        <f>IFERROR(__xludf.DUMMYFUNCTION("""COMPUTED_VALUE"""),192.0)</f>
        <v>192</v>
      </c>
    </row>
    <row r="792" ht="15.75" customHeight="1">
      <c r="B792" s="3">
        <f>IFERROR(__xludf.DUMMYFUNCTION("""COMPUTED_VALUE"""),43245.64583333333)</f>
        <v>43245.64583</v>
      </c>
      <c r="C792" s="2">
        <f>IFERROR(__xludf.DUMMYFUNCTION("""COMPUTED_VALUE"""),188.65)</f>
        <v>188.65</v>
      </c>
    </row>
    <row r="793" ht="15.75" customHeight="1">
      <c r="B793" s="3">
        <f>IFERROR(__xludf.DUMMYFUNCTION("""COMPUTED_VALUE"""),43252.64583333333)</f>
        <v>43252.64583</v>
      </c>
      <c r="C793" s="2">
        <f>IFERROR(__xludf.DUMMYFUNCTION("""COMPUTED_VALUE"""),180.35)</f>
        <v>180.35</v>
      </c>
    </row>
    <row r="794" ht="15.75" customHeight="1">
      <c r="B794" s="3">
        <f>IFERROR(__xludf.DUMMYFUNCTION("""COMPUTED_VALUE"""),43259.64583333333)</f>
        <v>43259.64583</v>
      </c>
      <c r="C794" s="2">
        <f>IFERROR(__xludf.DUMMYFUNCTION("""COMPUTED_VALUE"""),175.4)</f>
        <v>175.4</v>
      </c>
    </row>
    <row r="795" ht="15.75" customHeight="1">
      <c r="B795" s="3">
        <f>IFERROR(__xludf.DUMMYFUNCTION("""COMPUTED_VALUE"""),43266.64583333333)</f>
        <v>43266.64583</v>
      </c>
      <c r="C795" s="2">
        <f>IFERROR(__xludf.DUMMYFUNCTION("""COMPUTED_VALUE"""),175.6)</f>
        <v>175.6</v>
      </c>
    </row>
    <row r="796" ht="15.75" customHeight="1">
      <c r="B796" s="3">
        <f>IFERROR(__xludf.DUMMYFUNCTION("""COMPUTED_VALUE"""),43273.64583333333)</f>
        <v>43273.64583</v>
      </c>
      <c r="C796" s="2">
        <f>IFERROR(__xludf.DUMMYFUNCTION("""COMPUTED_VALUE"""),167.4)</f>
        <v>167.4</v>
      </c>
    </row>
    <row r="797" ht="15.75" customHeight="1">
      <c r="B797" s="3">
        <f>IFERROR(__xludf.DUMMYFUNCTION("""COMPUTED_VALUE"""),43280.64583333333)</f>
        <v>43280.64583</v>
      </c>
      <c r="C797" s="2">
        <f>IFERROR(__xludf.DUMMYFUNCTION("""COMPUTED_VALUE"""),160.7)</f>
        <v>160.7</v>
      </c>
    </row>
    <row r="798" ht="15.75" customHeight="1">
      <c r="B798" s="3">
        <f>IFERROR(__xludf.DUMMYFUNCTION("""COMPUTED_VALUE"""),43287.64583333333)</f>
        <v>43287.64583</v>
      </c>
      <c r="C798" s="2">
        <f>IFERROR(__xludf.DUMMYFUNCTION("""COMPUTED_VALUE"""),161.6)</f>
        <v>161.6</v>
      </c>
    </row>
    <row r="799" ht="15.75" customHeight="1">
      <c r="B799" s="3">
        <f>IFERROR(__xludf.DUMMYFUNCTION("""COMPUTED_VALUE"""),43294.64583333333)</f>
        <v>43294.64583</v>
      </c>
      <c r="C799" s="2">
        <f>IFERROR(__xludf.DUMMYFUNCTION("""COMPUTED_VALUE"""),160.2)</f>
        <v>160.2</v>
      </c>
    </row>
    <row r="800" ht="15.75" customHeight="1">
      <c r="B800" s="3">
        <f>IFERROR(__xludf.DUMMYFUNCTION("""COMPUTED_VALUE"""),43301.64583333333)</f>
        <v>43301.64583</v>
      </c>
      <c r="C800" s="2">
        <f>IFERROR(__xludf.DUMMYFUNCTION("""COMPUTED_VALUE"""),165.2)</f>
        <v>165.2</v>
      </c>
    </row>
    <row r="801" ht="15.75" customHeight="1">
      <c r="B801" s="3">
        <f>IFERROR(__xludf.DUMMYFUNCTION("""COMPUTED_VALUE"""),43308.64583333333)</f>
        <v>43308.64583</v>
      </c>
      <c r="C801" s="2">
        <f>IFERROR(__xludf.DUMMYFUNCTION("""COMPUTED_VALUE"""),164.0)</f>
        <v>164</v>
      </c>
    </row>
    <row r="802" ht="15.75" customHeight="1">
      <c r="B802" s="3">
        <f>IFERROR(__xludf.DUMMYFUNCTION("""COMPUTED_VALUE"""),43315.64583333333)</f>
        <v>43315.64583</v>
      </c>
      <c r="C802" s="2">
        <f>IFERROR(__xludf.DUMMYFUNCTION("""COMPUTED_VALUE"""),171.0)</f>
        <v>171</v>
      </c>
    </row>
    <row r="803" ht="15.75" customHeight="1">
      <c r="B803" s="3">
        <f>IFERROR(__xludf.DUMMYFUNCTION("""COMPUTED_VALUE"""),43322.64583333333)</f>
        <v>43322.64583</v>
      </c>
      <c r="C803" s="2">
        <f>IFERROR(__xludf.DUMMYFUNCTION("""COMPUTED_VALUE"""),172.9)</f>
        <v>172.9</v>
      </c>
    </row>
    <row r="804" ht="15.75" customHeight="1">
      <c r="B804" s="3">
        <f>IFERROR(__xludf.DUMMYFUNCTION("""COMPUTED_VALUE"""),43329.64583333333)</f>
        <v>43329.64583</v>
      </c>
      <c r="C804" s="2">
        <f>IFERROR(__xludf.DUMMYFUNCTION("""COMPUTED_VALUE"""),168.9)</f>
        <v>168.9</v>
      </c>
    </row>
    <row r="805" ht="15.75" customHeight="1">
      <c r="B805" s="3">
        <f>IFERROR(__xludf.DUMMYFUNCTION("""COMPUTED_VALUE"""),43336.64583333333)</f>
        <v>43336.64583</v>
      </c>
      <c r="C805" s="2">
        <f>IFERROR(__xludf.DUMMYFUNCTION("""COMPUTED_VALUE"""),176.5)</f>
        <v>176.5</v>
      </c>
    </row>
    <row r="806" ht="15.75" customHeight="1">
      <c r="B806" s="3">
        <f>IFERROR(__xludf.DUMMYFUNCTION("""COMPUTED_VALUE"""),43343.64583333333)</f>
        <v>43343.64583</v>
      </c>
      <c r="C806" s="2">
        <f>IFERROR(__xludf.DUMMYFUNCTION("""COMPUTED_VALUE"""),181.9)</f>
        <v>181.9</v>
      </c>
    </row>
    <row r="807" ht="15.75" customHeight="1">
      <c r="B807" s="3">
        <f>IFERROR(__xludf.DUMMYFUNCTION("""COMPUTED_VALUE"""),43350.64583333333)</f>
        <v>43350.64583</v>
      </c>
      <c r="C807" s="2">
        <f>IFERROR(__xludf.DUMMYFUNCTION("""COMPUTED_VALUE"""),180.75)</f>
        <v>180.75</v>
      </c>
    </row>
    <row r="808" ht="15.75" customHeight="1">
      <c r="B808" s="3">
        <f>IFERROR(__xludf.DUMMYFUNCTION("""COMPUTED_VALUE"""),43357.64583333333)</f>
        <v>43357.64583</v>
      </c>
      <c r="C808" s="2">
        <f>IFERROR(__xludf.DUMMYFUNCTION("""COMPUTED_VALUE"""),173.3)</f>
        <v>173.3</v>
      </c>
    </row>
    <row r="809" ht="15.75" customHeight="1">
      <c r="B809" s="3">
        <f>IFERROR(__xludf.DUMMYFUNCTION("""COMPUTED_VALUE"""),43364.64583333333)</f>
        <v>43364.64583</v>
      </c>
      <c r="C809" s="2">
        <f>IFERROR(__xludf.DUMMYFUNCTION("""COMPUTED_VALUE"""),181.55)</f>
        <v>181.55</v>
      </c>
    </row>
    <row r="810" ht="15.75" customHeight="1">
      <c r="B810" s="3">
        <f>IFERROR(__xludf.DUMMYFUNCTION("""COMPUTED_VALUE"""),43371.64583333333)</f>
        <v>43371.64583</v>
      </c>
      <c r="C810" s="2">
        <f>IFERROR(__xludf.DUMMYFUNCTION("""COMPUTED_VALUE"""),185.4)</f>
        <v>185.4</v>
      </c>
    </row>
    <row r="811" ht="15.75" customHeight="1">
      <c r="B811" s="3">
        <f>IFERROR(__xludf.DUMMYFUNCTION("""COMPUTED_VALUE"""),43378.64583333333)</f>
        <v>43378.64583</v>
      </c>
      <c r="C811" s="2">
        <f>IFERROR(__xludf.DUMMYFUNCTION("""COMPUTED_VALUE"""),183.5)</f>
        <v>183.5</v>
      </c>
    </row>
    <row r="812" ht="15.75" customHeight="1">
      <c r="B812" s="3">
        <f>IFERROR(__xludf.DUMMYFUNCTION("""COMPUTED_VALUE"""),43385.64583333333)</f>
        <v>43385.64583</v>
      </c>
      <c r="C812" s="2">
        <f>IFERROR(__xludf.DUMMYFUNCTION("""COMPUTED_VALUE"""),159.6)</f>
        <v>159.6</v>
      </c>
    </row>
    <row r="813" ht="15.75" customHeight="1">
      <c r="B813" s="3">
        <f>IFERROR(__xludf.DUMMYFUNCTION("""COMPUTED_VALUE"""),43392.64583333333)</f>
        <v>43392.64583</v>
      </c>
      <c r="C813" s="2">
        <f>IFERROR(__xludf.DUMMYFUNCTION("""COMPUTED_VALUE"""),167.3)</f>
        <v>167.3</v>
      </c>
    </row>
    <row r="814" ht="15.75" customHeight="1">
      <c r="B814" s="3">
        <f>IFERROR(__xludf.DUMMYFUNCTION("""COMPUTED_VALUE"""),43399.64583333333)</f>
        <v>43399.64583</v>
      </c>
      <c r="C814" s="2">
        <f>IFERROR(__xludf.DUMMYFUNCTION("""COMPUTED_VALUE"""),162.8)</f>
        <v>162.8</v>
      </c>
    </row>
    <row r="815" ht="15.75" customHeight="1">
      <c r="B815" s="3">
        <f>IFERROR(__xludf.DUMMYFUNCTION("""COMPUTED_VALUE"""),43406.64583333333)</f>
        <v>43406.64583</v>
      </c>
      <c r="C815" s="2">
        <f>IFERROR(__xludf.DUMMYFUNCTION("""COMPUTED_VALUE"""),158.45)</f>
        <v>158.45</v>
      </c>
    </row>
    <row r="816" ht="15.75" customHeight="1">
      <c r="B816" s="3">
        <f>IFERROR(__xludf.DUMMYFUNCTION("""COMPUTED_VALUE"""),43413.64583333333)</f>
        <v>43413.64583</v>
      </c>
      <c r="C816" s="2">
        <f>IFERROR(__xludf.DUMMYFUNCTION("""COMPUTED_VALUE"""),165.0)</f>
        <v>165</v>
      </c>
    </row>
    <row r="817" ht="15.75" customHeight="1">
      <c r="B817" s="3">
        <f>IFERROR(__xludf.DUMMYFUNCTION("""COMPUTED_VALUE"""),43420.64583333333)</f>
        <v>43420.64583</v>
      </c>
      <c r="C817" s="2">
        <f>IFERROR(__xludf.DUMMYFUNCTION("""COMPUTED_VALUE"""),163.9)</f>
        <v>163.9</v>
      </c>
    </row>
    <row r="818" ht="15.75" customHeight="1">
      <c r="B818" s="3">
        <f>IFERROR(__xludf.DUMMYFUNCTION("""COMPUTED_VALUE"""),43426.64583333333)</f>
        <v>43426.64583</v>
      </c>
      <c r="C818" s="2">
        <f>IFERROR(__xludf.DUMMYFUNCTION("""COMPUTED_VALUE"""),156.5)</f>
        <v>156.5</v>
      </c>
    </row>
    <row r="819" ht="15.75" customHeight="1">
      <c r="B819" s="3">
        <f>IFERROR(__xludf.DUMMYFUNCTION("""COMPUTED_VALUE"""),43434.64583333333)</f>
        <v>43434.64583</v>
      </c>
      <c r="C819" s="2">
        <f>IFERROR(__xludf.DUMMYFUNCTION("""COMPUTED_VALUE"""),153.6)</f>
        <v>153.6</v>
      </c>
    </row>
    <row r="820" ht="15.75" customHeight="1">
      <c r="B820" s="3">
        <f>IFERROR(__xludf.DUMMYFUNCTION("""COMPUTED_VALUE"""),43441.64583333333)</f>
        <v>43441.64583</v>
      </c>
      <c r="C820" s="2">
        <f>IFERROR(__xludf.DUMMYFUNCTION("""COMPUTED_VALUE"""),148.1)</f>
        <v>148.1</v>
      </c>
    </row>
    <row r="821" ht="15.75" customHeight="1">
      <c r="B821" s="3">
        <f>IFERROR(__xludf.DUMMYFUNCTION("""COMPUTED_VALUE"""),43448.64583333333)</f>
        <v>43448.64583</v>
      </c>
      <c r="C821" s="2">
        <f>IFERROR(__xludf.DUMMYFUNCTION("""COMPUTED_VALUE"""),150.4)</f>
        <v>150.4</v>
      </c>
    </row>
    <row r="822" ht="15.75" customHeight="1">
      <c r="B822" s="3">
        <f>IFERROR(__xludf.DUMMYFUNCTION("""COMPUTED_VALUE"""),43455.64583333333)</f>
        <v>43455.64583</v>
      </c>
      <c r="C822" s="2">
        <f>IFERROR(__xludf.DUMMYFUNCTION("""COMPUTED_VALUE"""),150.75)</f>
        <v>150.75</v>
      </c>
    </row>
    <row r="823" ht="15.75" customHeight="1">
      <c r="B823" s="3">
        <f>IFERROR(__xludf.DUMMYFUNCTION("""COMPUTED_VALUE"""),43462.64583333333)</f>
        <v>43462.64583</v>
      </c>
      <c r="C823" s="2">
        <f>IFERROR(__xludf.DUMMYFUNCTION("""COMPUTED_VALUE"""),151.5)</f>
        <v>151.5</v>
      </c>
    </row>
    <row r="824" ht="15.75" customHeight="1"/>
    <row r="825" ht="15.75" customHeight="1"/>
    <row r="826" ht="15.75" customHeight="1">
      <c r="B826" s="2" t="str">
        <f>IFERROR(__xludf.DUMMYFUNCTION("GOOGLEFINANCE(""NSE:ONGC"", ""high"",DATE(2019,1,1),DATE(2020,1,1),""weekly"")"),"Date")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IFERROR(__xludf.DUMMYFUNCTION("""COMPUTED_VALUE"""),43469.64583333333)</f>
        <v>43469.64583</v>
      </c>
      <c r="C827" s="2">
        <f>IFERROR(__xludf.DUMMYFUNCTION("""COMPUTED_VALUE"""),150.8)</f>
        <v>150.8</v>
      </c>
    </row>
    <row r="828" ht="15.75" customHeight="1">
      <c r="B828" s="3">
        <f>IFERROR(__xludf.DUMMYFUNCTION("""COMPUTED_VALUE"""),43476.64583333333)</f>
        <v>43476.64583</v>
      </c>
      <c r="C828" s="2">
        <f>IFERROR(__xludf.DUMMYFUNCTION("""COMPUTED_VALUE"""),149.1)</f>
        <v>149.1</v>
      </c>
    </row>
    <row r="829" ht="15.75" customHeight="1">
      <c r="B829" s="3">
        <f>IFERROR(__xludf.DUMMYFUNCTION("""COMPUTED_VALUE"""),43483.64583333333)</f>
        <v>43483.64583</v>
      </c>
      <c r="C829" s="2">
        <f>IFERROR(__xludf.DUMMYFUNCTION("""COMPUTED_VALUE"""),147.7)</f>
        <v>147.7</v>
      </c>
    </row>
    <row r="830" ht="15.75" customHeight="1">
      <c r="B830" s="3">
        <f>IFERROR(__xludf.DUMMYFUNCTION("""COMPUTED_VALUE"""),43490.64583333333)</f>
        <v>43490.64583</v>
      </c>
      <c r="C830" s="2">
        <f>IFERROR(__xludf.DUMMYFUNCTION("""COMPUTED_VALUE"""),147.2)</f>
        <v>147.2</v>
      </c>
    </row>
    <row r="831" ht="15.75" customHeight="1">
      <c r="B831" s="3">
        <f>IFERROR(__xludf.DUMMYFUNCTION("""COMPUTED_VALUE"""),43497.64583333333)</f>
        <v>43497.64583</v>
      </c>
      <c r="C831" s="2">
        <f>IFERROR(__xludf.DUMMYFUNCTION("""COMPUTED_VALUE"""),143.7)</f>
        <v>143.7</v>
      </c>
    </row>
    <row r="832" ht="15.75" customHeight="1">
      <c r="B832" s="3">
        <f>IFERROR(__xludf.DUMMYFUNCTION("""COMPUTED_VALUE"""),43504.64583333333)</f>
        <v>43504.64583</v>
      </c>
      <c r="C832" s="2">
        <f>IFERROR(__xludf.DUMMYFUNCTION("""COMPUTED_VALUE"""),148.3)</f>
        <v>148.3</v>
      </c>
    </row>
    <row r="833" ht="15.75" customHeight="1">
      <c r="B833" s="3">
        <f>IFERROR(__xludf.DUMMYFUNCTION("""COMPUTED_VALUE"""),43511.64583333333)</f>
        <v>43511.64583</v>
      </c>
      <c r="C833" s="2">
        <f>IFERROR(__xludf.DUMMYFUNCTION("""COMPUTED_VALUE"""),143.65)</f>
        <v>143.65</v>
      </c>
    </row>
    <row r="834" ht="15.75" customHeight="1">
      <c r="B834" s="3">
        <f>IFERROR(__xludf.DUMMYFUNCTION("""COMPUTED_VALUE"""),43518.64583333333)</f>
        <v>43518.64583</v>
      </c>
      <c r="C834" s="2">
        <f>IFERROR(__xludf.DUMMYFUNCTION("""COMPUTED_VALUE"""),150.5)</f>
        <v>150.5</v>
      </c>
    </row>
    <row r="835" ht="15.75" customHeight="1">
      <c r="B835" s="3">
        <f>IFERROR(__xludf.DUMMYFUNCTION("""COMPUTED_VALUE"""),43525.64583333333)</f>
        <v>43525.64583</v>
      </c>
      <c r="C835" s="2">
        <f>IFERROR(__xludf.DUMMYFUNCTION("""COMPUTED_VALUE"""),150.75)</f>
        <v>150.75</v>
      </c>
    </row>
    <row r="836" ht="15.75" customHeight="1">
      <c r="B836" s="3">
        <f>IFERROR(__xludf.DUMMYFUNCTION("""COMPUTED_VALUE"""),43532.64583333333)</f>
        <v>43532.64583</v>
      </c>
      <c r="C836" s="2">
        <f>IFERROR(__xludf.DUMMYFUNCTION("""COMPUTED_VALUE"""),157.0)</f>
        <v>157</v>
      </c>
    </row>
    <row r="837" ht="15.75" customHeight="1">
      <c r="B837" s="3">
        <f>IFERROR(__xludf.DUMMYFUNCTION("""COMPUTED_VALUE"""),43539.64583333333)</f>
        <v>43539.64583</v>
      </c>
      <c r="C837" s="2">
        <f>IFERROR(__xludf.DUMMYFUNCTION("""COMPUTED_VALUE"""),157.45)</f>
        <v>157.45</v>
      </c>
    </row>
    <row r="838" ht="15.75" customHeight="1">
      <c r="B838" s="3">
        <f>IFERROR(__xludf.DUMMYFUNCTION("""COMPUTED_VALUE"""),43546.64583333333)</f>
        <v>43546.64583</v>
      </c>
      <c r="C838" s="2">
        <f>IFERROR(__xludf.DUMMYFUNCTION("""COMPUTED_VALUE"""),163.2)</f>
        <v>163.2</v>
      </c>
    </row>
    <row r="839" ht="15.75" customHeight="1">
      <c r="B839" s="3">
        <f>IFERROR(__xludf.DUMMYFUNCTION("""COMPUTED_VALUE"""),43553.64583333333)</f>
        <v>43553.64583</v>
      </c>
      <c r="C839" s="2">
        <f>IFERROR(__xludf.DUMMYFUNCTION("""COMPUTED_VALUE"""),163.05)</f>
        <v>163.05</v>
      </c>
    </row>
    <row r="840" ht="15.75" customHeight="1">
      <c r="B840" s="3">
        <f>IFERROR(__xludf.DUMMYFUNCTION("""COMPUTED_VALUE"""),43560.64583333333)</f>
        <v>43560.64583</v>
      </c>
      <c r="C840" s="2">
        <f>IFERROR(__xludf.DUMMYFUNCTION("""COMPUTED_VALUE"""),160.95)</f>
        <v>160.95</v>
      </c>
    </row>
    <row r="841" ht="15.75" customHeight="1">
      <c r="B841" s="3">
        <f>IFERROR(__xludf.DUMMYFUNCTION("""COMPUTED_VALUE"""),43567.64583333333)</f>
        <v>43567.64583</v>
      </c>
      <c r="C841" s="2">
        <f>IFERROR(__xludf.DUMMYFUNCTION("""COMPUTED_VALUE"""),160.25)</f>
        <v>160.25</v>
      </c>
    </row>
    <row r="842" ht="15.75" customHeight="1">
      <c r="B842" s="3">
        <f>IFERROR(__xludf.DUMMYFUNCTION("""COMPUTED_VALUE"""),43573.64583333333)</f>
        <v>43573.64583</v>
      </c>
      <c r="C842" s="2">
        <f>IFERROR(__xludf.DUMMYFUNCTION("""COMPUTED_VALUE"""),162.2)</f>
        <v>162.2</v>
      </c>
    </row>
    <row r="843" ht="15.75" customHeight="1">
      <c r="B843" s="3">
        <f>IFERROR(__xludf.DUMMYFUNCTION("""COMPUTED_VALUE"""),43581.64583333333)</f>
        <v>43581.64583</v>
      </c>
      <c r="C843" s="2">
        <f>IFERROR(__xludf.DUMMYFUNCTION("""COMPUTED_VALUE"""),170.45)</f>
        <v>170.45</v>
      </c>
    </row>
    <row r="844" ht="15.75" customHeight="1">
      <c r="B844" s="3">
        <f>IFERROR(__xludf.DUMMYFUNCTION("""COMPUTED_VALUE"""),43588.64583333333)</f>
        <v>43588.64583</v>
      </c>
      <c r="C844" s="2">
        <f>IFERROR(__xludf.DUMMYFUNCTION("""COMPUTED_VALUE"""),172.0)</f>
        <v>172</v>
      </c>
    </row>
    <row r="845" ht="15.75" customHeight="1">
      <c r="B845" s="3">
        <f>IFERROR(__xludf.DUMMYFUNCTION("""COMPUTED_VALUE"""),43595.64583333333)</f>
        <v>43595.64583</v>
      </c>
      <c r="C845" s="2">
        <f>IFERROR(__xludf.DUMMYFUNCTION("""COMPUTED_VALUE"""),172.5)</f>
        <v>172.5</v>
      </c>
    </row>
    <row r="846" ht="15.75" customHeight="1">
      <c r="B846" s="3">
        <f>IFERROR(__xludf.DUMMYFUNCTION("""COMPUTED_VALUE"""),43602.64583333333)</f>
        <v>43602.64583</v>
      </c>
      <c r="C846" s="2">
        <f>IFERROR(__xludf.DUMMYFUNCTION("""COMPUTED_VALUE"""),168.0)</f>
        <v>168</v>
      </c>
    </row>
    <row r="847" ht="15.75" customHeight="1">
      <c r="B847" s="3">
        <f>IFERROR(__xludf.DUMMYFUNCTION("""COMPUTED_VALUE"""),43609.64583333333)</f>
        <v>43609.64583</v>
      </c>
      <c r="C847" s="2">
        <f>IFERROR(__xludf.DUMMYFUNCTION("""COMPUTED_VALUE"""),178.9)</f>
        <v>178.9</v>
      </c>
    </row>
    <row r="848" ht="15.75" customHeight="1">
      <c r="B848" s="3">
        <f>IFERROR(__xludf.DUMMYFUNCTION("""COMPUTED_VALUE"""),43616.64583333333)</f>
        <v>43616.64583</v>
      </c>
      <c r="C848" s="2">
        <f>IFERROR(__xludf.DUMMYFUNCTION("""COMPUTED_VALUE"""),176.4)</f>
        <v>176.4</v>
      </c>
    </row>
    <row r="849" ht="15.75" customHeight="1">
      <c r="B849" s="3">
        <f>IFERROR(__xludf.DUMMYFUNCTION("""COMPUTED_VALUE"""),43623.64583333333)</f>
        <v>43623.64583</v>
      </c>
      <c r="C849" s="2">
        <f>IFERROR(__xludf.DUMMYFUNCTION("""COMPUTED_VALUE"""),173.5)</f>
        <v>173.5</v>
      </c>
    </row>
    <row r="850" ht="15.75" customHeight="1">
      <c r="B850" s="3">
        <f>IFERROR(__xludf.DUMMYFUNCTION("""COMPUTED_VALUE"""),43630.64583333333)</f>
        <v>43630.64583</v>
      </c>
      <c r="C850" s="2">
        <f>IFERROR(__xludf.DUMMYFUNCTION("""COMPUTED_VALUE"""),171.45)</f>
        <v>171.45</v>
      </c>
    </row>
    <row r="851" ht="15.75" customHeight="1">
      <c r="B851" s="3">
        <f>IFERROR(__xludf.DUMMYFUNCTION("""COMPUTED_VALUE"""),43637.64583333333)</f>
        <v>43637.64583</v>
      </c>
      <c r="C851" s="2">
        <f>IFERROR(__xludf.DUMMYFUNCTION("""COMPUTED_VALUE"""),173.45)</f>
        <v>173.45</v>
      </c>
    </row>
    <row r="852" ht="15.75" customHeight="1">
      <c r="B852" s="3">
        <f>IFERROR(__xludf.DUMMYFUNCTION("""COMPUTED_VALUE"""),43644.64583333333)</f>
        <v>43644.64583</v>
      </c>
      <c r="C852" s="2">
        <f>IFERROR(__xludf.DUMMYFUNCTION("""COMPUTED_VALUE"""),171.85)</f>
        <v>171.85</v>
      </c>
    </row>
    <row r="853" ht="15.75" customHeight="1">
      <c r="B853" s="3">
        <f>IFERROR(__xludf.DUMMYFUNCTION("""COMPUTED_VALUE"""),43651.64583333333)</f>
        <v>43651.64583</v>
      </c>
      <c r="C853" s="2">
        <f>IFERROR(__xludf.DUMMYFUNCTION("""COMPUTED_VALUE"""),170.4)</f>
        <v>170.4</v>
      </c>
    </row>
    <row r="854" ht="15.75" customHeight="1">
      <c r="B854" s="3">
        <f>IFERROR(__xludf.DUMMYFUNCTION("""COMPUTED_VALUE"""),43658.64583333333)</f>
        <v>43658.64583</v>
      </c>
      <c r="C854" s="2">
        <f>IFERROR(__xludf.DUMMYFUNCTION("""COMPUTED_VALUE"""),161.5)</f>
        <v>161.5</v>
      </c>
    </row>
    <row r="855" ht="15.75" customHeight="1">
      <c r="B855" s="3">
        <f>IFERROR(__xludf.DUMMYFUNCTION("""COMPUTED_VALUE"""),43665.64583333333)</f>
        <v>43665.64583</v>
      </c>
      <c r="C855" s="2">
        <f>IFERROR(__xludf.DUMMYFUNCTION("""COMPUTED_VALUE"""),154.4)</f>
        <v>154.4</v>
      </c>
    </row>
    <row r="856" ht="15.75" customHeight="1">
      <c r="B856" s="3">
        <f>IFERROR(__xludf.DUMMYFUNCTION("""COMPUTED_VALUE"""),43672.64583333333)</f>
        <v>43672.64583</v>
      </c>
      <c r="C856" s="2">
        <f>IFERROR(__xludf.DUMMYFUNCTION("""COMPUTED_VALUE"""),147.75)</f>
        <v>147.75</v>
      </c>
    </row>
    <row r="857" ht="15.75" customHeight="1">
      <c r="B857" s="3">
        <f>IFERROR(__xludf.DUMMYFUNCTION("""COMPUTED_VALUE"""),43679.64583333333)</f>
        <v>43679.64583</v>
      </c>
      <c r="C857" s="2">
        <f>IFERROR(__xludf.DUMMYFUNCTION("""COMPUTED_VALUE"""),142.4)</f>
        <v>142.4</v>
      </c>
    </row>
    <row r="858" ht="15.75" customHeight="1">
      <c r="B858" s="3">
        <f>IFERROR(__xludf.DUMMYFUNCTION("""COMPUTED_VALUE"""),43686.64583333333)</f>
        <v>43686.64583</v>
      </c>
      <c r="C858" s="2">
        <f>IFERROR(__xludf.DUMMYFUNCTION("""COMPUTED_VALUE"""),132.9)</f>
        <v>132.9</v>
      </c>
    </row>
    <row r="859" ht="15.75" customHeight="1">
      <c r="B859" s="3">
        <f>IFERROR(__xludf.DUMMYFUNCTION("""COMPUTED_VALUE"""),43693.64583333333)</f>
        <v>43693.64583</v>
      </c>
      <c r="C859" s="2">
        <f>IFERROR(__xludf.DUMMYFUNCTION("""COMPUTED_VALUE"""),133.5)</f>
        <v>133.5</v>
      </c>
    </row>
    <row r="860" ht="15.75" customHeight="1">
      <c r="B860" s="3">
        <f>IFERROR(__xludf.DUMMYFUNCTION("""COMPUTED_VALUE"""),43700.64583333333)</f>
        <v>43700.64583</v>
      </c>
      <c r="C860" s="2">
        <f>IFERROR(__xludf.DUMMYFUNCTION("""COMPUTED_VALUE"""),128.5)</f>
        <v>128.5</v>
      </c>
    </row>
    <row r="861" ht="15.75" customHeight="1">
      <c r="B861" s="3">
        <f>IFERROR(__xludf.DUMMYFUNCTION("""COMPUTED_VALUE"""),43707.64583333333)</f>
        <v>43707.64583</v>
      </c>
      <c r="C861" s="2">
        <f>IFERROR(__xludf.DUMMYFUNCTION("""COMPUTED_VALUE"""),126.4)</f>
        <v>126.4</v>
      </c>
    </row>
    <row r="862" ht="15.75" customHeight="1">
      <c r="B862" s="3">
        <f>IFERROR(__xludf.DUMMYFUNCTION("""COMPUTED_VALUE"""),43714.64583333333)</f>
        <v>43714.64583</v>
      </c>
      <c r="C862" s="2">
        <f>IFERROR(__xludf.DUMMYFUNCTION("""COMPUTED_VALUE"""),129.9)</f>
        <v>129.9</v>
      </c>
    </row>
    <row r="863" ht="15.75" customHeight="1">
      <c r="B863" s="3">
        <f>IFERROR(__xludf.DUMMYFUNCTION("""COMPUTED_VALUE"""),43721.64583333333)</f>
        <v>43721.64583</v>
      </c>
      <c r="C863" s="2">
        <f>IFERROR(__xludf.DUMMYFUNCTION("""COMPUTED_VALUE"""),130.9)</f>
        <v>130.9</v>
      </c>
    </row>
    <row r="864" ht="15.75" customHeight="1">
      <c r="B864" s="3">
        <f>IFERROR(__xludf.DUMMYFUNCTION("""COMPUTED_VALUE"""),43728.64583333333)</f>
        <v>43728.64583</v>
      </c>
      <c r="C864" s="2">
        <f>IFERROR(__xludf.DUMMYFUNCTION("""COMPUTED_VALUE"""),134.95)</f>
        <v>134.95</v>
      </c>
    </row>
    <row r="865" ht="15.75" customHeight="1">
      <c r="B865" s="3">
        <f>IFERROR(__xludf.DUMMYFUNCTION("""COMPUTED_VALUE"""),43735.64583333333)</f>
        <v>43735.64583</v>
      </c>
      <c r="C865" s="2">
        <f>IFERROR(__xludf.DUMMYFUNCTION("""COMPUTED_VALUE"""),140.85)</f>
        <v>140.85</v>
      </c>
    </row>
    <row r="866" ht="15.75" customHeight="1">
      <c r="B866" s="3">
        <f>IFERROR(__xludf.DUMMYFUNCTION("""COMPUTED_VALUE"""),43742.64583333333)</f>
        <v>43742.64583</v>
      </c>
      <c r="C866" s="2">
        <f>IFERROR(__xludf.DUMMYFUNCTION("""COMPUTED_VALUE"""),133.35)</f>
        <v>133.35</v>
      </c>
    </row>
    <row r="867" ht="15.75" customHeight="1">
      <c r="B867" s="3">
        <f>IFERROR(__xludf.DUMMYFUNCTION("""COMPUTED_VALUE"""),43749.64583333333)</f>
        <v>43749.64583</v>
      </c>
      <c r="C867" s="2">
        <f>IFERROR(__xludf.DUMMYFUNCTION("""COMPUTED_VALUE"""),129.9)</f>
        <v>129.9</v>
      </c>
    </row>
    <row r="868" ht="15.75" customHeight="1">
      <c r="B868" s="3">
        <f>IFERROR(__xludf.DUMMYFUNCTION("""COMPUTED_VALUE"""),43756.64583333333)</f>
        <v>43756.64583</v>
      </c>
      <c r="C868" s="2">
        <f>IFERROR(__xludf.DUMMYFUNCTION("""COMPUTED_VALUE"""),144.5)</f>
        <v>144.5</v>
      </c>
    </row>
    <row r="869" ht="15.75" customHeight="1">
      <c r="B869" s="3">
        <f>IFERROR(__xludf.DUMMYFUNCTION("""COMPUTED_VALUE"""),43763.79166666667)</f>
        <v>43763.79167</v>
      </c>
      <c r="C869" s="2">
        <f>IFERROR(__xludf.DUMMYFUNCTION("""COMPUTED_VALUE"""),146.15)</f>
        <v>146.15</v>
      </c>
    </row>
    <row r="870" ht="15.75" customHeight="1">
      <c r="B870" s="3">
        <f>IFERROR(__xludf.DUMMYFUNCTION("""COMPUTED_VALUE"""),43770.64583333333)</f>
        <v>43770.64583</v>
      </c>
      <c r="C870" s="2">
        <f>IFERROR(__xludf.DUMMYFUNCTION("""COMPUTED_VALUE"""),144.75)</f>
        <v>144.75</v>
      </c>
    </row>
    <row r="871" ht="15.75" customHeight="1">
      <c r="B871" s="3">
        <f>IFERROR(__xludf.DUMMYFUNCTION("""COMPUTED_VALUE"""),43777.64583333333)</f>
        <v>43777.64583</v>
      </c>
      <c r="C871" s="2">
        <f>IFERROR(__xludf.DUMMYFUNCTION("""COMPUTED_VALUE"""),149.65)</f>
        <v>149.65</v>
      </c>
    </row>
    <row r="872" ht="15.75" customHeight="1">
      <c r="B872" s="3">
        <f>IFERROR(__xludf.DUMMYFUNCTION("""COMPUTED_VALUE"""),43784.64583333333)</f>
        <v>43784.64583</v>
      </c>
      <c r="C872" s="2">
        <f>IFERROR(__xludf.DUMMYFUNCTION("""COMPUTED_VALUE"""),140.4)</f>
        <v>140.4</v>
      </c>
    </row>
    <row r="873" ht="15.75" customHeight="1">
      <c r="B873" s="3">
        <f>IFERROR(__xludf.DUMMYFUNCTION("""COMPUTED_VALUE"""),43791.64583333333)</f>
        <v>43791.64583</v>
      </c>
      <c r="C873" s="2">
        <f>IFERROR(__xludf.DUMMYFUNCTION("""COMPUTED_VALUE"""),136.1)</f>
        <v>136.1</v>
      </c>
    </row>
    <row r="874" ht="15.75" customHeight="1">
      <c r="B874" s="3">
        <f>IFERROR(__xludf.DUMMYFUNCTION("""COMPUTED_VALUE"""),43798.64583333333)</f>
        <v>43798.64583</v>
      </c>
      <c r="C874" s="2">
        <f>IFERROR(__xludf.DUMMYFUNCTION("""COMPUTED_VALUE"""),134.55)</f>
        <v>134.55</v>
      </c>
    </row>
    <row r="875" ht="15.75" customHeight="1">
      <c r="B875" s="3">
        <f>IFERROR(__xludf.DUMMYFUNCTION("""COMPUTED_VALUE"""),43805.64583333333)</f>
        <v>43805.64583</v>
      </c>
      <c r="C875" s="2">
        <f>IFERROR(__xludf.DUMMYFUNCTION("""COMPUTED_VALUE"""),131.45)</f>
        <v>131.45</v>
      </c>
    </row>
    <row r="876" ht="15.75" customHeight="1">
      <c r="B876" s="3">
        <f>IFERROR(__xludf.DUMMYFUNCTION("""COMPUTED_VALUE"""),43812.64583333333)</f>
        <v>43812.64583</v>
      </c>
      <c r="C876" s="2">
        <f>IFERROR(__xludf.DUMMYFUNCTION("""COMPUTED_VALUE"""),128.5)</f>
        <v>128.5</v>
      </c>
    </row>
    <row r="877" ht="15.75" customHeight="1">
      <c r="B877" s="3">
        <f>IFERROR(__xludf.DUMMYFUNCTION("""COMPUTED_VALUE"""),43819.64583333333)</f>
        <v>43819.64583</v>
      </c>
      <c r="C877" s="2">
        <f>IFERROR(__xludf.DUMMYFUNCTION("""COMPUTED_VALUE"""),126.95)</f>
        <v>126.95</v>
      </c>
    </row>
    <row r="878" ht="15.75" customHeight="1">
      <c r="B878" s="3">
        <f>IFERROR(__xludf.DUMMYFUNCTION("""COMPUTED_VALUE"""),43826.64583333333)</f>
        <v>43826.64583</v>
      </c>
      <c r="C878" s="2">
        <f>IFERROR(__xludf.DUMMYFUNCTION("""COMPUTED_VALUE"""),129.9)</f>
        <v>129.9</v>
      </c>
    </row>
    <row r="879" ht="15.75" customHeight="1"/>
    <row r="880" ht="15.75" customHeight="1"/>
    <row r="881" ht="15.75" customHeight="1">
      <c r="B881" s="2" t="str">
        <f>IFERROR(__xludf.DUMMYFUNCTION("GOOGLEFINANCE(""NSE:ONGC"", ""high"",DATE(2020,1,1),DATE(2021,1,1),""weekly"")"),"Date")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IFERROR(__xludf.DUMMYFUNCTION("""COMPUTED_VALUE"""),43833.64583333333)</f>
        <v>43833.64583</v>
      </c>
      <c r="C882" s="2">
        <f>IFERROR(__xludf.DUMMYFUNCTION("""COMPUTED_VALUE"""),133.4)</f>
        <v>133.4</v>
      </c>
    </row>
    <row r="883" ht="15.75" customHeight="1">
      <c r="B883" s="3">
        <f>IFERROR(__xludf.DUMMYFUNCTION("""COMPUTED_VALUE"""),43840.64583333333)</f>
        <v>43840.64583</v>
      </c>
      <c r="C883" s="2">
        <f>IFERROR(__xludf.DUMMYFUNCTION("""COMPUTED_VALUE"""),129.8)</f>
        <v>129.8</v>
      </c>
    </row>
    <row r="884" ht="15.75" customHeight="1">
      <c r="B884" s="3">
        <f>IFERROR(__xludf.DUMMYFUNCTION("""COMPUTED_VALUE"""),43847.64583333333)</f>
        <v>43847.64583</v>
      </c>
      <c r="C884" s="2">
        <f>IFERROR(__xludf.DUMMYFUNCTION("""COMPUTED_VALUE"""),125.7)</f>
        <v>125.7</v>
      </c>
    </row>
    <row r="885" ht="15.75" customHeight="1">
      <c r="B885" s="3">
        <f>IFERROR(__xludf.DUMMYFUNCTION("""COMPUTED_VALUE"""),43854.64583333333)</f>
        <v>43854.64583</v>
      </c>
      <c r="C885" s="2">
        <f>IFERROR(__xludf.DUMMYFUNCTION("""COMPUTED_VALUE"""),126.75)</f>
        <v>126.75</v>
      </c>
    </row>
    <row r="886" ht="15.75" customHeight="1">
      <c r="B886" s="3">
        <f>IFERROR(__xludf.DUMMYFUNCTION("""COMPUTED_VALUE"""),43862.70833333333)</f>
        <v>43862.70833</v>
      </c>
      <c r="C886" s="2">
        <f>IFERROR(__xludf.DUMMYFUNCTION("""COMPUTED_VALUE"""),118.5)</f>
        <v>118.5</v>
      </c>
    </row>
    <row r="887" ht="15.75" customHeight="1">
      <c r="B887" s="3">
        <f>IFERROR(__xludf.DUMMYFUNCTION("""COMPUTED_VALUE"""),43868.64583333333)</f>
        <v>43868.64583</v>
      </c>
      <c r="C887" s="2">
        <f>IFERROR(__xludf.DUMMYFUNCTION("""COMPUTED_VALUE"""),109.75)</f>
        <v>109.75</v>
      </c>
    </row>
    <row r="888" ht="15.75" customHeight="1">
      <c r="B888" s="3">
        <f>IFERROR(__xludf.DUMMYFUNCTION("""COMPUTED_VALUE"""),43875.64583333333)</f>
        <v>43875.64583</v>
      </c>
      <c r="C888" s="2">
        <f>IFERROR(__xludf.DUMMYFUNCTION("""COMPUTED_VALUE"""),109.15)</f>
        <v>109.15</v>
      </c>
    </row>
    <row r="889" ht="15.75" customHeight="1">
      <c r="B889" s="3">
        <f>IFERROR(__xludf.DUMMYFUNCTION("""COMPUTED_VALUE"""),43881.64583333333)</f>
        <v>43881.64583</v>
      </c>
      <c r="C889" s="2">
        <f>IFERROR(__xludf.DUMMYFUNCTION("""COMPUTED_VALUE"""),104.1)</f>
        <v>104.1</v>
      </c>
    </row>
    <row r="890" ht="15.75" customHeight="1">
      <c r="B890" s="3">
        <f>IFERROR(__xludf.DUMMYFUNCTION("""COMPUTED_VALUE"""),43889.64583333333)</f>
        <v>43889.64583</v>
      </c>
      <c r="C890" s="2">
        <f>IFERROR(__xludf.DUMMYFUNCTION("""COMPUTED_VALUE"""),102.5)</f>
        <v>102.5</v>
      </c>
    </row>
    <row r="891" ht="15.75" customHeight="1">
      <c r="B891" s="3">
        <f>IFERROR(__xludf.DUMMYFUNCTION("""COMPUTED_VALUE"""),43896.64583333333)</f>
        <v>43896.64583</v>
      </c>
      <c r="C891" s="2">
        <f>IFERROR(__xludf.DUMMYFUNCTION("""COMPUTED_VALUE"""),95.0)</f>
        <v>95</v>
      </c>
    </row>
    <row r="892" ht="15.75" customHeight="1">
      <c r="B892" s="3">
        <f>IFERROR(__xludf.DUMMYFUNCTION("""COMPUTED_VALUE"""),43903.64583333333)</f>
        <v>43903.64583</v>
      </c>
      <c r="C892" s="2">
        <f>IFERROR(__xludf.DUMMYFUNCTION("""COMPUTED_VALUE"""),82.5)</f>
        <v>82.5</v>
      </c>
    </row>
    <row r="893" ht="15.75" customHeight="1">
      <c r="B893" s="3">
        <f>IFERROR(__xludf.DUMMYFUNCTION("""COMPUTED_VALUE"""),43910.64583333333)</f>
        <v>43910.64583</v>
      </c>
      <c r="C893" s="2">
        <f>IFERROR(__xludf.DUMMYFUNCTION("""COMPUTED_VALUE"""),86.8)</f>
        <v>86.8</v>
      </c>
    </row>
    <row r="894" ht="15.75" customHeight="1">
      <c r="B894" s="3">
        <f>IFERROR(__xludf.DUMMYFUNCTION("""COMPUTED_VALUE"""),43917.64583333333)</f>
        <v>43917.64583</v>
      </c>
      <c r="C894" s="2">
        <f>IFERROR(__xludf.DUMMYFUNCTION("""COMPUTED_VALUE"""),66.0)</f>
        <v>66</v>
      </c>
    </row>
    <row r="895" ht="15.75" customHeight="1">
      <c r="B895" s="3">
        <f>IFERROR(__xludf.DUMMYFUNCTION("""COMPUTED_VALUE"""),43924.64583333333)</f>
        <v>43924.64583</v>
      </c>
      <c r="C895" s="2">
        <f>IFERROR(__xludf.DUMMYFUNCTION("""COMPUTED_VALUE"""),71.0)</f>
        <v>71</v>
      </c>
    </row>
    <row r="896" ht="15.75" customHeight="1">
      <c r="B896" s="3">
        <f>IFERROR(__xludf.DUMMYFUNCTION("""COMPUTED_VALUE"""),43930.64583333333)</f>
        <v>43930.64583</v>
      </c>
      <c r="C896" s="2">
        <f>IFERROR(__xludf.DUMMYFUNCTION("""COMPUTED_VALUE"""),77.65)</f>
        <v>77.65</v>
      </c>
    </row>
    <row r="897" ht="15.75" customHeight="1">
      <c r="B897" s="3">
        <f>IFERROR(__xludf.DUMMYFUNCTION("""COMPUTED_VALUE"""),43938.64583333333)</f>
        <v>43938.64583</v>
      </c>
      <c r="C897" s="2">
        <f>IFERROR(__xludf.DUMMYFUNCTION("""COMPUTED_VALUE"""),78.8)</f>
        <v>78.8</v>
      </c>
    </row>
    <row r="898" ht="15.75" customHeight="1">
      <c r="B898" s="3">
        <f>IFERROR(__xludf.DUMMYFUNCTION("""COMPUTED_VALUE"""),43945.64583333333)</f>
        <v>43945.64583</v>
      </c>
      <c r="C898" s="2">
        <f>IFERROR(__xludf.DUMMYFUNCTION("""COMPUTED_VALUE"""),75.65)</f>
        <v>75.65</v>
      </c>
    </row>
    <row r="899" ht="15.75" customHeight="1">
      <c r="B899" s="3">
        <f>IFERROR(__xludf.DUMMYFUNCTION("""COMPUTED_VALUE"""),43951.64583333333)</f>
        <v>43951.64583</v>
      </c>
      <c r="C899" s="2">
        <f>IFERROR(__xludf.DUMMYFUNCTION("""COMPUTED_VALUE"""),81.05)</f>
        <v>81.05</v>
      </c>
    </row>
    <row r="900" ht="15.75" customHeight="1">
      <c r="B900" s="3">
        <f>IFERROR(__xludf.DUMMYFUNCTION("""COMPUTED_VALUE"""),43959.64583333333)</f>
        <v>43959.64583</v>
      </c>
      <c r="C900" s="2">
        <f>IFERROR(__xludf.DUMMYFUNCTION("""COMPUTED_VALUE"""),81.9)</f>
        <v>81.9</v>
      </c>
    </row>
    <row r="901" ht="15.75" customHeight="1">
      <c r="B901" s="3">
        <f>IFERROR(__xludf.DUMMYFUNCTION("""COMPUTED_VALUE"""),43966.64583333333)</f>
        <v>43966.64583</v>
      </c>
      <c r="C901" s="2">
        <f>IFERROR(__xludf.DUMMYFUNCTION("""COMPUTED_VALUE"""),79.05)</f>
        <v>79.05</v>
      </c>
    </row>
    <row r="902" ht="15.75" customHeight="1">
      <c r="B902" s="3">
        <f>IFERROR(__xludf.DUMMYFUNCTION("""COMPUTED_VALUE"""),43973.64583333333)</f>
        <v>43973.64583</v>
      </c>
      <c r="C902" s="2">
        <f>IFERROR(__xludf.DUMMYFUNCTION("""COMPUTED_VALUE"""),79.0)</f>
        <v>79</v>
      </c>
    </row>
    <row r="903" ht="15.75" customHeight="1">
      <c r="B903" s="3">
        <f>IFERROR(__xludf.DUMMYFUNCTION("""COMPUTED_VALUE"""),43980.64583333333)</f>
        <v>43980.64583</v>
      </c>
      <c r="C903" s="2">
        <f>IFERROR(__xludf.DUMMYFUNCTION("""COMPUTED_VALUE"""),83.75)</f>
        <v>83.75</v>
      </c>
    </row>
    <row r="904" ht="15.75" customHeight="1">
      <c r="B904" s="3">
        <f>IFERROR(__xludf.DUMMYFUNCTION("""COMPUTED_VALUE"""),43987.64583333333)</f>
        <v>43987.64583</v>
      </c>
      <c r="C904" s="2">
        <f>IFERROR(__xludf.DUMMYFUNCTION("""COMPUTED_VALUE"""),88.8)</f>
        <v>88.8</v>
      </c>
    </row>
    <row r="905" ht="15.75" customHeight="1">
      <c r="B905" s="3">
        <f>IFERROR(__xludf.DUMMYFUNCTION("""COMPUTED_VALUE"""),43994.64583333333)</f>
        <v>43994.64583</v>
      </c>
      <c r="C905" s="2">
        <f>IFERROR(__xludf.DUMMYFUNCTION("""COMPUTED_VALUE"""),93.1)</f>
        <v>93.1</v>
      </c>
    </row>
    <row r="906" ht="15.75" customHeight="1">
      <c r="B906" s="3">
        <f>IFERROR(__xludf.DUMMYFUNCTION("""COMPUTED_VALUE"""),44001.64583333333)</f>
        <v>44001.64583</v>
      </c>
      <c r="C906" s="2">
        <f>IFERROR(__xludf.DUMMYFUNCTION("""COMPUTED_VALUE"""),86.3)</f>
        <v>86.3</v>
      </c>
    </row>
    <row r="907" ht="15.75" customHeight="1">
      <c r="B907" s="3">
        <f>IFERROR(__xludf.DUMMYFUNCTION("""COMPUTED_VALUE"""),44008.64583333333)</f>
        <v>44008.64583</v>
      </c>
      <c r="C907" s="2">
        <f>IFERROR(__xludf.DUMMYFUNCTION("""COMPUTED_VALUE"""),86.65)</f>
        <v>86.65</v>
      </c>
    </row>
    <row r="908" ht="15.75" customHeight="1">
      <c r="B908" s="3">
        <f>IFERROR(__xludf.DUMMYFUNCTION("""COMPUTED_VALUE"""),44015.64583333333)</f>
        <v>44015.64583</v>
      </c>
      <c r="C908" s="2">
        <f>IFERROR(__xludf.DUMMYFUNCTION("""COMPUTED_VALUE"""),84.15)</f>
        <v>84.15</v>
      </c>
    </row>
    <row r="909" ht="15.75" customHeight="1">
      <c r="B909" s="3">
        <f>IFERROR(__xludf.DUMMYFUNCTION("""COMPUTED_VALUE"""),44022.64583333333)</f>
        <v>44022.64583</v>
      </c>
      <c r="C909" s="2">
        <f>IFERROR(__xludf.DUMMYFUNCTION("""COMPUTED_VALUE"""),84.9)</f>
        <v>84.9</v>
      </c>
    </row>
    <row r="910" ht="15.75" customHeight="1">
      <c r="B910" s="3">
        <f>IFERROR(__xludf.DUMMYFUNCTION("""COMPUTED_VALUE"""),44029.64583333333)</f>
        <v>44029.64583</v>
      </c>
      <c r="C910" s="2">
        <f>IFERROR(__xludf.DUMMYFUNCTION("""COMPUTED_VALUE"""),80.65)</f>
        <v>80.65</v>
      </c>
    </row>
    <row r="911" ht="15.75" customHeight="1">
      <c r="B911" s="3">
        <f>IFERROR(__xludf.DUMMYFUNCTION("""COMPUTED_VALUE"""),44036.64583333333)</f>
        <v>44036.64583</v>
      </c>
      <c r="C911" s="2">
        <f>IFERROR(__xludf.DUMMYFUNCTION("""COMPUTED_VALUE"""),83.85)</f>
        <v>83.85</v>
      </c>
    </row>
    <row r="912" ht="15.75" customHeight="1">
      <c r="B912" s="3">
        <f>IFERROR(__xludf.DUMMYFUNCTION("""COMPUTED_VALUE"""),44043.64583333333)</f>
        <v>44043.64583</v>
      </c>
      <c r="C912" s="2">
        <f>IFERROR(__xludf.DUMMYFUNCTION("""COMPUTED_VALUE"""),82.0)</f>
        <v>82</v>
      </c>
    </row>
    <row r="913" ht="15.75" customHeight="1">
      <c r="B913" s="3">
        <f>IFERROR(__xludf.DUMMYFUNCTION("""COMPUTED_VALUE"""),44050.64583333333)</f>
        <v>44050.64583</v>
      </c>
      <c r="C913" s="2">
        <f>IFERROR(__xludf.DUMMYFUNCTION("""COMPUTED_VALUE"""),79.95)</f>
        <v>79.95</v>
      </c>
    </row>
    <row r="914" ht="15.75" customHeight="1">
      <c r="B914" s="3">
        <f>IFERROR(__xludf.DUMMYFUNCTION("""COMPUTED_VALUE"""),44057.64583333333)</f>
        <v>44057.64583</v>
      </c>
      <c r="C914" s="2">
        <f>IFERROR(__xludf.DUMMYFUNCTION("""COMPUTED_VALUE"""),80.0)</f>
        <v>80</v>
      </c>
    </row>
    <row r="915" ht="15.75" customHeight="1">
      <c r="B915" s="3">
        <f>IFERROR(__xludf.DUMMYFUNCTION("""COMPUTED_VALUE"""),44064.64583333333)</f>
        <v>44064.64583</v>
      </c>
      <c r="C915" s="2">
        <f>IFERROR(__xludf.DUMMYFUNCTION("""COMPUTED_VALUE"""),83.45)</f>
        <v>83.45</v>
      </c>
    </row>
    <row r="916" ht="15.75" customHeight="1">
      <c r="B916" s="3">
        <f>IFERROR(__xludf.DUMMYFUNCTION("""COMPUTED_VALUE"""),44071.64583333333)</f>
        <v>44071.64583</v>
      </c>
      <c r="C916" s="2">
        <f>IFERROR(__xludf.DUMMYFUNCTION("""COMPUTED_VALUE"""),82.5)</f>
        <v>82.5</v>
      </c>
    </row>
    <row r="917" ht="15.75" customHeight="1">
      <c r="B917" s="3">
        <f>IFERROR(__xludf.DUMMYFUNCTION("""COMPUTED_VALUE"""),44078.64583333333)</f>
        <v>44078.64583</v>
      </c>
      <c r="C917" s="2">
        <f>IFERROR(__xludf.DUMMYFUNCTION("""COMPUTED_VALUE"""),85.5)</f>
        <v>85.5</v>
      </c>
    </row>
    <row r="918" ht="15.75" customHeight="1">
      <c r="B918" s="3">
        <f>IFERROR(__xludf.DUMMYFUNCTION("""COMPUTED_VALUE"""),44085.64583333333)</f>
        <v>44085.64583</v>
      </c>
      <c r="C918" s="2">
        <f>IFERROR(__xludf.DUMMYFUNCTION("""COMPUTED_VALUE"""),78.35)</f>
        <v>78.35</v>
      </c>
    </row>
    <row r="919" ht="15.75" customHeight="1">
      <c r="B919" s="3">
        <f>IFERROR(__xludf.DUMMYFUNCTION("""COMPUTED_VALUE"""),44092.64583333333)</f>
        <v>44092.64583</v>
      </c>
      <c r="C919" s="2">
        <f>IFERROR(__xludf.DUMMYFUNCTION("""COMPUTED_VALUE"""),74.8)</f>
        <v>74.8</v>
      </c>
    </row>
    <row r="920" ht="15.75" customHeight="1">
      <c r="B920" s="3">
        <f>IFERROR(__xludf.DUMMYFUNCTION("""COMPUTED_VALUE"""),44099.64583333333)</f>
        <v>44099.64583</v>
      </c>
      <c r="C920" s="2">
        <f>IFERROR(__xludf.DUMMYFUNCTION("""COMPUTED_VALUE"""),74.1)</f>
        <v>74.1</v>
      </c>
    </row>
    <row r="921" ht="15.75" customHeight="1">
      <c r="B921" s="3">
        <f>IFERROR(__xludf.DUMMYFUNCTION("""COMPUTED_VALUE"""),44105.64583333333)</f>
        <v>44105.64583</v>
      </c>
      <c r="C921" s="2">
        <f>IFERROR(__xludf.DUMMYFUNCTION("""COMPUTED_VALUE"""),73.7)</f>
        <v>73.7</v>
      </c>
    </row>
    <row r="922" ht="15.75" customHeight="1">
      <c r="B922" s="3">
        <f>IFERROR(__xludf.DUMMYFUNCTION("""COMPUTED_VALUE"""),44113.64583333333)</f>
        <v>44113.64583</v>
      </c>
      <c r="C922" s="2">
        <f>IFERROR(__xludf.DUMMYFUNCTION("""COMPUTED_VALUE"""),73.35)</f>
        <v>73.35</v>
      </c>
    </row>
    <row r="923" ht="15.75" customHeight="1">
      <c r="B923" s="3">
        <f>IFERROR(__xludf.DUMMYFUNCTION("""COMPUTED_VALUE"""),44120.64583333333)</f>
        <v>44120.64583</v>
      </c>
      <c r="C923" s="2">
        <f>IFERROR(__xludf.DUMMYFUNCTION("""COMPUTED_VALUE"""),70.6)</f>
        <v>70.6</v>
      </c>
    </row>
    <row r="924" ht="15.75" customHeight="1">
      <c r="B924" s="3">
        <f>IFERROR(__xludf.DUMMYFUNCTION("""COMPUTED_VALUE"""),44127.64583333333)</f>
        <v>44127.64583</v>
      </c>
      <c r="C924" s="2">
        <f>IFERROR(__xludf.DUMMYFUNCTION("""COMPUTED_VALUE"""),70.45)</f>
        <v>70.45</v>
      </c>
    </row>
    <row r="925" ht="15.75" customHeight="1">
      <c r="B925" s="3">
        <f>IFERROR(__xludf.DUMMYFUNCTION("""COMPUTED_VALUE"""),44134.64583333333)</f>
        <v>44134.64583</v>
      </c>
      <c r="C925" s="2">
        <f>IFERROR(__xludf.DUMMYFUNCTION("""COMPUTED_VALUE"""),69.5)</f>
        <v>69.5</v>
      </c>
    </row>
    <row r="926" ht="15.75" customHeight="1">
      <c r="B926" s="3">
        <f>IFERROR(__xludf.DUMMYFUNCTION("""COMPUTED_VALUE"""),44141.64583333333)</f>
        <v>44141.64583</v>
      </c>
      <c r="C926" s="2">
        <f>IFERROR(__xludf.DUMMYFUNCTION("""COMPUTED_VALUE"""),68.2)</f>
        <v>68.2</v>
      </c>
    </row>
    <row r="927" ht="15.75" customHeight="1">
      <c r="B927" s="3">
        <f>IFERROR(__xludf.DUMMYFUNCTION("""COMPUTED_VALUE"""),44155.64583333333)</f>
        <v>44155.64583</v>
      </c>
      <c r="C927" s="2">
        <f>IFERROR(__xludf.DUMMYFUNCTION("""COMPUTED_VALUE"""),74.2)</f>
        <v>74.2</v>
      </c>
    </row>
    <row r="928" ht="15.75" customHeight="1">
      <c r="B928" s="3">
        <f>IFERROR(__xludf.DUMMYFUNCTION("""COMPUTED_VALUE"""),44162.64583333333)</f>
        <v>44162.64583</v>
      </c>
      <c r="C928" s="2">
        <f>IFERROR(__xludf.DUMMYFUNCTION("""COMPUTED_VALUE"""),81.8)</f>
        <v>81.8</v>
      </c>
    </row>
    <row r="929" ht="15.75" customHeight="1">
      <c r="B929" s="3">
        <f>IFERROR(__xludf.DUMMYFUNCTION("""COMPUTED_VALUE"""),44169.64583333333)</f>
        <v>44169.64583</v>
      </c>
      <c r="C929" s="2">
        <f>IFERROR(__xludf.DUMMYFUNCTION("""COMPUTED_VALUE"""),91.0)</f>
        <v>91</v>
      </c>
    </row>
    <row r="930" ht="15.75" customHeight="1">
      <c r="B930" s="3">
        <f>IFERROR(__xludf.DUMMYFUNCTION("""COMPUTED_VALUE"""),44176.64583333333)</f>
        <v>44176.64583</v>
      </c>
      <c r="C930" s="2">
        <f>IFERROR(__xludf.DUMMYFUNCTION("""COMPUTED_VALUE"""),104.4)</f>
        <v>104.4</v>
      </c>
    </row>
    <row r="931" ht="15.75" customHeight="1">
      <c r="B931" s="3">
        <f>IFERROR(__xludf.DUMMYFUNCTION("""COMPUTED_VALUE"""),44183.64583333333)</f>
        <v>44183.64583</v>
      </c>
      <c r="C931" s="2">
        <f>IFERROR(__xludf.DUMMYFUNCTION("""COMPUTED_VALUE"""),105.6)</f>
        <v>105.6</v>
      </c>
    </row>
    <row r="932" ht="15.75" customHeight="1">
      <c r="B932" s="3">
        <f>IFERROR(__xludf.DUMMYFUNCTION("""COMPUTED_VALUE"""),44189.64583333333)</f>
        <v>44189.64583</v>
      </c>
      <c r="C932" s="2">
        <f>IFERROR(__xludf.DUMMYFUNCTION("""COMPUTED_VALUE"""),98.95)</f>
        <v>98.95</v>
      </c>
    </row>
    <row r="933" ht="15.75" customHeight="1">
      <c r="B933" s="3">
        <f>IFERROR(__xludf.DUMMYFUNCTION("""COMPUTED_VALUE"""),44197.64583333333)</f>
        <v>44197.64583</v>
      </c>
      <c r="C933" s="2">
        <f>IFERROR(__xludf.DUMMYFUNCTION("""COMPUTED_VALUE"""),95.55)</f>
        <v>95.55</v>
      </c>
    </row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IFERROR(__xludf.DUMMYFUNCTION("GOOGLEFINANCE(""NSE:PNB"", ""high"",DATE(2004,1,1),DATE(2005,1,1),""weekly"")"),"Date")</f>
        <v>Date</v>
      </c>
      <c r="C1" s="2" t="str">
        <f>IFERROR(__xludf.DUMMYFUNCTION("""COMPUTED_VALUE"""),"High")</f>
        <v>High</v>
      </c>
    </row>
    <row r="2">
      <c r="A2" s="2" t="s">
        <v>3</v>
      </c>
      <c r="B2" s="3">
        <f>IFERROR(__xludf.DUMMYFUNCTION("""COMPUTED_VALUE"""),37988.645833333336)</f>
        <v>37988.64583</v>
      </c>
      <c r="C2" s="2">
        <f>IFERROR(__xludf.DUMMYFUNCTION("""COMPUTED_VALUE"""),49.38)</f>
        <v>49.38</v>
      </c>
    </row>
    <row r="3">
      <c r="A3" s="2" t="s">
        <v>4</v>
      </c>
      <c r="B3" s="3">
        <f>IFERROR(__xludf.DUMMYFUNCTION("""COMPUTED_VALUE"""),37995.645833333336)</f>
        <v>37995.64583</v>
      </c>
      <c r="C3" s="2">
        <f>IFERROR(__xludf.DUMMYFUNCTION("""COMPUTED_VALUE"""),55.74)</f>
        <v>55.74</v>
      </c>
    </row>
    <row r="4">
      <c r="A4" s="2" t="s">
        <v>5</v>
      </c>
      <c r="B4" s="3">
        <f>IFERROR(__xludf.DUMMYFUNCTION("""COMPUTED_VALUE"""),38002.645833333336)</f>
        <v>38002.64583</v>
      </c>
      <c r="C4" s="2">
        <f>IFERROR(__xludf.DUMMYFUNCTION("""COMPUTED_VALUE"""),62.02)</f>
        <v>62.02</v>
      </c>
    </row>
    <row r="5">
      <c r="A5" s="2" t="s">
        <v>6</v>
      </c>
      <c r="B5" s="3">
        <f>IFERROR(__xludf.DUMMYFUNCTION("""COMPUTED_VALUE"""),38009.645833333336)</f>
        <v>38009.64583</v>
      </c>
      <c r="C5" s="2">
        <f>IFERROR(__xludf.DUMMYFUNCTION("""COMPUTED_VALUE"""),57.4)</f>
        <v>57.4</v>
      </c>
    </row>
    <row r="6">
      <c r="A6" s="2" t="s">
        <v>7</v>
      </c>
      <c r="B6" s="3">
        <f>IFERROR(__xludf.DUMMYFUNCTION("""COMPUTED_VALUE"""),38016.645833333336)</f>
        <v>38016.64583</v>
      </c>
      <c r="C6" s="2">
        <f>IFERROR(__xludf.DUMMYFUNCTION("""COMPUTED_VALUE"""),60.07)</f>
        <v>60.07</v>
      </c>
    </row>
    <row r="7">
      <c r="A7" s="2" t="s">
        <v>8</v>
      </c>
      <c r="B7" s="3">
        <f>IFERROR(__xludf.DUMMYFUNCTION("""COMPUTED_VALUE"""),38023.645833333336)</f>
        <v>38023.64583</v>
      </c>
      <c r="C7" s="2">
        <f>IFERROR(__xludf.DUMMYFUNCTION("""COMPUTED_VALUE"""),52.84)</f>
        <v>52.84</v>
      </c>
    </row>
    <row r="8">
      <c r="A8" s="2" t="s">
        <v>9</v>
      </c>
      <c r="B8" s="3">
        <f>IFERROR(__xludf.DUMMYFUNCTION("""COMPUTED_VALUE"""),38030.645833333336)</f>
        <v>38030.64583</v>
      </c>
      <c r="C8" s="2">
        <f>IFERROR(__xludf.DUMMYFUNCTION("""COMPUTED_VALUE"""),56.87)</f>
        <v>56.87</v>
      </c>
    </row>
    <row r="9">
      <c r="A9" s="2" t="s">
        <v>10</v>
      </c>
      <c r="B9" s="3">
        <f>IFERROR(__xludf.DUMMYFUNCTION("""COMPUTED_VALUE"""),38037.645833333336)</f>
        <v>38037.64583</v>
      </c>
      <c r="C9" s="2">
        <f>IFERROR(__xludf.DUMMYFUNCTION("""COMPUTED_VALUE"""),58.0)</f>
        <v>58</v>
      </c>
    </row>
    <row r="10">
      <c r="A10" s="2" t="s">
        <v>11</v>
      </c>
      <c r="B10" s="3">
        <f>IFERROR(__xludf.DUMMYFUNCTION("""COMPUTED_VALUE"""),38044.645833333336)</f>
        <v>38044.64583</v>
      </c>
      <c r="C10" s="2">
        <f>IFERROR(__xludf.DUMMYFUNCTION("""COMPUTED_VALUE"""),51.4)</f>
        <v>51.4</v>
      </c>
    </row>
    <row r="11">
      <c r="A11" s="2" t="s">
        <v>12</v>
      </c>
      <c r="B11" s="3">
        <f>IFERROR(__xludf.DUMMYFUNCTION("""COMPUTED_VALUE"""),38051.645833333336)</f>
        <v>38051.64583</v>
      </c>
      <c r="C11" s="2">
        <f>IFERROR(__xludf.DUMMYFUNCTION("""COMPUTED_VALUE"""),51.89)</f>
        <v>51.89</v>
      </c>
    </row>
    <row r="12">
      <c r="A12" s="2" t="s">
        <v>13</v>
      </c>
      <c r="B12" s="3">
        <f>IFERROR(__xludf.DUMMYFUNCTION("""COMPUTED_VALUE"""),38058.645833333336)</f>
        <v>38058.64583</v>
      </c>
      <c r="C12" s="2">
        <f>IFERROR(__xludf.DUMMYFUNCTION("""COMPUTED_VALUE"""),55.1)</f>
        <v>55.1</v>
      </c>
    </row>
    <row r="13">
      <c r="A13" s="2" t="s">
        <v>14</v>
      </c>
      <c r="B13" s="3">
        <f>IFERROR(__xludf.DUMMYFUNCTION("""COMPUTED_VALUE"""),38065.645833333336)</f>
        <v>38065.64583</v>
      </c>
      <c r="C13" s="2">
        <f>IFERROR(__xludf.DUMMYFUNCTION("""COMPUTED_VALUE"""),58.57)</f>
        <v>58.57</v>
      </c>
    </row>
    <row r="14">
      <c r="B14" s="3">
        <f>IFERROR(__xludf.DUMMYFUNCTION("""COMPUTED_VALUE"""),38072.645833333336)</f>
        <v>38072.64583</v>
      </c>
      <c r="C14" s="2">
        <f>IFERROR(__xludf.DUMMYFUNCTION("""COMPUTED_VALUE"""),67.36)</f>
        <v>67.36</v>
      </c>
    </row>
    <row r="15">
      <c r="B15" s="3">
        <f>IFERROR(__xludf.DUMMYFUNCTION("""COMPUTED_VALUE"""),38079.645833333336)</f>
        <v>38079.64583</v>
      </c>
      <c r="C15" s="2">
        <f>IFERROR(__xludf.DUMMYFUNCTION("""COMPUTED_VALUE"""),70.76)</f>
        <v>70.76</v>
      </c>
    </row>
    <row r="16">
      <c r="B16" s="3">
        <f>IFERROR(__xludf.DUMMYFUNCTION("""COMPUTED_VALUE"""),38085.645833333336)</f>
        <v>38085.64583</v>
      </c>
      <c r="C16" s="2">
        <f>IFERROR(__xludf.DUMMYFUNCTION("""COMPUTED_VALUE"""),70.55)</f>
        <v>70.55</v>
      </c>
    </row>
    <row r="17">
      <c r="B17" s="3">
        <f>IFERROR(__xludf.DUMMYFUNCTION("""COMPUTED_VALUE"""),38100.645833333336)</f>
        <v>38100.64583</v>
      </c>
      <c r="C17" s="2">
        <f>IFERROR(__xludf.DUMMYFUNCTION("""COMPUTED_VALUE"""),76.7)</f>
        <v>76.7</v>
      </c>
    </row>
    <row r="18">
      <c r="B18" s="3">
        <f>IFERROR(__xludf.DUMMYFUNCTION("""COMPUTED_VALUE"""),38107.645833333336)</f>
        <v>38107.64583</v>
      </c>
      <c r="C18" s="2">
        <f>IFERROR(__xludf.DUMMYFUNCTION("""COMPUTED_VALUE"""),79.47)</f>
        <v>79.47</v>
      </c>
    </row>
    <row r="19">
      <c r="B19" s="3">
        <f>IFERROR(__xludf.DUMMYFUNCTION("""COMPUTED_VALUE"""),38114.645833333336)</f>
        <v>38114.64583</v>
      </c>
      <c r="C19" s="2">
        <f>IFERROR(__xludf.DUMMYFUNCTION("""COMPUTED_VALUE"""),76.48)</f>
        <v>76.48</v>
      </c>
    </row>
    <row r="20">
      <c r="B20" s="3">
        <f>IFERROR(__xludf.DUMMYFUNCTION("""COMPUTED_VALUE"""),38121.645833333336)</f>
        <v>38121.64583</v>
      </c>
      <c r="C20" s="2">
        <f>IFERROR(__xludf.DUMMYFUNCTION("""COMPUTED_VALUE"""),72.22)</f>
        <v>72.22</v>
      </c>
    </row>
    <row r="21" ht="15.75" customHeight="1">
      <c r="B21" s="3">
        <f>IFERROR(__xludf.DUMMYFUNCTION("""COMPUTED_VALUE"""),38128.645833333336)</f>
        <v>38128.64583</v>
      </c>
      <c r="C21" s="2">
        <f>IFERROR(__xludf.DUMMYFUNCTION("""COMPUTED_VALUE"""),60.0)</f>
        <v>60</v>
      </c>
    </row>
    <row r="22" ht="15.75" customHeight="1">
      <c r="B22" s="3">
        <f>IFERROR(__xludf.DUMMYFUNCTION("""COMPUTED_VALUE"""),38135.645833333336)</f>
        <v>38135.64583</v>
      </c>
      <c r="C22" s="2">
        <f>IFERROR(__xludf.DUMMYFUNCTION("""COMPUTED_VALUE"""),57.0)</f>
        <v>57</v>
      </c>
    </row>
    <row r="23" ht="15.75" customHeight="1">
      <c r="B23" s="3">
        <f>IFERROR(__xludf.DUMMYFUNCTION("""COMPUTED_VALUE"""),38142.645833333336)</f>
        <v>38142.64583</v>
      </c>
      <c r="C23" s="2">
        <f>IFERROR(__xludf.DUMMYFUNCTION("""COMPUTED_VALUE"""),57.32)</f>
        <v>57.32</v>
      </c>
    </row>
    <row r="24" ht="15.75" customHeight="1">
      <c r="B24" s="3">
        <f>IFERROR(__xludf.DUMMYFUNCTION("""COMPUTED_VALUE"""),38149.645833333336)</f>
        <v>38149.64583</v>
      </c>
      <c r="C24" s="2">
        <f>IFERROR(__xludf.DUMMYFUNCTION("""COMPUTED_VALUE"""),60.86)</f>
        <v>60.86</v>
      </c>
    </row>
    <row r="25" ht="15.75" customHeight="1">
      <c r="B25" s="3">
        <f>IFERROR(__xludf.DUMMYFUNCTION("""COMPUTED_VALUE"""),38156.645833333336)</f>
        <v>38156.64583</v>
      </c>
      <c r="C25" s="2">
        <f>IFERROR(__xludf.DUMMYFUNCTION("""COMPUTED_VALUE"""),53.1)</f>
        <v>53.1</v>
      </c>
    </row>
    <row r="26" ht="15.75" customHeight="1">
      <c r="B26" s="3">
        <f>IFERROR(__xludf.DUMMYFUNCTION("""COMPUTED_VALUE"""),38163.645833333336)</f>
        <v>38163.64583</v>
      </c>
      <c r="C26" s="2">
        <f>IFERROR(__xludf.DUMMYFUNCTION("""COMPUTED_VALUE"""),53.0)</f>
        <v>53</v>
      </c>
    </row>
    <row r="27" ht="15.75" customHeight="1">
      <c r="B27" s="3">
        <f>IFERROR(__xludf.DUMMYFUNCTION("""COMPUTED_VALUE"""),38170.645833333336)</f>
        <v>38170.64583</v>
      </c>
      <c r="C27" s="2">
        <f>IFERROR(__xludf.DUMMYFUNCTION("""COMPUTED_VALUE"""),57.5)</f>
        <v>57.5</v>
      </c>
    </row>
    <row r="28" ht="15.75" customHeight="1">
      <c r="B28" s="3">
        <f>IFERROR(__xludf.DUMMYFUNCTION("""COMPUTED_VALUE"""),38177.645833333336)</f>
        <v>38177.64583</v>
      </c>
      <c r="C28" s="2">
        <f>IFERROR(__xludf.DUMMYFUNCTION("""COMPUTED_VALUE"""),54.14)</f>
        <v>54.14</v>
      </c>
    </row>
    <row r="29" ht="15.75" customHeight="1">
      <c r="B29" s="3">
        <f>IFERROR(__xludf.DUMMYFUNCTION("""COMPUTED_VALUE"""),38184.645833333336)</f>
        <v>38184.64583</v>
      </c>
      <c r="C29" s="2">
        <f>IFERROR(__xludf.DUMMYFUNCTION("""COMPUTED_VALUE"""),53.7)</f>
        <v>53.7</v>
      </c>
    </row>
    <row r="30" ht="15.75" customHeight="1">
      <c r="B30" s="3">
        <f>IFERROR(__xludf.DUMMYFUNCTION("""COMPUTED_VALUE"""),38191.645833333336)</f>
        <v>38191.64583</v>
      </c>
      <c r="C30" s="2">
        <f>IFERROR(__xludf.DUMMYFUNCTION("""COMPUTED_VALUE"""),57.36)</f>
        <v>57.36</v>
      </c>
    </row>
    <row r="31" ht="15.75" customHeight="1">
      <c r="B31" s="3">
        <f>IFERROR(__xludf.DUMMYFUNCTION("""COMPUTED_VALUE"""),38198.645833333336)</f>
        <v>38198.64583</v>
      </c>
      <c r="C31" s="2">
        <f>IFERROR(__xludf.DUMMYFUNCTION("""COMPUTED_VALUE"""),58.34)</f>
        <v>58.34</v>
      </c>
    </row>
    <row r="32" ht="15.75" customHeight="1">
      <c r="B32" s="3">
        <f>IFERROR(__xludf.DUMMYFUNCTION("""COMPUTED_VALUE"""),38205.645833333336)</f>
        <v>38205.64583</v>
      </c>
      <c r="C32" s="2">
        <f>IFERROR(__xludf.DUMMYFUNCTION("""COMPUTED_VALUE"""),55.94)</f>
        <v>55.94</v>
      </c>
    </row>
    <row r="33" ht="15.75" customHeight="1">
      <c r="B33" s="3">
        <f>IFERROR(__xludf.DUMMYFUNCTION("""COMPUTED_VALUE"""),38212.645833333336)</f>
        <v>38212.64583</v>
      </c>
      <c r="C33" s="2">
        <f>IFERROR(__xludf.DUMMYFUNCTION("""COMPUTED_VALUE"""),56.18)</f>
        <v>56.18</v>
      </c>
    </row>
    <row r="34" ht="15.75" customHeight="1">
      <c r="B34" s="3">
        <f>IFERROR(__xludf.DUMMYFUNCTION("""COMPUTED_VALUE"""),38219.645833333336)</f>
        <v>38219.64583</v>
      </c>
      <c r="C34" s="2">
        <f>IFERROR(__xludf.DUMMYFUNCTION("""COMPUTED_VALUE"""),58.0)</f>
        <v>58</v>
      </c>
    </row>
    <row r="35" ht="15.75" customHeight="1">
      <c r="B35" s="3">
        <f>IFERROR(__xludf.DUMMYFUNCTION("""COMPUTED_VALUE"""),38226.645833333336)</f>
        <v>38226.64583</v>
      </c>
      <c r="C35" s="2">
        <f>IFERROR(__xludf.DUMMYFUNCTION("""COMPUTED_VALUE"""),52.08)</f>
        <v>52.08</v>
      </c>
    </row>
    <row r="36" ht="15.75" customHeight="1">
      <c r="B36" s="3">
        <f>IFERROR(__xludf.DUMMYFUNCTION("""COMPUTED_VALUE"""),38233.645833333336)</f>
        <v>38233.64583</v>
      </c>
      <c r="C36" s="2">
        <f>IFERROR(__xludf.DUMMYFUNCTION("""COMPUTED_VALUE"""),55.87)</f>
        <v>55.87</v>
      </c>
    </row>
    <row r="37" ht="15.75" customHeight="1">
      <c r="B37" s="3">
        <f>IFERROR(__xludf.DUMMYFUNCTION("""COMPUTED_VALUE"""),38240.645833333336)</f>
        <v>38240.64583</v>
      </c>
      <c r="C37" s="2">
        <f>IFERROR(__xludf.DUMMYFUNCTION("""COMPUTED_VALUE"""),56.1)</f>
        <v>56.1</v>
      </c>
    </row>
    <row r="38" ht="15.75" customHeight="1">
      <c r="B38" s="3">
        <f>IFERROR(__xludf.DUMMYFUNCTION("""COMPUTED_VALUE"""),38247.645833333336)</f>
        <v>38247.64583</v>
      </c>
      <c r="C38" s="2">
        <f>IFERROR(__xludf.DUMMYFUNCTION("""COMPUTED_VALUE"""),55.7)</f>
        <v>55.7</v>
      </c>
    </row>
    <row r="39" ht="15.75" customHeight="1">
      <c r="B39" s="3">
        <f>IFERROR(__xludf.DUMMYFUNCTION("""COMPUTED_VALUE"""),38254.645833333336)</f>
        <v>38254.64583</v>
      </c>
      <c r="C39" s="2">
        <f>IFERROR(__xludf.DUMMYFUNCTION("""COMPUTED_VALUE"""),56.3)</f>
        <v>56.3</v>
      </c>
    </row>
    <row r="40" ht="15.75" customHeight="1">
      <c r="B40" s="3">
        <f>IFERROR(__xludf.DUMMYFUNCTION("""COMPUTED_VALUE"""),38261.645833333336)</f>
        <v>38261.64583</v>
      </c>
      <c r="C40" s="2">
        <f>IFERROR(__xludf.DUMMYFUNCTION("""COMPUTED_VALUE"""),53.98)</f>
        <v>53.98</v>
      </c>
    </row>
    <row r="41" ht="15.75" customHeight="1">
      <c r="B41" s="3">
        <f>IFERROR(__xludf.DUMMYFUNCTION("""COMPUTED_VALUE"""),38275.645833333336)</f>
        <v>38275.64583</v>
      </c>
      <c r="C41" s="2">
        <f>IFERROR(__xludf.DUMMYFUNCTION("""COMPUTED_VALUE"""),53.52)</f>
        <v>53.52</v>
      </c>
    </row>
    <row r="42" ht="15.75" customHeight="1">
      <c r="B42" s="3">
        <f>IFERROR(__xludf.DUMMYFUNCTION("""COMPUTED_VALUE"""),38281.645833333336)</f>
        <v>38281.64583</v>
      </c>
      <c r="C42" s="2">
        <f>IFERROR(__xludf.DUMMYFUNCTION("""COMPUTED_VALUE"""),51.38)</f>
        <v>51.38</v>
      </c>
    </row>
    <row r="43" ht="15.75" customHeight="1">
      <c r="B43" s="3">
        <f>IFERROR(__xludf.DUMMYFUNCTION("""COMPUTED_VALUE"""),38289.645833333336)</f>
        <v>38289.64583</v>
      </c>
      <c r="C43" s="2">
        <f>IFERROR(__xludf.DUMMYFUNCTION("""COMPUTED_VALUE"""),50.2)</f>
        <v>50.2</v>
      </c>
    </row>
    <row r="44" ht="15.75" customHeight="1">
      <c r="B44" s="3">
        <f>IFERROR(__xludf.DUMMYFUNCTION("""COMPUTED_VALUE"""),38296.645833333336)</f>
        <v>38296.64583</v>
      </c>
      <c r="C44" s="2">
        <f>IFERROR(__xludf.DUMMYFUNCTION("""COMPUTED_VALUE"""),52.94)</f>
        <v>52.94</v>
      </c>
    </row>
    <row r="45" ht="15.75" customHeight="1">
      <c r="B45" s="3">
        <f>IFERROR(__xludf.DUMMYFUNCTION("""COMPUTED_VALUE"""),38303.645833333336)</f>
        <v>38303.64583</v>
      </c>
      <c r="C45" s="2">
        <f>IFERROR(__xludf.DUMMYFUNCTION("""COMPUTED_VALUE"""),53.2)</f>
        <v>53.2</v>
      </c>
    </row>
    <row r="46" ht="15.75" customHeight="1">
      <c r="B46" s="3">
        <f>IFERROR(__xludf.DUMMYFUNCTION("""COMPUTED_VALUE"""),38310.645833333336)</f>
        <v>38310.64583</v>
      </c>
      <c r="C46" s="2">
        <f>IFERROR(__xludf.DUMMYFUNCTION("""COMPUTED_VALUE"""),65.5)</f>
        <v>65.5</v>
      </c>
    </row>
    <row r="47" ht="15.75" customHeight="1">
      <c r="B47" s="3">
        <f>IFERROR(__xludf.DUMMYFUNCTION("""COMPUTED_VALUE"""),38316.645833333336)</f>
        <v>38316.64583</v>
      </c>
      <c r="C47" s="2">
        <f>IFERROR(__xludf.DUMMYFUNCTION("""COMPUTED_VALUE"""),67.0)</f>
        <v>67</v>
      </c>
    </row>
    <row r="48" ht="15.75" customHeight="1">
      <c r="B48" s="3">
        <f>IFERROR(__xludf.DUMMYFUNCTION("""COMPUTED_VALUE"""),38324.645833333336)</f>
        <v>38324.64583</v>
      </c>
      <c r="C48" s="2">
        <f>IFERROR(__xludf.DUMMYFUNCTION("""COMPUTED_VALUE"""),81.56)</f>
        <v>81.56</v>
      </c>
    </row>
    <row r="49" ht="15.75" customHeight="1">
      <c r="B49" s="3">
        <f>IFERROR(__xludf.DUMMYFUNCTION("""COMPUTED_VALUE"""),38331.645833333336)</f>
        <v>38331.64583</v>
      </c>
      <c r="C49" s="2">
        <f>IFERROR(__xludf.DUMMYFUNCTION("""COMPUTED_VALUE"""),77.78)</f>
        <v>77.78</v>
      </c>
    </row>
    <row r="50" ht="15.75" customHeight="1">
      <c r="B50" s="3">
        <f>IFERROR(__xludf.DUMMYFUNCTION("""COMPUTED_VALUE"""),38338.645833333336)</f>
        <v>38338.64583</v>
      </c>
      <c r="C50" s="2">
        <f>IFERROR(__xludf.DUMMYFUNCTION("""COMPUTED_VALUE"""),73.18)</f>
        <v>73.18</v>
      </c>
    </row>
    <row r="51" ht="15.75" customHeight="1">
      <c r="B51" s="3">
        <f>IFERROR(__xludf.DUMMYFUNCTION("""COMPUTED_VALUE"""),38345.645833333336)</f>
        <v>38345.64583</v>
      </c>
      <c r="C51" s="2">
        <f>IFERROR(__xludf.DUMMYFUNCTION("""COMPUTED_VALUE"""),77.0)</f>
        <v>77</v>
      </c>
    </row>
    <row r="52" ht="15.75" customHeight="1">
      <c r="B52" s="3">
        <f>IFERROR(__xludf.DUMMYFUNCTION("""COMPUTED_VALUE"""),38352.645833333336)</f>
        <v>38352.64583</v>
      </c>
      <c r="C52" s="2">
        <f>IFERROR(__xludf.DUMMYFUNCTION("""COMPUTED_VALUE"""),82.2)</f>
        <v>82.2</v>
      </c>
    </row>
    <row r="53" ht="15.75" customHeight="1"/>
    <row r="54" ht="15.75" customHeight="1"/>
    <row r="55" ht="15.75" customHeight="1"/>
    <row r="56" ht="15.75" customHeight="1">
      <c r="B56" s="2" t="str">
        <f>IFERROR(__xludf.DUMMYFUNCTION("GOOGLEFINANCE(""NSE:PNB"", ""high"",DATE(2005,1,1),DATE(2006,1,1),""weekly"")"),"Date")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IFERROR(__xludf.DUMMYFUNCTION("""COMPUTED_VALUE"""),38359.645833333336)</f>
        <v>38359.64583</v>
      </c>
      <c r="C57" s="2">
        <f>IFERROR(__xludf.DUMMYFUNCTION("""COMPUTED_VALUE"""),89.88)</f>
        <v>89.88</v>
      </c>
    </row>
    <row r="58" ht="15.75" customHeight="1">
      <c r="B58" s="3">
        <f>IFERROR(__xludf.DUMMYFUNCTION("""COMPUTED_VALUE"""),38366.645833333336)</f>
        <v>38366.64583</v>
      </c>
      <c r="C58" s="2">
        <f>IFERROR(__xludf.DUMMYFUNCTION("""COMPUTED_VALUE"""),84.94)</f>
        <v>84.94</v>
      </c>
    </row>
    <row r="59" ht="15.75" customHeight="1">
      <c r="B59" s="3">
        <f>IFERROR(__xludf.DUMMYFUNCTION("""COMPUTED_VALUE"""),38372.645833333336)</f>
        <v>38372.64583</v>
      </c>
      <c r="C59" s="2">
        <f>IFERROR(__xludf.DUMMYFUNCTION("""COMPUTED_VALUE"""),73.96)</f>
        <v>73.96</v>
      </c>
    </row>
    <row r="60" ht="15.75" customHeight="1">
      <c r="B60" s="3">
        <f>IFERROR(__xludf.DUMMYFUNCTION("""COMPUTED_VALUE"""),38380.645833333336)</f>
        <v>38380.64583</v>
      </c>
      <c r="C60" s="2">
        <f>IFERROR(__xludf.DUMMYFUNCTION("""COMPUTED_VALUE"""),77.14)</f>
        <v>77.14</v>
      </c>
    </row>
    <row r="61" ht="15.75" customHeight="1">
      <c r="B61" s="3">
        <f>IFERROR(__xludf.DUMMYFUNCTION("""COMPUTED_VALUE"""),38387.645833333336)</f>
        <v>38387.64583</v>
      </c>
      <c r="C61" s="2">
        <f>IFERROR(__xludf.DUMMYFUNCTION("""COMPUTED_VALUE"""),84.0)</f>
        <v>84</v>
      </c>
    </row>
    <row r="62" ht="15.75" customHeight="1">
      <c r="B62" s="3">
        <f>IFERROR(__xludf.DUMMYFUNCTION("""COMPUTED_VALUE"""),38394.645833333336)</f>
        <v>38394.64583</v>
      </c>
      <c r="C62" s="2">
        <f>IFERROR(__xludf.DUMMYFUNCTION("""COMPUTED_VALUE"""),85.34)</f>
        <v>85.34</v>
      </c>
    </row>
    <row r="63" ht="15.75" customHeight="1">
      <c r="B63" s="3">
        <f>IFERROR(__xludf.DUMMYFUNCTION("""COMPUTED_VALUE"""),38401.645833333336)</f>
        <v>38401.64583</v>
      </c>
      <c r="C63" s="2">
        <f>IFERROR(__xludf.DUMMYFUNCTION("""COMPUTED_VALUE"""),85.78)</f>
        <v>85.78</v>
      </c>
    </row>
    <row r="64" ht="15.75" customHeight="1">
      <c r="B64" s="3">
        <f>IFERROR(__xludf.DUMMYFUNCTION("""COMPUTED_VALUE"""),38408.645833333336)</f>
        <v>38408.64583</v>
      </c>
      <c r="C64" s="2">
        <f>IFERROR(__xludf.DUMMYFUNCTION("""COMPUTED_VALUE"""),89.0)</f>
        <v>89</v>
      </c>
    </row>
    <row r="65" ht="15.75" customHeight="1">
      <c r="B65" s="3">
        <f>IFERROR(__xludf.DUMMYFUNCTION("""COMPUTED_VALUE"""),38415.645833333336)</f>
        <v>38415.64583</v>
      </c>
      <c r="C65" s="2">
        <f>IFERROR(__xludf.DUMMYFUNCTION("""COMPUTED_VALUE"""),96.77)</f>
        <v>96.77</v>
      </c>
    </row>
    <row r="66" ht="15.75" customHeight="1">
      <c r="B66" s="3">
        <f>IFERROR(__xludf.DUMMYFUNCTION("""COMPUTED_VALUE"""),38422.645833333336)</f>
        <v>38422.64583</v>
      </c>
      <c r="C66" s="2">
        <f>IFERROR(__xludf.DUMMYFUNCTION("""COMPUTED_VALUE"""),103.99)</f>
        <v>103.99</v>
      </c>
    </row>
    <row r="67" ht="15.75" customHeight="1">
      <c r="B67" s="3">
        <f>IFERROR(__xludf.DUMMYFUNCTION("""COMPUTED_VALUE"""),38429.645833333336)</f>
        <v>38429.64583</v>
      </c>
      <c r="C67" s="2">
        <f>IFERROR(__xludf.DUMMYFUNCTION("""COMPUTED_VALUE"""),99.38)</f>
        <v>99.38</v>
      </c>
    </row>
    <row r="68" ht="15.75" customHeight="1">
      <c r="B68" s="3">
        <f>IFERROR(__xludf.DUMMYFUNCTION("""COMPUTED_VALUE"""),38435.645833333336)</f>
        <v>38435.64583</v>
      </c>
      <c r="C68" s="2">
        <f>IFERROR(__xludf.DUMMYFUNCTION("""COMPUTED_VALUE"""),88.32)</f>
        <v>88.32</v>
      </c>
    </row>
    <row r="69" ht="15.75" customHeight="1">
      <c r="B69" s="3">
        <f>IFERROR(__xludf.DUMMYFUNCTION("""COMPUTED_VALUE"""),38443.645833333336)</f>
        <v>38443.64583</v>
      </c>
      <c r="C69" s="2">
        <f>IFERROR(__xludf.DUMMYFUNCTION("""COMPUTED_VALUE"""),83.3)</f>
        <v>83.3</v>
      </c>
    </row>
    <row r="70" ht="15.75" customHeight="1">
      <c r="B70" s="3">
        <f>IFERROR(__xludf.DUMMYFUNCTION("""COMPUTED_VALUE"""),38450.645833333336)</f>
        <v>38450.64583</v>
      </c>
      <c r="C70" s="2">
        <f>IFERROR(__xludf.DUMMYFUNCTION("""COMPUTED_VALUE"""),81.79)</f>
        <v>81.79</v>
      </c>
    </row>
    <row r="71" ht="15.75" customHeight="1">
      <c r="B71" s="3">
        <f>IFERROR(__xludf.DUMMYFUNCTION("""COMPUTED_VALUE"""),38457.645833333336)</f>
        <v>38457.64583</v>
      </c>
      <c r="C71" s="2">
        <f>IFERROR(__xludf.DUMMYFUNCTION("""COMPUTED_VALUE"""),79.24)</f>
        <v>79.24</v>
      </c>
    </row>
    <row r="72" ht="15.75" customHeight="1">
      <c r="B72" s="3">
        <f>IFERROR(__xludf.DUMMYFUNCTION("""COMPUTED_VALUE"""),38464.645833333336)</f>
        <v>38464.64583</v>
      </c>
      <c r="C72" s="2">
        <f>IFERROR(__xludf.DUMMYFUNCTION("""COMPUTED_VALUE"""),76.6)</f>
        <v>76.6</v>
      </c>
    </row>
    <row r="73" ht="15.75" customHeight="1">
      <c r="B73" s="3">
        <f>IFERROR(__xludf.DUMMYFUNCTION("""COMPUTED_VALUE"""),38471.645833333336)</f>
        <v>38471.64583</v>
      </c>
      <c r="C73" s="2">
        <f>IFERROR(__xludf.DUMMYFUNCTION("""COMPUTED_VALUE"""),76.14)</f>
        <v>76.14</v>
      </c>
    </row>
    <row r="74" ht="15.75" customHeight="1">
      <c r="B74" s="3">
        <f>IFERROR(__xludf.DUMMYFUNCTION("""COMPUTED_VALUE"""),38478.645833333336)</f>
        <v>38478.64583</v>
      </c>
      <c r="C74" s="2">
        <f>IFERROR(__xludf.DUMMYFUNCTION("""COMPUTED_VALUE"""),75.08)</f>
        <v>75.08</v>
      </c>
    </row>
    <row r="75" ht="15.75" customHeight="1">
      <c r="B75" s="3">
        <f>IFERROR(__xludf.DUMMYFUNCTION("""COMPUTED_VALUE"""),38485.645833333336)</f>
        <v>38485.64583</v>
      </c>
      <c r="C75" s="2">
        <f>IFERROR(__xludf.DUMMYFUNCTION("""COMPUTED_VALUE"""),75.84)</f>
        <v>75.84</v>
      </c>
    </row>
    <row r="76" ht="15.75" customHeight="1">
      <c r="B76" s="3">
        <f>IFERROR(__xludf.DUMMYFUNCTION("""COMPUTED_VALUE"""),38492.645833333336)</f>
        <v>38492.64583</v>
      </c>
      <c r="C76" s="2">
        <f>IFERROR(__xludf.DUMMYFUNCTION("""COMPUTED_VALUE"""),78.0)</f>
        <v>78</v>
      </c>
    </row>
    <row r="77" ht="15.75" customHeight="1">
      <c r="B77" s="3">
        <f>IFERROR(__xludf.DUMMYFUNCTION("""COMPUTED_VALUE"""),38499.645833333336)</f>
        <v>38499.64583</v>
      </c>
      <c r="C77" s="2">
        <f>IFERROR(__xludf.DUMMYFUNCTION("""COMPUTED_VALUE"""),78.4)</f>
        <v>78.4</v>
      </c>
    </row>
    <row r="78" ht="15.75" customHeight="1">
      <c r="B78" s="3">
        <f>IFERROR(__xludf.DUMMYFUNCTION("""COMPUTED_VALUE"""),38513.645833333336)</f>
        <v>38513.64583</v>
      </c>
      <c r="C78" s="2">
        <f>IFERROR(__xludf.DUMMYFUNCTION("""COMPUTED_VALUE"""),82.4)</f>
        <v>82.4</v>
      </c>
    </row>
    <row r="79" ht="15.75" customHeight="1">
      <c r="B79" s="3">
        <f>IFERROR(__xludf.DUMMYFUNCTION("""COMPUTED_VALUE"""),38520.645833333336)</f>
        <v>38520.64583</v>
      </c>
      <c r="C79" s="2">
        <f>IFERROR(__xludf.DUMMYFUNCTION("""COMPUTED_VALUE"""),81.47)</f>
        <v>81.47</v>
      </c>
    </row>
    <row r="80" ht="15.75" customHeight="1">
      <c r="B80" s="3">
        <f>IFERROR(__xludf.DUMMYFUNCTION("""COMPUTED_VALUE"""),38527.645833333336)</f>
        <v>38527.64583</v>
      </c>
      <c r="C80" s="2">
        <f>IFERROR(__xludf.DUMMYFUNCTION("""COMPUTED_VALUE"""),79.79)</f>
        <v>79.79</v>
      </c>
    </row>
    <row r="81" ht="15.75" customHeight="1">
      <c r="B81" s="3">
        <f>IFERROR(__xludf.DUMMYFUNCTION("""COMPUTED_VALUE"""),38534.645833333336)</f>
        <v>38534.64583</v>
      </c>
      <c r="C81" s="2">
        <f>IFERROR(__xludf.DUMMYFUNCTION("""COMPUTED_VALUE"""),78.17)</f>
        <v>78.17</v>
      </c>
    </row>
    <row r="82" ht="15.75" customHeight="1">
      <c r="B82" s="3">
        <f>IFERROR(__xludf.DUMMYFUNCTION("""COMPUTED_VALUE"""),38541.645833333336)</f>
        <v>38541.64583</v>
      </c>
      <c r="C82" s="2">
        <f>IFERROR(__xludf.DUMMYFUNCTION("""COMPUTED_VALUE"""),79.94)</f>
        <v>79.94</v>
      </c>
    </row>
    <row r="83" ht="15.75" customHeight="1">
      <c r="B83" s="3">
        <f>IFERROR(__xludf.DUMMYFUNCTION("""COMPUTED_VALUE"""),38548.645833333336)</f>
        <v>38548.64583</v>
      </c>
      <c r="C83" s="2">
        <f>IFERROR(__xludf.DUMMYFUNCTION("""COMPUTED_VALUE"""),81.0)</f>
        <v>81</v>
      </c>
    </row>
    <row r="84" ht="15.75" customHeight="1">
      <c r="B84" s="3">
        <f>IFERROR(__xludf.DUMMYFUNCTION("""COMPUTED_VALUE"""),38555.645833333336)</f>
        <v>38555.64583</v>
      </c>
      <c r="C84" s="2">
        <f>IFERROR(__xludf.DUMMYFUNCTION("""COMPUTED_VALUE"""),82.4)</f>
        <v>82.4</v>
      </c>
    </row>
    <row r="85" ht="15.75" customHeight="1">
      <c r="B85" s="3">
        <f>IFERROR(__xludf.DUMMYFUNCTION("""COMPUTED_VALUE"""),38562.645833333336)</f>
        <v>38562.64583</v>
      </c>
      <c r="C85" s="2">
        <f>IFERROR(__xludf.DUMMYFUNCTION("""COMPUTED_VALUE"""),87.28)</f>
        <v>87.28</v>
      </c>
    </row>
    <row r="86" ht="15.75" customHeight="1">
      <c r="B86" s="3">
        <f>IFERROR(__xludf.DUMMYFUNCTION("""COMPUTED_VALUE"""),38569.645833333336)</f>
        <v>38569.64583</v>
      </c>
      <c r="C86" s="2">
        <f>IFERROR(__xludf.DUMMYFUNCTION("""COMPUTED_VALUE"""),88.58)</f>
        <v>88.58</v>
      </c>
    </row>
    <row r="87" ht="15.75" customHeight="1">
      <c r="B87" s="3">
        <f>IFERROR(__xludf.DUMMYFUNCTION("""COMPUTED_VALUE"""),38576.645833333336)</f>
        <v>38576.64583</v>
      </c>
      <c r="C87" s="2">
        <f>IFERROR(__xludf.DUMMYFUNCTION("""COMPUTED_VALUE"""),86.0)</f>
        <v>86</v>
      </c>
    </row>
    <row r="88" ht="15.75" customHeight="1">
      <c r="B88" s="3">
        <f>IFERROR(__xludf.DUMMYFUNCTION("""COMPUTED_VALUE"""),38583.645833333336)</f>
        <v>38583.64583</v>
      </c>
      <c r="C88" s="2">
        <f>IFERROR(__xludf.DUMMYFUNCTION("""COMPUTED_VALUE"""),98.0)</f>
        <v>98</v>
      </c>
    </row>
    <row r="89" ht="15.75" customHeight="1">
      <c r="B89" s="3">
        <f>IFERROR(__xludf.DUMMYFUNCTION("""COMPUTED_VALUE"""),38590.645833333336)</f>
        <v>38590.64583</v>
      </c>
      <c r="C89" s="2">
        <f>IFERROR(__xludf.DUMMYFUNCTION("""COMPUTED_VALUE"""),83.0)</f>
        <v>83</v>
      </c>
    </row>
    <row r="90" ht="15.75" customHeight="1">
      <c r="B90" s="3">
        <f>IFERROR(__xludf.DUMMYFUNCTION("""COMPUTED_VALUE"""),38597.645833333336)</f>
        <v>38597.64583</v>
      </c>
      <c r="C90" s="2">
        <f>IFERROR(__xludf.DUMMYFUNCTION("""COMPUTED_VALUE"""),81.59)</f>
        <v>81.59</v>
      </c>
    </row>
    <row r="91" ht="15.75" customHeight="1">
      <c r="B91" s="3">
        <f>IFERROR(__xludf.DUMMYFUNCTION("""COMPUTED_VALUE"""),38604.645833333336)</f>
        <v>38604.64583</v>
      </c>
      <c r="C91" s="2">
        <f>IFERROR(__xludf.DUMMYFUNCTION("""COMPUTED_VALUE"""),86.4)</f>
        <v>86.4</v>
      </c>
    </row>
    <row r="92" ht="15.75" customHeight="1">
      <c r="B92" s="3">
        <f>IFERROR(__xludf.DUMMYFUNCTION("""COMPUTED_VALUE"""),38611.645833333336)</f>
        <v>38611.64583</v>
      </c>
      <c r="C92" s="2">
        <f>IFERROR(__xludf.DUMMYFUNCTION("""COMPUTED_VALUE"""),87.98)</f>
        <v>87.98</v>
      </c>
    </row>
    <row r="93" ht="15.75" customHeight="1">
      <c r="B93" s="3">
        <f>IFERROR(__xludf.DUMMYFUNCTION("""COMPUTED_VALUE"""),38618.645833333336)</f>
        <v>38618.64583</v>
      </c>
      <c r="C93" s="2">
        <f>IFERROR(__xludf.DUMMYFUNCTION("""COMPUTED_VALUE"""),89.8)</f>
        <v>89.8</v>
      </c>
    </row>
    <row r="94" ht="15.75" customHeight="1">
      <c r="B94" s="3">
        <f>IFERROR(__xludf.DUMMYFUNCTION("""COMPUTED_VALUE"""),38625.645833333336)</f>
        <v>38625.64583</v>
      </c>
      <c r="C94" s="2">
        <f>IFERROR(__xludf.DUMMYFUNCTION("""COMPUTED_VALUE"""),90.58)</f>
        <v>90.58</v>
      </c>
    </row>
    <row r="95" ht="15.75" customHeight="1">
      <c r="B95" s="3">
        <f>IFERROR(__xludf.DUMMYFUNCTION("""COMPUTED_VALUE"""),38632.645833333336)</f>
        <v>38632.64583</v>
      </c>
      <c r="C95" s="2">
        <f>IFERROR(__xludf.DUMMYFUNCTION("""COMPUTED_VALUE"""),92.07)</f>
        <v>92.07</v>
      </c>
    </row>
    <row r="96" ht="15.75" customHeight="1">
      <c r="B96" s="3">
        <f>IFERROR(__xludf.DUMMYFUNCTION("""COMPUTED_VALUE"""),38639.645833333336)</f>
        <v>38639.64583</v>
      </c>
      <c r="C96" s="2">
        <f>IFERROR(__xludf.DUMMYFUNCTION("""COMPUTED_VALUE"""),91.6)</f>
        <v>91.6</v>
      </c>
    </row>
    <row r="97" ht="15.75" customHeight="1">
      <c r="B97" s="3">
        <f>IFERROR(__xludf.DUMMYFUNCTION("""COMPUTED_VALUE"""),38646.645833333336)</f>
        <v>38646.64583</v>
      </c>
      <c r="C97" s="2">
        <f>IFERROR(__xludf.DUMMYFUNCTION("""COMPUTED_VALUE"""),87.56)</f>
        <v>87.56</v>
      </c>
    </row>
    <row r="98" ht="15.75" customHeight="1">
      <c r="B98" s="3">
        <f>IFERROR(__xludf.DUMMYFUNCTION("""COMPUTED_VALUE"""),38653.645833333336)</f>
        <v>38653.64583</v>
      </c>
      <c r="C98" s="2">
        <f>IFERROR(__xludf.DUMMYFUNCTION("""COMPUTED_VALUE"""),81.05)</f>
        <v>81.05</v>
      </c>
    </row>
    <row r="99" ht="15.75" customHeight="1">
      <c r="B99" s="3">
        <f>IFERROR(__xludf.DUMMYFUNCTION("""COMPUTED_VALUE"""),38658.645833333336)</f>
        <v>38658.64583</v>
      </c>
      <c r="C99" s="2">
        <f>IFERROR(__xludf.DUMMYFUNCTION("""COMPUTED_VALUE"""),83.4)</f>
        <v>83.4</v>
      </c>
    </row>
    <row r="100" ht="15.75" customHeight="1">
      <c r="B100" s="3">
        <f>IFERROR(__xludf.DUMMYFUNCTION("""COMPUTED_VALUE"""),38667.645833333336)</f>
        <v>38667.64583</v>
      </c>
      <c r="C100" s="2">
        <f>IFERROR(__xludf.DUMMYFUNCTION("""COMPUTED_VALUE"""),85.0)</f>
        <v>85</v>
      </c>
    </row>
    <row r="101" ht="15.75" customHeight="1">
      <c r="B101" s="3">
        <f>IFERROR(__xludf.DUMMYFUNCTION("""COMPUTED_VALUE"""),38674.645833333336)</f>
        <v>38674.64583</v>
      </c>
      <c r="C101" s="2">
        <f>IFERROR(__xludf.DUMMYFUNCTION("""COMPUTED_VALUE"""),88.96)</f>
        <v>88.96</v>
      </c>
    </row>
    <row r="102" ht="15.75" customHeight="1">
      <c r="B102" s="3">
        <f>IFERROR(__xludf.DUMMYFUNCTION("""COMPUTED_VALUE"""),38688.645833333336)</f>
        <v>38688.64583</v>
      </c>
      <c r="C102" s="2">
        <f>IFERROR(__xludf.DUMMYFUNCTION("""COMPUTED_VALUE"""),90.1)</f>
        <v>90.1</v>
      </c>
    </row>
    <row r="103" ht="15.75" customHeight="1">
      <c r="B103" s="3">
        <f>IFERROR(__xludf.DUMMYFUNCTION("""COMPUTED_VALUE"""),38695.645833333336)</f>
        <v>38695.64583</v>
      </c>
      <c r="C103" s="2">
        <f>IFERROR(__xludf.DUMMYFUNCTION("""COMPUTED_VALUE"""),87.0)</f>
        <v>87</v>
      </c>
    </row>
    <row r="104" ht="15.75" customHeight="1">
      <c r="B104" s="3">
        <f>IFERROR(__xludf.DUMMYFUNCTION("""COMPUTED_VALUE"""),38702.645833333336)</f>
        <v>38702.64583</v>
      </c>
      <c r="C104" s="2">
        <f>IFERROR(__xludf.DUMMYFUNCTION("""COMPUTED_VALUE"""),94.98)</f>
        <v>94.98</v>
      </c>
    </row>
    <row r="105" ht="15.75" customHeight="1">
      <c r="B105" s="3">
        <f>IFERROR(__xludf.DUMMYFUNCTION("""COMPUTED_VALUE"""),38709.645833333336)</f>
        <v>38709.64583</v>
      </c>
      <c r="C105" s="2">
        <f>IFERROR(__xludf.DUMMYFUNCTION("""COMPUTED_VALUE"""),94.78)</f>
        <v>94.78</v>
      </c>
    </row>
    <row r="106" ht="15.75" customHeight="1">
      <c r="B106" s="3">
        <f>IFERROR(__xludf.DUMMYFUNCTION("""COMPUTED_VALUE"""),38716.645833333336)</f>
        <v>38716.64583</v>
      </c>
      <c r="C106" s="2">
        <f>IFERROR(__xludf.DUMMYFUNCTION("""COMPUTED_VALUE"""),93.74)</f>
        <v>93.74</v>
      </c>
    </row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IFERROR(__xludf.DUMMYFUNCTION("GOOGLEFINANCE(""NSE:PNB"", ""high"",DATE(2006,1,1),DATE(2007,1,1),""weekly"")"),"Date")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IFERROR(__xludf.DUMMYFUNCTION("""COMPUTED_VALUE"""),38723.645833333336)</f>
        <v>38723.64583</v>
      </c>
      <c r="C112" s="2">
        <f>IFERROR(__xludf.DUMMYFUNCTION("""COMPUTED_VALUE"""),99.09)</f>
        <v>99.09</v>
      </c>
    </row>
    <row r="113" ht="15.75" customHeight="1">
      <c r="B113" s="3">
        <f>IFERROR(__xludf.DUMMYFUNCTION("""COMPUTED_VALUE"""),38730.645833333336)</f>
        <v>38730.64583</v>
      </c>
      <c r="C113" s="2">
        <f>IFERROR(__xludf.DUMMYFUNCTION("""COMPUTED_VALUE"""),99.02)</f>
        <v>99.02</v>
      </c>
    </row>
    <row r="114" ht="15.75" customHeight="1">
      <c r="B114" s="3">
        <f>IFERROR(__xludf.DUMMYFUNCTION("""COMPUTED_VALUE"""),38737.645833333336)</f>
        <v>38737.64583</v>
      </c>
      <c r="C114" s="2">
        <f>IFERROR(__xludf.DUMMYFUNCTION("""COMPUTED_VALUE"""),94.6)</f>
        <v>94.6</v>
      </c>
    </row>
    <row r="115" ht="15.75" customHeight="1">
      <c r="B115" s="3">
        <f>IFERROR(__xludf.DUMMYFUNCTION("""COMPUTED_VALUE"""),38744.645833333336)</f>
        <v>38744.64583</v>
      </c>
      <c r="C115" s="2">
        <f>IFERROR(__xludf.DUMMYFUNCTION("""COMPUTED_VALUE"""),93.6)</f>
        <v>93.6</v>
      </c>
    </row>
    <row r="116" ht="15.75" customHeight="1">
      <c r="B116" s="3">
        <f>IFERROR(__xludf.DUMMYFUNCTION("""COMPUTED_VALUE"""),38751.645833333336)</f>
        <v>38751.64583</v>
      </c>
      <c r="C116" s="2">
        <f>IFERROR(__xludf.DUMMYFUNCTION("""COMPUTED_VALUE"""),94.2)</f>
        <v>94.2</v>
      </c>
    </row>
    <row r="117" ht="15.75" customHeight="1">
      <c r="B117" s="3">
        <f>IFERROR(__xludf.DUMMYFUNCTION("""COMPUTED_VALUE"""),38758.645833333336)</f>
        <v>38758.64583</v>
      </c>
      <c r="C117" s="2">
        <f>IFERROR(__xludf.DUMMYFUNCTION("""COMPUTED_VALUE"""),90.78)</f>
        <v>90.78</v>
      </c>
    </row>
    <row r="118" ht="15.75" customHeight="1">
      <c r="B118" s="3">
        <f>IFERROR(__xludf.DUMMYFUNCTION("""COMPUTED_VALUE"""),38765.645833333336)</f>
        <v>38765.64583</v>
      </c>
      <c r="C118" s="2">
        <f>IFERROR(__xludf.DUMMYFUNCTION("""COMPUTED_VALUE"""),91.68)</f>
        <v>91.68</v>
      </c>
    </row>
    <row r="119" ht="15.75" customHeight="1">
      <c r="B119" s="3">
        <f>IFERROR(__xludf.DUMMYFUNCTION("""COMPUTED_VALUE"""),38772.645833333336)</f>
        <v>38772.64583</v>
      </c>
      <c r="C119" s="2">
        <f>IFERROR(__xludf.DUMMYFUNCTION("""COMPUTED_VALUE"""),88.93)</f>
        <v>88.93</v>
      </c>
    </row>
    <row r="120" ht="15.75" customHeight="1">
      <c r="B120" s="3">
        <f>IFERROR(__xludf.DUMMYFUNCTION("""COMPUTED_VALUE"""),38779.645833333336)</f>
        <v>38779.64583</v>
      </c>
      <c r="C120" s="2">
        <f>IFERROR(__xludf.DUMMYFUNCTION("""COMPUTED_VALUE"""),91.6)</f>
        <v>91.6</v>
      </c>
    </row>
    <row r="121" ht="15.75" customHeight="1">
      <c r="B121" s="3">
        <f>IFERROR(__xludf.DUMMYFUNCTION("""COMPUTED_VALUE"""),38786.645833333336)</f>
        <v>38786.64583</v>
      </c>
      <c r="C121" s="2">
        <f>IFERROR(__xludf.DUMMYFUNCTION("""COMPUTED_VALUE"""),93.08)</f>
        <v>93.08</v>
      </c>
    </row>
    <row r="122" ht="15.75" customHeight="1">
      <c r="B122" s="3">
        <f>IFERROR(__xludf.DUMMYFUNCTION("""COMPUTED_VALUE"""),38793.645833333336)</f>
        <v>38793.64583</v>
      </c>
      <c r="C122" s="2">
        <f>IFERROR(__xludf.DUMMYFUNCTION("""COMPUTED_VALUE"""),95.13)</f>
        <v>95.13</v>
      </c>
    </row>
    <row r="123" ht="15.75" customHeight="1">
      <c r="B123" s="3">
        <f>IFERROR(__xludf.DUMMYFUNCTION("""COMPUTED_VALUE"""),38800.645833333336)</f>
        <v>38800.64583</v>
      </c>
      <c r="C123" s="2">
        <f>IFERROR(__xludf.DUMMYFUNCTION("""COMPUTED_VALUE"""),94.88)</f>
        <v>94.88</v>
      </c>
    </row>
    <row r="124" ht="15.75" customHeight="1">
      <c r="B124" s="3">
        <f>IFERROR(__xludf.DUMMYFUNCTION("""COMPUTED_VALUE"""),38807.645833333336)</f>
        <v>38807.64583</v>
      </c>
      <c r="C124" s="2">
        <f>IFERROR(__xludf.DUMMYFUNCTION("""COMPUTED_VALUE"""),97.96)</f>
        <v>97.96</v>
      </c>
    </row>
    <row r="125" ht="15.75" customHeight="1">
      <c r="B125" s="3">
        <f>IFERROR(__xludf.DUMMYFUNCTION("""COMPUTED_VALUE"""),38814.645833333336)</f>
        <v>38814.64583</v>
      </c>
      <c r="C125" s="2">
        <f>IFERROR(__xludf.DUMMYFUNCTION("""COMPUTED_VALUE"""),95.28)</f>
        <v>95.28</v>
      </c>
    </row>
    <row r="126" ht="15.75" customHeight="1">
      <c r="B126" s="3">
        <f>IFERROR(__xludf.DUMMYFUNCTION("""COMPUTED_VALUE"""),38820.645833333336)</f>
        <v>38820.64583</v>
      </c>
      <c r="C126" s="2">
        <f>IFERROR(__xludf.DUMMYFUNCTION("""COMPUTED_VALUE"""),92.95)</f>
        <v>92.95</v>
      </c>
    </row>
    <row r="127" ht="15.75" customHeight="1">
      <c r="B127" s="3">
        <f>IFERROR(__xludf.DUMMYFUNCTION("""COMPUTED_VALUE"""),38828.645833333336)</f>
        <v>38828.64583</v>
      </c>
      <c r="C127" s="2">
        <f>IFERROR(__xludf.DUMMYFUNCTION("""COMPUTED_VALUE"""),90.98)</f>
        <v>90.98</v>
      </c>
    </row>
    <row r="128" ht="15.75" customHeight="1">
      <c r="B128" s="3">
        <f>IFERROR(__xludf.DUMMYFUNCTION("""COMPUTED_VALUE"""),38842.645833333336)</f>
        <v>38842.64583</v>
      </c>
      <c r="C128" s="2">
        <f>IFERROR(__xludf.DUMMYFUNCTION("""COMPUTED_VALUE"""),95.18)</f>
        <v>95.18</v>
      </c>
    </row>
    <row r="129" ht="15.75" customHeight="1">
      <c r="B129" s="3">
        <f>IFERROR(__xludf.DUMMYFUNCTION("""COMPUTED_VALUE"""),38849.645833333336)</f>
        <v>38849.64583</v>
      </c>
      <c r="C129" s="2">
        <f>IFERROR(__xludf.DUMMYFUNCTION("""COMPUTED_VALUE"""),98.66)</f>
        <v>98.66</v>
      </c>
    </row>
    <row r="130" ht="15.75" customHeight="1">
      <c r="B130" s="3">
        <f>IFERROR(__xludf.DUMMYFUNCTION("""COMPUTED_VALUE"""),38856.645833333336)</f>
        <v>38856.64583</v>
      </c>
      <c r="C130" s="2">
        <f>IFERROR(__xludf.DUMMYFUNCTION("""COMPUTED_VALUE"""),98.6)</f>
        <v>98.6</v>
      </c>
    </row>
    <row r="131" ht="15.75" customHeight="1">
      <c r="B131" s="3">
        <f>IFERROR(__xludf.DUMMYFUNCTION("""COMPUTED_VALUE"""),38863.645833333336)</f>
        <v>38863.64583</v>
      </c>
      <c r="C131" s="2">
        <f>IFERROR(__xludf.DUMMYFUNCTION("""COMPUTED_VALUE"""),89.4)</f>
        <v>89.4</v>
      </c>
    </row>
    <row r="132" ht="15.75" customHeight="1">
      <c r="B132" s="3">
        <f>IFERROR(__xludf.DUMMYFUNCTION("""COMPUTED_VALUE"""),38870.645833333336)</f>
        <v>38870.64583</v>
      </c>
      <c r="C132" s="2">
        <f>IFERROR(__xludf.DUMMYFUNCTION("""COMPUTED_VALUE"""),87.38)</f>
        <v>87.38</v>
      </c>
    </row>
    <row r="133" ht="15.75" customHeight="1">
      <c r="B133" s="3">
        <f>IFERROR(__xludf.DUMMYFUNCTION("""COMPUTED_VALUE"""),38877.645833333336)</f>
        <v>38877.64583</v>
      </c>
      <c r="C133" s="2">
        <f>IFERROR(__xludf.DUMMYFUNCTION("""COMPUTED_VALUE"""),83.0)</f>
        <v>83</v>
      </c>
    </row>
    <row r="134" ht="15.75" customHeight="1">
      <c r="B134" s="3">
        <f>IFERROR(__xludf.DUMMYFUNCTION("""COMPUTED_VALUE"""),38884.645833333336)</f>
        <v>38884.64583</v>
      </c>
      <c r="C134" s="2">
        <f>IFERROR(__xludf.DUMMYFUNCTION("""COMPUTED_VALUE"""),72.8)</f>
        <v>72.8</v>
      </c>
    </row>
    <row r="135" ht="15.75" customHeight="1">
      <c r="B135" s="3">
        <f>IFERROR(__xludf.DUMMYFUNCTION("""COMPUTED_VALUE"""),38891.645833333336)</f>
        <v>38891.64583</v>
      </c>
      <c r="C135" s="2">
        <f>IFERROR(__xludf.DUMMYFUNCTION("""COMPUTED_VALUE"""),67.8)</f>
        <v>67.8</v>
      </c>
    </row>
    <row r="136" ht="15.75" customHeight="1">
      <c r="B136" s="3">
        <f>IFERROR(__xludf.DUMMYFUNCTION("""COMPUTED_VALUE"""),38898.645833333336)</f>
        <v>38898.64583</v>
      </c>
      <c r="C136" s="2">
        <f>IFERROR(__xludf.DUMMYFUNCTION("""COMPUTED_VALUE"""),66.0)</f>
        <v>66</v>
      </c>
    </row>
    <row r="137" ht="15.75" customHeight="1">
      <c r="B137" s="3">
        <f>IFERROR(__xludf.DUMMYFUNCTION("""COMPUTED_VALUE"""),38905.645833333336)</f>
        <v>38905.64583</v>
      </c>
      <c r="C137" s="2">
        <f>IFERROR(__xludf.DUMMYFUNCTION("""COMPUTED_VALUE"""),69.38)</f>
        <v>69.38</v>
      </c>
    </row>
    <row r="138" ht="15.75" customHeight="1">
      <c r="B138" s="3">
        <f>IFERROR(__xludf.DUMMYFUNCTION("""COMPUTED_VALUE"""),38912.645833333336)</f>
        <v>38912.64583</v>
      </c>
      <c r="C138" s="2">
        <f>IFERROR(__xludf.DUMMYFUNCTION("""COMPUTED_VALUE"""),67.2)</f>
        <v>67.2</v>
      </c>
    </row>
    <row r="139" ht="15.75" customHeight="1">
      <c r="B139" s="3">
        <f>IFERROR(__xludf.DUMMYFUNCTION("""COMPUTED_VALUE"""),38919.645833333336)</f>
        <v>38919.64583</v>
      </c>
      <c r="C139" s="2">
        <f>IFERROR(__xludf.DUMMYFUNCTION("""COMPUTED_VALUE"""),65.2)</f>
        <v>65.2</v>
      </c>
    </row>
    <row r="140" ht="15.75" customHeight="1">
      <c r="B140" s="3">
        <f>IFERROR(__xludf.DUMMYFUNCTION("""COMPUTED_VALUE"""),38926.645833333336)</f>
        <v>38926.64583</v>
      </c>
      <c r="C140" s="2">
        <f>IFERROR(__xludf.DUMMYFUNCTION("""COMPUTED_VALUE"""),77.0)</f>
        <v>77</v>
      </c>
    </row>
    <row r="141" ht="15.75" customHeight="1">
      <c r="B141" s="3">
        <f>IFERROR(__xludf.DUMMYFUNCTION("""COMPUTED_VALUE"""),38933.645833333336)</f>
        <v>38933.64583</v>
      </c>
      <c r="C141" s="2">
        <f>IFERROR(__xludf.DUMMYFUNCTION("""COMPUTED_VALUE"""),78.88)</f>
        <v>78.88</v>
      </c>
    </row>
    <row r="142" ht="15.75" customHeight="1">
      <c r="B142" s="3">
        <f>IFERROR(__xludf.DUMMYFUNCTION("""COMPUTED_VALUE"""),38940.645833333336)</f>
        <v>38940.64583</v>
      </c>
      <c r="C142" s="2">
        <f>IFERROR(__xludf.DUMMYFUNCTION("""COMPUTED_VALUE"""),85.38)</f>
        <v>85.38</v>
      </c>
    </row>
    <row r="143" ht="15.75" customHeight="1">
      <c r="B143" s="3">
        <f>IFERROR(__xludf.DUMMYFUNCTION("""COMPUTED_VALUE"""),38947.645833333336)</f>
        <v>38947.64583</v>
      </c>
      <c r="C143" s="2">
        <f>IFERROR(__xludf.DUMMYFUNCTION("""COMPUTED_VALUE"""),87.0)</f>
        <v>87</v>
      </c>
    </row>
    <row r="144" ht="15.75" customHeight="1">
      <c r="B144" s="3">
        <f>IFERROR(__xludf.DUMMYFUNCTION("""COMPUTED_VALUE"""),38954.645833333336)</f>
        <v>38954.64583</v>
      </c>
      <c r="C144" s="2">
        <f>IFERROR(__xludf.DUMMYFUNCTION("""COMPUTED_VALUE"""),91.29)</f>
        <v>91.29</v>
      </c>
    </row>
    <row r="145" ht="15.75" customHeight="1">
      <c r="B145" s="3">
        <f>IFERROR(__xludf.DUMMYFUNCTION("""COMPUTED_VALUE"""),38961.645833333336)</f>
        <v>38961.64583</v>
      </c>
      <c r="C145" s="2">
        <f>IFERROR(__xludf.DUMMYFUNCTION("""COMPUTED_VALUE"""),96.66)</f>
        <v>96.66</v>
      </c>
    </row>
    <row r="146" ht="15.75" customHeight="1">
      <c r="B146" s="3">
        <f>IFERROR(__xludf.DUMMYFUNCTION("""COMPUTED_VALUE"""),38968.645833333336)</f>
        <v>38968.64583</v>
      </c>
      <c r="C146" s="2">
        <f>IFERROR(__xludf.DUMMYFUNCTION("""COMPUTED_VALUE"""),96.0)</f>
        <v>96</v>
      </c>
    </row>
    <row r="147" ht="15.75" customHeight="1">
      <c r="B147" s="3">
        <f>IFERROR(__xludf.DUMMYFUNCTION("""COMPUTED_VALUE"""),38975.645833333336)</f>
        <v>38975.64583</v>
      </c>
      <c r="C147" s="2">
        <f>IFERROR(__xludf.DUMMYFUNCTION("""COMPUTED_VALUE"""),100.0)</f>
        <v>100</v>
      </c>
    </row>
    <row r="148" ht="15.75" customHeight="1">
      <c r="B148" s="3">
        <f>IFERROR(__xludf.DUMMYFUNCTION("""COMPUTED_VALUE"""),38982.645833333336)</f>
        <v>38982.64583</v>
      </c>
      <c r="C148" s="2">
        <f>IFERROR(__xludf.DUMMYFUNCTION("""COMPUTED_VALUE"""),101.94)</f>
        <v>101.94</v>
      </c>
    </row>
    <row r="149" ht="15.75" customHeight="1">
      <c r="B149" s="3">
        <f>IFERROR(__xludf.DUMMYFUNCTION("""COMPUTED_VALUE"""),38989.645833333336)</f>
        <v>38989.64583</v>
      </c>
      <c r="C149" s="2">
        <f>IFERROR(__xludf.DUMMYFUNCTION("""COMPUTED_VALUE"""),106.6)</f>
        <v>106.6</v>
      </c>
    </row>
    <row r="150" ht="15.75" customHeight="1">
      <c r="B150" s="3">
        <f>IFERROR(__xludf.DUMMYFUNCTION("""COMPUTED_VALUE"""),38996.645833333336)</f>
        <v>38996.64583</v>
      </c>
      <c r="C150" s="2">
        <f>IFERROR(__xludf.DUMMYFUNCTION("""COMPUTED_VALUE"""),108.78)</f>
        <v>108.78</v>
      </c>
    </row>
    <row r="151" ht="15.75" customHeight="1">
      <c r="B151" s="3">
        <f>IFERROR(__xludf.DUMMYFUNCTION("""COMPUTED_VALUE"""),39003.645833333336)</f>
        <v>39003.64583</v>
      </c>
      <c r="C151" s="2">
        <f>IFERROR(__xludf.DUMMYFUNCTION("""COMPUTED_VALUE"""),108.98)</f>
        <v>108.98</v>
      </c>
    </row>
    <row r="152" ht="15.75" customHeight="1">
      <c r="B152" s="3">
        <f>IFERROR(__xludf.DUMMYFUNCTION("""COMPUTED_VALUE"""),39017.645833333336)</f>
        <v>39017.64583</v>
      </c>
      <c r="C152" s="2">
        <f>IFERROR(__xludf.DUMMYFUNCTION("""COMPUTED_VALUE"""),105.4)</f>
        <v>105.4</v>
      </c>
    </row>
    <row r="153" ht="15.75" customHeight="1">
      <c r="B153" s="3">
        <f>IFERROR(__xludf.DUMMYFUNCTION("""COMPUTED_VALUE"""),39024.645833333336)</f>
        <v>39024.64583</v>
      </c>
      <c r="C153" s="2">
        <f>IFERROR(__xludf.DUMMYFUNCTION("""COMPUTED_VALUE"""),107.18)</f>
        <v>107.18</v>
      </c>
    </row>
    <row r="154" ht="15.75" customHeight="1">
      <c r="B154" s="3">
        <f>IFERROR(__xludf.DUMMYFUNCTION("""COMPUTED_VALUE"""),39031.645833333336)</f>
        <v>39031.64583</v>
      </c>
      <c r="C154" s="2">
        <f>IFERROR(__xludf.DUMMYFUNCTION("""COMPUTED_VALUE"""),104.93)</f>
        <v>104.93</v>
      </c>
    </row>
    <row r="155" ht="15.75" customHeight="1">
      <c r="B155" s="3">
        <f>IFERROR(__xludf.DUMMYFUNCTION("""COMPUTED_VALUE"""),39038.645833333336)</f>
        <v>39038.64583</v>
      </c>
      <c r="C155" s="2">
        <f>IFERROR(__xludf.DUMMYFUNCTION("""COMPUTED_VALUE"""),113.16)</f>
        <v>113.16</v>
      </c>
    </row>
    <row r="156" ht="15.75" customHeight="1">
      <c r="B156" s="3">
        <f>IFERROR(__xludf.DUMMYFUNCTION("""COMPUTED_VALUE"""),39045.645833333336)</f>
        <v>39045.64583</v>
      </c>
      <c r="C156" s="2">
        <f>IFERROR(__xludf.DUMMYFUNCTION("""COMPUTED_VALUE"""),110.65)</f>
        <v>110.65</v>
      </c>
    </row>
    <row r="157" ht="15.75" customHeight="1">
      <c r="B157" s="3">
        <f>IFERROR(__xludf.DUMMYFUNCTION("""COMPUTED_VALUE"""),39052.645833333336)</f>
        <v>39052.64583</v>
      </c>
      <c r="C157" s="2">
        <f>IFERROR(__xludf.DUMMYFUNCTION("""COMPUTED_VALUE"""),111.8)</f>
        <v>111.8</v>
      </c>
    </row>
    <row r="158" ht="15.75" customHeight="1">
      <c r="B158" s="3">
        <f>IFERROR(__xludf.DUMMYFUNCTION("""COMPUTED_VALUE"""),39059.645833333336)</f>
        <v>39059.64583</v>
      </c>
      <c r="C158" s="2">
        <f>IFERROR(__xludf.DUMMYFUNCTION("""COMPUTED_VALUE"""),116.44)</f>
        <v>116.44</v>
      </c>
    </row>
    <row r="159" ht="15.75" customHeight="1">
      <c r="B159" s="3">
        <f>IFERROR(__xludf.DUMMYFUNCTION("""COMPUTED_VALUE"""),39066.645833333336)</f>
        <v>39066.64583</v>
      </c>
      <c r="C159" s="2">
        <f>IFERROR(__xludf.DUMMYFUNCTION("""COMPUTED_VALUE"""),111.2)</f>
        <v>111.2</v>
      </c>
    </row>
    <row r="160" ht="15.75" customHeight="1">
      <c r="B160" s="3">
        <f>IFERROR(__xludf.DUMMYFUNCTION("""COMPUTED_VALUE"""),39073.645833333336)</f>
        <v>39073.64583</v>
      </c>
      <c r="C160" s="2">
        <f>IFERROR(__xludf.DUMMYFUNCTION("""COMPUTED_VALUE"""),104.0)</f>
        <v>104</v>
      </c>
    </row>
    <row r="161" ht="15.75" customHeight="1">
      <c r="B161" s="3">
        <f>IFERROR(__xludf.DUMMYFUNCTION("""COMPUTED_VALUE"""),39080.645833333336)</f>
        <v>39080.64583</v>
      </c>
      <c r="C161" s="2">
        <f>IFERROR(__xludf.DUMMYFUNCTION("""COMPUTED_VALUE"""),104.8)</f>
        <v>104.8</v>
      </c>
    </row>
    <row r="162" ht="15.75" customHeight="1"/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IFERROR(__xludf.DUMMYFUNCTION("GOOGLEFINANCE(""NSE:PNB"", ""high"",DATE(2007,1,1),DATE(2008,1,1),""weekly"")"),"Date")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IFERROR(__xludf.DUMMYFUNCTION("""COMPUTED_VALUE"""),39087.645833333336)</f>
        <v>39087.64583</v>
      </c>
      <c r="C167" s="2">
        <f>IFERROR(__xludf.DUMMYFUNCTION("""COMPUTED_VALUE"""),104.69)</f>
        <v>104.69</v>
      </c>
    </row>
    <row r="168" ht="15.75" customHeight="1">
      <c r="B168" s="3">
        <f>IFERROR(__xludf.DUMMYFUNCTION("""COMPUTED_VALUE"""),39094.645833333336)</f>
        <v>39094.64583</v>
      </c>
      <c r="C168" s="2">
        <f>IFERROR(__xludf.DUMMYFUNCTION("""COMPUTED_VALUE"""),103.79)</f>
        <v>103.79</v>
      </c>
    </row>
    <row r="169" ht="15.75" customHeight="1">
      <c r="B169" s="3">
        <f>IFERROR(__xludf.DUMMYFUNCTION("""COMPUTED_VALUE"""),39101.645833333336)</f>
        <v>39101.64583</v>
      </c>
      <c r="C169" s="2">
        <f>IFERROR(__xludf.DUMMYFUNCTION("""COMPUTED_VALUE"""),108.96)</f>
        <v>108.96</v>
      </c>
    </row>
    <row r="170" ht="15.75" customHeight="1">
      <c r="B170" s="3">
        <f>IFERROR(__xludf.DUMMYFUNCTION("""COMPUTED_VALUE"""),39107.645833333336)</f>
        <v>39107.64583</v>
      </c>
      <c r="C170" s="2">
        <f>IFERROR(__xludf.DUMMYFUNCTION("""COMPUTED_VALUE"""),106.0)</f>
        <v>106</v>
      </c>
    </row>
    <row r="171" ht="15.75" customHeight="1">
      <c r="B171" s="3">
        <f>IFERROR(__xludf.DUMMYFUNCTION("""COMPUTED_VALUE"""),39115.645833333336)</f>
        <v>39115.64583</v>
      </c>
      <c r="C171" s="2">
        <f>IFERROR(__xludf.DUMMYFUNCTION("""COMPUTED_VALUE"""),106.99)</f>
        <v>106.99</v>
      </c>
    </row>
    <row r="172" ht="15.75" customHeight="1">
      <c r="B172" s="3">
        <f>IFERROR(__xludf.DUMMYFUNCTION("""COMPUTED_VALUE"""),39122.645833333336)</f>
        <v>39122.64583</v>
      </c>
      <c r="C172" s="2">
        <f>IFERROR(__xludf.DUMMYFUNCTION("""COMPUTED_VALUE"""),105.99)</f>
        <v>105.99</v>
      </c>
    </row>
    <row r="173" ht="15.75" customHeight="1">
      <c r="B173" s="3">
        <f>IFERROR(__xludf.DUMMYFUNCTION("""COMPUTED_VALUE"""),39128.645833333336)</f>
        <v>39128.64583</v>
      </c>
      <c r="C173" s="2">
        <f>IFERROR(__xludf.DUMMYFUNCTION("""COMPUTED_VALUE"""),102.0)</f>
        <v>102</v>
      </c>
    </row>
    <row r="174" ht="15.75" customHeight="1">
      <c r="B174" s="3">
        <f>IFERROR(__xludf.DUMMYFUNCTION("""COMPUTED_VALUE"""),39136.645833333336)</f>
        <v>39136.64583</v>
      </c>
      <c r="C174" s="2">
        <f>IFERROR(__xludf.DUMMYFUNCTION("""COMPUTED_VALUE"""),94.8)</f>
        <v>94.8</v>
      </c>
    </row>
    <row r="175" ht="15.75" customHeight="1">
      <c r="B175" s="3">
        <f>IFERROR(__xludf.DUMMYFUNCTION("""COMPUTED_VALUE"""),39143.645833333336)</f>
        <v>39143.64583</v>
      </c>
      <c r="C175" s="2">
        <f>IFERROR(__xludf.DUMMYFUNCTION("""COMPUTED_VALUE"""),93.4)</f>
        <v>93.4</v>
      </c>
    </row>
    <row r="176" ht="15.75" customHeight="1">
      <c r="B176" s="3">
        <f>IFERROR(__xludf.DUMMYFUNCTION("""COMPUTED_VALUE"""),39150.645833333336)</f>
        <v>39150.64583</v>
      </c>
      <c r="C176" s="2">
        <f>IFERROR(__xludf.DUMMYFUNCTION("""COMPUTED_VALUE"""),88.38)</f>
        <v>88.38</v>
      </c>
    </row>
    <row r="177" ht="15.75" customHeight="1">
      <c r="B177" s="3">
        <f>IFERROR(__xludf.DUMMYFUNCTION("""COMPUTED_VALUE"""),39157.645833333336)</f>
        <v>39157.64583</v>
      </c>
      <c r="C177" s="2">
        <f>IFERROR(__xludf.DUMMYFUNCTION("""COMPUTED_VALUE"""),88.06)</f>
        <v>88.06</v>
      </c>
    </row>
    <row r="178" ht="15.75" customHeight="1">
      <c r="B178" s="3">
        <f>IFERROR(__xludf.DUMMYFUNCTION("""COMPUTED_VALUE"""),39164.645833333336)</f>
        <v>39164.64583</v>
      </c>
      <c r="C178" s="2">
        <f>IFERROR(__xludf.DUMMYFUNCTION("""COMPUTED_VALUE"""),97.78)</f>
        <v>97.78</v>
      </c>
    </row>
    <row r="179" ht="15.75" customHeight="1">
      <c r="B179" s="3">
        <f>IFERROR(__xludf.DUMMYFUNCTION("""COMPUTED_VALUE"""),39171.645833333336)</f>
        <v>39171.64583</v>
      </c>
      <c r="C179" s="2">
        <f>IFERROR(__xludf.DUMMYFUNCTION("""COMPUTED_VALUE"""),98.99)</f>
        <v>98.99</v>
      </c>
    </row>
    <row r="180" ht="15.75" customHeight="1">
      <c r="B180" s="3">
        <f>IFERROR(__xludf.DUMMYFUNCTION("""COMPUTED_VALUE"""),39177.645833333336)</f>
        <v>39177.64583</v>
      </c>
      <c r="C180" s="2">
        <f>IFERROR(__xludf.DUMMYFUNCTION("""COMPUTED_VALUE"""),90.0)</f>
        <v>90</v>
      </c>
    </row>
    <row r="181" ht="15.75" customHeight="1">
      <c r="B181" s="3">
        <f>IFERROR(__xludf.DUMMYFUNCTION("""COMPUTED_VALUE"""),39185.645833333336)</f>
        <v>39185.64583</v>
      </c>
      <c r="C181" s="2">
        <f>IFERROR(__xludf.DUMMYFUNCTION("""COMPUTED_VALUE"""),93.42)</f>
        <v>93.42</v>
      </c>
    </row>
    <row r="182" ht="15.75" customHeight="1">
      <c r="B182" s="3">
        <f>IFERROR(__xludf.DUMMYFUNCTION("""COMPUTED_VALUE"""),39192.645833333336)</f>
        <v>39192.64583</v>
      </c>
      <c r="C182" s="2">
        <f>IFERROR(__xludf.DUMMYFUNCTION("""COMPUTED_VALUE"""),98.4)</f>
        <v>98.4</v>
      </c>
    </row>
    <row r="183" ht="15.75" customHeight="1">
      <c r="B183" s="3">
        <f>IFERROR(__xludf.DUMMYFUNCTION("""COMPUTED_VALUE"""),39199.645833333336)</f>
        <v>39199.64583</v>
      </c>
      <c r="C183" s="2">
        <f>IFERROR(__xludf.DUMMYFUNCTION("""COMPUTED_VALUE"""),104.2)</f>
        <v>104.2</v>
      </c>
    </row>
    <row r="184" ht="15.75" customHeight="1">
      <c r="B184" s="3">
        <f>IFERROR(__xludf.DUMMYFUNCTION("""COMPUTED_VALUE"""),39206.645833333336)</f>
        <v>39206.64583</v>
      </c>
      <c r="C184" s="2">
        <f>IFERROR(__xludf.DUMMYFUNCTION("""COMPUTED_VALUE"""),104.18)</f>
        <v>104.18</v>
      </c>
    </row>
    <row r="185" ht="15.75" customHeight="1">
      <c r="B185" s="3">
        <f>IFERROR(__xludf.DUMMYFUNCTION("""COMPUTED_VALUE"""),39213.645833333336)</f>
        <v>39213.64583</v>
      </c>
      <c r="C185" s="2">
        <f>IFERROR(__xludf.DUMMYFUNCTION("""COMPUTED_VALUE"""),103.58)</f>
        <v>103.58</v>
      </c>
    </row>
    <row r="186" ht="15.75" customHeight="1">
      <c r="B186" s="3">
        <f>IFERROR(__xludf.DUMMYFUNCTION("""COMPUTED_VALUE"""),39220.645833333336)</f>
        <v>39220.64583</v>
      </c>
      <c r="C186" s="2">
        <f>IFERROR(__xludf.DUMMYFUNCTION("""COMPUTED_VALUE"""),113.6)</f>
        <v>113.6</v>
      </c>
    </row>
    <row r="187" ht="15.75" customHeight="1">
      <c r="B187" s="3">
        <f>IFERROR(__xludf.DUMMYFUNCTION("""COMPUTED_VALUE"""),39227.645833333336)</f>
        <v>39227.64583</v>
      </c>
      <c r="C187" s="2">
        <f>IFERROR(__xludf.DUMMYFUNCTION("""COMPUTED_VALUE"""),113.9)</f>
        <v>113.9</v>
      </c>
    </row>
    <row r="188" ht="15.75" customHeight="1">
      <c r="B188" s="3">
        <f>IFERROR(__xludf.DUMMYFUNCTION("""COMPUTED_VALUE"""),39234.645833333336)</f>
        <v>39234.64583</v>
      </c>
      <c r="C188" s="2">
        <f>IFERROR(__xludf.DUMMYFUNCTION("""COMPUTED_VALUE"""),109.6)</f>
        <v>109.6</v>
      </c>
    </row>
    <row r="189" ht="15.75" customHeight="1">
      <c r="B189" s="3">
        <f>IFERROR(__xludf.DUMMYFUNCTION("""COMPUTED_VALUE"""),39241.645833333336)</f>
        <v>39241.64583</v>
      </c>
      <c r="C189" s="2">
        <f>IFERROR(__xludf.DUMMYFUNCTION("""COMPUTED_VALUE"""),109.6)</f>
        <v>109.6</v>
      </c>
    </row>
    <row r="190" ht="15.75" customHeight="1">
      <c r="B190" s="3">
        <f>IFERROR(__xludf.DUMMYFUNCTION("""COMPUTED_VALUE"""),39248.645833333336)</f>
        <v>39248.64583</v>
      </c>
      <c r="C190" s="2">
        <f>IFERROR(__xludf.DUMMYFUNCTION("""COMPUTED_VALUE"""),102.0)</f>
        <v>102</v>
      </c>
    </row>
    <row r="191" ht="15.75" customHeight="1">
      <c r="B191" s="3">
        <f>IFERROR(__xludf.DUMMYFUNCTION("""COMPUTED_VALUE"""),39255.645833333336)</f>
        <v>39255.64583</v>
      </c>
      <c r="C191" s="2">
        <f>IFERROR(__xludf.DUMMYFUNCTION("""COMPUTED_VALUE"""),106.48)</f>
        <v>106.48</v>
      </c>
    </row>
    <row r="192" ht="15.75" customHeight="1">
      <c r="B192" s="3">
        <f>IFERROR(__xludf.DUMMYFUNCTION("""COMPUTED_VALUE"""),39262.645833333336)</f>
        <v>39262.64583</v>
      </c>
      <c r="C192" s="2">
        <f>IFERROR(__xludf.DUMMYFUNCTION("""COMPUTED_VALUE"""),110.08)</f>
        <v>110.08</v>
      </c>
    </row>
    <row r="193" ht="15.75" customHeight="1">
      <c r="B193" s="3">
        <f>IFERROR(__xludf.DUMMYFUNCTION("""COMPUTED_VALUE"""),39269.645833333336)</f>
        <v>39269.64583</v>
      </c>
      <c r="C193" s="2">
        <f>IFERROR(__xludf.DUMMYFUNCTION("""COMPUTED_VALUE"""),110.4)</f>
        <v>110.4</v>
      </c>
    </row>
    <row r="194" ht="15.75" customHeight="1">
      <c r="B194" s="3">
        <f>IFERROR(__xludf.DUMMYFUNCTION("""COMPUTED_VALUE"""),39276.645833333336)</f>
        <v>39276.64583</v>
      </c>
      <c r="C194" s="2">
        <f>IFERROR(__xludf.DUMMYFUNCTION("""COMPUTED_VALUE"""),111.6)</f>
        <v>111.6</v>
      </c>
    </row>
    <row r="195" ht="15.75" customHeight="1">
      <c r="B195" s="3">
        <f>IFERROR(__xludf.DUMMYFUNCTION("""COMPUTED_VALUE"""),39283.645833333336)</f>
        <v>39283.64583</v>
      </c>
      <c r="C195" s="2">
        <f>IFERROR(__xludf.DUMMYFUNCTION("""COMPUTED_VALUE"""),118.8)</f>
        <v>118.8</v>
      </c>
    </row>
    <row r="196" ht="15.75" customHeight="1">
      <c r="B196" s="3">
        <f>IFERROR(__xludf.DUMMYFUNCTION("""COMPUTED_VALUE"""),39290.645833333336)</f>
        <v>39290.64583</v>
      </c>
      <c r="C196" s="2">
        <f>IFERROR(__xludf.DUMMYFUNCTION("""COMPUTED_VALUE"""),118.18)</f>
        <v>118.18</v>
      </c>
    </row>
    <row r="197" ht="15.75" customHeight="1">
      <c r="B197" s="3">
        <f>IFERROR(__xludf.DUMMYFUNCTION("""COMPUTED_VALUE"""),39297.645833333336)</f>
        <v>39297.64583</v>
      </c>
      <c r="C197" s="2">
        <f>IFERROR(__xludf.DUMMYFUNCTION("""COMPUTED_VALUE"""),103.6)</f>
        <v>103.6</v>
      </c>
    </row>
    <row r="198" ht="15.75" customHeight="1">
      <c r="B198" s="3">
        <f>IFERROR(__xludf.DUMMYFUNCTION("""COMPUTED_VALUE"""),39304.645833333336)</f>
        <v>39304.64583</v>
      </c>
      <c r="C198" s="2">
        <f>IFERROR(__xludf.DUMMYFUNCTION("""COMPUTED_VALUE"""),106.36)</f>
        <v>106.36</v>
      </c>
    </row>
    <row r="199" ht="15.75" customHeight="1">
      <c r="B199" s="3">
        <f>IFERROR(__xludf.DUMMYFUNCTION("""COMPUTED_VALUE"""),39311.645833333336)</f>
        <v>39311.64583</v>
      </c>
      <c r="C199" s="2">
        <f>IFERROR(__xludf.DUMMYFUNCTION("""COMPUTED_VALUE"""),101.8)</f>
        <v>101.8</v>
      </c>
    </row>
    <row r="200" ht="15.75" customHeight="1">
      <c r="B200" s="3">
        <f>IFERROR(__xludf.DUMMYFUNCTION("""COMPUTED_VALUE"""),39318.645833333336)</f>
        <v>39318.64583</v>
      </c>
      <c r="C200" s="2">
        <f>IFERROR(__xludf.DUMMYFUNCTION("""COMPUTED_VALUE"""),99.88)</f>
        <v>99.88</v>
      </c>
    </row>
    <row r="201" ht="15.75" customHeight="1">
      <c r="B201" s="3">
        <f>IFERROR(__xludf.DUMMYFUNCTION("""COMPUTED_VALUE"""),39325.645833333336)</f>
        <v>39325.64583</v>
      </c>
      <c r="C201" s="2">
        <f>IFERROR(__xludf.DUMMYFUNCTION("""COMPUTED_VALUE"""),97.38)</f>
        <v>97.38</v>
      </c>
    </row>
    <row r="202" ht="15.75" customHeight="1">
      <c r="B202" s="3">
        <f>IFERROR(__xludf.DUMMYFUNCTION("""COMPUTED_VALUE"""),39332.645833333336)</f>
        <v>39332.64583</v>
      </c>
      <c r="C202" s="2">
        <f>IFERROR(__xludf.DUMMYFUNCTION("""COMPUTED_VALUE"""),99.66)</f>
        <v>99.66</v>
      </c>
    </row>
    <row r="203" ht="15.75" customHeight="1">
      <c r="B203" s="3">
        <f>IFERROR(__xludf.DUMMYFUNCTION("""COMPUTED_VALUE"""),39339.645833333336)</f>
        <v>39339.64583</v>
      </c>
      <c r="C203" s="2">
        <f>IFERROR(__xludf.DUMMYFUNCTION("""COMPUTED_VALUE"""),100.88)</f>
        <v>100.88</v>
      </c>
    </row>
    <row r="204" ht="15.75" customHeight="1">
      <c r="B204" s="3">
        <f>IFERROR(__xludf.DUMMYFUNCTION("""COMPUTED_VALUE"""),39346.645833333336)</f>
        <v>39346.64583</v>
      </c>
      <c r="C204" s="2">
        <f>IFERROR(__xludf.DUMMYFUNCTION("""COMPUTED_VALUE"""),104.4)</f>
        <v>104.4</v>
      </c>
    </row>
    <row r="205" ht="15.75" customHeight="1">
      <c r="B205" s="3">
        <f>IFERROR(__xludf.DUMMYFUNCTION("""COMPUTED_VALUE"""),39353.645833333336)</f>
        <v>39353.64583</v>
      </c>
      <c r="C205" s="2">
        <f>IFERROR(__xludf.DUMMYFUNCTION("""COMPUTED_VALUE"""),109.08)</f>
        <v>109.08</v>
      </c>
    </row>
    <row r="206" ht="15.75" customHeight="1">
      <c r="B206" s="3">
        <f>IFERROR(__xludf.DUMMYFUNCTION("""COMPUTED_VALUE"""),39360.645833333336)</f>
        <v>39360.64583</v>
      </c>
      <c r="C206" s="2">
        <f>IFERROR(__xludf.DUMMYFUNCTION("""COMPUTED_VALUE"""),110.0)</f>
        <v>110</v>
      </c>
    </row>
    <row r="207" ht="15.75" customHeight="1">
      <c r="B207" s="3">
        <f>IFERROR(__xludf.DUMMYFUNCTION("""COMPUTED_VALUE"""),39367.645833333336)</f>
        <v>39367.64583</v>
      </c>
      <c r="C207" s="2">
        <f>IFERROR(__xludf.DUMMYFUNCTION("""COMPUTED_VALUE"""),107.0)</f>
        <v>107</v>
      </c>
    </row>
    <row r="208" ht="15.75" customHeight="1">
      <c r="B208" s="3">
        <f>IFERROR(__xludf.DUMMYFUNCTION("""COMPUTED_VALUE"""),39374.645833333336)</f>
        <v>39374.64583</v>
      </c>
      <c r="C208" s="2">
        <f>IFERROR(__xludf.DUMMYFUNCTION("""COMPUTED_VALUE"""),108.8)</f>
        <v>108.8</v>
      </c>
    </row>
    <row r="209" ht="15.75" customHeight="1">
      <c r="B209" s="3">
        <f>IFERROR(__xludf.DUMMYFUNCTION("""COMPUTED_VALUE"""),39381.645833333336)</f>
        <v>39381.64583</v>
      </c>
      <c r="C209" s="2">
        <f>IFERROR(__xludf.DUMMYFUNCTION("""COMPUTED_VALUE"""),107.6)</f>
        <v>107.6</v>
      </c>
    </row>
    <row r="210" ht="15.75" customHeight="1">
      <c r="B210" s="3">
        <f>IFERROR(__xludf.DUMMYFUNCTION("""COMPUTED_VALUE"""),39388.645833333336)</f>
        <v>39388.64583</v>
      </c>
      <c r="C210" s="2">
        <f>IFERROR(__xludf.DUMMYFUNCTION("""COMPUTED_VALUE"""),110.8)</f>
        <v>110.8</v>
      </c>
    </row>
    <row r="211" ht="15.75" customHeight="1">
      <c r="B211" s="3">
        <f>IFERROR(__xludf.DUMMYFUNCTION("""COMPUTED_VALUE"""),39402.645833333336)</f>
        <v>39402.64583</v>
      </c>
      <c r="C211" s="2">
        <f>IFERROR(__xludf.DUMMYFUNCTION("""COMPUTED_VALUE"""),124.0)</f>
        <v>124</v>
      </c>
    </row>
    <row r="212" ht="15.75" customHeight="1">
      <c r="B212" s="3">
        <f>IFERROR(__xludf.DUMMYFUNCTION("""COMPUTED_VALUE"""),39409.645833333336)</f>
        <v>39409.64583</v>
      </c>
      <c r="C212" s="2">
        <f>IFERROR(__xludf.DUMMYFUNCTION("""COMPUTED_VALUE"""),126.5)</f>
        <v>126.5</v>
      </c>
    </row>
    <row r="213" ht="15.75" customHeight="1">
      <c r="B213" s="3">
        <f>IFERROR(__xludf.DUMMYFUNCTION("""COMPUTED_VALUE"""),39416.645833333336)</f>
        <v>39416.64583</v>
      </c>
      <c r="C213" s="2">
        <f>IFERROR(__xludf.DUMMYFUNCTION("""COMPUTED_VALUE"""),124.0)</f>
        <v>124</v>
      </c>
    </row>
    <row r="214" ht="15.75" customHeight="1">
      <c r="B214" s="3">
        <f>IFERROR(__xludf.DUMMYFUNCTION("""COMPUTED_VALUE"""),39423.645833333336)</f>
        <v>39423.64583</v>
      </c>
      <c r="C214" s="2">
        <f>IFERROR(__xludf.DUMMYFUNCTION("""COMPUTED_VALUE"""),132.4)</f>
        <v>132.4</v>
      </c>
    </row>
    <row r="215" ht="15.75" customHeight="1">
      <c r="B215" s="3">
        <f>IFERROR(__xludf.DUMMYFUNCTION("""COMPUTED_VALUE"""),39430.645833333336)</f>
        <v>39430.64583</v>
      </c>
      <c r="C215" s="2">
        <f>IFERROR(__xludf.DUMMYFUNCTION("""COMPUTED_VALUE"""),140.0)</f>
        <v>140</v>
      </c>
    </row>
    <row r="216" ht="15.75" customHeight="1">
      <c r="B216" s="3">
        <f>IFERROR(__xludf.DUMMYFUNCTION("""COMPUTED_VALUE"""),39436.645833333336)</f>
        <v>39436.64583</v>
      </c>
      <c r="C216" s="2">
        <f>IFERROR(__xludf.DUMMYFUNCTION("""COMPUTED_VALUE"""),136.0)</f>
        <v>136</v>
      </c>
    </row>
    <row r="217" ht="15.75" customHeight="1">
      <c r="B217" s="3">
        <f>IFERROR(__xludf.DUMMYFUNCTION("""COMPUTED_VALUE"""),39444.645833333336)</f>
        <v>39444.64583</v>
      </c>
      <c r="C217" s="2">
        <f>IFERROR(__xludf.DUMMYFUNCTION("""COMPUTED_VALUE"""),135.8)</f>
        <v>135.8</v>
      </c>
    </row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IFERROR(__xludf.DUMMYFUNCTION("GOOGLEFINANCE(""NSE:PNB"", ""high"",DATE(2008,1,1),DATE(2009,1,1),""weekly"")"),"Date")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IFERROR(__xludf.DUMMYFUNCTION("""COMPUTED_VALUE"""),39451.645833333336)</f>
        <v>39451.64583</v>
      </c>
      <c r="C222" s="2">
        <f>IFERROR(__xludf.DUMMYFUNCTION("""COMPUTED_VALUE"""),144.0)</f>
        <v>144</v>
      </c>
    </row>
    <row r="223" ht="15.75" customHeight="1">
      <c r="B223" s="3">
        <f>IFERROR(__xludf.DUMMYFUNCTION("""COMPUTED_VALUE"""),39458.645833333336)</f>
        <v>39458.64583</v>
      </c>
      <c r="C223" s="2">
        <f>IFERROR(__xludf.DUMMYFUNCTION("""COMPUTED_VALUE"""),140.38)</f>
        <v>140.38</v>
      </c>
    </row>
    <row r="224" ht="15.75" customHeight="1">
      <c r="B224" s="3">
        <f>IFERROR(__xludf.DUMMYFUNCTION("""COMPUTED_VALUE"""),39465.645833333336)</f>
        <v>39465.64583</v>
      </c>
      <c r="C224" s="2">
        <f>IFERROR(__xludf.DUMMYFUNCTION("""COMPUTED_VALUE"""),137.4)</f>
        <v>137.4</v>
      </c>
    </row>
    <row r="225" ht="15.75" customHeight="1">
      <c r="B225" s="3">
        <f>IFERROR(__xludf.DUMMYFUNCTION("""COMPUTED_VALUE"""),39472.645833333336)</f>
        <v>39472.64583</v>
      </c>
      <c r="C225" s="2">
        <f>IFERROR(__xludf.DUMMYFUNCTION("""COMPUTED_VALUE"""),136.0)</f>
        <v>136</v>
      </c>
    </row>
    <row r="226" ht="15.75" customHeight="1">
      <c r="B226" s="3">
        <f>IFERROR(__xludf.DUMMYFUNCTION("""COMPUTED_VALUE"""),39479.645833333336)</f>
        <v>39479.64583</v>
      </c>
      <c r="C226" s="2">
        <f>IFERROR(__xludf.DUMMYFUNCTION("""COMPUTED_VALUE"""),139.8)</f>
        <v>139.8</v>
      </c>
    </row>
    <row r="227" ht="15.75" customHeight="1">
      <c r="B227" s="3">
        <f>IFERROR(__xludf.DUMMYFUNCTION("""COMPUTED_VALUE"""),39486.645833333336)</f>
        <v>39486.64583</v>
      </c>
      <c r="C227" s="2">
        <f>IFERROR(__xludf.DUMMYFUNCTION("""COMPUTED_VALUE"""),142.8)</f>
        <v>142.8</v>
      </c>
    </row>
    <row r="228" ht="15.75" customHeight="1">
      <c r="B228" s="3">
        <f>IFERROR(__xludf.DUMMYFUNCTION("""COMPUTED_VALUE"""),39493.645833333336)</f>
        <v>39493.64583</v>
      </c>
      <c r="C228" s="2">
        <f>IFERROR(__xludf.DUMMYFUNCTION("""COMPUTED_VALUE"""),134.0)</f>
        <v>134</v>
      </c>
    </row>
    <row r="229" ht="15.75" customHeight="1">
      <c r="B229" s="3">
        <f>IFERROR(__xludf.DUMMYFUNCTION("""COMPUTED_VALUE"""),39500.645833333336)</f>
        <v>39500.64583</v>
      </c>
      <c r="C229" s="2">
        <f>IFERROR(__xludf.DUMMYFUNCTION("""COMPUTED_VALUE"""),127.5)</f>
        <v>127.5</v>
      </c>
    </row>
    <row r="230" ht="15.75" customHeight="1">
      <c r="B230" s="3">
        <f>IFERROR(__xludf.DUMMYFUNCTION("""COMPUTED_VALUE"""),39507.645833333336)</f>
        <v>39507.64583</v>
      </c>
      <c r="C230" s="2">
        <f>IFERROR(__xludf.DUMMYFUNCTION("""COMPUTED_VALUE"""),123.94)</f>
        <v>123.94</v>
      </c>
    </row>
    <row r="231" ht="15.75" customHeight="1">
      <c r="B231" s="3">
        <f>IFERROR(__xludf.DUMMYFUNCTION("""COMPUTED_VALUE"""),39514.645833333336)</f>
        <v>39514.64583</v>
      </c>
      <c r="C231" s="2">
        <f>IFERROR(__xludf.DUMMYFUNCTION("""COMPUTED_VALUE"""),117.8)</f>
        <v>117.8</v>
      </c>
    </row>
    <row r="232" ht="15.75" customHeight="1">
      <c r="B232" s="3">
        <f>IFERROR(__xludf.DUMMYFUNCTION("""COMPUTED_VALUE"""),39521.645833333336)</f>
        <v>39521.64583</v>
      </c>
      <c r="C232" s="2">
        <f>IFERROR(__xludf.DUMMYFUNCTION("""COMPUTED_VALUE"""),105.78)</f>
        <v>105.78</v>
      </c>
    </row>
    <row r="233" ht="15.75" customHeight="1">
      <c r="B233" s="3">
        <f>IFERROR(__xludf.DUMMYFUNCTION("""COMPUTED_VALUE"""),39526.645833333336)</f>
        <v>39526.64583</v>
      </c>
      <c r="C233" s="2">
        <f>IFERROR(__xludf.DUMMYFUNCTION("""COMPUTED_VALUE"""),96.98)</f>
        <v>96.98</v>
      </c>
    </row>
    <row r="234" ht="15.75" customHeight="1">
      <c r="B234" s="3">
        <f>IFERROR(__xludf.DUMMYFUNCTION("""COMPUTED_VALUE"""),39535.645833333336)</f>
        <v>39535.64583</v>
      </c>
      <c r="C234" s="2">
        <f>IFERROR(__xludf.DUMMYFUNCTION("""COMPUTED_VALUE"""),106.8)</f>
        <v>106.8</v>
      </c>
    </row>
    <row r="235" ht="15.75" customHeight="1">
      <c r="B235" s="3">
        <f>IFERROR(__xludf.DUMMYFUNCTION("""COMPUTED_VALUE"""),39542.645833333336)</f>
        <v>39542.64583</v>
      </c>
      <c r="C235" s="2">
        <f>IFERROR(__xludf.DUMMYFUNCTION("""COMPUTED_VALUE"""),111.46)</f>
        <v>111.46</v>
      </c>
    </row>
    <row r="236" ht="15.75" customHeight="1">
      <c r="B236" s="3">
        <f>IFERROR(__xludf.DUMMYFUNCTION("""COMPUTED_VALUE"""),39549.645833333336)</f>
        <v>39549.64583</v>
      </c>
      <c r="C236" s="2">
        <f>IFERROR(__xludf.DUMMYFUNCTION("""COMPUTED_VALUE"""),104.78)</f>
        <v>104.78</v>
      </c>
    </row>
    <row r="237" ht="15.75" customHeight="1">
      <c r="B237" s="3">
        <f>IFERROR(__xludf.DUMMYFUNCTION("""COMPUTED_VALUE"""),39555.645833333336)</f>
        <v>39555.64583</v>
      </c>
      <c r="C237" s="2">
        <f>IFERROR(__xludf.DUMMYFUNCTION("""COMPUTED_VALUE"""),107.36)</f>
        <v>107.36</v>
      </c>
    </row>
    <row r="238" ht="15.75" customHeight="1">
      <c r="B238" s="3">
        <f>IFERROR(__xludf.DUMMYFUNCTION("""COMPUTED_VALUE"""),39563.645833333336)</f>
        <v>39563.64583</v>
      </c>
      <c r="C238" s="2">
        <f>IFERROR(__xludf.DUMMYFUNCTION("""COMPUTED_VALUE"""),112.36)</f>
        <v>112.36</v>
      </c>
    </row>
    <row r="239" ht="15.75" customHeight="1">
      <c r="B239" s="3">
        <f>IFERROR(__xludf.DUMMYFUNCTION("""COMPUTED_VALUE"""),39570.645833333336)</f>
        <v>39570.64583</v>
      </c>
      <c r="C239" s="2">
        <f>IFERROR(__xludf.DUMMYFUNCTION("""COMPUTED_VALUE"""),116.0)</f>
        <v>116</v>
      </c>
    </row>
    <row r="240" ht="15.75" customHeight="1">
      <c r="B240" s="3">
        <f>IFERROR(__xludf.DUMMYFUNCTION("""COMPUTED_VALUE"""),39577.645833333336)</f>
        <v>39577.64583</v>
      </c>
      <c r="C240" s="2">
        <f>IFERROR(__xludf.DUMMYFUNCTION("""COMPUTED_VALUE"""),109.78)</f>
        <v>109.78</v>
      </c>
    </row>
    <row r="241" ht="15.75" customHeight="1">
      <c r="B241" s="3">
        <f>IFERROR(__xludf.DUMMYFUNCTION("""COMPUTED_VALUE"""),39584.645833333336)</f>
        <v>39584.64583</v>
      </c>
      <c r="C241" s="2">
        <f>IFERROR(__xludf.DUMMYFUNCTION("""COMPUTED_VALUE"""),114.96)</f>
        <v>114.96</v>
      </c>
    </row>
    <row r="242" ht="15.75" customHeight="1">
      <c r="B242" s="3">
        <f>IFERROR(__xludf.DUMMYFUNCTION("""COMPUTED_VALUE"""),39591.645833333336)</f>
        <v>39591.64583</v>
      </c>
      <c r="C242" s="2">
        <f>IFERROR(__xludf.DUMMYFUNCTION("""COMPUTED_VALUE"""),113.99)</f>
        <v>113.99</v>
      </c>
    </row>
    <row r="243" ht="15.75" customHeight="1">
      <c r="B243" s="3">
        <f>IFERROR(__xludf.DUMMYFUNCTION("""COMPUTED_VALUE"""),39598.645833333336)</f>
        <v>39598.64583</v>
      </c>
      <c r="C243" s="2">
        <f>IFERROR(__xludf.DUMMYFUNCTION("""COMPUTED_VALUE"""),104.0)</f>
        <v>104</v>
      </c>
    </row>
    <row r="244" ht="15.75" customHeight="1">
      <c r="B244" s="3">
        <f>IFERROR(__xludf.DUMMYFUNCTION("""COMPUTED_VALUE"""),39605.645833333336)</f>
        <v>39605.64583</v>
      </c>
      <c r="C244" s="2">
        <f>IFERROR(__xludf.DUMMYFUNCTION("""COMPUTED_VALUE"""),99.78)</f>
        <v>99.78</v>
      </c>
    </row>
    <row r="245" ht="15.75" customHeight="1">
      <c r="B245" s="3">
        <f>IFERROR(__xludf.DUMMYFUNCTION("""COMPUTED_VALUE"""),39612.645833333336)</f>
        <v>39612.64583</v>
      </c>
      <c r="C245" s="2">
        <f>IFERROR(__xludf.DUMMYFUNCTION("""COMPUTED_VALUE"""),92.6)</f>
        <v>92.6</v>
      </c>
    </row>
    <row r="246" ht="15.75" customHeight="1">
      <c r="B246" s="3">
        <f>IFERROR(__xludf.DUMMYFUNCTION("""COMPUTED_VALUE"""),39619.645833333336)</f>
        <v>39619.64583</v>
      </c>
      <c r="C246" s="2">
        <f>IFERROR(__xludf.DUMMYFUNCTION("""COMPUTED_VALUE"""),95.6)</f>
        <v>95.6</v>
      </c>
    </row>
    <row r="247" ht="15.75" customHeight="1">
      <c r="B247" s="3">
        <f>IFERROR(__xludf.DUMMYFUNCTION("""COMPUTED_VALUE"""),39626.645833333336)</f>
        <v>39626.64583</v>
      </c>
      <c r="C247" s="2">
        <f>IFERROR(__xludf.DUMMYFUNCTION("""COMPUTED_VALUE"""),86.94)</f>
        <v>86.94</v>
      </c>
    </row>
    <row r="248" ht="15.75" customHeight="1">
      <c r="B248" s="3">
        <f>IFERROR(__xludf.DUMMYFUNCTION("""COMPUTED_VALUE"""),39633.645833333336)</f>
        <v>39633.64583</v>
      </c>
      <c r="C248" s="2">
        <f>IFERROR(__xludf.DUMMYFUNCTION("""COMPUTED_VALUE"""),80.98)</f>
        <v>80.98</v>
      </c>
    </row>
    <row r="249" ht="15.75" customHeight="1">
      <c r="B249" s="3">
        <f>IFERROR(__xludf.DUMMYFUNCTION("""COMPUTED_VALUE"""),39640.645833333336)</f>
        <v>39640.64583</v>
      </c>
      <c r="C249" s="2">
        <f>IFERROR(__xludf.DUMMYFUNCTION("""COMPUTED_VALUE"""),82.27)</f>
        <v>82.27</v>
      </c>
    </row>
    <row r="250" ht="15.75" customHeight="1">
      <c r="B250" s="3">
        <f>IFERROR(__xludf.DUMMYFUNCTION("""COMPUTED_VALUE"""),39647.645833333336)</f>
        <v>39647.64583</v>
      </c>
      <c r="C250" s="2">
        <f>IFERROR(__xludf.DUMMYFUNCTION("""COMPUTED_VALUE"""),89.0)</f>
        <v>89</v>
      </c>
    </row>
    <row r="251" ht="15.75" customHeight="1">
      <c r="B251" s="3">
        <f>IFERROR(__xludf.DUMMYFUNCTION("""COMPUTED_VALUE"""),39654.645833333336)</f>
        <v>39654.64583</v>
      </c>
      <c r="C251" s="2">
        <f>IFERROR(__xludf.DUMMYFUNCTION("""COMPUTED_VALUE"""),103.6)</f>
        <v>103.6</v>
      </c>
    </row>
    <row r="252" ht="15.75" customHeight="1">
      <c r="B252" s="3">
        <f>IFERROR(__xludf.DUMMYFUNCTION("""COMPUTED_VALUE"""),39661.645833333336)</f>
        <v>39661.64583</v>
      </c>
      <c r="C252" s="2">
        <f>IFERROR(__xludf.DUMMYFUNCTION("""COMPUTED_VALUE"""),99.8)</f>
        <v>99.8</v>
      </c>
    </row>
    <row r="253" ht="15.75" customHeight="1">
      <c r="B253" s="3">
        <f>IFERROR(__xludf.DUMMYFUNCTION("""COMPUTED_VALUE"""),39668.645833333336)</f>
        <v>39668.64583</v>
      </c>
      <c r="C253" s="2">
        <f>IFERROR(__xludf.DUMMYFUNCTION("""COMPUTED_VALUE"""),108.58)</f>
        <v>108.58</v>
      </c>
    </row>
    <row r="254" ht="15.75" customHeight="1">
      <c r="B254" s="3">
        <f>IFERROR(__xludf.DUMMYFUNCTION("""COMPUTED_VALUE"""),39674.645833333336)</f>
        <v>39674.64583</v>
      </c>
      <c r="C254" s="2">
        <f>IFERROR(__xludf.DUMMYFUNCTION("""COMPUTED_VALUE"""),105.86)</f>
        <v>105.86</v>
      </c>
    </row>
    <row r="255" ht="15.75" customHeight="1">
      <c r="B255" s="3">
        <f>IFERROR(__xludf.DUMMYFUNCTION("""COMPUTED_VALUE"""),39682.645833333336)</f>
        <v>39682.64583</v>
      </c>
      <c r="C255" s="2">
        <f>IFERROR(__xludf.DUMMYFUNCTION("""COMPUTED_VALUE"""),94.78)</f>
        <v>94.78</v>
      </c>
    </row>
    <row r="256" ht="15.75" customHeight="1">
      <c r="B256" s="3">
        <f>IFERROR(__xludf.DUMMYFUNCTION("""COMPUTED_VALUE"""),39689.645833333336)</f>
        <v>39689.64583</v>
      </c>
      <c r="C256" s="2">
        <f>IFERROR(__xludf.DUMMYFUNCTION("""COMPUTED_VALUE"""),96.8)</f>
        <v>96.8</v>
      </c>
    </row>
    <row r="257" ht="15.75" customHeight="1">
      <c r="B257" s="3">
        <f>IFERROR(__xludf.DUMMYFUNCTION("""COMPUTED_VALUE"""),39696.645833333336)</f>
        <v>39696.64583</v>
      </c>
      <c r="C257" s="2">
        <f>IFERROR(__xludf.DUMMYFUNCTION("""COMPUTED_VALUE"""),104.78)</f>
        <v>104.78</v>
      </c>
    </row>
    <row r="258" ht="15.75" customHeight="1">
      <c r="B258" s="3">
        <f>IFERROR(__xludf.DUMMYFUNCTION("""COMPUTED_VALUE"""),39703.645833333336)</f>
        <v>39703.64583</v>
      </c>
      <c r="C258" s="2">
        <f>IFERROR(__xludf.DUMMYFUNCTION("""COMPUTED_VALUE"""),105.3)</f>
        <v>105.3</v>
      </c>
    </row>
    <row r="259" ht="15.75" customHeight="1">
      <c r="B259" s="3">
        <f>IFERROR(__xludf.DUMMYFUNCTION("""COMPUTED_VALUE"""),39710.645833333336)</f>
        <v>39710.64583</v>
      </c>
      <c r="C259" s="2">
        <f>IFERROR(__xludf.DUMMYFUNCTION("""COMPUTED_VALUE"""),106.0)</f>
        <v>106</v>
      </c>
    </row>
    <row r="260" ht="15.75" customHeight="1">
      <c r="B260" s="3">
        <f>IFERROR(__xludf.DUMMYFUNCTION("""COMPUTED_VALUE"""),39717.645833333336)</f>
        <v>39717.64583</v>
      </c>
      <c r="C260" s="2">
        <f>IFERROR(__xludf.DUMMYFUNCTION("""COMPUTED_VALUE"""),106.0)</f>
        <v>106</v>
      </c>
    </row>
    <row r="261" ht="15.75" customHeight="1">
      <c r="B261" s="3">
        <f>IFERROR(__xludf.DUMMYFUNCTION("""COMPUTED_VALUE"""),39724.645833333336)</f>
        <v>39724.64583</v>
      </c>
      <c r="C261" s="2">
        <f>IFERROR(__xludf.DUMMYFUNCTION("""COMPUTED_VALUE"""),100.3)</f>
        <v>100.3</v>
      </c>
    </row>
    <row r="262" ht="15.75" customHeight="1">
      <c r="B262" s="3">
        <f>IFERROR(__xludf.DUMMYFUNCTION("""COMPUTED_VALUE"""),39731.645833333336)</f>
        <v>39731.64583</v>
      </c>
      <c r="C262" s="2">
        <f>IFERROR(__xludf.DUMMYFUNCTION("""COMPUTED_VALUE"""),101.6)</f>
        <v>101.6</v>
      </c>
    </row>
    <row r="263" ht="15.75" customHeight="1">
      <c r="B263" s="3">
        <f>IFERROR(__xludf.DUMMYFUNCTION("""COMPUTED_VALUE"""),39738.645833333336)</f>
        <v>39738.64583</v>
      </c>
      <c r="C263" s="2">
        <f>IFERROR(__xludf.DUMMYFUNCTION("""COMPUTED_VALUE"""),104.0)</f>
        <v>104</v>
      </c>
    </row>
    <row r="264" ht="15.75" customHeight="1">
      <c r="B264" s="3">
        <f>IFERROR(__xludf.DUMMYFUNCTION("""COMPUTED_VALUE"""),39745.645833333336)</f>
        <v>39745.64583</v>
      </c>
      <c r="C264" s="2">
        <f>IFERROR(__xludf.DUMMYFUNCTION("""COMPUTED_VALUE"""),102.46)</f>
        <v>102.46</v>
      </c>
    </row>
    <row r="265" ht="15.75" customHeight="1">
      <c r="B265" s="3">
        <f>IFERROR(__xludf.DUMMYFUNCTION("""COMPUTED_VALUE"""),39752.645833333336)</f>
        <v>39752.64583</v>
      </c>
      <c r="C265" s="2">
        <f>IFERROR(__xludf.DUMMYFUNCTION("""COMPUTED_VALUE"""),86.4)</f>
        <v>86.4</v>
      </c>
    </row>
    <row r="266" ht="15.75" customHeight="1">
      <c r="B266" s="3">
        <f>IFERROR(__xludf.DUMMYFUNCTION("""COMPUTED_VALUE"""),39759.645833333336)</f>
        <v>39759.64583</v>
      </c>
      <c r="C266" s="2">
        <f>IFERROR(__xludf.DUMMYFUNCTION("""COMPUTED_VALUE"""),102.4)</f>
        <v>102.4</v>
      </c>
    </row>
    <row r="267" ht="15.75" customHeight="1">
      <c r="B267" s="3">
        <f>IFERROR(__xludf.DUMMYFUNCTION("""COMPUTED_VALUE"""),39766.645833333336)</f>
        <v>39766.64583</v>
      </c>
      <c r="C267" s="2">
        <f>IFERROR(__xludf.DUMMYFUNCTION("""COMPUTED_VALUE"""),101.99)</f>
        <v>101.99</v>
      </c>
    </row>
    <row r="268" ht="15.75" customHeight="1">
      <c r="B268" s="3">
        <f>IFERROR(__xludf.DUMMYFUNCTION("""COMPUTED_VALUE"""),39773.645833333336)</f>
        <v>39773.64583</v>
      </c>
      <c r="C268" s="2">
        <f>IFERROR(__xludf.DUMMYFUNCTION("""COMPUTED_VALUE"""),95.25)</f>
        <v>95.25</v>
      </c>
    </row>
    <row r="269" ht="15.75" customHeight="1">
      <c r="B269" s="3">
        <f>IFERROR(__xludf.DUMMYFUNCTION("""COMPUTED_VALUE"""),39780.645833333336)</f>
        <v>39780.64583</v>
      </c>
      <c r="C269" s="2">
        <f>IFERROR(__xludf.DUMMYFUNCTION("""COMPUTED_VALUE"""),93.0)</f>
        <v>93</v>
      </c>
    </row>
    <row r="270" ht="15.75" customHeight="1">
      <c r="B270" s="3">
        <f>IFERROR(__xludf.DUMMYFUNCTION("""COMPUTED_VALUE"""),39787.645833333336)</f>
        <v>39787.64583</v>
      </c>
      <c r="C270" s="2">
        <f>IFERROR(__xludf.DUMMYFUNCTION("""COMPUTED_VALUE"""),92.7)</f>
        <v>92.7</v>
      </c>
    </row>
    <row r="271" ht="15.75" customHeight="1">
      <c r="B271" s="3">
        <f>IFERROR(__xludf.DUMMYFUNCTION("""COMPUTED_VALUE"""),39794.645833333336)</f>
        <v>39794.64583</v>
      </c>
      <c r="C271" s="2">
        <f>IFERROR(__xludf.DUMMYFUNCTION("""COMPUTED_VALUE"""),94.9)</f>
        <v>94.9</v>
      </c>
    </row>
    <row r="272" ht="15.75" customHeight="1">
      <c r="B272" s="3">
        <f>IFERROR(__xludf.DUMMYFUNCTION("""COMPUTED_VALUE"""),39801.645833333336)</f>
        <v>39801.64583</v>
      </c>
      <c r="C272" s="2">
        <f>IFERROR(__xludf.DUMMYFUNCTION("""COMPUTED_VALUE"""),105.31)</f>
        <v>105.31</v>
      </c>
    </row>
    <row r="273" ht="15.75" customHeight="1">
      <c r="B273" s="3">
        <f>IFERROR(__xludf.DUMMYFUNCTION("""COMPUTED_VALUE"""),39808.645833333336)</f>
        <v>39808.64583</v>
      </c>
      <c r="C273" s="2">
        <f>IFERROR(__xludf.DUMMYFUNCTION("""COMPUTED_VALUE"""),107.8)</f>
        <v>107.8</v>
      </c>
    </row>
    <row r="274" ht="15.75" customHeight="1"/>
    <row r="275" ht="15.75" customHeight="1"/>
    <row r="276" ht="15.75" customHeight="1">
      <c r="B276" s="2" t="str">
        <f>IFERROR(__xludf.DUMMYFUNCTION("GOOGLEFINANCE(""NSE:PNB"", ""high"",DATE(2009,1,1),DATE(2010,1,1),""weekly"")"),"Date")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IFERROR(__xludf.DUMMYFUNCTION("""COMPUTED_VALUE"""),39815.645833333336)</f>
        <v>39815.64583</v>
      </c>
      <c r="C277" s="2">
        <f>IFERROR(__xludf.DUMMYFUNCTION("""COMPUTED_VALUE"""),108.13)</f>
        <v>108.13</v>
      </c>
    </row>
    <row r="278" ht="15.75" customHeight="1">
      <c r="B278" s="3">
        <f>IFERROR(__xludf.DUMMYFUNCTION("""COMPUTED_VALUE"""),39822.645833333336)</f>
        <v>39822.64583</v>
      </c>
      <c r="C278" s="2">
        <f>IFERROR(__xludf.DUMMYFUNCTION("""COMPUTED_VALUE"""),109.54)</f>
        <v>109.54</v>
      </c>
    </row>
    <row r="279" ht="15.75" customHeight="1">
      <c r="B279" s="3">
        <f>IFERROR(__xludf.DUMMYFUNCTION("""COMPUTED_VALUE"""),39829.645833333336)</f>
        <v>39829.64583</v>
      </c>
      <c r="C279" s="2">
        <f>IFERROR(__xludf.DUMMYFUNCTION("""COMPUTED_VALUE"""),98.52)</f>
        <v>98.52</v>
      </c>
    </row>
    <row r="280" ht="15.75" customHeight="1">
      <c r="B280" s="3">
        <f>IFERROR(__xludf.DUMMYFUNCTION("""COMPUTED_VALUE"""),39836.645833333336)</f>
        <v>39836.64583</v>
      </c>
      <c r="C280" s="2">
        <f>IFERROR(__xludf.DUMMYFUNCTION("""COMPUTED_VALUE"""),92.3)</f>
        <v>92.3</v>
      </c>
    </row>
    <row r="281" ht="15.75" customHeight="1">
      <c r="B281" s="3">
        <f>IFERROR(__xludf.DUMMYFUNCTION("""COMPUTED_VALUE"""),39843.645833333336)</f>
        <v>39843.64583</v>
      </c>
      <c r="C281" s="2">
        <f>IFERROR(__xludf.DUMMYFUNCTION("""COMPUTED_VALUE"""),83.8)</f>
        <v>83.8</v>
      </c>
    </row>
    <row r="282" ht="15.75" customHeight="1">
      <c r="B282" s="3">
        <f>IFERROR(__xludf.DUMMYFUNCTION("""COMPUTED_VALUE"""),39850.645833333336)</f>
        <v>39850.64583</v>
      </c>
      <c r="C282" s="2">
        <f>IFERROR(__xludf.DUMMYFUNCTION("""COMPUTED_VALUE"""),81.5)</f>
        <v>81.5</v>
      </c>
    </row>
    <row r="283" ht="15.75" customHeight="1">
      <c r="B283" s="3">
        <f>IFERROR(__xludf.DUMMYFUNCTION("""COMPUTED_VALUE"""),39857.645833333336)</f>
        <v>39857.64583</v>
      </c>
      <c r="C283" s="2">
        <f>IFERROR(__xludf.DUMMYFUNCTION("""COMPUTED_VALUE"""),83.59)</f>
        <v>83.59</v>
      </c>
    </row>
    <row r="284" ht="15.75" customHeight="1">
      <c r="B284" s="3">
        <f>IFERROR(__xludf.DUMMYFUNCTION("""COMPUTED_VALUE"""),39864.645833333336)</f>
        <v>39864.64583</v>
      </c>
      <c r="C284" s="2">
        <f>IFERROR(__xludf.DUMMYFUNCTION("""COMPUTED_VALUE"""),82.09)</f>
        <v>82.09</v>
      </c>
    </row>
    <row r="285" ht="15.75" customHeight="1">
      <c r="B285" s="3">
        <f>IFERROR(__xludf.DUMMYFUNCTION("""COMPUTED_VALUE"""),39871.645833333336)</f>
        <v>39871.64583</v>
      </c>
      <c r="C285" s="2">
        <f>IFERROR(__xludf.DUMMYFUNCTION("""COMPUTED_VALUE"""),71.6)</f>
        <v>71.6</v>
      </c>
    </row>
    <row r="286" ht="15.75" customHeight="1">
      <c r="B286" s="3">
        <f>IFERROR(__xludf.DUMMYFUNCTION("""COMPUTED_VALUE"""),39878.645833333336)</f>
        <v>39878.64583</v>
      </c>
      <c r="C286" s="2">
        <f>IFERROR(__xludf.DUMMYFUNCTION("""COMPUTED_VALUE"""),67.6)</f>
        <v>67.6</v>
      </c>
    </row>
    <row r="287" ht="15.75" customHeight="1">
      <c r="B287" s="3">
        <f>IFERROR(__xludf.DUMMYFUNCTION("""COMPUTED_VALUE"""),39885.645833333336)</f>
        <v>39885.64583</v>
      </c>
      <c r="C287" s="2">
        <f>IFERROR(__xludf.DUMMYFUNCTION("""COMPUTED_VALUE"""),67.97)</f>
        <v>67.97</v>
      </c>
    </row>
    <row r="288" ht="15.75" customHeight="1">
      <c r="B288" s="3">
        <f>IFERROR(__xludf.DUMMYFUNCTION("""COMPUTED_VALUE"""),39892.645833333336)</f>
        <v>39892.64583</v>
      </c>
      <c r="C288" s="2">
        <f>IFERROR(__xludf.DUMMYFUNCTION("""COMPUTED_VALUE"""),69.88)</f>
        <v>69.88</v>
      </c>
    </row>
    <row r="289" ht="15.75" customHeight="1">
      <c r="B289" s="3">
        <f>IFERROR(__xludf.DUMMYFUNCTION("""COMPUTED_VALUE"""),39899.645833333336)</f>
        <v>39899.64583</v>
      </c>
      <c r="C289" s="2">
        <f>IFERROR(__xludf.DUMMYFUNCTION("""COMPUTED_VALUE"""),89.97)</f>
        <v>89.97</v>
      </c>
    </row>
    <row r="290" ht="15.75" customHeight="1">
      <c r="B290" s="3">
        <f>IFERROR(__xludf.DUMMYFUNCTION("""COMPUTED_VALUE"""),39905.645833333336)</f>
        <v>39905.64583</v>
      </c>
      <c r="C290" s="2">
        <f>IFERROR(__xludf.DUMMYFUNCTION("""COMPUTED_VALUE"""),88.34)</f>
        <v>88.34</v>
      </c>
    </row>
    <row r="291" ht="15.75" customHeight="1">
      <c r="B291" s="3">
        <f>IFERROR(__xludf.DUMMYFUNCTION("""COMPUTED_VALUE"""),39912.645833333336)</f>
        <v>39912.64583</v>
      </c>
      <c r="C291" s="2">
        <f>IFERROR(__xludf.DUMMYFUNCTION("""COMPUTED_VALUE"""),93.75)</f>
        <v>93.75</v>
      </c>
    </row>
    <row r="292" ht="15.75" customHeight="1">
      <c r="B292" s="3">
        <f>IFERROR(__xludf.DUMMYFUNCTION("""COMPUTED_VALUE"""),39920.645833333336)</f>
        <v>39920.64583</v>
      </c>
      <c r="C292" s="2">
        <f>IFERROR(__xludf.DUMMYFUNCTION("""COMPUTED_VALUE"""),101.9)</f>
        <v>101.9</v>
      </c>
    </row>
    <row r="293" ht="15.75" customHeight="1">
      <c r="B293" s="3">
        <f>IFERROR(__xludf.DUMMYFUNCTION("""COMPUTED_VALUE"""),39927.645833333336)</f>
        <v>39927.64583</v>
      </c>
      <c r="C293" s="2">
        <f>IFERROR(__xludf.DUMMYFUNCTION("""COMPUTED_VALUE"""),104.33)</f>
        <v>104.33</v>
      </c>
    </row>
    <row r="294" ht="15.75" customHeight="1">
      <c r="B294" s="3">
        <f>IFERROR(__xludf.DUMMYFUNCTION("""COMPUTED_VALUE"""),39932.645833333336)</f>
        <v>39932.64583</v>
      </c>
      <c r="C294" s="2">
        <f>IFERROR(__xludf.DUMMYFUNCTION("""COMPUTED_VALUE"""),108.94)</f>
        <v>108.94</v>
      </c>
    </row>
    <row r="295" ht="15.75" customHeight="1">
      <c r="B295" s="3">
        <f>IFERROR(__xludf.DUMMYFUNCTION("""COMPUTED_VALUE"""),39941.645833333336)</f>
        <v>39941.64583</v>
      </c>
      <c r="C295" s="2">
        <f>IFERROR(__xludf.DUMMYFUNCTION("""COMPUTED_VALUE"""),106.4)</f>
        <v>106.4</v>
      </c>
    </row>
    <row r="296" ht="15.75" customHeight="1">
      <c r="B296" s="3">
        <f>IFERROR(__xludf.DUMMYFUNCTION("""COMPUTED_VALUE"""),39948.645833333336)</f>
        <v>39948.64583</v>
      </c>
      <c r="C296" s="2">
        <f>IFERROR(__xludf.DUMMYFUNCTION("""COMPUTED_VALUE"""),117.8)</f>
        <v>117.8</v>
      </c>
    </row>
    <row r="297" ht="15.75" customHeight="1">
      <c r="B297" s="3">
        <f>IFERROR(__xludf.DUMMYFUNCTION("""COMPUTED_VALUE"""),39955.645833333336)</f>
        <v>39955.64583</v>
      </c>
      <c r="C297" s="2">
        <f>IFERROR(__xludf.DUMMYFUNCTION("""COMPUTED_VALUE"""),145.0)</f>
        <v>145</v>
      </c>
    </row>
    <row r="298" ht="15.75" customHeight="1">
      <c r="B298" s="3">
        <f>IFERROR(__xludf.DUMMYFUNCTION("""COMPUTED_VALUE"""),39962.645833333336)</f>
        <v>39962.64583</v>
      </c>
      <c r="C298" s="2">
        <f>IFERROR(__xludf.DUMMYFUNCTION("""COMPUTED_VALUE"""),135.2)</f>
        <v>135.2</v>
      </c>
    </row>
    <row r="299" ht="15.75" customHeight="1">
      <c r="B299" s="3">
        <f>IFERROR(__xludf.DUMMYFUNCTION("""COMPUTED_VALUE"""),39969.645833333336)</f>
        <v>39969.64583</v>
      </c>
      <c r="C299" s="2">
        <f>IFERROR(__xludf.DUMMYFUNCTION("""COMPUTED_VALUE"""),136.88)</f>
        <v>136.88</v>
      </c>
    </row>
    <row r="300" ht="15.75" customHeight="1">
      <c r="B300" s="3">
        <f>IFERROR(__xludf.DUMMYFUNCTION("""COMPUTED_VALUE"""),39976.645833333336)</f>
        <v>39976.64583</v>
      </c>
      <c r="C300" s="2">
        <f>IFERROR(__xludf.DUMMYFUNCTION("""COMPUTED_VALUE"""),131.97)</f>
        <v>131.97</v>
      </c>
    </row>
    <row r="301" ht="15.75" customHeight="1">
      <c r="B301" s="3">
        <f>IFERROR(__xludf.DUMMYFUNCTION("""COMPUTED_VALUE"""),39983.645833333336)</f>
        <v>39983.64583</v>
      </c>
      <c r="C301" s="2">
        <f>IFERROR(__xludf.DUMMYFUNCTION("""COMPUTED_VALUE"""),129.4)</f>
        <v>129.4</v>
      </c>
    </row>
    <row r="302" ht="15.75" customHeight="1">
      <c r="B302" s="3">
        <f>IFERROR(__xludf.DUMMYFUNCTION("""COMPUTED_VALUE"""),39990.645833333336)</f>
        <v>39990.64583</v>
      </c>
      <c r="C302" s="2">
        <f>IFERROR(__xludf.DUMMYFUNCTION("""COMPUTED_VALUE"""),133.4)</f>
        <v>133.4</v>
      </c>
    </row>
    <row r="303" ht="15.75" customHeight="1">
      <c r="B303" s="3">
        <f>IFERROR(__xludf.DUMMYFUNCTION("""COMPUTED_VALUE"""),39997.645833333336)</f>
        <v>39997.64583</v>
      </c>
      <c r="C303" s="2">
        <f>IFERROR(__xludf.DUMMYFUNCTION("""COMPUTED_VALUE"""),139.92)</f>
        <v>139.92</v>
      </c>
    </row>
    <row r="304" ht="15.75" customHeight="1">
      <c r="B304" s="3">
        <f>IFERROR(__xludf.DUMMYFUNCTION("""COMPUTED_VALUE"""),40004.645833333336)</f>
        <v>40004.64583</v>
      </c>
      <c r="C304" s="2">
        <f>IFERROR(__xludf.DUMMYFUNCTION("""COMPUTED_VALUE"""),142.4)</f>
        <v>142.4</v>
      </c>
    </row>
    <row r="305" ht="15.75" customHeight="1">
      <c r="B305" s="3">
        <f>IFERROR(__xludf.DUMMYFUNCTION("""COMPUTED_VALUE"""),40011.645833333336)</f>
        <v>40011.64583</v>
      </c>
      <c r="C305" s="2">
        <f>IFERROR(__xludf.DUMMYFUNCTION("""COMPUTED_VALUE"""),139.6)</f>
        <v>139.6</v>
      </c>
    </row>
    <row r="306" ht="15.75" customHeight="1">
      <c r="B306" s="3">
        <f>IFERROR(__xludf.DUMMYFUNCTION("""COMPUTED_VALUE"""),40018.645833333336)</f>
        <v>40018.64583</v>
      </c>
      <c r="C306" s="2">
        <f>IFERROR(__xludf.DUMMYFUNCTION("""COMPUTED_VALUE"""),148.61)</f>
        <v>148.61</v>
      </c>
    </row>
    <row r="307" ht="15.75" customHeight="1">
      <c r="B307" s="3">
        <f>IFERROR(__xludf.DUMMYFUNCTION("""COMPUTED_VALUE"""),40025.645833333336)</f>
        <v>40025.64583</v>
      </c>
      <c r="C307" s="2">
        <f>IFERROR(__xludf.DUMMYFUNCTION("""COMPUTED_VALUE"""),150.4)</f>
        <v>150.4</v>
      </c>
    </row>
    <row r="308" ht="15.75" customHeight="1">
      <c r="B308" s="3">
        <f>IFERROR(__xludf.DUMMYFUNCTION("""COMPUTED_VALUE"""),40032.645833333336)</f>
        <v>40032.64583</v>
      </c>
      <c r="C308" s="2">
        <f>IFERROR(__xludf.DUMMYFUNCTION("""COMPUTED_VALUE"""),143.5)</f>
        <v>143.5</v>
      </c>
    </row>
    <row r="309" ht="15.75" customHeight="1">
      <c r="B309" s="3">
        <f>IFERROR(__xludf.DUMMYFUNCTION("""COMPUTED_VALUE"""),40039.645833333336)</f>
        <v>40039.64583</v>
      </c>
      <c r="C309" s="2">
        <f>IFERROR(__xludf.DUMMYFUNCTION("""COMPUTED_VALUE"""),141.34)</f>
        <v>141.34</v>
      </c>
    </row>
    <row r="310" ht="15.75" customHeight="1">
      <c r="B310" s="3">
        <f>IFERROR(__xludf.DUMMYFUNCTION("""COMPUTED_VALUE"""),40046.645833333336)</f>
        <v>40046.64583</v>
      </c>
      <c r="C310" s="2">
        <f>IFERROR(__xludf.DUMMYFUNCTION("""COMPUTED_VALUE"""),138.0)</f>
        <v>138</v>
      </c>
    </row>
    <row r="311" ht="15.75" customHeight="1">
      <c r="B311" s="3">
        <f>IFERROR(__xludf.DUMMYFUNCTION("""COMPUTED_VALUE"""),40053.645833333336)</f>
        <v>40053.64583</v>
      </c>
      <c r="C311" s="2">
        <f>IFERROR(__xludf.DUMMYFUNCTION("""COMPUTED_VALUE"""),137.78)</f>
        <v>137.78</v>
      </c>
    </row>
    <row r="312" ht="15.75" customHeight="1">
      <c r="B312" s="3">
        <f>IFERROR(__xludf.DUMMYFUNCTION("""COMPUTED_VALUE"""),40060.645833333336)</f>
        <v>40060.64583</v>
      </c>
      <c r="C312" s="2">
        <f>IFERROR(__xludf.DUMMYFUNCTION("""COMPUTED_VALUE"""),139.8)</f>
        <v>139.8</v>
      </c>
    </row>
    <row r="313" ht="15.75" customHeight="1">
      <c r="B313" s="3">
        <f>IFERROR(__xludf.DUMMYFUNCTION("""COMPUTED_VALUE"""),40067.645833333336)</f>
        <v>40067.64583</v>
      </c>
      <c r="C313" s="2">
        <f>IFERROR(__xludf.DUMMYFUNCTION("""COMPUTED_VALUE"""),143.0)</f>
        <v>143</v>
      </c>
    </row>
    <row r="314" ht="15.75" customHeight="1">
      <c r="B314" s="3">
        <f>IFERROR(__xludf.DUMMYFUNCTION("""COMPUTED_VALUE"""),40074.645833333336)</f>
        <v>40074.64583</v>
      </c>
      <c r="C314" s="2">
        <f>IFERROR(__xludf.DUMMYFUNCTION("""COMPUTED_VALUE"""),157.42)</f>
        <v>157.42</v>
      </c>
    </row>
    <row r="315" ht="15.75" customHeight="1">
      <c r="B315" s="3">
        <f>IFERROR(__xludf.DUMMYFUNCTION("""COMPUTED_VALUE"""),40081.645833333336)</f>
        <v>40081.64583</v>
      </c>
      <c r="C315" s="2">
        <f>IFERROR(__xludf.DUMMYFUNCTION("""COMPUTED_VALUE"""),160.36)</f>
        <v>160.36</v>
      </c>
    </row>
    <row r="316" ht="15.75" customHeight="1">
      <c r="B316" s="3">
        <f>IFERROR(__xludf.DUMMYFUNCTION("""COMPUTED_VALUE"""),40087.645833333336)</f>
        <v>40087.64583</v>
      </c>
      <c r="C316" s="2">
        <f>IFERROR(__xludf.DUMMYFUNCTION("""COMPUTED_VALUE"""),163.4)</f>
        <v>163.4</v>
      </c>
    </row>
    <row r="317" ht="15.75" customHeight="1">
      <c r="B317" s="3">
        <f>IFERROR(__xludf.DUMMYFUNCTION("""COMPUTED_VALUE"""),40095.645833333336)</f>
        <v>40095.64583</v>
      </c>
      <c r="C317" s="2">
        <f>IFERROR(__xludf.DUMMYFUNCTION("""COMPUTED_VALUE"""),171.72)</f>
        <v>171.72</v>
      </c>
    </row>
    <row r="318" ht="15.75" customHeight="1">
      <c r="B318" s="3">
        <f>IFERROR(__xludf.DUMMYFUNCTION("""COMPUTED_VALUE"""),40109.645833333336)</f>
        <v>40109.64583</v>
      </c>
      <c r="C318" s="2">
        <f>IFERROR(__xludf.DUMMYFUNCTION("""COMPUTED_VALUE"""),181.86)</f>
        <v>181.86</v>
      </c>
    </row>
    <row r="319" ht="15.75" customHeight="1">
      <c r="B319" s="3">
        <f>IFERROR(__xludf.DUMMYFUNCTION("""COMPUTED_VALUE"""),40116.645833333336)</f>
        <v>40116.64583</v>
      </c>
      <c r="C319" s="2">
        <f>IFERROR(__xludf.DUMMYFUNCTION("""COMPUTED_VALUE"""),179.6)</f>
        <v>179.6</v>
      </c>
    </row>
    <row r="320" ht="15.75" customHeight="1">
      <c r="B320" s="3">
        <f>IFERROR(__xludf.DUMMYFUNCTION("""COMPUTED_VALUE"""),40123.645833333336)</f>
        <v>40123.64583</v>
      </c>
      <c r="C320" s="2">
        <f>IFERROR(__xludf.DUMMYFUNCTION("""COMPUTED_VALUE"""),180.36)</f>
        <v>180.36</v>
      </c>
    </row>
    <row r="321" ht="15.75" customHeight="1">
      <c r="B321" s="3">
        <f>IFERROR(__xludf.DUMMYFUNCTION("""COMPUTED_VALUE"""),40130.645833333336)</f>
        <v>40130.64583</v>
      </c>
      <c r="C321" s="2">
        <f>IFERROR(__xludf.DUMMYFUNCTION("""COMPUTED_VALUE"""),186.88)</f>
        <v>186.88</v>
      </c>
    </row>
    <row r="322" ht="15.75" customHeight="1">
      <c r="B322" s="3">
        <f>IFERROR(__xludf.DUMMYFUNCTION("""COMPUTED_VALUE"""),40137.645833333336)</f>
        <v>40137.64583</v>
      </c>
      <c r="C322" s="2">
        <f>IFERROR(__xludf.DUMMYFUNCTION("""COMPUTED_VALUE"""),186.94)</f>
        <v>186.94</v>
      </c>
    </row>
    <row r="323" ht="15.75" customHeight="1">
      <c r="B323" s="3">
        <f>IFERROR(__xludf.DUMMYFUNCTION("""COMPUTED_VALUE"""),40144.645833333336)</f>
        <v>40144.64583</v>
      </c>
      <c r="C323" s="2">
        <f>IFERROR(__xludf.DUMMYFUNCTION("""COMPUTED_VALUE"""),189.6)</f>
        <v>189.6</v>
      </c>
    </row>
    <row r="324" ht="15.75" customHeight="1">
      <c r="B324" s="3">
        <f>IFERROR(__xludf.DUMMYFUNCTION("""COMPUTED_VALUE"""),40151.645833333336)</f>
        <v>40151.64583</v>
      </c>
      <c r="C324" s="2">
        <f>IFERROR(__xludf.DUMMYFUNCTION("""COMPUTED_VALUE"""),199.94)</f>
        <v>199.94</v>
      </c>
    </row>
    <row r="325" ht="15.75" customHeight="1">
      <c r="B325" s="3">
        <f>IFERROR(__xludf.DUMMYFUNCTION("""COMPUTED_VALUE"""),40158.645833333336)</f>
        <v>40158.64583</v>
      </c>
      <c r="C325" s="2">
        <f>IFERROR(__xludf.DUMMYFUNCTION("""COMPUTED_VALUE"""),188.36)</f>
        <v>188.36</v>
      </c>
    </row>
    <row r="326" ht="15.75" customHeight="1">
      <c r="B326" s="3">
        <f>IFERROR(__xludf.DUMMYFUNCTION("""COMPUTED_VALUE"""),40165.645833333336)</f>
        <v>40165.64583</v>
      </c>
      <c r="C326" s="2">
        <f>IFERROR(__xludf.DUMMYFUNCTION("""COMPUTED_VALUE"""),184.74)</f>
        <v>184.74</v>
      </c>
    </row>
    <row r="327" ht="15.75" customHeight="1">
      <c r="B327" s="3">
        <f>IFERROR(__xludf.DUMMYFUNCTION("""COMPUTED_VALUE"""),40171.645833333336)</f>
        <v>40171.64583</v>
      </c>
      <c r="C327" s="2">
        <f>IFERROR(__xludf.DUMMYFUNCTION("""COMPUTED_VALUE"""),183.0)</f>
        <v>183</v>
      </c>
    </row>
    <row r="328" ht="15.75" customHeight="1">
      <c r="B328" s="3">
        <f>IFERROR(__xludf.DUMMYFUNCTION("""COMPUTED_VALUE"""),40178.645833333336)</f>
        <v>40178.64583</v>
      </c>
      <c r="C328" s="2">
        <f>IFERROR(__xludf.DUMMYFUNCTION("""COMPUTED_VALUE"""),184.6)</f>
        <v>184.6</v>
      </c>
    </row>
    <row r="329" ht="15.75" customHeight="1"/>
    <row r="330" ht="15.75" customHeight="1"/>
    <row r="331" ht="15.75" customHeight="1">
      <c r="B331" s="2" t="str">
        <f>IFERROR(__xludf.DUMMYFUNCTION("GOOGLEFINANCE(""NSE:PNB"", ""high"",DATE(2010,1,1),DATE(2011,1,1),""weekly"")"),"Date")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IFERROR(__xludf.DUMMYFUNCTION("""COMPUTED_VALUE"""),40186.645833333336)</f>
        <v>40186.64583</v>
      </c>
      <c r="C332" s="2">
        <f>IFERROR(__xludf.DUMMYFUNCTION("""COMPUTED_VALUE"""),190.2)</f>
        <v>190.2</v>
      </c>
    </row>
    <row r="333" ht="15.75" customHeight="1">
      <c r="B333" s="3">
        <f>IFERROR(__xludf.DUMMYFUNCTION("""COMPUTED_VALUE"""),40193.645833333336)</f>
        <v>40193.64583</v>
      </c>
      <c r="C333" s="2">
        <f>IFERROR(__xludf.DUMMYFUNCTION("""COMPUTED_VALUE"""),192.07)</f>
        <v>192.07</v>
      </c>
    </row>
    <row r="334" ht="15.75" customHeight="1">
      <c r="B334" s="3">
        <f>IFERROR(__xludf.DUMMYFUNCTION("""COMPUTED_VALUE"""),40200.645833333336)</f>
        <v>40200.64583</v>
      </c>
      <c r="C334" s="2">
        <f>IFERROR(__xludf.DUMMYFUNCTION("""COMPUTED_VALUE"""),188.0)</f>
        <v>188</v>
      </c>
    </row>
    <row r="335" ht="15.75" customHeight="1">
      <c r="B335" s="3">
        <f>IFERROR(__xludf.DUMMYFUNCTION("""COMPUTED_VALUE"""),40207.645833333336)</f>
        <v>40207.64583</v>
      </c>
      <c r="C335" s="2">
        <f>IFERROR(__xludf.DUMMYFUNCTION("""COMPUTED_VALUE"""),181.8)</f>
        <v>181.8</v>
      </c>
    </row>
    <row r="336" ht="15.75" customHeight="1">
      <c r="B336" s="3">
        <f>IFERROR(__xludf.DUMMYFUNCTION("""COMPUTED_VALUE"""),40220.645833333336)</f>
        <v>40220.64583</v>
      </c>
      <c r="C336" s="2">
        <f>IFERROR(__xludf.DUMMYFUNCTION("""COMPUTED_VALUE"""),180.0)</f>
        <v>180</v>
      </c>
    </row>
    <row r="337" ht="15.75" customHeight="1">
      <c r="B337" s="3">
        <f>IFERROR(__xludf.DUMMYFUNCTION("""COMPUTED_VALUE"""),40228.645833333336)</f>
        <v>40228.64583</v>
      </c>
      <c r="C337" s="2">
        <f>IFERROR(__xludf.DUMMYFUNCTION("""COMPUTED_VALUE"""),181.99)</f>
        <v>181.99</v>
      </c>
    </row>
    <row r="338" ht="15.75" customHeight="1">
      <c r="B338" s="3">
        <f>IFERROR(__xludf.DUMMYFUNCTION("""COMPUTED_VALUE"""),40235.645833333336)</f>
        <v>40235.64583</v>
      </c>
      <c r="C338" s="2">
        <f>IFERROR(__xludf.DUMMYFUNCTION("""COMPUTED_VALUE"""),184.39)</f>
        <v>184.39</v>
      </c>
    </row>
    <row r="339" ht="15.75" customHeight="1">
      <c r="B339" s="3">
        <f>IFERROR(__xludf.DUMMYFUNCTION("""COMPUTED_VALUE"""),40242.645833333336)</f>
        <v>40242.64583</v>
      </c>
      <c r="C339" s="2">
        <f>IFERROR(__xludf.DUMMYFUNCTION("""COMPUTED_VALUE"""),188.4)</f>
        <v>188.4</v>
      </c>
    </row>
    <row r="340" ht="15.75" customHeight="1">
      <c r="B340" s="3">
        <f>IFERROR(__xludf.DUMMYFUNCTION("""COMPUTED_VALUE"""),40249.645833333336)</f>
        <v>40249.64583</v>
      </c>
      <c r="C340" s="2">
        <f>IFERROR(__xludf.DUMMYFUNCTION("""COMPUTED_VALUE"""),187.4)</f>
        <v>187.4</v>
      </c>
    </row>
    <row r="341" ht="15.75" customHeight="1">
      <c r="B341" s="3">
        <f>IFERROR(__xludf.DUMMYFUNCTION("""COMPUTED_VALUE"""),40256.645833333336)</f>
        <v>40256.64583</v>
      </c>
      <c r="C341" s="2">
        <f>IFERROR(__xludf.DUMMYFUNCTION("""COMPUTED_VALUE"""),193.6)</f>
        <v>193.6</v>
      </c>
    </row>
    <row r="342" ht="15.75" customHeight="1">
      <c r="B342" s="3">
        <f>IFERROR(__xludf.DUMMYFUNCTION("""COMPUTED_VALUE"""),40263.645833333336)</f>
        <v>40263.64583</v>
      </c>
      <c r="C342" s="2">
        <f>IFERROR(__xludf.DUMMYFUNCTION("""COMPUTED_VALUE"""),203.5)</f>
        <v>203.5</v>
      </c>
    </row>
    <row r="343" ht="15.75" customHeight="1">
      <c r="B343" s="3">
        <f>IFERROR(__xludf.DUMMYFUNCTION("""COMPUTED_VALUE"""),40269.645833333336)</f>
        <v>40269.64583</v>
      </c>
      <c r="C343" s="2">
        <f>IFERROR(__xludf.DUMMYFUNCTION("""COMPUTED_VALUE"""),204.8)</f>
        <v>204.8</v>
      </c>
    </row>
    <row r="344" ht="15.75" customHeight="1">
      <c r="B344" s="3">
        <f>IFERROR(__xludf.DUMMYFUNCTION("""COMPUTED_VALUE"""),40277.645833333336)</f>
        <v>40277.64583</v>
      </c>
      <c r="C344" s="2">
        <f>IFERROR(__xludf.DUMMYFUNCTION("""COMPUTED_VALUE"""),208.76)</f>
        <v>208.76</v>
      </c>
    </row>
    <row r="345" ht="15.75" customHeight="1">
      <c r="B345" s="3">
        <f>IFERROR(__xludf.DUMMYFUNCTION("""COMPUTED_VALUE"""),40284.645833333336)</f>
        <v>40284.64583</v>
      </c>
      <c r="C345" s="2">
        <f>IFERROR(__xludf.DUMMYFUNCTION("""COMPUTED_VALUE"""),202.9)</f>
        <v>202.9</v>
      </c>
    </row>
    <row r="346" ht="15.75" customHeight="1">
      <c r="B346" s="3">
        <f>IFERROR(__xludf.DUMMYFUNCTION("""COMPUTED_VALUE"""),40291.645833333336)</f>
        <v>40291.64583</v>
      </c>
      <c r="C346" s="2">
        <f>IFERROR(__xludf.DUMMYFUNCTION("""COMPUTED_VALUE"""),211.31)</f>
        <v>211.31</v>
      </c>
    </row>
    <row r="347" ht="15.75" customHeight="1">
      <c r="B347" s="3">
        <f>IFERROR(__xludf.DUMMYFUNCTION("""COMPUTED_VALUE"""),40298.645833333336)</f>
        <v>40298.64583</v>
      </c>
      <c r="C347" s="2">
        <f>IFERROR(__xludf.DUMMYFUNCTION("""COMPUTED_VALUE"""),209.95)</f>
        <v>209.95</v>
      </c>
    </row>
    <row r="348" ht="15.75" customHeight="1">
      <c r="B348" s="3">
        <f>IFERROR(__xludf.DUMMYFUNCTION("""COMPUTED_VALUE"""),40305.645833333336)</f>
        <v>40305.64583</v>
      </c>
      <c r="C348" s="2">
        <f>IFERROR(__xludf.DUMMYFUNCTION("""COMPUTED_VALUE"""),229.0)</f>
        <v>229</v>
      </c>
    </row>
    <row r="349" ht="15.75" customHeight="1">
      <c r="B349" s="3">
        <f>IFERROR(__xludf.DUMMYFUNCTION("""COMPUTED_VALUE"""),40312.645833333336)</f>
        <v>40312.64583</v>
      </c>
      <c r="C349" s="2">
        <f>IFERROR(__xludf.DUMMYFUNCTION("""COMPUTED_VALUE"""),219.38)</f>
        <v>219.38</v>
      </c>
    </row>
    <row r="350" ht="15.75" customHeight="1">
      <c r="B350" s="3">
        <f>IFERROR(__xludf.DUMMYFUNCTION("""COMPUTED_VALUE"""),40319.645833333336)</f>
        <v>40319.64583</v>
      </c>
      <c r="C350" s="2">
        <f>IFERROR(__xludf.DUMMYFUNCTION("""COMPUTED_VALUE"""),207.0)</f>
        <v>207</v>
      </c>
    </row>
    <row r="351" ht="15.75" customHeight="1">
      <c r="B351" s="3">
        <f>IFERROR(__xludf.DUMMYFUNCTION("""COMPUTED_VALUE"""),40326.645833333336)</f>
        <v>40326.64583</v>
      </c>
      <c r="C351" s="2">
        <f>IFERROR(__xludf.DUMMYFUNCTION("""COMPUTED_VALUE"""),202.3)</f>
        <v>202.3</v>
      </c>
    </row>
    <row r="352" ht="15.75" customHeight="1">
      <c r="B352" s="3">
        <f>IFERROR(__xludf.DUMMYFUNCTION("""COMPUTED_VALUE"""),40333.645833333336)</f>
        <v>40333.64583</v>
      </c>
      <c r="C352" s="2">
        <f>IFERROR(__xludf.DUMMYFUNCTION("""COMPUTED_VALUE"""),203.76)</f>
        <v>203.76</v>
      </c>
    </row>
    <row r="353" ht="15.75" customHeight="1">
      <c r="B353" s="3">
        <f>IFERROR(__xludf.DUMMYFUNCTION("""COMPUTED_VALUE"""),40340.645833333336)</f>
        <v>40340.64583</v>
      </c>
      <c r="C353" s="2">
        <f>IFERROR(__xludf.DUMMYFUNCTION("""COMPUTED_VALUE"""),207.9)</f>
        <v>207.9</v>
      </c>
    </row>
    <row r="354" ht="15.75" customHeight="1">
      <c r="B354" s="3">
        <f>IFERROR(__xludf.DUMMYFUNCTION("""COMPUTED_VALUE"""),40347.645833333336)</f>
        <v>40347.64583</v>
      </c>
      <c r="C354" s="2">
        <f>IFERROR(__xludf.DUMMYFUNCTION("""COMPUTED_VALUE"""),212.2)</f>
        <v>212.2</v>
      </c>
    </row>
    <row r="355" ht="15.75" customHeight="1">
      <c r="B355" s="3">
        <f>IFERROR(__xludf.DUMMYFUNCTION("""COMPUTED_VALUE"""),40354.645833333336)</f>
        <v>40354.64583</v>
      </c>
      <c r="C355" s="2">
        <f>IFERROR(__xludf.DUMMYFUNCTION("""COMPUTED_VALUE"""),213.78)</f>
        <v>213.78</v>
      </c>
    </row>
    <row r="356" ht="15.75" customHeight="1">
      <c r="B356" s="3">
        <f>IFERROR(__xludf.DUMMYFUNCTION("""COMPUTED_VALUE"""),40361.645833333336)</f>
        <v>40361.64583</v>
      </c>
      <c r="C356" s="2">
        <f>IFERROR(__xludf.DUMMYFUNCTION("""COMPUTED_VALUE"""),212.9)</f>
        <v>212.9</v>
      </c>
    </row>
    <row r="357" ht="15.75" customHeight="1">
      <c r="B357" s="3">
        <f>IFERROR(__xludf.DUMMYFUNCTION("""COMPUTED_VALUE"""),40368.645833333336)</f>
        <v>40368.64583</v>
      </c>
      <c r="C357" s="2">
        <f>IFERROR(__xludf.DUMMYFUNCTION("""COMPUTED_VALUE"""),219.6)</f>
        <v>219.6</v>
      </c>
    </row>
    <row r="358" ht="15.75" customHeight="1">
      <c r="B358" s="3">
        <f>IFERROR(__xludf.DUMMYFUNCTION("""COMPUTED_VALUE"""),40375.645833333336)</f>
        <v>40375.64583</v>
      </c>
      <c r="C358" s="2">
        <f>IFERROR(__xludf.DUMMYFUNCTION("""COMPUTED_VALUE"""),214.5)</f>
        <v>214.5</v>
      </c>
    </row>
    <row r="359" ht="15.75" customHeight="1">
      <c r="B359" s="3">
        <f>IFERROR(__xludf.DUMMYFUNCTION("""COMPUTED_VALUE"""),40382.645833333336)</f>
        <v>40382.64583</v>
      </c>
      <c r="C359" s="2">
        <f>IFERROR(__xludf.DUMMYFUNCTION("""COMPUTED_VALUE"""),216.4)</f>
        <v>216.4</v>
      </c>
    </row>
    <row r="360" ht="15.75" customHeight="1">
      <c r="B360" s="3">
        <f>IFERROR(__xludf.DUMMYFUNCTION("""COMPUTED_VALUE"""),40389.645833333336)</f>
        <v>40389.64583</v>
      </c>
      <c r="C360" s="2">
        <f>IFERROR(__xludf.DUMMYFUNCTION("""COMPUTED_VALUE"""),215.58)</f>
        <v>215.58</v>
      </c>
    </row>
    <row r="361" ht="15.75" customHeight="1">
      <c r="B361" s="3">
        <f>IFERROR(__xludf.DUMMYFUNCTION("""COMPUTED_VALUE"""),40396.645833333336)</f>
        <v>40396.64583</v>
      </c>
      <c r="C361" s="2">
        <f>IFERROR(__xludf.DUMMYFUNCTION("""COMPUTED_VALUE"""),235.48)</f>
        <v>235.48</v>
      </c>
    </row>
    <row r="362" ht="15.75" customHeight="1">
      <c r="B362" s="3">
        <f>IFERROR(__xludf.DUMMYFUNCTION("""COMPUTED_VALUE"""),40403.645833333336)</f>
        <v>40403.64583</v>
      </c>
      <c r="C362" s="2">
        <f>IFERROR(__xludf.DUMMYFUNCTION("""COMPUTED_VALUE"""),230.96)</f>
        <v>230.96</v>
      </c>
    </row>
    <row r="363" ht="15.75" customHeight="1">
      <c r="B363" s="3">
        <f>IFERROR(__xludf.DUMMYFUNCTION("""COMPUTED_VALUE"""),40410.645833333336)</f>
        <v>40410.64583</v>
      </c>
      <c r="C363" s="2">
        <f>IFERROR(__xludf.DUMMYFUNCTION("""COMPUTED_VALUE"""),243.54)</f>
        <v>243.54</v>
      </c>
    </row>
    <row r="364" ht="15.75" customHeight="1">
      <c r="B364" s="3">
        <f>IFERROR(__xludf.DUMMYFUNCTION("""COMPUTED_VALUE"""),40417.645833333336)</f>
        <v>40417.64583</v>
      </c>
      <c r="C364" s="2">
        <f>IFERROR(__xludf.DUMMYFUNCTION("""COMPUTED_VALUE"""),245.1)</f>
        <v>245.1</v>
      </c>
    </row>
    <row r="365" ht="15.75" customHeight="1">
      <c r="B365" s="3">
        <f>IFERROR(__xludf.DUMMYFUNCTION("""COMPUTED_VALUE"""),40424.645833333336)</f>
        <v>40424.64583</v>
      </c>
      <c r="C365" s="2">
        <f>IFERROR(__xludf.DUMMYFUNCTION("""COMPUTED_VALUE"""),244.4)</f>
        <v>244.4</v>
      </c>
    </row>
    <row r="366" ht="15.75" customHeight="1">
      <c r="B366" s="3">
        <f>IFERROR(__xludf.DUMMYFUNCTION("""COMPUTED_VALUE"""),40430.645833333336)</f>
        <v>40430.64583</v>
      </c>
      <c r="C366" s="2">
        <f>IFERROR(__xludf.DUMMYFUNCTION("""COMPUTED_VALUE"""),248.74)</f>
        <v>248.74</v>
      </c>
    </row>
    <row r="367" ht="15.75" customHeight="1">
      <c r="B367" s="3">
        <f>IFERROR(__xludf.DUMMYFUNCTION("""COMPUTED_VALUE"""),40438.645833333336)</f>
        <v>40438.64583</v>
      </c>
      <c r="C367" s="2">
        <f>IFERROR(__xludf.DUMMYFUNCTION("""COMPUTED_VALUE"""),265.5)</f>
        <v>265.5</v>
      </c>
    </row>
    <row r="368" ht="15.75" customHeight="1">
      <c r="B368" s="3">
        <f>IFERROR(__xludf.DUMMYFUNCTION("""COMPUTED_VALUE"""),40445.645833333336)</f>
        <v>40445.64583</v>
      </c>
      <c r="C368" s="2">
        <f>IFERROR(__xludf.DUMMYFUNCTION("""COMPUTED_VALUE"""),261.5)</f>
        <v>261.5</v>
      </c>
    </row>
    <row r="369" ht="15.75" customHeight="1">
      <c r="B369" s="3">
        <f>IFERROR(__xludf.DUMMYFUNCTION("""COMPUTED_VALUE"""),40452.645833333336)</f>
        <v>40452.64583</v>
      </c>
      <c r="C369" s="2">
        <f>IFERROR(__xludf.DUMMYFUNCTION("""COMPUTED_VALUE"""),262.97)</f>
        <v>262.97</v>
      </c>
    </row>
    <row r="370" ht="15.75" customHeight="1">
      <c r="B370" s="3">
        <f>IFERROR(__xludf.DUMMYFUNCTION("""COMPUTED_VALUE"""),40459.645833333336)</f>
        <v>40459.64583</v>
      </c>
      <c r="C370" s="2">
        <f>IFERROR(__xludf.DUMMYFUNCTION("""COMPUTED_VALUE"""),266.4)</f>
        <v>266.4</v>
      </c>
    </row>
    <row r="371" ht="15.75" customHeight="1">
      <c r="B371" s="3">
        <f>IFERROR(__xludf.DUMMYFUNCTION("""COMPUTED_VALUE"""),40466.645833333336)</f>
        <v>40466.64583</v>
      </c>
      <c r="C371" s="2">
        <f>IFERROR(__xludf.DUMMYFUNCTION("""COMPUTED_VALUE"""),272.0)</f>
        <v>272</v>
      </c>
    </row>
    <row r="372" ht="15.75" customHeight="1">
      <c r="B372" s="3">
        <f>IFERROR(__xludf.DUMMYFUNCTION("""COMPUTED_VALUE"""),40473.645833333336)</f>
        <v>40473.64583</v>
      </c>
      <c r="C372" s="2">
        <f>IFERROR(__xludf.DUMMYFUNCTION("""COMPUTED_VALUE"""),267.0)</f>
        <v>267</v>
      </c>
    </row>
    <row r="373" ht="15.75" customHeight="1">
      <c r="B373" s="3">
        <f>IFERROR(__xludf.DUMMYFUNCTION("""COMPUTED_VALUE"""),40480.645833333336)</f>
        <v>40480.64583</v>
      </c>
      <c r="C373" s="2">
        <f>IFERROR(__xludf.DUMMYFUNCTION("""COMPUTED_VALUE"""),271.2)</f>
        <v>271.2</v>
      </c>
    </row>
    <row r="374" ht="15.75" customHeight="1">
      <c r="B374" s="3">
        <f>IFERROR(__xludf.DUMMYFUNCTION("""COMPUTED_VALUE"""),40487.645833333336)</f>
        <v>40487.64583</v>
      </c>
      <c r="C374" s="2">
        <f>IFERROR(__xludf.DUMMYFUNCTION("""COMPUTED_VALUE"""),276.77)</f>
        <v>276.77</v>
      </c>
    </row>
    <row r="375" ht="15.75" customHeight="1">
      <c r="B375" s="3">
        <f>IFERROR(__xludf.DUMMYFUNCTION("""COMPUTED_VALUE"""),40494.645833333336)</f>
        <v>40494.64583</v>
      </c>
      <c r="C375" s="2">
        <f>IFERROR(__xludf.DUMMYFUNCTION("""COMPUTED_VALUE"""),279.98)</f>
        <v>279.98</v>
      </c>
    </row>
    <row r="376" ht="15.75" customHeight="1">
      <c r="B376" s="3">
        <f>IFERROR(__xludf.DUMMYFUNCTION("""COMPUTED_VALUE"""),40501.645833333336)</f>
        <v>40501.64583</v>
      </c>
      <c r="C376" s="2">
        <f>IFERROR(__xludf.DUMMYFUNCTION("""COMPUTED_VALUE"""),267.78)</f>
        <v>267.78</v>
      </c>
    </row>
    <row r="377" ht="15.75" customHeight="1">
      <c r="B377" s="3">
        <f>IFERROR(__xludf.DUMMYFUNCTION("""COMPUTED_VALUE"""),40508.645833333336)</f>
        <v>40508.64583</v>
      </c>
      <c r="C377" s="2">
        <f>IFERROR(__xludf.DUMMYFUNCTION("""COMPUTED_VALUE"""),264.98)</f>
        <v>264.98</v>
      </c>
    </row>
    <row r="378" ht="15.75" customHeight="1">
      <c r="B378" s="3">
        <f>IFERROR(__xludf.DUMMYFUNCTION("""COMPUTED_VALUE"""),40515.645833333336)</f>
        <v>40515.64583</v>
      </c>
      <c r="C378" s="2">
        <f>IFERROR(__xludf.DUMMYFUNCTION("""COMPUTED_VALUE"""),256.6)</f>
        <v>256.6</v>
      </c>
    </row>
    <row r="379" ht="15.75" customHeight="1">
      <c r="B379" s="3">
        <f>IFERROR(__xludf.DUMMYFUNCTION("""COMPUTED_VALUE"""),40522.645833333336)</f>
        <v>40522.64583</v>
      </c>
      <c r="C379" s="2">
        <f>IFERROR(__xludf.DUMMYFUNCTION("""COMPUTED_VALUE"""),257.8)</f>
        <v>257.8</v>
      </c>
    </row>
    <row r="380" ht="15.75" customHeight="1">
      <c r="B380" s="3">
        <f>IFERROR(__xludf.DUMMYFUNCTION("""COMPUTED_VALUE"""),40528.645833333336)</f>
        <v>40528.64583</v>
      </c>
      <c r="C380" s="2">
        <f>IFERROR(__xludf.DUMMYFUNCTION("""COMPUTED_VALUE"""),249.94)</f>
        <v>249.94</v>
      </c>
    </row>
    <row r="381" ht="15.75" customHeight="1">
      <c r="B381" s="3">
        <f>IFERROR(__xludf.DUMMYFUNCTION("""COMPUTED_VALUE"""),40536.645833333336)</f>
        <v>40536.64583</v>
      </c>
      <c r="C381" s="2">
        <f>IFERROR(__xludf.DUMMYFUNCTION("""COMPUTED_VALUE"""),247.37)</f>
        <v>247.37</v>
      </c>
    </row>
    <row r="382" ht="15.75" customHeight="1">
      <c r="B382" s="3">
        <f>IFERROR(__xludf.DUMMYFUNCTION("""COMPUTED_VALUE"""),40543.645833333336)</f>
        <v>40543.64583</v>
      </c>
      <c r="C382" s="2">
        <f>IFERROR(__xludf.DUMMYFUNCTION("""COMPUTED_VALUE"""),248.0)</f>
        <v>248</v>
      </c>
    </row>
    <row r="383" ht="15.75" customHeight="1"/>
    <row r="384" ht="15.75" customHeight="1"/>
    <row r="385" ht="15.75" customHeight="1"/>
    <row r="386" ht="15.75" customHeight="1">
      <c r="B386" s="2" t="str">
        <f>IFERROR(__xludf.DUMMYFUNCTION("GOOGLEFINANCE(""NSE:PNB"", ""high"",DATE(2011,1,1),DATE(2012,1,1),""weekly"")"),"Date")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IFERROR(__xludf.DUMMYFUNCTION("""COMPUTED_VALUE"""),40550.645833333336)</f>
        <v>40550.64583</v>
      </c>
      <c r="C387" s="2">
        <f>IFERROR(__xludf.DUMMYFUNCTION("""COMPUTED_VALUE"""),247.4)</f>
        <v>247.4</v>
      </c>
    </row>
    <row r="388" ht="15.75" customHeight="1">
      <c r="B388" s="3">
        <f>IFERROR(__xludf.DUMMYFUNCTION("""COMPUTED_VALUE"""),40557.645833333336)</f>
        <v>40557.64583</v>
      </c>
      <c r="C388" s="2">
        <f>IFERROR(__xludf.DUMMYFUNCTION("""COMPUTED_VALUE"""),239.76)</f>
        <v>239.76</v>
      </c>
    </row>
    <row r="389" ht="15.75" customHeight="1">
      <c r="B389" s="3">
        <f>IFERROR(__xludf.DUMMYFUNCTION("""COMPUTED_VALUE"""),40564.645833333336)</f>
        <v>40564.64583</v>
      </c>
      <c r="C389" s="2">
        <f>IFERROR(__xludf.DUMMYFUNCTION("""COMPUTED_VALUE"""),233.22)</f>
        <v>233.22</v>
      </c>
    </row>
    <row r="390" ht="15.75" customHeight="1">
      <c r="B390" s="3">
        <f>IFERROR(__xludf.DUMMYFUNCTION("""COMPUTED_VALUE"""),40571.645833333336)</f>
        <v>40571.64583</v>
      </c>
      <c r="C390" s="2">
        <f>IFERROR(__xludf.DUMMYFUNCTION("""COMPUTED_VALUE"""),231.98)</f>
        <v>231.98</v>
      </c>
    </row>
    <row r="391" ht="15.75" customHeight="1">
      <c r="B391" s="3">
        <f>IFERROR(__xludf.DUMMYFUNCTION("""COMPUTED_VALUE"""),40578.645833333336)</f>
        <v>40578.64583</v>
      </c>
      <c r="C391" s="2">
        <f>IFERROR(__xludf.DUMMYFUNCTION("""COMPUTED_VALUE"""),227.8)</f>
        <v>227.8</v>
      </c>
    </row>
    <row r="392" ht="15.75" customHeight="1">
      <c r="B392" s="3">
        <f>IFERROR(__xludf.DUMMYFUNCTION("""COMPUTED_VALUE"""),40585.645833333336)</f>
        <v>40585.64583</v>
      </c>
      <c r="C392" s="2">
        <f>IFERROR(__xludf.DUMMYFUNCTION("""COMPUTED_VALUE"""),214.6)</f>
        <v>214.6</v>
      </c>
    </row>
    <row r="393" ht="15.75" customHeight="1">
      <c r="B393" s="3">
        <f>IFERROR(__xludf.DUMMYFUNCTION("""COMPUTED_VALUE"""),40592.645833333336)</f>
        <v>40592.64583</v>
      </c>
      <c r="C393" s="2">
        <f>IFERROR(__xludf.DUMMYFUNCTION("""COMPUTED_VALUE"""),225.4)</f>
        <v>225.4</v>
      </c>
    </row>
    <row r="394" ht="15.75" customHeight="1">
      <c r="B394" s="3">
        <f>IFERROR(__xludf.DUMMYFUNCTION("""COMPUTED_VALUE"""),40599.645833333336)</f>
        <v>40599.64583</v>
      </c>
      <c r="C394" s="2">
        <f>IFERROR(__xludf.DUMMYFUNCTION("""COMPUTED_VALUE"""),221.2)</f>
        <v>221.2</v>
      </c>
    </row>
    <row r="395" ht="15.75" customHeight="1">
      <c r="B395" s="3">
        <f>IFERROR(__xludf.DUMMYFUNCTION("""COMPUTED_VALUE"""),40606.645833333336)</f>
        <v>40606.64583</v>
      </c>
      <c r="C395" s="2">
        <f>IFERROR(__xludf.DUMMYFUNCTION("""COMPUTED_VALUE"""),223.8)</f>
        <v>223.8</v>
      </c>
    </row>
    <row r="396" ht="15.75" customHeight="1">
      <c r="B396" s="3">
        <f>IFERROR(__xludf.DUMMYFUNCTION("""COMPUTED_VALUE"""),40613.645833333336)</f>
        <v>40613.64583</v>
      </c>
      <c r="C396" s="2">
        <f>IFERROR(__xludf.DUMMYFUNCTION("""COMPUTED_VALUE"""),219.74)</f>
        <v>219.74</v>
      </c>
    </row>
    <row r="397" ht="15.75" customHeight="1">
      <c r="B397" s="3">
        <f>IFERROR(__xludf.DUMMYFUNCTION("""COMPUTED_VALUE"""),40620.645833333336)</f>
        <v>40620.64583</v>
      </c>
      <c r="C397" s="2">
        <f>IFERROR(__xludf.DUMMYFUNCTION("""COMPUTED_VALUE"""),222.2)</f>
        <v>222.2</v>
      </c>
    </row>
    <row r="398" ht="15.75" customHeight="1">
      <c r="B398" s="3">
        <f>IFERROR(__xludf.DUMMYFUNCTION("""COMPUTED_VALUE"""),40627.645833333336)</f>
        <v>40627.64583</v>
      </c>
      <c r="C398" s="2">
        <f>IFERROR(__xludf.DUMMYFUNCTION("""COMPUTED_VALUE"""),229.35)</f>
        <v>229.35</v>
      </c>
    </row>
    <row r="399" ht="15.75" customHeight="1">
      <c r="B399" s="3">
        <f>IFERROR(__xludf.DUMMYFUNCTION("""COMPUTED_VALUE"""),40634.645833333336)</f>
        <v>40634.64583</v>
      </c>
      <c r="C399" s="2">
        <f>IFERROR(__xludf.DUMMYFUNCTION("""COMPUTED_VALUE"""),246.0)</f>
        <v>246</v>
      </c>
    </row>
    <row r="400" ht="15.75" customHeight="1">
      <c r="B400" s="3">
        <f>IFERROR(__xludf.DUMMYFUNCTION("""COMPUTED_VALUE"""),40641.645833333336)</f>
        <v>40641.64583</v>
      </c>
      <c r="C400" s="2">
        <f>IFERROR(__xludf.DUMMYFUNCTION("""COMPUTED_VALUE"""),241.98)</f>
        <v>241.98</v>
      </c>
    </row>
    <row r="401" ht="15.75" customHeight="1">
      <c r="B401" s="3">
        <f>IFERROR(__xludf.DUMMYFUNCTION("""COMPUTED_VALUE"""),40648.645833333336)</f>
        <v>40648.64583</v>
      </c>
      <c r="C401" s="2">
        <f>IFERROR(__xludf.DUMMYFUNCTION("""COMPUTED_VALUE"""),242.89)</f>
        <v>242.89</v>
      </c>
    </row>
    <row r="402" ht="15.75" customHeight="1">
      <c r="B402" s="3">
        <f>IFERROR(__xludf.DUMMYFUNCTION("""COMPUTED_VALUE"""),40654.645833333336)</f>
        <v>40654.64583</v>
      </c>
      <c r="C402" s="2">
        <f>IFERROR(__xludf.DUMMYFUNCTION("""COMPUTED_VALUE"""),244.38)</f>
        <v>244.38</v>
      </c>
    </row>
    <row r="403" ht="15.75" customHeight="1">
      <c r="B403" s="3">
        <f>IFERROR(__xludf.DUMMYFUNCTION("""COMPUTED_VALUE"""),40662.645833333336)</f>
        <v>40662.64583</v>
      </c>
      <c r="C403" s="2">
        <f>IFERROR(__xludf.DUMMYFUNCTION("""COMPUTED_VALUE"""),247.0)</f>
        <v>247</v>
      </c>
    </row>
    <row r="404" ht="15.75" customHeight="1">
      <c r="B404" s="3">
        <f>IFERROR(__xludf.DUMMYFUNCTION("""COMPUTED_VALUE"""),40669.645833333336)</f>
        <v>40669.64583</v>
      </c>
      <c r="C404" s="2">
        <f>IFERROR(__xludf.DUMMYFUNCTION("""COMPUTED_VALUE"""),237.0)</f>
        <v>237</v>
      </c>
    </row>
    <row r="405" ht="15.75" customHeight="1">
      <c r="B405" s="3">
        <f>IFERROR(__xludf.DUMMYFUNCTION("""COMPUTED_VALUE"""),40676.645833333336)</f>
        <v>40676.64583</v>
      </c>
      <c r="C405" s="2">
        <f>IFERROR(__xludf.DUMMYFUNCTION("""COMPUTED_VALUE"""),223.36)</f>
        <v>223.36</v>
      </c>
    </row>
    <row r="406" ht="15.75" customHeight="1">
      <c r="B406" s="3">
        <f>IFERROR(__xludf.DUMMYFUNCTION("""COMPUTED_VALUE"""),40683.645833333336)</f>
        <v>40683.64583</v>
      </c>
      <c r="C406" s="2">
        <f>IFERROR(__xludf.DUMMYFUNCTION("""COMPUTED_VALUE"""),217.6)</f>
        <v>217.6</v>
      </c>
    </row>
    <row r="407" ht="15.75" customHeight="1">
      <c r="B407" s="3">
        <f>IFERROR(__xludf.DUMMYFUNCTION("""COMPUTED_VALUE"""),40690.645833333336)</f>
        <v>40690.64583</v>
      </c>
      <c r="C407" s="2">
        <f>IFERROR(__xludf.DUMMYFUNCTION("""COMPUTED_VALUE"""),223.0)</f>
        <v>223</v>
      </c>
    </row>
    <row r="408" ht="15.75" customHeight="1">
      <c r="B408" s="3">
        <f>IFERROR(__xludf.DUMMYFUNCTION("""COMPUTED_VALUE"""),40697.645833333336)</f>
        <v>40697.64583</v>
      </c>
      <c r="C408" s="2">
        <f>IFERROR(__xludf.DUMMYFUNCTION("""COMPUTED_VALUE"""),221.65)</f>
        <v>221.65</v>
      </c>
    </row>
    <row r="409" ht="15.75" customHeight="1">
      <c r="B409" s="3">
        <f>IFERROR(__xludf.DUMMYFUNCTION("""COMPUTED_VALUE"""),40704.645833333336)</f>
        <v>40704.64583</v>
      </c>
      <c r="C409" s="2">
        <f>IFERROR(__xludf.DUMMYFUNCTION("""COMPUTED_VALUE"""),220.71)</f>
        <v>220.71</v>
      </c>
    </row>
    <row r="410" ht="15.75" customHeight="1">
      <c r="B410" s="3">
        <f>IFERROR(__xludf.DUMMYFUNCTION("""COMPUTED_VALUE"""),40711.645833333336)</f>
        <v>40711.64583</v>
      </c>
      <c r="C410" s="2">
        <f>IFERROR(__xludf.DUMMYFUNCTION("""COMPUTED_VALUE"""),219.37)</f>
        <v>219.37</v>
      </c>
    </row>
    <row r="411" ht="15.75" customHeight="1">
      <c r="B411" s="3">
        <f>IFERROR(__xludf.DUMMYFUNCTION("""COMPUTED_VALUE"""),40718.645833333336)</f>
        <v>40718.64583</v>
      </c>
      <c r="C411" s="2">
        <f>IFERROR(__xludf.DUMMYFUNCTION("""COMPUTED_VALUE"""),214.8)</f>
        <v>214.8</v>
      </c>
    </row>
    <row r="412" ht="15.75" customHeight="1">
      <c r="B412" s="3">
        <f>IFERROR(__xludf.DUMMYFUNCTION("""COMPUTED_VALUE"""),40725.645833333336)</f>
        <v>40725.64583</v>
      </c>
      <c r="C412" s="2">
        <f>IFERROR(__xludf.DUMMYFUNCTION("""COMPUTED_VALUE"""),220.36)</f>
        <v>220.36</v>
      </c>
    </row>
    <row r="413" ht="15.75" customHeight="1">
      <c r="B413" s="3">
        <f>IFERROR(__xludf.DUMMYFUNCTION("""COMPUTED_VALUE"""),40732.645833333336)</f>
        <v>40732.64583</v>
      </c>
      <c r="C413" s="2">
        <f>IFERROR(__xludf.DUMMYFUNCTION("""COMPUTED_VALUE"""),233.94)</f>
        <v>233.94</v>
      </c>
    </row>
    <row r="414" ht="15.75" customHeight="1">
      <c r="B414" s="3">
        <f>IFERROR(__xludf.DUMMYFUNCTION("""COMPUTED_VALUE"""),40739.645833333336)</f>
        <v>40739.64583</v>
      </c>
      <c r="C414" s="2">
        <f>IFERROR(__xludf.DUMMYFUNCTION("""COMPUTED_VALUE"""),232.0)</f>
        <v>232</v>
      </c>
    </row>
    <row r="415" ht="15.75" customHeight="1">
      <c r="B415" s="3">
        <f>IFERROR(__xludf.DUMMYFUNCTION("""COMPUTED_VALUE"""),40746.645833333336)</f>
        <v>40746.64583</v>
      </c>
      <c r="C415" s="2">
        <f>IFERROR(__xludf.DUMMYFUNCTION("""COMPUTED_VALUE"""),234.99)</f>
        <v>234.99</v>
      </c>
    </row>
    <row r="416" ht="15.75" customHeight="1">
      <c r="B416" s="3">
        <f>IFERROR(__xludf.DUMMYFUNCTION("""COMPUTED_VALUE"""),40753.645833333336)</f>
        <v>40753.64583</v>
      </c>
      <c r="C416" s="2">
        <f>IFERROR(__xludf.DUMMYFUNCTION("""COMPUTED_VALUE"""),240.4)</f>
        <v>240.4</v>
      </c>
    </row>
    <row r="417" ht="15.75" customHeight="1">
      <c r="B417" s="3">
        <f>IFERROR(__xludf.DUMMYFUNCTION("""COMPUTED_VALUE"""),40760.645833333336)</f>
        <v>40760.64583</v>
      </c>
      <c r="C417" s="2">
        <f>IFERROR(__xludf.DUMMYFUNCTION("""COMPUTED_VALUE"""),228.97)</f>
        <v>228.97</v>
      </c>
    </row>
    <row r="418" ht="15.75" customHeight="1">
      <c r="B418" s="3">
        <f>IFERROR(__xludf.DUMMYFUNCTION("""COMPUTED_VALUE"""),40767.645833333336)</f>
        <v>40767.64583</v>
      </c>
      <c r="C418" s="2">
        <f>IFERROR(__xludf.DUMMYFUNCTION("""COMPUTED_VALUE"""),226.9)</f>
        <v>226.9</v>
      </c>
    </row>
    <row r="419" ht="15.75" customHeight="1">
      <c r="B419" s="3">
        <f>IFERROR(__xludf.DUMMYFUNCTION("""COMPUTED_VALUE"""),40774.645833333336)</f>
        <v>40774.64583</v>
      </c>
      <c r="C419" s="2">
        <f>IFERROR(__xludf.DUMMYFUNCTION("""COMPUTED_VALUE"""),218.49)</f>
        <v>218.49</v>
      </c>
    </row>
    <row r="420" ht="15.75" customHeight="1">
      <c r="B420" s="3">
        <f>IFERROR(__xludf.DUMMYFUNCTION("""COMPUTED_VALUE"""),40781.645833333336)</f>
        <v>40781.64583</v>
      </c>
      <c r="C420" s="2">
        <f>IFERROR(__xludf.DUMMYFUNCTION("""COMPUTED_VALUE"""),202.0)</f>
        <v>202</v>
      </c>
    </row>
    <row r="421" ht="15.75" customHeight="1">
      <c r="B421" s="3">
        <f>IFERROR(__xludf.DUMMYFUNCTION("""COMPUTED_VALUE"""),40788.645833333336)</f>
        <v>40788.64583</v>
      </c>
      <c r="C421" s="2">
        <f>IFERROR(__xludf.DUMMYFUNCTION("""COMPUTED_VALUE"""),189.0)</f>
        <v>189</v>
      </c>
    </row>
    <row r="422" ht="15.75" customHeight="1">
      <c r="B422" s="3">
        <f>IFERROR(__xludf.DUMMYFUNCTION("""COMPUTED_VALUE"""),40795.645833333336)</f>
        <v>40795.64583</v>
      </c>
      <c r="C422" s="2">
        <f>IFERROR(__xludf.DUMMYFUNCTION("""COMPUTED_VALUE"""),195.2)</f>
        <v>195.2</v>
      </c>
    </row>
    <row r="423" ht="15.75" customHeight="1">
      <c r="B423" s="3">
        <f>IFERROR(__xludf.DUMMYFUNCTION("""COMPUTED_VALUE"""),40802.645833333336)</f>
        <v>40802.64583</v>
      </c>
      <c r="C423" s="2">
        <f>IFERROR(__xludf.DUMMYFUNCTION("""COMPUTED_VALUE"""),197.58)</f>
        <v>197.58</v>
      </c>
    </row>
    <row r="424" ht="15.75" customHeight="1">
      <c r="B424" s="3">
        <f>IFERROR(__xludf.DUMMYFUNCTION("""COMPUTED_VALUE"""),40809.645833333336)</f>
        <v>40809.64583</v>
      </c>
      <c r="C424" s="2">
        <f>IFERROR(__xludf.DUMMYFUNCTION("""COMPUTED_VALUE"""),202.6)</f>
        <v>202.6</v>
      </c>
    </row>
    <row r="425" ht="15.75" customHeight="1">
      <c r="B425" s="3">
        <f>IFERROR(__xludf.DUMMYFUNCTION("""COMPUTED_VALUE"""),40816.645833333336)</f>
        <v>40816.64583</v>
      </c>
      <c r="C425" s="2">
        <f>IFERROR(__xludf.DUMMYFUNCTION("""COMPUTED_VALUE"""),200.54)</f>
        <v>200.54</v>
      </c>
    </row>
    <row r="426" ht="15.75" customHeight="1">
      <c r="B426" s="3">
        <f>IFERROR(__xludf.DUMMYFUNCTION("""COMPUTED_VALUE"""),40823.645833333336)</f>
        <v>40823.64583</v>
      </c>
      <c r="C426" s="2">
        <f>IFERROR(__xludf.DUMMYFUNCTION("""COMPUTED_VALUE"""),190.56)</f>
        <v>190.56</v>
      </c>
    </row>
    <row r="427" ht="15.75" customHeight="1">
      <c r="B427" s="3">
        <f>IFERROR(__xludf.DUMMYFUNCTION("""COMPUTED_VALUE"""),40830.645833333336)</f>
        <v>40830.64583</v>
      </c>
      <c r="C427" s="2">
        <f>IFERROR(__xludf.DUMMYFUNCTION("""COMPUTED_VALUE"""),200.33)</f>
        <v>200.33</v>
      </c>
    </row>
    <row r="428" ht="15.75" customHeight="1">
      <c r="B428" s="3">
        <f>IFERROR(__xludf.DUMMYFUNCTION("""COMPUTED_VALUE"""),40837.645833333336)</f>
        <v>40837.64583</v>
      </c>
      <c r="C428" s="2">
        <f>IFERROR(__xludf.DUMMYFUNCTION("""COMPUTED_VALUE"""),199.6)</f>
        <v>199.6</v>
      </c>
    </row>
    <row r="429" ht="15.75" customHeight="1">
      <c r="B429" s="3">
        <f>IFERROR(__xludf.DUMMYFUNCTION("""COMPUTED_VALUE"""),40844.645833333336)</f>
        <v>40844.64583</v>
      </c>
      <c r="C429" s="2">
        <f>IFERROR(__xludf.DUMMYFUNCTION("""COMPUTED_VALUE"""),201.58)</f>
        <v>201.58</v>
      </c>
    </row>
    <row r="430" ht="15.75" customHeight="1">
      <c r="B430" s="3">
        <f>IFERROR(__xludf.DUMMYFUNCTION("""COMPUTED_VALUE"""),40851.645833333336)</f>
        <v>40851.64583</v>
      </c>
      <c r="C430" s="2">
        <f>IFERROR(__xludf.DUMMYFUNCTION("""COMPUTED_VALUE"""),206.2)</f>
        <v>206.2</v>
      </c>
    </row>
    <row r="431" ht="15.75" customHeight="1">
      <c r="B431" s="3">
        <f>IFERROR(__xludf.DUMMYFUNCTION("""COMPUTED_VALUE"""),40858.645833333336)</f>
        <v>40858.64583</v>
      </c>
      <c r="C431" s="2">
        <f>IFERROR(__xludf.DUMMYFUNCTION("""COMPUTED_VALUE"""),197.48)</f>
        <v>197.48</v>
      </c>
    </row>
    <row r="432" ht="15.75" customHeight="1">
      <c r="B432" s="3">
        <f>IFERROR(__xludf.DUMMYFUNCTION("""COMPUTED_VALUE"""),40865.645833333336)</f>
        <v>40865.64583</v>
      </c>
      <c r="C432" s="2">
        <f>IFERROR(__xludf.DUMMYFUNCTION("""COMPUTED_VALUE"""),192.41)</f>
        <v>192.41</v>
      </c>
    </row>
    <row r="433" ht="15.75" customHeight="1">
      <c r="B433" s="3">
        <f>IFERROR(__xludf.DUMMYFUNCTION("""COMPUTED_VALUE"""),40872.645833333336)</f>
        <v>40872.64583</v>
      </c>
      <c r="C433" s="2">
        <f>IFERROR(__xludf.DUMMYFUNCTION("""COMPUTED_VALUE"""),178.96)</f>
        <v>178.96</v>
      </c>
    </row>
    <row r="434" ht="15.75" customHeight="1">
      <c r="B434" s="3">
        <f>IFERROR(__xludf.DUMMYFUNCTION("""COMPUTED_VALUE"""),40879.645833333336)</f>
        <v>40879.64583</v>
      </c>
      <c r="C434" s="2">
        <f>IFERROR(__xludf.DUMMYFUNCTION("""COMPUTED_VALUE"""),187.11)</f>
        <v>187.11</v>
      </c>
    </row>
    <row r="435" ht="15.75" customHeight="1">
      <c r="B435" s="3">
        <f>IFERROR(__xludf.DUMMYFUNCTION("""COMPUTED_VALUE"""),40886.645833333336)</f>
        <v>40886.64583</v>
      </c>
      <c r="C435" s="2">
        <f>IFERROR(__xludf.DUMMYFUNCTION("""COMPUTED_VALUE"""),188.8)</f>
        <v>188.8</v>
      </c>
    </row>
    <row r="436" ht="15.75" customHeight="1">
      <c r="B436" s="3">
        <f>IFERROR(__xludf.DUMMYFUNCTION("""COMPUTED_VALUE"""),40893.645833333336)</f>
        <v>40893.64583</v>
      </c>
      <c r="C436" s="2">
        <f>IFERROR(__xludf.DUMMYFUNCTION("""COMPUTED_VALUE"""),187.45)</f>
        <v>187.45</v>
      </c>
    </row>
    <row r="437" ht="15.75" customHeight="1">
      <c r="B437" s="3">
        <f>IFERROR(__xludf.DUMMYFUNCTION("""COMPUTED_VALUE"""),40900.645833333336)</f>
        <v>40900.64583</v>
      </c>
      <c r="C437" s="2">
        <f>IFERROR(__xludf.DUMMYFUNCTION("""COMPUTED_VALUE"""),168.28)</f>
        <v>168.28</v>
      </c>
    </row>
    <row r="438" ht="15.75" customHeight="1">
      <c r="B438" s="3">
        <f>IFERROR(__xludf.DUMMYFUNCTION("""COMPUTED_VALUE"""),40907.645833333336)</f>
        <v>40907.64583</v>
      </c>
      <c r="C438" s="2">
        <f>IFERROR(__xludf.DUMMYFUNCTION("""COMPUTED_VALUE"""),164.96)</f>
        <v>164.96</v>
      </c>
    </row>
    <row r="439" ht="15.75" customHeight="1"/>
    <row r="440" ht="15.75" customHeight="1"/>
    <row r="441" ht="15.75" customHeight="1">
      <c r="B441" s="2" t="str">
        <f>IFERROR(__xludf.DUMMYFUNCTION("GOOGLEFINANCE(""NSE:PNB"", ""high"",DATE(2012,1,1),DATE(2013,1,1),""weekly"")"),"Date")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IFERROR(__xludf.DUMMYFUNCTION("""COMPUTED_VALUE"""),40921.645833333336)</f>
        <v>40921.64583</v>
      </c>
      <c r="C442" s="2">
        <f>IFERROR(__xludf.DUMMYFUNCTION("""COMPUTED_VALUE"""),183.01)</f>
        <v>183.01</v>
      </c>
    </row>
    <row r="443" ht="15.75" customHeight="1">
      <c r="B443" s="3">
        <f>IFERROR(__xludf.DUMMYFUNCTION("""COMPUTED_VALUE"""),40928.645833333336)</f>
        <v>40928.64583</v>
      </c>
      <c r="C443" s="2">
        <f>IFERROR(__xludf.DUMMYFUNCTION("""COMPUTED_VALUE"""),191.0)</f>
        <v>191</v>
      </c>
    </row>
    <row r="444" ht="15.75" customHeight="1">
      <c r="B444" s="3">
        <f>IFERROR(__xludf.DUMMYFUNCTION("""COMPUTED_VALUE"""),40935.645833333336)</f>
        <v>40935.64583</v>
      </c>
      <c r="C444" s="2">
        <f>IFERROR(__xludf.DUMMYFUNCTION("""COMPUTED_VALUE"""),203.4)</f>
        <v>203.4</v>
      </c>
    </row>
    <row r="445" ht="15.75" customHeight="1">
      <c r="B445" s="3">
        <f>IFERROR(__xludf.DUMMYFUNCTION("""COMPUTED_VALUE"""),40942.645833333336)</f>
        <v>40942.64583</v>
      </c>
      <c r="C445" s="2">
        <f>IFERROR(__xludf.DUMMYFUNCTION("""COMPUTED_VALUE"""),196.45)</f>
        <v>196.45</v>
      </c>
    </row>
    <row r="446" ht="15.75" customHeight="1">
      <c r="B446" s="3">
        <f>IFERROR(__xludf.DUMMYFUNCTION("""COMPUTED_VALUE"""),40949.645833333336)</f>
        <v>40949.64583</v>
      </c>
      <c r="C446" s="2">
        <f>IFERROR(__xludf.DUMMYFUNCTION("""COMPUTED_VALUE"""),204.8)</f>
        <v>204.8</v>
      </c>
    </row>
    <row r="447" ht="15.75" customHeight="1">
      <c r="B447" s="3">
        <f>IFERROR(__xludf.DUMMYFUNCTION("""COMPUTED_VALUE"""),40956.645833333336)</f>
        <v>40956.64583</v>
      </c>
      <c r="C447" s="2">
        <f>IFERROR(__xludf.DUMMYFUNCTION("""COMPUTED_VALUE"""),217.86)</f>
        <v>217.86</v>
      </c>
    </row>
    <row r="448" ht="15.75" customHeight="1">
      <c r="B448" s="3">
        <f>IFERROR(__xludf.DUMMYFUNCTION("""COMPUTED_VALUE"""),40963.645833333336)</f>
        <v>40963.64583</v>
      </c>
      <c r="C448" s="2">
        <f>IFERROR(__xludf.DUMMYFUNCTION("""COMPUTED_VALUE"""),218.21)</f>
        <v>218.21</v>
      </c>
    </row>
    <row r="449" ht="15.75" customHeight="1">
      <c r="B449" s="3">
        <f>IFERROR(__xludf.DUMMYFUNCTION("""COMPUTED_VALUE"""),40977.645833333336)</f>
        <v>40977.64583</v>
      </c>
      <c r="C449" s="2">
        <f>IFERROR(__xludf.DUMMYFUNCTION("""COMPUTED_VALUE"""),193.56)</f>
        <v>193.56</v>
      </c>
    </row>
    <row r="450" ht="15.75" customHeight="1">
      <c r="B450" s="3">
        <f>IFERROR(__xludf.DUMMYFUNCTION("""COMPUTED_VALUE"""),40984.645833333336)</f>
        <v>40984.64583</v>
      </c>
      <c r="C450" s="2">
        <f>IFERROR(__xludf.DUMMYFUNCTION("""COMPUTED_VALUE"""),207.0)</f>
        <v>207</v>
      </c>
    </row>
    <row r="451" ht="15.75" customHeight="1">
      <c r="B451" s="3">
        <f>IFERROR(__xludf.DUMMYFUNCTION("""COMPUTED_VALUE"""),40991.645833333336)</f>
        <v>40991.64583</v>
      </c>
      <c r="C451" s="2">
        <f>IFERROR(__xludf.DUMMYFUNCTION("""COMPUTED_VALUE"""),197.55)</f>
        <v>197.55</v>
      </c>
    </row>
    <row r="452" ht="15.75" customHeight="1">
      <c r="B452" s="3">
        <f>IFERROR(__xludf.DUMMYFUNCTION("""COMPUTED_VALUE"""),40998.645833333336)</f>
        <v>40998.64583</v>
      </c>
      <c r="C452" s="2">
        <f>IFERROR(__xludf.DUMMYFUNCTION("""COMPUTED_VALUE"""),190.45)</f>
        <v>190.45</v>
      </c>
    </row>
    <row r="453" ht="15.75" customHeight="1">
      <c r="B453" s="3">
        <f>IFERROR(__xludf.DUMMYFUNCTION("""COMPUTED_VALUE"""),41003.645833333336)</f>
        <v>41003.64583</v>
      </c>
      <c r="C453" s="2">
        <f>IFERROR(__xludf.DUMMYFUNCTION("""COMPUTED_VALUE"""),188.38)</f>
        <v>188.38</v>
      </c>
    </row>
    <row r="454" ht="15.75" customHeight="1">
      <c r="B454" s="3">
        <f>IFERROR(__xludf.DUMMYFUNCTION("""COMPUTED_VALUE"""),41012.645833333336)</f>
        <v>41012.64583</v>
      </c>
      <c r="C454" s="2">
        <f>IFERROR(__xludf.DUMMYFUNCTION("""COMPUTED_VALUE"""),186.18)</f>
        <v>186.18</v>
      </c>
    </row>
    <row r="455" ht="15.75" customHeight="1">
      <c r="B455" s="3">
        <f>IFERROR(__xludf.DUMMYFUNCTION("""COMPUTED_VALUE"""),41019.645833333336)</f>
        <v>41019.64583</v>
      </c>
      <c r="C455" s="2">
        <f>IFERROR(__xludf.DUMMYFUNCTION("""COMPUTED_VALUE"""),188.2)</f>
        <v>188.2</v>
      </c>
    </row>
    <row r="456" ht="15.75" customHeight="1">
      <c r="B456" s="3">
        <f>IFERROR(__xludf.DUMMYFUNCTION("""COMPUTED_VALUE"""),41033.645833333336)</f>
        <v>41033.64583</v>
      </c>
      <c r="C456" s="2">
        <f>IFERROR(__xludf.DUMMYFUNCTION("""COMPUTED_VALUE"""),174.8)</f>
        <v>174.8</v>
      </c>
    </row>
    <row r="457" ht="15.75" customHeight="1">
      <c r="B457" s="3">
        <f>IFERROR(__xludf.DUMMYFUNCTION("""COMPUTED_VALUE"""),41040.645833333336)</f>
        <v>41040.64583</v>
      </c>
      <c r="C457" s="2">
        <f>IFERROR(__xludf.DUMMYFUNCTION("""COMPUTED_VALUE"""),164.1)</f>
        <v>164.1</v>
      </c>
    </row>
    <row r="458" ht="15.75" customHeight="1">
      <c r="B458" s="3">
        <f>IFERROR(__xludf.DUMMYFUNCTION("""COMPUTED_VALUE"""),41047.645833333336)</f>
        <v>41047.64583</v>
      </c>
      <c r="C458" s="2">
        <f>IFERROR(__xludf.DUMMYFUNCTION("""COMPUTED_VALUE"""),151.2)</f>
        <v>151.2</v>
      </c>
    </row>
    <row r="459" ht="15.75" customHeight="1">
      <c r="B459" s="3">
        <f>IFERROR(__xludf.DUMMYFUNCTION("""COMPUTED_VALUE"""),41054.645833333336)</f>
        <v>41054.64583</v>
      </c>
      <c r="C459" s="2">
        <f>IFERROR(__xludf.DUMMYFUNCTION("""COMPUTED_VALUE"""),146.92)</f>
        <v>146.92</v>
      </c>
    </row>
    <row r="460" ht="15.75" customHeight="1">
      <c r="B460" s="3">
        <f>IFERROR(__xludf.DUMMYFUNCTION("""COMPUTED_VALUE"""),41061.645833333336)</f>
        <v>41061.64583</v>
      </c>
      <c r="C460" s="2">
        <f>IFERROR(__xludf.DUMMYFUNCTION("""COMPUTED_VALUE"""),152.76)</f>
        <v>152.76</v>
      </c>
    </row>
    <row r="461" ht="15.75" customHeight="1">
      <c r="B461" s="3">
        <f>IFERROR(__xludf.DUMMYFUNCTION("""COMPUTED_VALUE"""),41068.645833333336)</f>
        <v>41068.64583</v>
      </c>
      <c r="C461" s="2">
        <f>IFERROR(__xludf.DUMMYFUNCTION("""COMPUTED_VALUE"""),157.52)</f>
        <v>157.52</v>
      </c>
    </row>
    <row r="462" ht="15.75" customHeight="1">
      <c r="B462" s="3">
        <f>IFERROR(__xludf.DUMMYFUNCTION("""COMPUTED_VALUE"""),41075.645833333336)</f>
        <v>41075.64583</v>
      </c>
      <c r="C462" s="2">
        <f>IFERROR(__xludf.DUMMYFUNCTION("""COMPUTED_VALUE"""),163.6)</f>
        <v>163.6</v>
      </c>
    </row>
    <row r="463" ht="15.75" customHeight="1">
      <c r="B463" s="3">
        <f>IFERROR(__xludf.DUMMYFUNCTION("""COMPUTED_VALUE"""),41082.645833333336)</f>
        <v>41082.64583</v>
      </c>
      <c r="C463" s="2">
        <f>IFERROR(__xludf.DUMMYFUNCTION("""COMPUTED_VALUE"""),162.38)</f>
        <v>162.38</v>
      </c>
    </row>
    <row r="464" ht="15.75" customHeight="1">
      <c r="B464" s="3">
        <f>IFERROR(__xludf.DUMMYFUNCTION("""COMPUTED_VALUE"""),41089.645833333336)</f>
        <v>41089.64583</v>
      </c>
      <c r="C464" s="2">
        <f>IFERROR(__xludf.DUMMYFUNCTION("""COMPUTED_VALUE"""),162.0)</f>
        <v>162</v>
      </c>
    </row>
    <row r="465" ht="15.75" customHeight="1">
      <c r="B465" s="3">
        <f>IFERROR(__xludf.DUMMYFUNCTION("""COMPUTED_VALUE"""),41096.645833333336)</f>
        <v>41096.64583</v>
      </c>
      <c r="C465" s="2">
        <f>IFERROR(__xludf.DUMMYFUNCTION("""COMPUTED_VALUE"""),169.99)</f>
        <v>169.99</v>
      </c>
    </row>
    <row r="466" ht="15.75" customHeight="1">
      <c r="B466" s="3">
        <f>IFERROR(__xludf.DUMMYFUNCTION("""COMPUTED_VALUE"""),41103.645833333336)</f>
        <v>41103.64583</v>
      </c>
      <c r="C466" s="2">
        <f>IFERROR(__xludf.DUMMYFUNCTION("""COMPUTED_VALUE"""),174.8)</f>
        <v>174.8</v>
      </c>
    </row>
    <row r="467" ht="15.75" customHeight="1">
      <c r="B467" s="3">
        <f>IFERROR(__xludf.DUMMYFUNCTION("""COMPUTED_VALUE"""),41110.645833333336)</f>
        <v>41110.64583</v>
      </c>
      <c r="C467" s="2">
        <f>IFERROR(__xludf.DUMMYFUNCTION("""COMPUTED_VALUE"""),173.0)</f>
        <v>173</v>
      </c>
    </row>
    <row r="468" ht="15.75" customHeight="1">
      <c r="B468" s="3">
        <f>IFERROR(__xludf.DUMMYFUNCTION("""COMPUTED_VALUE"""),41117.645833333336)</f>
        <v>41117.64583</v>
      </c>
      <c r="C468" s="2">
        <f>IFERROR(__xludf.DUMMYFUNCTION("""COMPUTED_VALUE"""),163.2)</f>
        <v>163.2</v>
      </c>
    </row>
    <row r="469" ht="15.75" customHeight="1">
      <c r="B469" s="3">
        <f>IFERROR(__xludf.DUMMYFUNCTION("""COMPUTED_VALUE"""),41124.645833333336)</f>
        <v>41124.64583</v>
      </c>
      <c r="C469" s="2">
        <f>IFERROR(__xludf.DUMMYFUNCTION("""COMPUTED_VALUE"""),148.66)</f>
        <v>148.66</v>
      </c>
    </row>
    <row r="470" ht="15.75" customHeight="1">
      <c r="B470" s="3">
        <f>IFERROR(__xludf.DUMMYFUNCTION("""COMPUTED_VALUE"""),41131.645833333336)</f>
        <v>41131.64583</v>
      </c>
      <c r="C470" s="2">
        <f>IFERROR(__xludf.DUMMYFUNCTION("""COMPUTED_VALUE"""),151.89)</f>
        <v>151.89</v>
      </c>
    </row>
    <row r="471" ht="15.75" customHeight="1">
      <c r="B471" s="3">
        <f>IFERROR(__xludf.DUMMYFUNCTION("""COMPUTED_VALUE"""),41138.645833333336)</f>
        <v>41138.64583</v>
      </c>
      <c r="C471" s="2">
        <f>IFERROR(__xludf.DUMMYFUNCTION("""COMPUTED_VALUE"""),148.0)</f>
        <v>148</v>
      </c>
    </row>
    <row r="472" ht="15.75" customHeight="1">
      <c r="B472" s="3">
        <f>IFERROR(__xludf.DUMMYFUNCTION("""COMPUTED_VALUE"""),41145.645833333336)</f>
        <v>41145.64583</v>
      </c>
      <c r="C472" s="2">
        <f>IFERROR(__xludf.DUMMYFUNCTION("""COMPUTED_VALUE"""),146.36)</f>
        <v>146.36</v>
      </c>
    </row>
    <row r="473" ht="15.75" customHeight="1">
      <c r="B473" s="3">
        <f>IFERROR(__xludf.DUMMYFUNCTION("""COMPUTED_VALUE"""),41152.645833333336)</f>
        <v>41152.64583</v>
      </c>
      <c r="C473" s="2">
        <f>IFERROR(__xludf.DUMMYFUNCTION("""COMPUTED_VALUE"""),142.95)</f>
        <v>142.95</v>
      </c>
    </row>
    <row r="474" ht="15.75" customHeight="1">
      <c r="B474" s="3">
        <f>IFERROR(__xludf.DUMMYFUNCTION("""COMPUTED_VALUE"""),41166.645833333336)</f>
        <v>41166.64583</v>
      </c>
      <c r="C474" s="2">
        <f>IFERROR(__xludf.DUMMYFUNCTION("""COMPUTED_VALUE"""),142.16)</f>
        <v>142.16</v>
      </c>
    </row>
    <row r="475" ht="15.75" customHeight="1">
      <c r="B475" s="3">
        <f>IFERROR(__xludf.DUMMYFUNCTION("""COMPUTED_VALUE"""),41173.645833333336)</f>
        <v>41173.64583</v>
      </c>
      <c r="C475" s="2">
        <f>IFERROR(__xludf.DUMMYFUNCTION("""COMPUTED_VALUE"""),168.33)</f>
        <v>168.33</v>
      </c>
    </row>
    <row r="476" ht="15.75" customHeight="1">
      <c r="B476" s="3">
        <f>IFERROR(__xludf.DUMMYFUNCTION("""COMPUTED_VALUE"""),41180.645833333336)</f>
        <v>41180.64583</v>
      </c>
      <c r="C476" s="2">
        <f>IFERROR(__xludf.DUMMYFUNCTION("""COMPUTED_VALUE"""),171.54)</f>
        <v>171.54</v>
      </c>
    </row>
    <row r="477" ht="15.75" customHeight="1">
      <c r="B477" s="3">
        <f>IFERROR(__xludf.DUMMYFUNCTION("""COMPUTED_VALUE"""),41187.645833333336)</f>
        <v>41187.64583</v>
      </c>
      <c r="C477" s="2">
        <f>IFERROR(__xludf.DUMMYFUNCTION("""COMPUTED_VALUE"""),168.9)</f>
        <v>168.9</v>
      </c>
    </row>
    <row r="478" ht="15.75" customHeight="1">
      <c r="B478" s="3">
        <f>IFERROR(__xludf.DUMMYFUNCTION("""COMPUTED_VALUE"""),41194.645833333336)</f>
        <v>41194.64583</v>
      </c>
      <c r="C478" s="2">
        <f>IFERROR(__xludf.DUMMYFUNCTION("""COMPUTED_VALUE"""),167.66)</f>
        <v>167.66</v>
      </c>
    </row>
    <row r="479" ht="15.75" customHeight="1">
      <c r="B479" s="3">
        <f>IFERROR(__xludf.DUMMYFUNCTION("""COMPUTED_VALUE"""),41201.645833333336)</f>
        <v>41201.64583</v>
      </c>
      <c r="C479" s="2">
        <f>IFERROR(__xludf.DUMMYFUNCTION("""COMPUTED_VALUE"""),167.16)</f>
        <v>167.16</v>
      </c>
    </row>
    <row r="480" ht="15.75" customHeight="1">
      <c r="B480" s="3">
        <f>IFERROR(__xludf.DUMMYFUNCTION("""COMPUTED_VALUE"""),41208.645833333336)</f>
        <v>41208.64583</v>
      </c>
      <c r="C480" s="2">
        <f>IFERROR(__xludf.DUMMYFUNCTION("""COMPUTED_VALUE"""),165.54)</f>
        <v>165.54</v>
      </c>
    </row>
    <row r="481" ht="15.75" customHeight="1">
      <c r="B481" s="3">
        <f>IFERROR(__xludf.DUMMYFUNCTION("""COMPUTED_VALUE"""),41215.645833333336)</f>
        <v>41215.64583</v>
      </c>
      <c r="C481" s="2">
        <f>IFERROR(__xludf.DUMMYFUNCTION("""COMPUTED_VALUE"""),153.8)</f>
        <v>153.8</v>
      </c>
    </row>
    <row r="482" ht="15.75" customHeight="1">
      <c r="B482" s="3">
        <f>IFERROR(__xludf.DUMMYFUNCTION("""COMPUTED_VALUE"""),41222.645833333336)</f>
        <v>41222.64583</v>
      </c>
      <c r="C482" s="2">
        <f>IFERROR(__xludf.DUMMYFUNCTION("""COMPUTED_VALUE"""),157.12)</f>
        <v>157.12</v>
      </c>
    </row>
    <row r="483" ht="15.75" customHeight="1">
      <c r="B483" s="3">
        <f>IFERROR(__xludf.DUMMYFUNCTION("""COMPUTED_VALUE"""),41229.645833333336)</f>
        <v>41229.64583</v>
      </c>
      <c r="C483" s="2">
        <f>IFERROR(__xludf.DUMMYFUNCTION("""COMPUTED_VALUE"""),156.8)</f>
        <v>156.8</v>
      </c>
    </row>
    <row r="484" ht="15.75" customHeight="1">
      <c r="B484" s="3">
        <f>IFERROR(__xludf.DUMMYFUNCTION("""COMPUTED_VALUE"""),41236.645833333336)</f>
        <v>41236.64583</v>
      </c>
      <c r="C484" s="2">
        <f>IFERROR(__xludf.DUMMYFUNCTION("""COMPUTED_VALUE"""),149.99)</f>
        <v>149.99</v>
      </c>
    </row>
    <row r="485" ht="15.75" customHeight="1">
      <c r="B485" s="3">
        <f>IFERROR(__xludf.DUMMYFUNCTION("""COMPUTED_VALUE"""),41243.645833333336)</f>
        <v>41243.64583</v>
      </c>
      <c r="C485" s="2">
        <f>IFERROR(__xludf.DUMMYFUNCTION("""COMPUTED_VALUE"""),157.38)</f>
        <v>157.38</v>
      </c>
    </row>
    <row r="486" ht="15.75" customHeight="1">
      <c r="B486" s="3">
        <f>IFERROR(__xludf.DUMMYFUNCTION("""COMPUTED_VALUE"""),41250.645833333336)</f>
        <v>41250.64583</v>
      </c>
      <c r="C486" s="2">
        <f>IFERROR(__xludf.DUMMYFUNCTION("""COMPUTED_VALUE"""),166.37)</f>
        <v>166.37</v>
      </c>
    </row>
    <row r="487" ht="15.75" customHeight="1">
      <c r="B487" s="3">
        <f>IFERROR(__xludf.DUMMYFUNCTION("""COMPUTED_VALUE"""),41257.645833333336)</f>
        <v>41257.64583</v>
      </c>
      <c r="C487" s="2">
        <f>IFERROR(__xludf.DUMMYFUNCTION("""COMPUTED_VALUE"""),170.38)</f>
        <v>170.38</v>
      </c>
    </row>
    <row r="488" ht="15.75" customHeight="1">
      <c r="B488" s="3">
        <f>IFERROR(__xludf.DUMMYFUNCTION("""COMPUTED_VALUE"""),41264.645833333336)</f>
        <v>41264.64583</v>
      </c>
      <c r="C488" s="2">
        <f>IFERROR(__xludf.DUMMYFUNCTION("""COMPUTED_VALUE"""),172.4)</f>
        <v>172.4</v>
      </c>
    </row>
    <row r="489" ht="15.75" customHeight="1">
      <c r="B489" s="3">
        <f>IFERROR(__xludf.DUMMYFUNCTION("""COMPUTED_VALUE"""),41271.645833333336)</f>
        <v>41271.64583</v>
      </c>
      <c r="C489" s="2">
        <f>IFERROR(__xludf.DUMMYFUNCTION("""COMPUTED_VALUE"""),170.47)</f>
        <v>170.47</v>
      </c>
    </row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IFERROR(__xludf.DUMMYFUNCTION("GOOGLEFINANCE(""NSE:PNB"", ""high"",DATE(2013,1,1),DATE(2014,1,1),""weekly"")"),"Date")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IFERROR(__xludf.DUMMYFUNCTION("""COMPUTED_VALUE"""),41278.645833333336)</f>
        <v>41278.64583</v>
      </c>
      <c r="C497" s="2">
        <f>IFERROR(__xludf.DUMMYFUNCTION("""COMPUTED_VALUE"""),183.9)</f>
        <v>183.9</v>
      </c>
    </row>
    <row r="498" ht="15.75" customHeight="1">
      <c r="B498" s="3">
        <f>IFERROR(__xludf.DUMMYFUNCTION("""COMPUTED_VALUE"""),41285.645833333336)</f>
        <v>41285.64583</v>
      </c>
      <c r="C498" s="2">
        <f>IFERROR(__xludf.DUMMYFUNCTION("""COMPUTED_VALUE"""),182.93)</f>
        <v>182.93</v>
      </c>
    </row>
    <row r="499" ht="15.75" customHeight="1">
      <c r="B499" s="3">
        <f>IFERROR(__xludf.DUMMYFUNCTION("""COMPUTED_VALUE"""),41292.645833333336)</f>
        <v>41292.64583</v>
      </c>
      <c r="C499" s="2">
        <f>IFERROR(__xludf.DUMMYFUNCTION("""COMPUTED_VALUE"""),182.36)</f>
        <v>182.36</v>
      </c>
    </row>
    <row r="500" ht="15.75" customHeight="1">
      <c r="B500" s="3">
        <f>IFERROR(__xludf.DUMMYFUNCTION("""COMPUTED_VALUE"""),41299.645833333336)</f>
        <v>41299.64583</v>
      </c>
      <c r="C500" s="2">
        <f>IFERROR(__xludf.DUMMYFUNCTION("""COMPUTED_VALUE"""),181.36)</f>
        <v>181.36</v>
      </c>
    </row>
    <row r="501" ht="15.75" customHeight="1">
      <c r="B501" s="3">
        <f>IFERROR(__xludf.DUMMYFUNCTION("""COMPUTED_VALUE"""),41306.645833333336)</f>
        <v>41306.64583</v>
      </c>
      <c r="C501" s="2">
        <f>IFERROR(__xludf.DUMMYFUNCTION("""COMPUTED_VALUE"""),184.0)</f>
        <v>184</v>
      </c>
    </row>
    <row r="502" ht="15.75" customHeight="1">
      <c r="B502" s="3">
        <f>IFERROR(__xludf.DUMMYFUNCTION("""COMPUTED_VALUE"""),41313.645833333336)</f>
        <v>41313.64583</v>
      </c>
      <c r="C502" s="2">
        <f>IFERROR(__xludf.DUMMYFUNCTION("""COMPUTED_VALUE"""),181.2)</f>
        <v>181.2</v>
      </c>
    </row>
    <row r="503" ht="15.75" customHeight="1">
      <c r="B503" s="3">
        <f>IFERROR(__xludf.DUMMYFUNCTION("""COMPUTED_VALUE"""),41320.645833333336)</f>
        <v>41320.64583</v>
      </c>
      <c r="C503" s="2">
        <f>IFERROR(__xludf.DUMMYFUNCTION("""COMPUTED_VALUE"""),174.59)</f>
        <v>174.59</v>
      </c>
    </row>
    <row r="504" ht="15.75" customHeight="1">
      <c r="B504" s="3">
        <f>IFERROR(__xludf.DUMMYFUNCTION("""COMPUTED_VALUE"""),41327.645833333336)</f>
        <v>41327.64583</v>
      </c>
      <c r="C504" s="2">
        <f>IFERROR(__xludf.DUMMYFUNCTION("""COMPUTED_VALUE"""),174.7)</f>
        <v>174.7</v>
      </c>
    </row>
    <row r="505" ht="15.75" customHeight="1">
      <c r="B505" s="3">
        <f>IFERROR(__xludf.DUMMYFUNCTION("""COMPUTED_VALUE"""),41334.645833333336)</f>
        <v>41334.64583</v>
      </c>
      <c r="C505" s="2">
        <f>IFERROR(__xludf.DUMMYFUNCTION("""COMPUTED_VALUE"""),171.91)</f>
        <v>171.91</v>
      </c>
    </row>
    <row r="506" ht="15.75" customHeight="1">
      <c r="B506" s="3">
        <f>IFERROR(__xludf.DUMMYFUNCTION("""COMPUTED_VALUE"""),41341.645833333336)</f>
        <v>41341.64583</v>
      </c>
      <c r="C506" s="2">
        <f>IFERROR(__xludf.DUMMYFUNCTION("""COMPUTED_VALUE"""),163.66)</f>
        <v>163.66</v>
      </c>
    </row>
    <row r="507" ht="15.75" customHeight="1">
      <c r="B507" s="3">
        <f>IFERROR(__xludf.DUMMYFUNCTION("""COMPUTED_VALUE"""),41348.645833333336)</f>
        <v>41348.64583</v>
      </c>
      <c r="C507" s="2">
        <f>IFERROR(__xludf.DUMMYFUNCTION("""COMPUTED_VALUE"""),164.43)</f>
        <v>164.43</v>
      </c>
    </row>
    <row r="508" ht="15.75" customHeight="1">
      <c r="B508" s="3">
        <f>IFERROR(__xludf.DUMMYFUNCTION("""COMPUTED_VALUE"""),41355.645833333336)</f>
        <v>41355.64583</v>
      </c>
      <c r="C508" s="2">
        <f>IFERROR(__xludf.DUMMYFUNCTION("""COMPUTED_VALUE"""),160.74)</f>
        <v>160.74</v>
      </c>
    </row>
    <row r="509" ht="15.75" customHeight="1">
      <c r="B509" s="3">
        <f>IFERROR(__xludf.DUMMYFUNCTION("""COMPUTED_VALUE"""),41361.645833333336)</f>
        <v>41361.64583</v>
      </c>
      <c r="C509" s="2">
        <f>IFERROR(__xludf.DUMMYFUNCTION("""COMPUTED_VALUE"""),148.9)</f>
        <v>148.9</v>
      </c>
    </row>
    <row r="510" ht="15.75" customHeight="1">
      <c r="B510" s="3">
        <f>IFERROR(__xludf.DUMMYFUNCTION("""COMPUTED_VALUE"""),41369.645833333336)</f>
        <v>41369.64583</v>
      </c>
      <c r="C510" s="2">
        <f>IFERROR(__xludf.DUMMYFUNCTION("""COMPUTED_VALUE"""),150.58)</f>
        <v>150.58</v>
      </c>
    </row>
    <row r="511" ht="15.75" customHeight="1">
      <c r="B511" s="3">
        <f>IFERROR(__xludf.DUMMYFUNCTION("""COMPUTED_VALUE"""),41376.645833333336)</f>
        <v>41376.64583</v>
      </c>
      <c r="C511" s="2">
        <f>IFERROR(__xludf.DUMMYFUNCTION("""COMPUTED_VALUE"""),145.14)</f>
        <v>145.14</v>
      </c>
    </row>
    <row r="512" ht="15.75" customHeight="1">
      <c r="B512" s="3">
        <f>IFERROR(__xludf.DUMMYFUNCTION("""COMPUTED_VALUE"""),41382.645833333336)</f>
        <v>41382.64583</v>
      </c>
      <c r="C512" s="2">
        <f>IFERROR(__xludf.DUMMYFUNCTION("""COMPUTED_VALUE"""),154.2)</f>
        <v>154.2</v>
      </c>
    </row>
    <row r="513" ht="15.75" customHeight="1">
      <c r="B513" s="3">
        <f>IFERROR(__xludf.DUMMYFUNCTION("""COMPUTED_VALUE"""),41390.645833333336)</f>
        <v>41390.64583</v>
      </c>
      <c r="C513" s="2">
        <f>IFERROR(__xludf.DUMMYFUNCTION("""COMPUTED_VALUE"""),159.28)</f>
        <v>159.28</v>
      </c>
    </row>
    <row r="514" ht="15.75" customHeight="1">
      <c r="B514" s="3">
        <f>IFERROR(__xludf.DUMMYFUNCTION("""COMPUTED_VALUE"""),41397.645833333336)</f>
        <v>41397.64583</v>
      </c>
      <c r="C514" s="2">
        <f>IFERROR(__xludf.DUMMYFUNCTION("""COMPUTED_VALUE"""),158.0)</f>
        <v>158</v>
      </c>
    </row>
    <row r="515" ht="15.75" customHeight="1">
      <c r="B515" s="3">
        <f>IFERROR(__xludf.DUMMYFUNCTION("""COMPUTED_VALUE"""),41411.645833333336)</f>
        <v>41411.64583</v>
      </c>
      <c r="C515" s="2">
        <f>IFERROR(__xludf.DUMMYFUNCTION("""COMPUTED_VALUE"""),167.97)</f>
        <v>167.97</v>
      </c>
    </row>
    <row r="516" ht="15.75" customHeight="1">
      <c r="B516" s="3">
        <f>IFERROR(__xludf.DUMMYFUNCTION("""COMPUTED_VALUE"""),41418.645833333336)</f>
        <v>41418.64583</v>
      </c>
      <c r="C516" s="2">
        <f>IFERROR(__xludf.DUMMYFUNCTION("""COMPUTED_VALUE"""),170.53)</f>
        <v>170.53</v>
      </c>
    </row>
    <row r="517" ht="15.75" customHeight="1">
      <c r="B517" s="3">
        <f>IFERROR(__xludf.DUMMYFUNCTION("""COMPUTED_VALUE"""),41425.645833333336)</f>
        <v>41425.64583</v>
      </c>
      <c r="C517" s="2">
        <f>IFERROR(__xludf.DUMMYFUNCTION("""COMPUTED_VALUE"""),164.66)</f>
        <v>164.66</v>
      </c>
    </row>
    <row r="518" ht="15.75" customHeight="1">
      <c r="B518" s="3">
        <f>IFERROR(__xludf.DUMMYFUNCTION("""COMPUTED_VALUE"""),41432.645833333336)</f>
        <v>41432.64583</v>
      </c>
      <c r="C518" s="2">
        <f>IFERROR(__xludf.DUMMYFUNCTION("""COMPUTED_VALUE"""),156.73)</f>
        <v>156.73</v>
      </c>
    </row>
    <row r="519" ht="15.75" customHeight="1">
      <c r="B519" s="3">
        <f>IFERROR(__xludf.DUMMYFUNCTION("""COMPUTED_VALUE"""),41439.645833333336)</f>
        <v>41439.64583</v>
      </c>
      <c r="C519" s="2">
        <f>IFERROR(__xludf.DUMMYFUNCTION("""COMPUTED_VALUE"""),154.59)</f>
        <v>154.59</v>
      </c>
    </row>
    <row r="520" ht="15.75" customHeight="1">
      <c r="B520" s="3">
        <f>IFERROR(__xludf.DUMMYFUNCTION("""COMPUTED_VALUE"""),41446.645833333336)</f>
        <v>41446.64583</v>
      </c>
      <c r="C520" s="2">
        <f>IFERROR(__xludf.DUMMYFUNCTION("""COMPUTED_VALUE"""),149.56)</f>
        <v>149.56</v>
      </c>
    </row>
    <row r="521" ht="15.75" customHeight="1">
      <c r="B521" s="3">
        <f>IFERROR(__xludf.DUMMYFUNCTION("""COMPUTED_VALUE"""),41453.645833333336)</f>
        <v>41453.64583</v>
      </c>
      <c r="C521" s="2">
        <f>IFERROR(__xludf.DUMMYFUNCTION("""COMPUTED_VALUE"""),133.4)</f>
        <v>133.4</v>
      </c>
    </row>
    <row r="522" ht="15.75" customHeight="1">
      <c r="B522" s="3">
        <f>IFERROR(__xludf.DUMMYFUNCTION("""COMPUTED_VALUE"""),41460.645833333336)</f>
        <v>41460.64583</v>
      </c>
      <c r="C522" s="2">
        <f>IFERROR(__xludf.DUMMYFUNCTION("""COMPUTED_VALUE"""),135.0)</f>
        <v>135</v>
      </c>
    </row>
    <row r="523" ht="15.75" customHeight="1">
      <c r="B523" s="3">
        <f>IFERROR(__xludf.DUMMYFUNCTION("""COMPUTED_VALUE"""),41467.645833333336)</f>
        <v>41467.64583</v>
      </c>
      <c r="C523" s="2">
        <f>IFERROR(__xludf.DUMMYFUNCTION("""COMPUTED_VALUE"""),127.96)</f>
        <v>127.96</v>
      </c>
    </row>
    <row r="524" ht="15.75" customHeight="1">
      <c r="B524" s="3">
        <f>IFERROR(__xludf.DUMMYFUNCTION("""COMPUTED_VALUE"""),41474.645833333336)</f>
        <v>41474.64583</v>
      </c>
      <c r="C524" s="2">
        <f>IFERROR(__xludf.DUMMYFUNCTION("""COMPUTED_VALUE"""),133.62)</f>
        <v>133.62</v>
      </c>
    </row>
    <row r="525" ht="15.75" customHeight="1">
      <c r="B525" s="3">
        <f>IFERROR(__xludf.DUMMYFUNCTION("""COMPUTED_VALUE"""),41481.645833333336)</f>
        <v>41481.64583</v>
      </c>
      <c r="C525" s="2">
        <f>IFERROR(__xludf.DUMMYFUNCTION("""COMPUTED_VALUE"""),133.6)</f>
        <v>133.6</v>
      </c>
    </row>
    <row r="526" ht="15.75" customHeight="1">
      <c r="B526" s="3">
        <f>IFERROR(__xludf.DUMMYFUNCTION("""COMPUTED_VALUE"""),41488.645833333336)</f>
        <v>41488.64583</v>
      </c>
      <c r="C526" s="2">
        <f>IFERROR(__xludf.DUMMYFUNCTION("""COMPUTED_VALUE"""),119.34)</f>
        <v>119.34</v>
      </c>
    </row>
    <row r="527" ht="15.75" customHeight="1">
      <c r="B527" s="3">
        <f>IFERROR(__xludf.DUMMYFUNCTION("""COMPUTED_VALUE"""),41494.645833333336)</f>
        <v>41494.64583</v>
      </c>
      <c r="C527" s="2">
        <f>IFERROR(__xludf.DUMMYFUNCTION("""COMPUTED_VALUE"""),108.77)</f>
        <v>108.77</v>
      </c>
    </row>
    <row r="528" ht="15.75" customHeight="1">
      <c r="B528" s="3">
        <f>IFERROR(__xludf.DUMMYFUNCTION("""COMPUTED_VALUE"""),41502.645833333336)</f>
        <v>41502.64583</v>
      </c>
      <c r="C528" s="2">
        <f>IFERROR(__xludf.DUMMYFUNCTION("""COMPUTED_VALUE"""),110.38)</f>
        <v>110.38</v>
      </c>
    </row>
    <row r="529" ht="15.75" customHeight="1">
      <c r="B529" s="3">
        <f>IFERROR(__xludf.DUMMYFUNCTION("""COMPUTED_VALUE"""),41509.645833333336)</f>
        <v>41509.64583</v>
      </c>
      <c r="C529" s="2">
        <f>IFERROR(__xludf.DUMMYFUNCTION("""COMPUTED_VALUE"""),104.56)</f>
        <v>104.56</v>
      </c>
    </row>
    <row r="530" ht="15.75" customHeight="1">
      <c r="B530" s="3">
        <f>IFERROR(__xludf.DUMMYFUNCTION("""COMPUTED_VALUE"""),41516.645833333336)</f>
        <v>41516.64583</v>
      </c>
      <c r="C530" s="2">
        <f>IFERROR(__xludf.DUMMYFUNCTION("""COMPUTED_VALUE"""),98.2)</f>
        <v>98.2</v>
      </c>
    </row>
    <row r="531" ht="15.75" customHeight="1">
      <c r="B531" s="3">
        <f>IFERROR(__xludf.DUMMYFUNCTION("""COMPUTED_VALUE"""),41523.645833333336)</f>
        <v>41523.64583</v>
      </c>
      <c r="C531" s="2">
        <f>IFERROR(__xludf.DUMMYFUNCTION("""COMPUTED_VALUE"""),90.4)</f>
        <v>90.4</v>
      </c>
    </row>
    <row r="532" ht="15.75" customHeight="1">
      <c r="B532" s="3">
        <f>IFERROR(__xludf.DUMMYFUNCTION("""COMPUTED_VALUE"""),41530.645833333336)</f>
        <v>41530.64583</v>
      </c>
      <c r="C532" s="2">
        <f>IFERROR(__xludf.DUMMYFUNCTION("""COMPUTED_VALUE"""),104.2)</f>
        <v>104.2</v>
      </c>
    </row>
    <row r="533" ht="15.75" customHeight="1">
      <c r="B533" s="3">
        <f>IFERROR(__xludf.DUMMYFUNCTION("""COMPUTED_VALUE"""),41537.645833333336)</f>
        <v>41537.64583</v>
      </c>
      <c r="C533" s="2">
        <f>IFERROR(__xludf.DUMMYFUNCTION("""COMPUTED_VALUE"""),112.55)</f>
        <v>112.55</v>
      </c>
    </row>
    <row r="534" ht="15.75" customHeight="1">
      <c r="B534" s="3">
        <f>IFERROR(__xludf.DUMMYFUNCTION("""COMPUTED_VALUE"""),41544.645833333336)</f>
        <v>41544.64583</v>
      </c>
      <c r="C534" s="2">
        <f>IFERROR(__xludf.DUMMYFUNCTION("""COMPUTED_VALUE"""),102.4)</f>
        <v>102.4</v>
      </c>
    </row>
    <row r="535" ht="15.75" customHeight="1">
      <c r="B535" s="3">
        <f>IFERROR(__xludf.DUMMYFUNCTION("""COMPUTED_VALUE"""),41551.645833333336)</f>
        <v>41551.64583</v>
      </c>
      <c r="C535" s="2">
        <f>IFERROR(__xludf.DUMMYFUNCTION("""COMPUTED_VALUE"""),96.31)</f>
        <v>96.31</v>
      </c>
    </row>
    <row r="536" ht="15.75" customHeight="1">
      <c r="B536" s="3">
        <f>IFERROR(__xludf.DUMMYFUNCTION("""COMPUTED_VALUE"""),41558.645833333336)</f>
        <v>41558.64583</v>
      </c>
      <c r="C536" s="2">
        <f>IFERROR(__xludf.DUMMYFUNCTION("""COMPUTED_VALUE"""),99.14)</f>
        <v>99.14</v>
      </c>
    </row>
    <row r="537" ht="15.75" customHeight="1">
      <c r="B537" s="3">
        <f>IFERROR(__xludf.DUMMYFUNCTION("""COMPUTED_VALUE"""),41565.645833333336)</f>
        <v>41565.64583</v>
      </c>
      <c r="C537" s="2">
        <f>IFERROR(__xludf.DUMMYFUNCTION("""COMPUTED_VALUE"""),100.3)</f>
        <v>100.3</v>
      </c>
    </row>
    <row r="538" ht="15.75" customHeight="1">
      <c r="B538" s="3">
        <f>IFERROR(__xludf.DUMMYFUNCTION("""COMPUTED_VALUE"""),41572.645833333336)</f>
        <v>41572.64583</v>
      </c>
      <c r="C538" s="2">
        <f>IFERROR(__xludf.DUMMYFUNCTION("""COMPUTED_VALUE"""),102.11)</f>
        <v>102.11</v>
      </c>
    </row>
    <row r="539" ht="15.75" customHeight="1">
      <c r="B539" s="3">
        <f>IFERROR(__xludf.DUMMYFUNCTION("""COMPUTED_VALUE"""),41579.645833333336)</f>
        <v>41579.64583</v>
      </c>
      <c r="C539" s="2">
        <f>IFERROR(__xludf.DUMMYFUNCTION("""COMPUTED_VALUE"""),117.59)</f>
        <v>117.59</v>
      </c>
    </row>
    <row r="540" ht="15.75" customHeight="1">
      <c r="B540" s="3">
        <f>IFERROR(__xludf.DUMMYFUNCTION("""COMPUTED_VALUE"""),41586.645833333336)</f>
        <v>41586.64583</v>
      </c>
      <c r="C540" s="2">
        <f>IFERROR(__xludf.DUMMYFUNCTION("""COMPUTED_VALUE"""),119.8)</f>
        <v>119.8</v>
      </c>
    </row>
    <row r="541" ht="15.75" customHeight="1">
      <c r="B541" s="3">
        <f>IFERROR(__xludf.DUMMYFUNCTION("""COMPUTED_VALUE"""),41592.645833333336)</f>
        <v>41592.64583</v>
      </c>
      <c r="C541" s="2">
        <f>IFERROR(__xludf.DUMMYFUNCTION("""COMPUTED_VALUE"""),106.6)</f>
        <v>106.6</v>
      </c>
    </row>
    <row r="542" ht="15.75" customHeight="1">
      <c r="B542" s="3">
        <f>IFERROR(__xludf.DUMMYFUNCTION("""COMPUTED_VALUE"""),41600.645833333336)</f>
        <v>41600.64583</v>
      </c>
      <c r="C542" s="2">
        <f>IFERROR(__xludf.DUMMYFUNCTION("""COMPUTED_VALUE"""),110.68)</f>
        <v>110.68</v>
      </c>
    </row>
    <row r="543" ht="15.75" customHeight="1">
      <c r="B543" s="3">
        <f>IFERROR(__xludf.DUMMYFUNCTION("""COMPUTED_VALUE"""),41607.645833333336)</f>
        <v>41607.64583</v>
      </c>
      <c r="C543" s="2">
        <f>IFERROR(__xludf.DUMMYFUNCTION("""COMPUTED_VALUE"""),110.47)</f>
        <v>110.47</v>
      </c>
    </row>
    <row r="544" ht="15.75" customHeight="1">
      <c r="B544" s="3">
        <f>IFERROR(__xludf.DUMMYFUNCTION("""COMPUTED_VALUE"""),41614.645833333336)</f>
        <v>41614.64583</v>
      </c>
      <c r="C544" s="2">
        <f>IFERROR(__xludf.DUMMYFUNCTION("""COMPUTED_VALUE"""),120.6)</f>
        <v>120.6</v>
      </c>
    </row>
    <row r="545" ht="15.75" customHeight="1">
      <c r="B545" s="3">
        <f>IFERROR(__xludf.DUMMYFUNCTION("""COMPUTED_VALUE"""),41621.645833333336)</f>
        <v>41621.64583</v>
      </c>
      <c r="C545" s="2">
        <f>IFERROR(__xludf.DUMMYFUNCTION("""COMPUTED_VALUE"""),126.4)</f>
        <v>126.4</v>
      </c>
    </row>
    <row r="546" ht="15.75" customHeight="1">
      <c r="B546" s="3">
        <f>IFERROR(__xludf.DUMMYFUNCTION("""COMPUTED_VALUE"""),41628.645833333336)</f>
        <v>41628.64583</v>
      </c>
      <c r="C546" s="2">
        <f>IFERROR(__xludf.DUMMYFUNCTION("""COMPUTED_VALUE"""),119.98)</f>
        <v>119.98</v>
      </c>
    </row>
    <row r="547" ht="15.75" customHeight="1">
      <c r="B547" s="3">
        <f>IFERROR(__xludf.DUMMYFUNCTION("""COMPUTED_VALUE"""),41635.645833333336)</f>
        <v>41635.64583</v>
      </c>
      <c r="C547" s="2">
        <f>IFERROR(__xludf.DUMMYFUNCTION("""COMPUTED_VALUE"""),128.98)</f>
        <v>128.98</v>
      </c>
    </row>
    <row r="548" ht="15.75" customHeight="1"/>
    <row r="549" ht="15.75" customHeight="1"/>
    <row r="550" ht="15.75" customHeight="1"/>
    <row r="551" ht="15.75" customHeight="1">
      <c r="B551" s="2" t="str">
        <f>IFERROR(__xludf.DUMMYFUNCTION("GOOGLEFINANCE(""NSE:PNB"", ""high"",DATE(2014,1,1),DATE(2015,1,1),""weekly"")"),"Date")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IFERROR(__xludf.DUMMYFUNCTION("""COMPUTED_VALUE"""),41642.645833333336)</f>
        <v>41642.64583</v>
      </c>
      <c r="C552" s="2">
        <f>IFERROR(__xludf.DUMMYFUNCTION("""COMPUTED_VALUE"""),130.91)</f>
        <v>130.91</v>
      </c>
    </row>
    <row r="553" ht="15.75" customHeight="1">
      <c r="B553" s="3">
        <f>IFERROR(__xludf.DUMMYFUNCTION("""COMPUTED_VALUE"""),41649.645833333336)</f>
        <v>41649.64583</v>
      </c>
      <c r="C553" s="2">
        <f>IFERROR(__xludf.DUMMYFUNCTION("""COMPUTED_VALUE"""),123.78)</f>
        <v>123.78</v>
      </c>
    </row>
    <row r="554" ht="15.75" customHeight="1">
      <c r="B554" s="3">
        <f>IFERROR(__xludf.DUMMYFUNCTION("""COMPUTED_VALUE"""),41656.645833333336)</f>
        <v>41656.64583</v>
      </c>
      <c r="C554" s="2">
        <f>IFERROR(__xludf.DUMMYFUNCTION("""COMPUTED_VALUE"""),124.46)</f>
        <v>124.46</v>
      </c>
    </row>
    <row r="555" ht="15.75" customHeight="1">
      <c r="B555" s="3">
        <f>IFERROR(__xludf.DUMMYFUNCTION("""COMPUTED_VALUE"""),41663.645833333336)</f>
        <v>41663.64583</v>
      </c>
      <c r="C555" s="2">
        <f>IFERROR(__xludf.DUMMYFUNCTION("""COMPUTED_VALUE"""),124.07)</f>
        <v>124.07</v>
      </c>
    </row>
    <row r="556" ht="15.75" customHeight="1">
      <c r="B556" s="3">
        <f>IFERROR(__xludf.DUMMYFUNCTION("""COMPUTED_VALUE"""),41670.645833333336)</f>
        <v>41670.64583</v>
      </c>
      <c r="C556" s="2">
        <f>IFERROR(__xludf.DUMMYFUNCTION("""COMPUTED_VALUE"""),114.53)</f>
        <v>114.53</v>
      </c>
    </row>
    <row r="557" ht="15.75" customHeight="1">
      <c r="B557" s="3">
        <f>IFERROR(__xludf.DUMMYFUNCTION("""COMPUTED_VALUE"""),41677.645833333336)</f>
        <v>41677.64583</v>
      </c>
      <c r="C557" s="2">
        <f>IFERROR(__xludf.DUMMYFUNCTION("""COMPUTED_VALUE"""),113.88)</f>
        <v>113.88</v>
      </c>
    </row>
    <row r="558" ht="15.75" customHeight="1">
      <c r="B558" s="3">
        <f>IFERROR(__xludf.DUMMYFUNCTION("""COMPUTED_VALUE"""),41684.645833333336)</f>
        <v>41684.64583</v>
      </c>
      <c r="C558" s="2">
        <f>IFERROR(__xludf.DUMMYFUNCTION("""COMPUTED_VALUE"""),112.08)</f>
        <v>112.08</v>
      </c>
    </row>
    <row r="559" ht="15.75" customHeight="1">
      <c r="B559" s="3">
        <f>IFERROR(__xludf.DUMMYFUNCTION("""COMPUTED_VALUE"""),41691.645833333336)</f>
        <v>41691.64583</v>
      </c>
      <c r="C559" s="2">
        <f>IFERROR(__xludf.DUMMYFUNCTION("""COMPUTED_VALUE"""),109.86)</f>
        <v>109.86</v>
      </c>
    </row>
    <row r="560" ht="15.75" customHeight="1">
      <c r="B560" s="3">
        <f>IFERROR(__xludf.DUMMYFUNCTION("""COMPUTED_VALUE"""),41698.645833333336)</f>
        <v>41698.64583</v>
      </c>
      <c r="C560" s="2">
        <f>IFERROR(__xludf.DUMMYFUNCTION("""COMPUTED_VALUE"""),112.28)</f>
        <v>112.28</v>
      </c>
    </row>
    <row r="561" ht="15.75" customHeight="1">
      <c r="B561" s="3">
        <f>IFERROR(__xludf.DUMMYFUNCTION("""COMPUTED_VALUE"""),41705.645833333336)</f>
        <v>41705.64583</v>
      </c>
      <c r="C561" s="2">
        <f>IFERROR(__xludf.DUMMYFUNCTION("""COMPUTED_VALUE"""),124.85)</f>
        <v>124.85</v>
      </c>
    </row>
    <row r="562" ht="15.75" customHeight="1">
      <c r="B562" s="3">
        <f>IFERROR(__xludf.DUMMYFUNCTION("""COMPUTED_VALUE"""),41712.645833333336)</f>
        <v>41712.64583</v>
      </c>
      <c r="C562" s="2">
        <f>IFERROR(__xludf.DUMMYFUNCTION("""COMPUTED_VALUE"""),129.15)</f>
        <v>129.15</v>
      </c>
    </row>
    <row r="563" ht="15.75" customHeight="1">
      <c r="B563" s="3">
        <f>IFERROR(__xludf.DUMMYFUNCTION("""COMPUTED_VALUE"""),41726.645833333336)</f>
        <v>41726.64583</v>
      </c>
      <c r="C563" s="2">
        <f>IFERROR(__xludf.DUMMYFUNCTION("""COMPUTED_VALUE"""),152.31)</f>
        <v>152.31</v>
      </c>
    </row>
    <row r="564" ht="15.75" customHeight="1">
      <c r="B564" s="3">
        <f>IFERROR(__xludf.DUMMYFUNCTION("""COMPUTED_VALUE"""),41733.645833333336)</f>
        <v>41733.64583</v>
      </c>
      <c r="C564" s="2">
        <f>IFERROR(__xludf.DUMMYFUNCTION("""COMPUTED_VALUE"""),155.72)</f>
        <v>155.72</v>
      </c>
    </row>
    <row r="565" ht="15.75" customHeight="1">
      <c r="B565" s="3">
        <f>IFERROR(__xludf.DUMMYFUNCTION("""COMPUTED_VALUE"""),41740.645833333336)</f>
        <v>41740.64583</v>
      </c>
      <c r="C565" s="2">
        <f>IFERROR(__xludf.DUMMYFUNCTION("""COMPUTED_VALUE"""),158.95)</f>
        <v>158.95</v>
      </c>
    </row>
    <row r="566" ht="15.75" customHeight="1">
      <c r="B566" s="3">
        <f>IFERROR(__xludf.DUMMYFUNCTION("""COMPUTED_VALUE"""),41746.645833333336)</f>
        <v>41746.64583</v>
      </c>
      <c r="C566" s="2">
        <f>IFERROR(__xludf.DUMMYFUNCTION("""COMPUTED_VALUE"""),156.67)</f>
        <v>156.67</v>
      </c>
    </row>
    <row r="567" ht="15.75" customHeight="1">
      <c r="B567" s="3">
        <f>IFERROR(__xludf.DUMMYFUNCTION("""COMPUTED_VALUE"""),41754.645833333336)</f>
        <v>41754.64583</v>
      </c>
      <c r="C567" s="2">
        <f>IFERROR(__xludf.DUMMYFUNCTION("""COMPUTED_VALUE"""),163.33)</f>
        <v>163.33</v>
      </c>
    </row>
    <row r="568" ht="15.75" customHeight="1">
      <c r="B568" s="3">
        <f>IFERROR(__xludf.DUMMYFUNCTION("""COMPUTED_VALUE"""),41761.645833333336)</f>
        <v>41761.64583</v>
      </c>
      <c r="C568" s="2">
        <f>IFERROR(__xludf.DUMMYFUNCTION("""COMPUTED_VALUE"""),161.4)</f>
        <v>161.4</v>
      </c>
    </row>
    <row r="569" ht="15.75" customHeight="1">
      <c r="B569" s="3">
        <f>IFERROR(__xludf.DUMMYFUNCTION("""COMPUTED_VALUE"""),41768.645833333336)</f>
        <v>41768.64583</v>
      </c>
      <c r="C569" s="2">
        <f>IFERROR(__xludf.DUMMYFUNCTION("""COMPUTED_VALUE"""),164.38)</f>
        <v>164.38</v>
      </c>
    </row>
    <row r="570" ht="15.75" customHeight="1">
      <c r="B570" s="3">
        <f>IFERROR(__xludf.DUMMYFUNCTION("""COMPUTED_VALUE"""),41775.645833333336)</f>
        <v>41775.64583</v>
      </c>
      <c r="C570" s="2">
        <f>IFERROR(__xludf.DUMMYFUNCTION("""COMPUTED_VALUE"""),193.99)</f>
        <v>193.99</v>
      </c>
    </row>
    <row r="571" ht="15.75" customHeight="1">
      <c r="B571" s="3">
        <f>IFERROR(__xludf.DUMMYFUNCTION("""COMPUTED_VALUE"""),41782.645833333336)</f>
        <v>41782.64583</v>
      </c>
      <c r="C571" s="2">
        <f>IFERROR(__xludf.DUMMYFUNCTION("""COMPUTED_VALUE"""),208.72)</f>
        <v>208.72</v>
      </c>
    </row>
    <row r="572" ht="15.75" customHeight="1">
      <c r="B572" s="3">
        <f>IFERROR(__xludf.DUMMYFUNCTION("""COMPUTED_VALUE"""),41789.645833333336)</f>
        <v>41789.64583</v>
      </c>
      <c r="C572" s="2">
        <f>IFERROR(__xludf.DUMMYFUNCTION("""COMPUTED_VALUE"""),213.59)</f>
        <v>213.59</v>
      </c>
    </row>
    <row r="573" ht="15.75" customHeight="1">
      <c r="B573" s="3">
        <f>IFERROR(__xludf.DUMMYFUNCTION("""COMPUTED_VALUE"""),41796.645833333336)</f>
        <v>41796.64583</v>
      </c>
      <c r="C573" s="2">
        <f>IFERROR(__xludf.DUMMYFUNCTION("""COMPUTED_VALUE"""),205.0)</f>
        <v>205</v>
      </c>
    </row>
    <row r="574" ht="15.75" customHeight="1">
      <c r="B574" s="3">
        <f>IFERROR(__xludf.DUMMYFUNCTION("""COMPUTED_VALUE"""),41803.645833333336)</f>
        <v>41803.64583</v>
      </c>
      <c r="C574" s="2">
        <f>IFERROR(__xludf.DUMMYFUNCTION("""COMPUTED_VALUE"""),207.84)</f>
        <v>207.84</v>
      </c>
    </row>
    <row r="575" ht="15.75" customHeight="1">
      <c r="B575" s="3">
        <f>IFERROR(__xludf.DUMMYFUNCTION("""COMPUTED_VALUE"""),41810.645833333336)</f>
        <v>41810.64583</v>
      </c>
      <c r="C575" s="2">
        <f>IFERROR(__xludf.DUMMYFUNCTION("""COMPUTED_VALUE"""),199.58)</f>
        <v>199.58</v>
      </c>
    </row>
    <row r="576" ht="15.75" customHeight="1">
      <c r="B576" s="3">
        <f>IFERROR(__xludf.DUMMYFUNCTION("""COMPUTED_VALUE"""),41817.645833333336)</f>
        <v>41817.64583</v>
      </c>
      <c r="C576" s="2">
        <f>IFERROR(__xludf.DUMMYFUNCTION("""COMPUTED_VALUE"""),196.59)</f>
        <v>196.59</v>
      </c>
    </row>
    <row r="577" ht="15.75" customHeight="1">
      <c r="B577" s="3">
        <f>IFERROR(__xludf.DUMMYFUNCTION("""COMPUTED_VALUE"""),41824.645833333336)</f>
        <v>41824.64583</v>
      </c>
      <c r="C577" s="2">
        <f>IFERROR(__xludf.DUMMYFUNCTION("""COMPUTED_VALUE"""),202.74)</f>
        <v>202.74</v>
      </c>
    </row>
    <row r="578" ht="15.75" customHeight="1">
      <c r="B578" s="3">
        <f>IFERROR(__xludf.DUMMYFUNCTION("""COMPUTED_VALUE"""),41831.645833333336)</f>
        <v>41831.64583</v>
      </c>
      <c r="C578" s="2">
        <f>IFERROR(__xludf.DUMMYFUNCTION("""COMPUTED_VALUE"""),197.02)</f>
        <v>197.02</v>
      </c>
    </row>
    <row r="579" ht="15.75" customHeight="1">
      <c r="B579" s="3">
        <f>IFERROR(__xludf.DUMMYFUNCTION("""COMPUTED_VALUE"""),41838.645833333336)</f>
        <v>41838.64583</v>
      </c>
      <c r="C579" s="2">
        <f>IFERROR(__xludf.DUMMYFUNCTION("""COMPUTED_VALUE"""),188.4)</f>
        <v>188.4</v>
      </c>
    </row>
    <row r="580" ht="15.75" customHeight="1">
      <c r="B580" s="3">
        <f>IFERROR(__xludf.DUMMYFUNCTION("""COMPUTED_VALUE"""),41845.645833333336)</f>
        <v>41845.64583</v>
      </c>
      <c r="C580" s="2">
        <f>IFERROR(__xludf.DUMMYFUNCTION("""COMPUTED_VALUE"""),189.15)</f>
        <v>189.15</v>
      </c>
    </row>
    <row r="581" ht="15.75" customHeight="1">
      <c r="B581" s="3">
        <f>IFERROR(__xludf.DUMMYFUNCTION("""COMPUTED_VALUE"""),41852.645833333336)</f>
        <v>41852.64583</v>
      </c>
      <c r="C581" s="2">
        <f>IFERROR(__xludf.DUMMYFUNCTION("""COMPUTED_VALUE"""),196.68)</f>
        <v>196.68</v>
      </c>
    </row>
    <row r="582" ht="15.75" customHeight="1">
      <c r="B582" s="3">
        <f>IFERROR(__xludf.DUMMYFUNCTION("""COMPUTED_VALUE"""),41859.645833333336)</f>
        <v>41859.64583</v>
      </c>
      <c r="C582" s="2">
        <f>IFERROR(__xludf.DUMMYFUNCTION("""COMPUTED_VALUE"""),197.4)</f>
        <v>197.4</v>
      </c>
    </row>
    <row r="583" ht="15.75" customHeight="1">
      <c r="B583" s="3">
        <f>IFERROR(__xludf.DUMMYFUNCTION("""COMPUTED_VALUE"""),41865.645833333336)</f>
        <v>41865.64583</v>
      </c>
      <c r="C583" s="2">
        <f>IFERROR(__xludf.DUMMYFUNCTION("""COMPUTED_VALUE"""),184.8)</f>
        <v>184.8</v>
      </c>
    </row>
    <row r="584" ht="15.75" customHeight="1">
      <c r="B584" s="3">
        <f>IFERROR(__xludf.DUMMYFUNCTION("""COMPUTED_VALUE"""),41873.645833333336)</f>
        <v>41873.64583</v>
      </c>
      <c r="C584" s="2">
        <f>IFERROR(__xludf.DUMMYFUNCTION("""COMPUTED_VALUE"""),199.13)</f>
        <v>199.13</v>
      </c>
    </row>
    <row r="585" ht="15.75" customHeight="1">
      <c r="B585" s="3">
        <f>IFERROR(__xludf.DUMMYFUNCTION("""COMPUTED_VALUE"""),41879.645833333336)</f>
        <v>41879.64583</v>
      </c>
      <c r="C585" s="2">
        <f>IFERROR(__xludf.DUMMYFUNCTION("""COMPUTED_VALUE"""),199.2)</f>
        <v>199.2</v>
      </c>
    </row>
    <row r="586" ht="15.75" customHeight="1">
      <c r="B586" s="3">
        <f>IFERROR(__xludf.DUMMYFUNCTION("""COMPUTED_VALUE"""),41887.645833333336)</f>
        <v>41887.64583</v>
      </c>
      <c r="C586" s="2">
        <f>IFERROR(__xludf.DUMMYFUNCTION("""COMPUTED_VALUE"""),197.2)</f>
        <v>197.2</v>
      </c>
    </row>
    <row r="587" ht="15.75" customHeight="1">
      <c r="B587" s="3">
        <f>IFERROR(__xludf.DUMMYFUNCTION("""COMPUTED_VALUE"""),41894.645833333336)</f>
        <v>41894.64583</v>
      </c>
      <c r="C587" s="2">
        <f>IFERROR(__xludf.DUMMYFUNCTION("""COMPUTED_VALUE"""),197.4)</f>
        <v>197.4</v>
      </c>
    </row>
    <row r="588" ht="15.75" customHeight="1">
      <c r="B588" s="3">
        <f>IFERROR(__xludf.DUMMYFUNCTION("""COMPUTED_VALUE"""),41901.645833333336)</f>
        <v>41901.64583</v>
      </c>
      <c r="C588" s="2">
        <f>IFERROR(__xludf.DUMMYFUNCTION("""COMPUTED_VALUE"""),201.97)</f>
        <v>201.97</v>
      </c>
    </row>
    <row r="589" ht="15.75" customHeight="1">
      <c r="B589" s="3">
        <f>IFERROR(__xludf.DUMMYFUNCTION("""COMPUTED_VALUE"""),41908.645833333336)</f>
        <v>41908.64583</v>
      </c>
      <c r="C589" s="2">
        <f>IFERROR(__xludf.DUMMYFUNCTION("""COMPUTED_VALUE"""),199.4)</f>
        <v>199.4</v>
      </c>
    </row>
    <row r="590" ht="15.75" customHeight="1">
      <c r="B590" s="3">
        <f>IFERROR(__xludf.DUMMYFUNCTION("""COMPUTED_VALUE"""),41913.645833333336)</f>
        <v>41913.64583</v>
      </c>
      <c r="C590" s="2">
        <f>IFERROR(__xludf.DUMMYFUNCTION("""COMPUTED_VALUE"""),180.2)</f>
        <v>180.2</v>
      </c>
    </row>
    <row r="591" ht="15.75" customHeight="1">
      <c r="B591" s="3">
        <f>IFERROR(__xludf.DUMMYFUNCTION("""COMPUTED_VALUE"""),41922.645833333336)</f>
        <v>41922.64583</v>
      </c>
      <c r="C591" s="2">
        <f>IFERROR(__xludf.DUMMYFUNCTION("""COMPUTED_VALUE"""),181.66)</f>
        <v>181.66</v>
      </c>
    </row>
    <row r="592" ht="15.75" customHeight="1">
      <c r="B592" s="3">
        <f>IFERROR(__xludf.DUMMYFUNCTION("""COMPUTED_VALUE"""),41929.645833333336)</f>
        <v>41929.64583</v>
      </c>
      <c r="C592" s="2">
        <f>IFERROR(__xludf.DUMMYFUNCTION("""COMPUTED_VALUE"""),186.78)</f>
        <v>186.78</v>
      </c>
    </row>
    <row r="593" ht="15.75" customHeight="1">
      <c r="B593" s="3">
        <f>IFERROR(__xludf.DUMMYFUNCTION("""COMPUTED_VALUE"""),41935.645833333336)</f>
        <v>41935.64583</v>
      </c>
      <c r="C593" s="2">
        <f>IFERROR(__xludf.DUMMYFUNCTION("""COMPUTED_VALUE"""),195.2)</f>
        <v>195.2</v>
      </c>
    </row>
    <row r="594" ht="15.75" customHeight="1">
      <c r="B594" s="3">
        <f>IFERROR(__xludf.DUMMYFUNCTION("""COMPUTED_VALUE"""),41943.645833333336)</f>
        <v>41943.64583</v>
      </c>
      <c r="C594" s="2">
        <f>IFERROR(__xludf.DUMMYFUNCTION("""COMPUTED_VALUE"""),189.18)</f>
        <v>189.18</v>
      </c>
    </row>
    <row r="595" ht="15.75" customHeight="1">
      <c r="B595" s="3">
        <f>IFERROR(__xludf.DUMMYFUNCTION("""COMPUTED_VALUE"""),41950.645833333336)</f>
        <v>41950.64583</v>
      </c>
      <c r="C595" s="2">
        <f>IFERROR(__xludf.DUMMYFUNCTION("""COMPUTED_VALUE"""),192.08)</f>
        <v>192.08</v>
      </c>
    </row>
    <row r="596" ht="15.75" customHeight="1">
      <c r="B596" s="3">
        <f>IFERROR(__xludf.DUMMYFUNCTION("""COMPUTED_VALUE"""),41957.64583333333)</f>
        <v>41957.64583</v>
      </c>
      <c r="C596" s="2">
        <f>IFERROR(__xludf.DUMMYFUNCTION("""COMPUTED_VALUE"""),194.3)</f>
        <v>194.3</v>
      </c>
    </row>
    <row r="597" ht="15.75" customHeight="1">
      <c r="B597" s="3">
        <f>IFERROR(__xludf.DUMMYFUNCTION("""COMPUTED_VALUE"""),41964.64583333333)</f>
        <v>41964.64583</v>
      </c>
      <c r="C597" s="2">
        <f>IFERROR(__xludf.DUMMYFUNCTION("""COMPUTED_VALUE"""),199.2)</f>
        <v>199.2</v>
      </c>
    </row>
    <row r="598" ht="15.75" customHeight="1">
      <c r="B598" s="3">
        <f>IFERROR(__xludf.DUMMYFUNCTION("""COMPUTED_VALUE"""),41971.64583333333)</f>
        <v>41971.64583</v>
      </c>
      <c r="C598" s="2">
        <f>IFERROR(__xludf.DUMMYFUNCTION("""COMPUTED_VALUE"""),216.62)</f>
        <v>216.62</v>
      </c>
    </row>
    <row r="599" ht="15.75" customHeight="1">
      <c r="B599" s="3">
        <f>IFERROR(__xludf.DUMMYFUNCTION("""COMPUTED_VALUE"""),41978.64583333333)</f>
        <v>41978.64583</v>
      </c>
      <c r="C599" s="2">
        <f>IFERROR(__xludf.DUMMYFUNCTION("""COMPUTED_VALUE"""),225.72)</f>
        <v>225.72</v>
      </c>
    </row>
    <row r="600" ht="15.75" customHeight="1">
      <c r="B600" s="3">
        <f>IFERROR(__xludf.DUMMYFUNCTION("""COMPUTED_VALUE"""),41985.64583333333)</f>
        <v>41985.64583</v>
      </c>
      <c r="C600" s="2">
        <f>IFERROR(__xludf.DUMMYFUNCTION("""COMPUTED_VALUE"""),227.02)</f>
        <v>227.02</v>
      </c>
    </row>
    <row r="601" ht="15.75" customHeight="1">
      <c r="B601" s="3">
        <f>IFERROR(__xludf.DUMMYFUNCTION("""COMPUTED_VALUE"""),41992.64583333333)</f>
        <v>41992.64583</v>
      </c>
      <c r="C601" s="2">
        <f>IFERROR(__xludf.DUMMYFUNCTION("""COMPUTED_VALUE"""),230.95)</f>
        <v>230.95</v>
      </c>
    </row>
    <row r="602" ht="15.75" customHeight="1">
      <c r="B602" s="3">
        <f>IFERROR(__xludf.DUMMYFUNCTION("""COMPUTED_VALUE"""),41999.64583333333)</f>
        <v>41999.64583</v>
      </c>
      <c r="C602" s="2">
        <f>IFERROR(__xludf.DUMMYFUNCTION("""COMPUTED_VALUE"""),227.0)</f>
        <v>227</v>
      </c>
    </row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IFERROR(__xludf.DUMMYFUNCTION("GOOGLEFINANCE(""NSE:PNB"", ""high"",DATE(2015,1,1),DATE(2016,1,1),""weekly"")"),"Date")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IFERROR(__xludf.DUMMYFUNCTION("""COMPUTED_VALUE"""),42006.64583333333)</f>
        <v>42006.64583</v>
      </c>
      <c r="C607" s="2">
        <f>IFERROR(__xludf.DUMMYFUNCTION("""COMPUTED_VALUE"""),224.5)</f>
        <v>224.5</v>
      </c>
    </row>
    <row r="608" ht="15.75" customHeight="1">
      <c r="B608" s="3">
        <f>IFERROR(__xludf.DUMMYFUNCTION("""COMPUTED_VALUE"""),42013.64583333333)</f>
        <v>42013.64583</v>
      </c>
      <c r="C608" s="2">
        <f>IFERROR(__xludf.DUMMYFUNCTION("""COMPUTED_VALUE"""),222.0)</f>
        <v>222</v>
      </c>
    </row>
    <row r="609" ht="15.75" customHeight="1">
      <c r="B609" s="3">
        <f>IFERROR(__xludf.DUMMYFUNCTION("""COMPUTED_VALUE"""),42020.64583333333)</f>
        <v>42020.64583</v>
      </c>
      <c r="C609" s="2">
        <f>IFERROR(__xludf.DUMMYFUNCTION("""COMPUTED_VALUE"""),213.85)</f>
        <v>213.85</v>
      </c>
    </row>
    <row r="610" ht="15.75" customHeight="1">
      <c r="B610" s="3">
        <f>IFERROR(__xludf.DUMMYFUNCTION("""COMPUTED_VALUE"""),42027.64583333333)</f>
        <v>42027.64583</v>
      </c>
      <c r="C610" s="2">
        <f>IFERROR(__xludf.DUMMYFUNCTION("""COMPUTED_VALUE"""),219.0)</f>
        <v>219</v>
      </c>
    </row>
    <row r="611" ht="15.75" customHeight="1">
      <c r="B611" s="3">
        <f>IFERROR(__xludf.DUMMYFUNCTION("""COMPUTED_VALUE"""),42034.64583333333)</f>
        <v>42034.64583</v>
      </c>
      <c r="C611" s="2">
        <f>IFERROR(__xludf.DUMMYFUNCTION("""COMPUTED_VALUE"""),211.0)</f>
        <v>211</v>
      </c>
    </row>
    <row r="612" ht="15.75" customHeight="1">
      <c r="B612" s="3">
        <f>IFERROR(__xludf.DUMMYFUNCTION("""COMPUTED_VALUE"""),42041.64583333333)</f>
        <v>42041.64583</v>
      </c>
      <c r="C612" s="2">
        <f>IFERROR(__xludf.DUMMYFUNCTION("""COMPUTED_VALUE"""),194.6)</f>
        <v>194.6</v>
      </c>
    </row>
    <row r="613" ht="15.75" customHeight="1">
      <c r="B613" s="3">
        <f>IFERROR(__xludf.DUMMYFUNCTION("""COMPUTED_VALUE"""),42048.64583333333)</f>
        <v>42048.64583</v>
      </c>
      <c r="C613" s="2">
        <f>IFERROR(__xludf.DUMMYFUNCTION("""COMPUTED_VALUE"""),172.9)</f>
        <v>172.9</v>
      </c>
    </row>
    <row r="614" ht="15.75" customHeight="1">
      <c r="B614" s="3">
        <f>IFERROR(__xludf.DUMMYFUNCTION("""COMPUTED_VALUE"""),42055.64583333333)</f>
        <v>42055.64583</v>
      </c>
      <c r="C614" s="2">
        <f>IFERROR(__xludf.DUMMYFUNCTION("""COMPUTED_VALUE"""),170.9)</f>
        <v>170.9</v>
      </c>
    </row>
    <row r="615" ht="15.75" customHeight="1">
      <c r="B615" s="3">
        <f>IFERROR(__xludf.DUMMYFUNCTION("""COMPUTED_VALUE"""),42068.64583333333)</f>
        <v>42068.64583</v>
      </c>
      <c r="C615" s="2">
        <f>IFERROR(__xludf.DUMMYFUNCTION("""COMPUTED_VALUE"""),180.0)</f>
        <v>180</v>
      </c>
    </row>
    <row r="616" ht="15.75" customHeight="1">
      <c r="B616" s="3">
        <f>IFERROR(__xludf.DUMMYFUNCTION("""COMPUTED_VALUE"""),42076.64583333333)</f>
        <v>42076.64583</v>
      </c>
      <c r="C616" s="2">
        <f>IFERROR(__xludf.DUMMYFUNCTION("""COMPUTED_VALUE"""),169.3)</f>
        <v>169.3</v>
      </c>
    </row>
    <row r="617" ht="15.75" customHeight="1">
      <c r="B617" s="3">
        <f>IFERROR(__xludf.DUMMYFUNCTION("""COMPUTED_VALUE"""),42083.64583333333)</f>
        <v>42083.64583</v>
      </c>
      <c r="C617" s="2">
        <f>IFERROR(__xludf.DUMMYFUNCTION("""COMPUTED_VALUE"""),170.5)</f>
        <v>170.5</v>
      </c>
    </row>
    <row r="618" ht="15.75" customHeight="1">
      <c r="B618" s="3">
        <f>IFERROR(__xludf.DUMMYFUNCTION("""COMPUTED_VALUE"""),42090.64583333333)</f>
        <v>42090.64583</v>
      </c>
      <c r="C618" s="2">
        <f>IFERROR(__xludf.DUMMYFUNCTION("""COMPUTED_VALUE"""),164.4)</f>
        <v>164.4</v>
      </c>
    </row>
    <row r="619" ht="15.75" customHeight="1">
      <c r="B619" s="3">
        <f>IFERROR(__xludf.DUMMYFUNCTION("""COMPUTED_VALUE"""),42095.64583333333)</f>
        <v>42095.64583</v>
      </c>
      <c r="C619" s="2">
        <f>IFERROR(__xludf.DUMMYFUNCTION("""COMPUTED_VALUE"""),152.7)</f>
        <v>152.7</v>
      </c>
    </row>
    <row r="620" ht="15.75" customHeight="1">
      <c r="B620" s="3">
        <f>IFERROR(__xludf.DUMMYFUNCTION("""COMPUTED_VALUE"""),42104.64583333333)</f>
        <v>42104.64583</v>
      </c>
      <c r="C620" s="2">
        <f>IFERROR(__xludf.DUMMYFUNCTION("""COMPUTED_VALUE"""),165.5)</f>
        <v>165.5</v>
      </c>
    </row>
    <row r="621" ht="15.75" customHeight="1">
      <c r="B621" s="3">
        <f>IFERROR(__xludf.DUMMYFUNCTION("""COMPUTED_VALUE"""),42111.64583333333)</f>
        <v>42111.64583</v>
      </c>
      <c r="C621" s="2">
        <f>IFERROR(__xludf.DUMMYFUNCTION("""COMPUTED_VALUE"""),170.75)</f>
        <v>170.75</v>
      </c>
    </row>
    <row r="622" ht="15.75" customHeight="1">
      <c r="B622" s="3">
        <f>IFERROR(__xludf.DUMMYFUNCTION("""COMPUTED_VALUE"""),42118.64583333333)</f>
        <v>42118.64583</v>
      </c>
      <c r="C622" s="2">
        <f>IFERROR(__xludf.DUMMYFUNCTION("""COMPUTED_VALUE"""),167.0)</f>
        <v>167</v>
      </c>
    </row>
    <row r="623" ht="15.75" customHeight="1">
      <c r="B623" s="3">
        <f>IFERROR(__xludf.DUMMYFUNCTION("""COMPUTED_VALUE"""),42124.64583333333)</f>
        <v>42124.64583</v>
      </c>
      <c r="C623" s="2">
        <f>IFERROR(__xludf.DUMMYFUNCTION("""COMPUTED_VALUE"""),162.5)</f>
        <v>162.5</v>
      </c>
    </row>
    <row r="624" ht="15.75" customHeight="1">
      <c r="B624" s="3">
        <f>IFERROR(__xludf.DUMMYFUNCTION("""COMPUTED_VALUE"""),42132.64583333333)</f>
        <v>42132.64583</v>
      </c>
      <c r="C624" s="2">
        <f>IFERROR(__xludf.DUMMYFUNCTION("""COMPUTED_VALUE"""),168.3)</f>
        <v>168.3</v>
      </c>
    </row>
    <row r="625" ht="15.75" customHeight="1">
      <c r="B625" s="3">
        <f>IFERROR(__xludf.DUMMYFUNCTION("""COMPUTED_VALUE"""),42139.64583333333)</f>
        <v>42139.64583</v>
      </c>
      <c r="C625" s="2">
        <f>IFERROR(__xludf.DUMMYFUNCTION("""COMPUTED_VALUE"""),151.9)</f>
        <v>151.9</v>
      </c>
    </row>
    <row r="626" ht="15.75" customHeight="1">
      <c r="B626" s="3">
        <f>IFERROR(__xludf.DUMMYFUNCTION("""COMPUTED_VALUE"""),42146.64583333333)</f>
        <v>42146.64583</v>
      </c>
      <c r="C626" s="2">
        <f>IFERROR(__xludf.DUMMYFUNCTION("""COMPUTED_VALUE"""),153.75)</f>
        <v>153.75</v>
      </c>
    </row>
    <row r="627" ht="15.75" customHeight="1">
      <c r="B627" s="3">
        <f>IFERROR(__xludf.DUMMYFUNCTION("""COMPUTED_VALUE"""),42153.64583333333)</f>
        <v>42153.64583</v>
      </c>
      <c r="C627" s="2">
        <f>IFERROR(__xludf.DUMMYFUNCTION("""COMPUTED_VALUE"""),158.8)</f>
        <v>158.8</v>
      </c>
    </row>
    <row r="628" ht="15.75" customHeight="1">
      <c r="B628" s="3">
        <f>IFERROR(__xludf.DUMMYFUNCTION("""COMPUTED_VALUE"""),42160.64583333333)</f>
        <v>42160.64583</v>
      </c>
      <c r="C628" s="2">
        <f>IFERROR(__xludf.DUMMYFUNCTION("""COMPUTED_VALUE"""),155.9)</f>
        <v>155.9</v>
      </c>
    </row>
    <row r="629" ht="15.75" customHeight="1">
      <c r="B629" s="3">
        <f>IFERROR(__xludf.DUMMYFUNCTION("""COMPUTED_VALUE"""),42167.64583333333)</f>
        <v>42167.64583</v>
      </c>
      <c r="C629" s="2">
        <f>IFERROR(__xludf.DUMMYFUNCTION("""COMPUTED_VALUE"""),144.35)</f>
        <v>144.35</v>
      </c>
    </row>
    <row r="630" ht="15.75" customHeight="1">
      <c r="B630" s="3">
        <f>IFERROR(__xludf.DUMMYFUNCTION("""COMPUTED_VALUE"""),42174.64583333333)</f>
        <v>42174.64583</v>
      </c>
      <c r="C630" s="2">
        <f>IFERROR(__xludf.DUMMYFUNCTION("""COMPUTED_VALUE"""),135.0)</f>
        <v>135</v>
      </c>
    </row>
    <row r="631" ht="15.75" customHeight="1">
      <c r="B631" s="3">
        <f>IFERROR(__xludf.DUMMYFUNCTION("""COMPUTED_VALUE"""),42181.64583333333)</f>
        <v>42181.64583</v>
      </c>
      <c r="C631" s="2">
        <f>IFERROR(__xludf.DUMMYFUNCTION("""COMPUTED_VALUE"""),144.85)</f>
        <v>144.85</v>
      </c>
    </row>
    <row r="632" ht="15.75" customHeight="1">
      <c r="B632" s="3">
        <f>IFERROR(__xludf.DUMMYFUNCTION("""COMPUTED_VALUE"""),42188.64583333333)</f>
        <v>42188.64583</v>
      </c>
      <c r="C632" s="2">
        <f>IFERROR(__xludf.DUMMYFUNCTION("""COMPUTED_VALUE"""),142.95)</f>
        <v>142.95</v>
      </c>
    </row>
    <row r="633" ht="15.75" customHeight="1">
      <c r="B633" s="3">
        <f>IFERROR(__xludf.DUMMYFUNCTION("""COMPUTED_VALUE"""),42195.64583333333)</f>
        <v>42195.64583</v>
      </c>
      <c r="C633" s="2">
        <f>IFERROR(__xludf.DUMMYFUNCTION("""COMPUTED_VALUE"""),146.7)</f>
        <v>146.7</v>
      </c>
    </row>
    <row r="634" ht="15.75" customHeight="1">
      <c r="B634" s="3">
        <f>IFERROR(__xludf.DUMMYFUNCTION("""COMPUTED_VALUE"""),42202.64583333333)</f>
        <v>42202.64583</v>
      </c>
      <c r="C634" s="2">
        <f>IFERROR(__xludf.DUMMYFUNCTION("""COMPUTED_VALUE"""),147.5)</f>
        <v>147.5</v>
      </c>
    </row>
    <row r="635" ht="15.75" customHeight="1">
      <c r="B635" s="3">
        <f>IFERROR(__xludf.DUMMYFUNCTION("""COMPUTED_VALUE"""),42209.64583333333)</f>
        <v>42209.64583</v>
      </c>
      <c r="C635" s="2">
        <f>IFERROR(__xludf.DUMMYFUNCTION("""COMPUTED_VALUE"""),145.1)</f>
        <v>145.1</v>
      </c>
    </row>
    <row r="636" ht="15.75" customHeight="1">
      <c r="B636" s="3">
        <f>IFERROR(__xludf.DUMMYFUNCTION("""COMPUTED_VALUE"""),42216.64583333333)</f>
        <v>42216.64583</v>
      </c>
      <c r="C636" s="2">
        <f>IFERROR(__xludf.DUMMYFUNCTION("""COMPUTED_VALUE"""),155.0)</f>
        <v>155</v>
      </c>
    </row>
    <row r="637" ht="15.75" customHeight="1">
      <c r="B637" s="3">
        <f>IFERROR(__xludf.DUMMYFUNCTION("""COMPUTED_VALUE"""),42223.64583333333)</f>
        <v>42223.64583</v>
      </c>
      <c r="C637" s="2">
        <f>IFERROR(__xludf.DUMMYFUNCTION("""COMPUTED_VALUE"""),163.8)</f>
        <v>163.8</v>
      </c>
    </row>
    <row r="638" ht="15.75" customHeight="1">
      <c r="B638" s="3">
        <f>IFERROR(__xludf.DUMMYFUNCTION("""COMPUTED_VALUE"""),42230.64583333333)</f>
        <v>42230.64583</v>
      </c>
      <c r="C638" s="2">
        <f>IFERROR(__xludf.DUMMYFUNCTION("""COMPUTED_VALUE"""),167.2)</f>
        <v>167.2</v>
      </c>
    </row>
    <row r="639" ht="15.75" customHeight="1">
      <c r="B639" s="3">
        <f>IFERROR(__xludf.DUMMYFUNCTION("""COMPUTED_VALUE"""),42237.64583333333)</f>
        <v>42237.64583</v>
      </c>
      <c r="C639" s="2">
        <f>IFERROR(__xludf.DUMMYFUNCTION("""COMPUTED_VALUE"""),180.55)</f>
        <v>180.55</v>
      </c>
    </row>
    <row r="640" ht="15.75" customHeight="1">
      <c r="B640" s="3">
        <f>IFERROR(__xludf.DUMMYFUNCTION("""COMPUTED_VALUE"""),42244.64583333333)</f>
        <v>42244.64583</v>
      </c>
      <c r="C640" s="2">
        <f>IFERROR(__xludf.DUMMYFUNCTION("""COMPUTED_VALUE"""),153.95)</f>
        <v>153.95</v>
      </c>
    </row>
    <row r="641" ht="15.75" customHeight="1">
      <c r="B641" s="3">
        <f>IFERROR(__xludf.DUMMYFUNCTION("""COMPUTED_VALUE"""),42251.64583333333)</f>
        <v>42251.64583</v>
      </c>
      <c r="C641" s="2">
        <f>IFERROR(__xludf.DUMMYFUNCTION("""COMPUTED_VALUE"""),147.5)</f>
        <v>147.5</v>
      </c>
    </row>
    <row r="642" ht="15.75" customHeight="1">
      <c r="B642" s="3">
        <f>IFERROR(__xludf.DUMMYFUNCTION("""COMPUTED_VALUE"""),42258.64583333333)</f>
        <v>42258.64583</v>
      </c>
      <c r="C642" s="2">
        <f>IFERROR(__xludf.DUMMYFUNCTION("""COMPUTED_VALUE"""),137.9)</f>
        <v>137.9</v>
      </c>
    </row>
    <row r="643" ht="15.75" customHeight="1">
      <c r="B643" s="3">
        <f>IFERROR(__xludf.DUMMYFUNCTION("""COMPUTED_VALUE"""),42265.64583333333)</f>
        <v>42265.64583</v>
      </c>
      <c r="C643" s="2">
        <f>IFERROR(__xludf.DUMMYFUNCTION("""COMPUTED_VALUE"""),142.8)</f>
        <v>142.8</v>
      </c>
    </row>
    <row r="644" ht="15.75" customHeight="1">
      <c r="B644" s="3">
        <f>IFERROR(__xludf.DUMMYFUNCTION("""COMPUTED_VALUE"""),42271.64583333333)</f>
        <v>42271.64583</v>
      </c>
      <c r="C644" s="2">
        <f>IFERROR(__xludf.DUMMYFUNCTION("""COMPUTED_VALUE"""),141.95)</f>
        <v>141.95</v>
      </c>
    </row>
    <row r="645" ht="15.75" customHeight="1">
      <c r="B645" s="3">
        <f>IFERROR(__xludf.DUMMYFUNCTION("""COMPUTED_VALUE"""),42278.64583333333)</f>
        <v>42278.64583</v>
      </c>
      <c r="C645" s="2">
        <f>IFERROR(__xludf.DUMMYFUNCTION("""COMPUTED_VALUE"""),137.95)</f>
        <v>137.95</v>
      </c>
    </row>
    <row r="646" ht="15.75" customHeight="1">
      <c r="B646" s="3">
        <f>IFERROR(__xludf.DUMMYFUNCTION("""COMPUTED_VALUE"""),42286.64583333333)</f>
        <v>42286.64583</v>
      </c>
      <c r="C646" s="2">
        <f>IFERROR(__xludf.DUMMYFUNCTION("""COMPUTED_VALUE"""),141.85)</f>
        <v>141.85</v>
      </c>
    </row>
    <row r="647" ht="15.75" customHeight="1">
      <c r="B647" s="3">
        <f>IFERROR(__xludf.DUMMYFUNCTION("""COMPUTED_VALUE"""),42293.64583333333)</f>
        <v>42293.64583</v>
      </c>
      <c r="C647" s="2">
        <f>IFERROR(__xludf.DUMMYFUNCTION("""COMPUTED_VALUE"""),139.75)</f>
        <v>139.75</v>
      </c>
    </row>
    <row r="648" ht="15.75" customHeight="1">
      <c r="B648" s="3">
        <f>IFERROR(__xludf.DUMMYFUNCTION("""COMPUTED_VALUE"""),42300.64583333333)</f>
        <v>42300.64583</v>
      </c>
      <c r="C648" s="2">
        <f>IFERROR(__xludf.DUMMYFUNCTION("""COMPUTED_VALUE"""),139.8)</f>
        <v>139.8</v>
      </c>
    </row>
    <row r="649" ht="15.75" customHeight="1">
      <c r="B649" s="3">
        <f>IFERROR(__xludf.DUMMYFUNCTION("""COMPUTED_VALUE"""),42307.64583333333)</f>
        <v>42307.64583</v>
      </c>
      <c r="C649" s="2">
        <f>IFERROR(__xludf.DUMMYFUNCTION("""COMPUTED_VALUE"""),137.05)</f>
        <v>137.05</v>
      </c>
    </row>
    <row r="650" ht="15.75" customHeight="1">
      <c r="B650" s="3">
        <f>IFERROR(__xludf.DUMMYFUNCTION("""COMPUTED_VALUE"""),42314.64583333333)</f>
        <v>42314.64583</v>
      </c>
      <c r="C650" s="2">
        <f>IFERROR(__xludf.DUMMYFUNCTION("""COMPUTED_VALUE"""),135.45)</f>
        <v>135.45</v>
      </c>
    </row>
    <row r="651" ht="15.75" customHeight="1">
      <c r="B651" s="3">
        <f>IFERROR(__xludf.DUMMYFUNCTION("""COMPUTED_VALUE"""),42321.64583333333)</f>
        <v>42321.64583</v>
      </c>
      <c r="C651" s="2">
        <f>IFERROR(__xludf.DUMMYFUNCTION("""COMPUTED_VALUE"""),137.8)</f>
        <v>137.8</v>
      </c>
    </row>
    <row r="652" ht="15.75" customHeight="1">
      <c r="B652" s="3">
        <f>IFERROR(__xludf.DUMMYFUNCTION("""COMPUTED_VALUE"""),42328.64583333333)</f>
        <v>42328.64583</v>
      </c>
      <c r="C652" s="2">
        <f>IFERROR(__xludf.DUMMYFUNCTION("""COMPUTED_VALUE"""),142.35)</f>
        <v>142.35</v>
      </c>
    </row>
    <row r="653" ht="15.75" customHeight="1">
      <c r="B653" s="3">
        <f>IFERROR(__xludf.DUMMYFUNCTION("""COMPUTED_VALUE"""),42335.64583333333)</f>
        <v>42335.64583</v>
      </c>
      <c r="C653" s="2">
        <f>IFERROR(__xludf.DUMMYFUNCTION("""COMPUTED_VALUE"""),145.9)</f>
        <v>145.9</v>
      </c>
    </row>
    <row r="654" ht="15.75" customHeight="1">
      <c r="B654" s="3">
        <f>IFERROR(__xludf.DUMMYFUNCTION("""COMPUTED_VALUE"""),42342.64583333333)</f>
        <v>42342.64583</v>
      </c>
      <c r="C654" s="2">
        <f>IFERROR(__xludf.DUMMYFUNCTION("""COMPUTED_VALUE"""),146.25)</f>
        <v>146.25</v>
      </c>
    </row>
    <row r="655" ht="15.75" customHeight="1">
      <c r="B655" s="3">
        <f>IFERROR(__xludf.DUMMYFUNCTION("""COMPUTED_VALUE"""),42349.64583333333)</f>
        <v>42349.64583</v>
      </c>
      <c r="C655" s="2">
        <f>IFERROR(__xludf.DUMMYFUNCTION("""COMPUTED_VALUE"""),135.75)</f>
        <v>135.75</v>
      </c>
    </row>
    <row r="656" ht="15.75" customHeight="1">
      <c r="B656" s="3">
        <f>IFERROR(__xludf.DUMMYFUNCTION("""COMPUTED_VALUE"""),42356.64583333333)</f>
        <v>42356.64583</v>
      </c>
      <c r="C656" s="2">
        <f>IFERROR(__xludf.DUMMYFUNCTION("""COMPUTED_VALUE"""),125.1)</f>
        <v>125.1</v>
      </c>
    </row>
    <row r="657" ht="15.75" customHeight="1">
      <c r="B657" s="3">
        <f>IFERROR(__xludf.DUMMYFUNCTION("""COMPUTED_VALUE"""),42362.64583333333)</f>
        <v>42362.64583</v>
      </c>
      <c r="C657" s="2">
        <f>IFERROR(__xludf.DUMMYFUNCTION("""COMPUTED_VALUE"""),123.7)</f>
        <v>123.7</v>
      </c>
    </row>
    <row r="658" ht="15.75" customHeight="1">
      <c r="B658" s="3">
        <f>IFERROR(__xludf.DUMMYFUNCTION("""COMPUTED_VALUE"""),42370.64583333333)</f>
        <v>42370.64583</v>
      </c>
      <c r="C658" s="2">
        <f>IFERROR(__xludf.DUMMYFUNCTION("""COMPUTED_VALUE"""),121.4)</f>
        <v>121.4</v>
      </c>
    </row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IFERROR(__xludf.DUMMYFUNCTION("GOOGLEFINANCE(""NSE:TCS"", ""high"",DATE(2005,1,1),DATE(2006,1,1),""weekly"")"),"Date")</f>
        <v>Date</v>
      </c>
      <c r="C1" s="2" t="str">
        <f>IFERROR(__xludf.DUMMYFUNCTION("""COMPUTED_VALUE"""),"High")</f>
        <v>High</v>
      </c>
    </row>
    <row r="2">
      <c r="A2" s="2" t="s">
        <v>4</v>
      </c>
      <c r="B2" s="3">
        <f>IFERROR(__xludf.DUMMYFUNCTION("""COMPUTED_VALUE"""),38359.645833333336)</f>
        <v>38359.64583</v>
      </c>
      <c r="C2" s="2">
        <f>IFERROR(__xludf.DUMMYFUNCTION("""COMPUTED_VALUE"""),169.59)</f>
        <v>169.59</v>
      </c>
    </row>
    <row r="3">
      <c r="A3" s="2" t="s">
        <v>5</v>
      </c>
      <c r="B3" s="3">
        <f>IFERROR(__xludf.DUMMYFUNCTION("""COMPUTED_VALUE"""),38366.645833333336)</f>
        <v>38366.64583</v>
      </c>
      <c r="C3" s="2">
        <f>IFERROR(__xludf.DUMMYFUNCTION("""COMPUTED_VALUE"""),170.99)</f>
        <v>170.99</v>
      </c>
    </row>
    <row r="4">
      <c r="A4" s="2" t="s">
        <v>6</v>
      </c>
      <c r="B4" s="3">
        <f>IFERROR(__xludf.DUMMYFUNCTION("""COMPUTED_VALUE"""),38372.645833333336)</f>
        <v>38372.64583</v>
      </c>
      <c r="C4" s="2">
        <f>IFERROR(__xludf.DUMMYFUNCTION("""COMPUTED_VALUE"""),163.7)</f>
        <v>163.7</v>
      </c>
    </row>
    <row r="5">
      <c r="A5" s="2" t="s">
        <v>7</v>
      </c>
      <c r="B5" s="3">
        <f>IFERROR(__xludf.DUMMYFUNCTION("""COMPUTED_VALUE"""),38380.645833333336)</f>
        <v>38380.64583</v>
      </c>
      <c r="C5" s="2">
        <f>IFERROR(__xludf.DUMMYFUNCTION("""COMPUTED_VALUE"""),161.85)</f>
        <v>161.85</v>
      </c>
    </row>
    <row r="6">
      <c r="A6" s="2" t="s">
        <v>8</v>
      </c>
      <c r="B6" s="3">
        <f>IFERROR(__xludf.DUMMYFUNCTION("""COMPUTED_VALUE"""),38387.645833333336)</f>
        <v>38387.64583</v>
      </c>
      <c r="C6" s="2">
        <f>IFERROR(__xludf.DUMMYFUNCTION("""COMPUTED_VALUE"""),165.43)</f>
        <v>165.43</v>
      </c>
    </row>
    <row r="7">
      <c r="A7" s="2" t="s">
        <v>9</v>
      </c>
      <c r="B7" s="3">
        <f>IFERROR(__xludf.DUMMYFUNCTION("""COMPUTED_VALUE"""),38394.645833333336)</f>
        <v>38394.64583</v>
      </c>
      <c r="C7" s="2">
        <f>IFERROR(__xludf.DUMMYFUNCTION("""COMPUTED_VALUE"""),173.38)</f>
        <v>173.38</v>
      </c>
    </row>
    <row r="8">
      <c r="A8" s="2" t="s">
        <v>10</v>
      </c>
      <c r="B8" s="3">
        <f>IFERROR(__xludf.DUMMYFUNCTION("""COMPUTED_VALUE"""),38401.645833333336)</f>
        <v>38401.64583</v>
      </c>
      <c r="C8" s="2">
        <f>IFERROR(__xludf.DUMMYFUNCTION("""COMPUTED_VALUE"""),177.25)</f>
        <v>177.25</v>
      </c>
    </row>
    <row r="9">
      <c r="A9" s="2" t="s">
        <v>11</v>
      </c>
      <c r="B9" s="3">
        <f>IFERROR(__xludf.DUMMYFUNCTION("""COMPUTED_VALUE"""),38408.645833333336)</f>
        <v>38408.64583</v>
      </c>
      <c r="C9" s="2">
        <f>IFERROR(__xludf.DUMMYFUNCTION("""COMPUTED_VALUE"""),174.49)</f>
        <v>174.49</v>
      </c>
    </row>
    <row r="10">
      <c r="A10" s="2" t="s">
        <v>12</v>
      </c>
      <c r="B10" s="3">
        <f>IFERROR(__xludf.DUMMYFUNCTION("""COMPUTED_VALUE"""),38415.645833333336)</f>
        <v>38415.64583</v>
      </c>
      <c r="C10" s="2">
        <f>IFERROR(__xludf.DUMMYFUNCTION("""COMPUTED_VALUE"""),180.0)</f>
        <v>180</v>
      </c>
    </row>
    <row r="11">
      <c r="A11" s="2" t="s">
        <v>13</v>
      </c>
      <c r="B11" s="3">
        <f>IFERROR(__xludf.DUMMYFUNCTION("""COMPUTED_VALUE"""),38422.645833333336)</f>
        <v>38422.64583</v>
      </c>
      <c r="C11" s="2">
        <f>IFERROR(__xludf.DUMMYFUNCTION("""COMPUTED_VALUE"""),179.36)</f>
        <v>179.36</v>
      </c>
    </row>
    <row r="12">
      <c r="A12" s="2" t="s">
        <v>14</v>
      </c>
      <c r="B12" s="3">
        <f>IFERROR(__xludf.DUMMYFUNCTION("""COMPUTED_VALUE"""),38429.645833333336)</f>
        <v>38429.64583</v>
      </c>
      <c r="C12" s="2">
        <f>IFERROR(__xludf.DUMMYFUNCTION("""COMPUTED_VALUE"""),184.21)</f>
        <v>184.21</v>
      </c>
    </row>
    <row r="13">
      <c r="A13" s="2" t="s">
        <v>15</v>
      </c>
      <c r="B13" s="3">
        <f>IFERROR(__xludf.DUMMYFUNCTION("""COMPUTED_VALUE"""),38435.645833333336)</f>
        <v>38435.64583</v>
      </c>
      <c r="C13" s="2">
        <f>IFERROR(__xludf.DUMMYFUNCTION("""COMPUTED_VALUE"""),184.38)</f>
        <v>184.38</v>
      </c>
    </row>
    <row r="14">
      <c r="A14" s="2" t="s">
        <v>16</v>
      </c>
      <c r="B14" s="3">
        <f>IFERROR(__xludf.DUMMYFUNCTION("""COMPUTED_VALUE"""),38443.645833333336)</f>
        <v>38443.64583</v>
      </c>
      <c r="C14" s="2">
        <f>IFERROR(__xludf.DUMMYFUNCTION("""COMPUTED_VALUE"""),182.13)</f>
        <v>182.13</v>
      </c>
    </row>
    <row r="15">
      <c r="A15" s="2" t="s">
        <v>17</v>
      </c>
      <c r="B15" s="3">
        <f>IFERROR(__xludf.DUMMYFUNCTION("""COMPUTED_VALUE"""),38450.645833333336)</f>
        <v>38450.64583</v>
      </c>
      <c r="C15" s="2">
        <f>IFERROR(__xludf.DUMMYFUNCTION("""COMPUTED_VALUE"""),182.1)</f>
        <v>182.1</v>
      </c>
    </row>
    <row r="16">
      <c r="A16" s="2" t="s">
        <v>18</v>
      </c>
      <c r="B16" s="3">
        <f>IFERROR(__xludf.DUMMYFUNCTION("""COMPUTED_VALUE"""),38457.645833333336)</f>
        <v>38457.64583</v>
      </c>
      <c r="C16" s="2">
        <f>IFERROR(__xludf.DUMMYFUNCTION("""COMPUTED_VALUE"""),175.88)</f>
        <v>175.88</v>
      </c>
    </row>
    <row r="17">
      <c r="A17" s="2" t="s">
        <v>19</v>
      </c>
      <c r="B17" s="3">
        <f>IFERROR(__xludf.DUMMYFUNCTION("""COMPUTED_VALUE"""),38464.645833333336)</f>
        <v>38464.64583</v>
      </c>
      <c r="C17" s="2">
        <f>IFERROR(__xludf.DUMMYFUNCTION("""COMPUTED_VALUE"""),168.61)</f>
        <v>168.61</v>
      </c>
    </row>
    <row r="18">
      <c r="B18" s="3">
        <f>IFERROR(__xludf.DUMMYFUNCTION("""COMPUTED_VALUE"""),38471.645833333336)</f>
        <v>38471.64583</v>
      </c>
      <c r="C18" s="2">
        <f>IFERROR(__xludf.DUMMYFUNCTION("""COMPUTED_VALUE"""),145.99)</f>
        <v>145.99</v>
      </c>
    </row>
    <row r="19">
      <c r="B19" s="3">
        <f>IFERROR(__xludf.DUMMYFUNCTION("""COMPUTED_VALUE"""),38478.645833333336)</f>
        <v>38478.64583</v>
      </c>
      <c r="C19" s="2">
        <f>IFERROR(__xludf.DUMMYFUNCTION("""COMPUTED_VALUE"""),147.25)</f>
        <v>147.25</v>
      </c>
    </row>
    <row r="20">
      <c r="B20" s="3">
        <f>IFERROR(__xludf.DUMMYFUNCTION("""COMPUTED_VALUE"""),38485.645833333336)</f>
        <v>38485.64583</v>
      </c>
      <c r="C20" s="2">
        <f>IFERROR(__xludf.DUMMYFUNCTION("""COMPUTED_VALUE"""),147.78)</f>
        <v>147.78</v>
      </c>
    </row>
    <row r="21" ht="15.75" customHeight="1">
      <c r="B21" s="3">
        <f>IFERROR(__xludf.DUMMYFUNCTION("""COMPUTED_VALUE"""),38492.645833333336)</f>
        <v>38492.64583</v>
      </c>
      <c r="C21" s="2">
        <f>IFERROR(__xludf.DUMMYFUNCTION("""COMPUTED_VALUE"""),146.84)</f>
        <v>146.84</v>
      </c>
    </row>
    <row r="22" ht="15.75" customHeight="1">
      <c r="B22" s="3">
        <f>IFERROR(__xludf.DUMMYFUNCTION("""COMPUTED_VALUE"""),38499.645833333336)</f>
        <v>38499.64583</v>
      </c>
      <c r="C22" s="2">
        <f>IFERROR(__xludf.DUMMYFUNCTION("""COMPUTED_VALUE"""),162.38)</f>
        <v>162.38</v>
      </c>
    </row>
    <row r="23" ht="15.75" customHeight="1">
      <c r="B23" s="3">
        <f>IFERROR(__xludf.DUMMYFUNCTION("""COMPUTED_VALUE"""),38513.645833333336)</f>
        <v>38513.64583</v>
      </c>
      <c r="C23" s="2">
        <f>IFERROR(__xludf.DUMMYFUNCTION("""COMPUTED_VALUE"""),162.71)</f>
        <v>162.71</v>
      </c>
    </row>
    <row r="24" ht="15.75" customHeight="1">
      <c r="B24" s="3">
        <f>IFERROR(__xludf.DUMMYFUNCTION("""COMPUTED_VALUE"""),38520.645833333336)</f>
        <v>38520.64583</v>
      </c>
      <c r="C24" s="2">
        <f>IFERROR(__xludf.DUMMYFUNCTION("""COMPUTED_VALUE"""),160.99)</f>
        <v>160.99</v>
      </c>
    </row>
    <row r="25" ht="15.75" customHeight="1">
      <c r="B25" s="3">
        <f>IFERROR(__xludf.DUMMYFUNCTION("""COMPUTED_VALUE"""),38527.645833333336)</f>
        <v>38527.64583</v>
      </c>
      <c r="C25" s="2">
        <f>IFERROR(__xludf.DUMMYFUNCTION("""COMPUTED_VALUE"""),167.38)</f>
        <v>167.38</v>
      </c>
    </row>
    <row r="26" ht="15.75" customHeight="1">
      <c r="B26" s="3">
        <f>IFERROR(__xludf.DUMMYFUNCTION("""COMPUTED_VALUE"""),38534.645833333336)</f>
        <v>38534.64583</v>
      </c>
      <c r="C26" s="2">
        <f>IFERROR(__xludf.DUMMYFUNCTION("""COMPUTED_VALUE"""),170.63)</f>
        <v>170.63</v>
      </c>
    </row>
    <row r="27" ht="15.75" customHeight="1">
      <c r="B27" s="3">
        <f>IFERROR(__xludf.DUMMYFUNCTION("""COMPUTED_VALUE"""),38541.645833333336)</f>
        <v>38541.64583</v>
      </c>
      <c r="C27" s="2">
        <f>IFERROR(__xludf.DUMMYFUNCTION("""COMPUTED_VALUE"""),171.49)</f>
        <v>171.49</v>
      </c>
    </row>
    <row r="28" ht="15.75" customHeight="1">
      <c r="B28" s="3">
        <f>IFERROR(__xludf.DUMMYFUNCTION("""COMPUTED_VALUE"""),38548.645833333336)</f>
        <v>38548.64583</v>
      </c>
      <c r="C28" s="2">
        <f>IFERROR(__xludf.DUMMYFUNCTION("""COMPUTED_VALUE"""),166.25)</f>
        <v>166.25</v>
      </c>
    </row>
    <row r="29" ht="15.75" customHeight="1">
      <c r="B29" s="3">
        <f>IFERROR(__xludf.DUMMYFUNCTION("""COMPUTED_VALUE"""),38555.645833333336)</f>
        <v>38555.64583</v>
      </c>
      <c r="C29" s="2">
        <f>IFERROR(__xludf.DUMMYFUNCTION("""COMPUTED_VALUE"""),184.88)</f>
        <v>184.88</v>
      </c>
    </row>
    <row r="30" ht="15.75" customHeight="1">
      <c r="B30" s="3">
        <f>IFERROR(__xludf.DUMMYFUNCTION("""COMPUTED_VALUE"""),38562.645833333336)</f>
        <v>38562.64583</v>
      </c>
      <c r="C30" s="2">
        <f>IFERROR(__xludf.DUMMYFUNCTION("""COMPUTED_VALUE"""),162.79)</f>
        <v>162.79</v>
      </c>
    </row>
    <row r="31" ht="15.75" customHeight="1">
      <c r="B31" s="3">
        <f>IFERROR(__xludf.DUMMYFUNCTION("""COMPUTED_VALUE"""),38569.645833333336)</f>
        <v>38569.64583</v>
      </c>
      <c r="C31" s="2">
        <f>IFERROR(__xludf.DUMMYFUNCTION("""COMPUTED_VALUE"""),164.98)</f>
        <v>164.98</v>
      </c>
    </row>
    <row r="32" ht="15.75" customHeight="1">
      <c r="B32" s="3">
        <f>IFERROR(__xludf.DUMMYFUNCTION("""COMPUTED_VALUE"""),38576.645833333336)</f>
        <v>38576.64583</v>
      </c>
      <c r="C32" s="2">
        <f>IFERROR(__xludf.DUMMYFUNCTION("""COMPUTED_VALUE"""),166.13)</f>
        <v>166.13</v>
      </c>
    </row>
    <row r="33" ht="15.75" customHeight="1">
      <c r="B33" s="3">
        <f>IFERROR(__xludf.DUMMYFUNCTION("""COMPUTED_VALUE"""),38583.645833333336)</f>
        <v>38583.64583</v>
      </c>
      <c r="C33" s="2">
        <f>IFERROR(__xludf.DUMMYFUNCTION("""COMPUTED_VALUE"""),166.5)</f>
        <v>166.5</v>
      </c>
    </row>
    <row r="34" ht="15.75" customHeight="1">
      <c r="B34" s="3">
        <f>IFERROR(__xludf.DUMMYFUNCTION("""COMPUTED_VALUE"""),38590.645833333336)</f>
        <v>38590.64583</v>
      </c>
      <c r="C34" s="2">
        <f>IFERROR(__xludf.DUMMYFUNCTION("""COMPUTED_VALUE"""),171.25)</f>
        <v>171.25</v>
      </c>
    </row>
    <row r="35" ht="15.75" customHeight="1">
      <c r="B35" s="3">
        <f>IFERROR(__xludf.DUMMYFUNCTION("""COMPUTED_VALUE"""),38597.645833333336)</f>
        <v>38597.64583</v>
      </c>
      <c r="C35" s="2">
        <f>IFERROR(__xludf.DUMMYFUNCTION("""COMPUTED_VALUE"""),180.0)</f>
        <v>180</v>
      </c>
    </row>
    <row r="36" ht="15.75" customHeight="1">
      <c r="B36" s="3">
        <f>IFERROR(__xludf.DUMMYFUNCTION("""COMPUTED_VALUE"""),38604.645833333336)</f>
        <v>38604.64583</v>
      </c>
      <c r="C36" s="2">
        <f>IFERROR(__xludf.DUMMYFUNCTION("""COMPUTED_VALUE"""),183.36)</f>
        <v>183.36</v>
      </c>
    </row>
    <row r="37" ht="15.75" customHeight="1">
      <c r="B37" s="3">
        <f>IFERROR(__xludf.DUMMYFUNCTION("""COMPUTED_VALUE"""),38611.645833333336)</f>
        <v>38611.64583</v>
      </c>
      <c r="C37" s="2">
        <f>IFERROR(__xludf.DUMMYFUNCTION("""COMPUTED_VALUE"""),204.75)</f>
        <v>204.75</v>
      </c>
    </row>
    <row r="38" ht="15.75" customHeight="1">
      <c r="B38" s="3">
        <f>IFERROR(__xludf.DUMMYFUNCTION("""COMPUTED_VALUE"""),38618.645833333336)</f>
        <v>38618.64583</v>
      </c>
      <c r="C38" s="2">
        <f>IFERROR(__xludf.DUMMYFUNCTION("""COMPUTED_VALUE"""),185.88)</f>
        <v>185.88</v>
      </c>
    </row>
    <row r="39" ht="15.75" customHeight="1">
      <c r="B39" s="3">
        <f>IFERROR(__xludf.DUMMYFUNCTION("""COMPUTED_VALUE"""),38625.645833333336)</f>
        <v>38625.64583</v>
      </c>
      <c r="C39" s="2">
        <f>IFERROR(__xludf.DUMMYFUNCTION("""COMPUTED_VALUE"""),186.8)</f>
        <v>186.8</v>
      </c>
    </row>
    <row r="40" ht="15.75" customHeight="1">
      <c r="B40" s="3">
        <f>IFERROR(__xludf.DUMMYFUNCTION("""COMPUTED_VALUE"""),38632.645833333336)</f>
        <v>38632.64583</v>
      </c>
      <c r="C40" s="2">
        <f>IFERROR(__xludf.DUMMYFUNCTION("""COMPUTED_VALUE"""),188.11)</f>
        <v>188.11</v>
      </c>
    </row>
    <row r="41" ht="15.75" customHeight="1">
      <c r="B41" s="3">
        <f>IFERROR(__xludf.DUMMYFUNCTION("""COMPUTED_VALUE"""),38639.645833333336)</f>
        <v>38639.64583</v>
      </c>
      <c r="C41" s="2">
        <f>IFERROR(__xludf.DUMMYFUNCTION("""COMPUTED_VALUE"""),185.63)</f>
        <v>185.63</v>
      </c>
    </row>
    <row r="42" ht="15.75" customHeight="1">
      <c r="B42" s="3">
        <f>IFERROR(__xludf.DUMMYFUNCTION("""COMPUTED_VALUE"""),38646.645833333336)</f>
        <v>38646.64583</v>
      </c>
      <c r="C42" s="2">
        <f>IFERROR(__xludf.DUMMYFUNCTION("""COMPUTED_VALUE"""),183.1)</f>
        <v>183.1</v>
      </c>
    </row>
    <row r="43" ht="15.75" customHeight="1">
      <c r="B43" s="3">
        <f>IFERROR(__xludf.DUMMYFUNCTION("""COMPUTED_VALUE"""),38653.645833333336)</f>
        <v>38653.64583</v>
      </c>
      <c r="C43" s="2">
        <f>IFERROR(__xludf.DUMMYFUNCTION("""COMPUTED_VALUE"""),181.38)</f>
        <v>181.38</v>
      </c>
    </row>
    <row r="44" ht="15.75" customHeight="1">
      <c r="B44" s="3">
        <f>IFERROR(__xludf.DUMMYFUNCTION("""COMPUTED_VALUE"""),38658.645833333336)</f>
        <v>38658.64583</v>
      </c>
      <c r="C44" s="2">
        <f>IFERROR(__xludf.DUMMYFUNCTION("""COMPUTED_VALUE"""),181.09)</f>
        <v>181.09</v>
      </c>
    </row>
    <row r="45" ht="15.75" customHeight="1">
      <c r="B45" s="3">
        <f>IFERROR(__xludf.DUMMYFUNCTION("""COMPUTED_VALUE"""),38667.645833333336)</f>
        <v>38667.64583</v>
      </c>
      <c r="C45" s="2">
        <f>IFERROR(__xludf.DUMMYFUNCTION("""COMPUTED_VALUE"""),186.0)</f>
        <v>186</v>
      </c>
    </row>
    <row r="46" ht="15.75" customHeight="1">
      <c r="B46" s="3">
        <f>IFERROR(__xludf.DUMMYFUNCTION("""COMPUTED_VALUE"""),38674.645833333336)</f>
        <v>38674.64583</v>
      </c>
      <c r="C46" s="2">
        <f>IFERROR(__xludf.DUMMYFUNCTION("""COMPUTED_VALUE"""),191.38)</f>
        <v>191.38</v>
      </c>
    </row>
    <row r="47" ht="15.75" customHeight="1">
      <c r="B47" s="3">
        <f>IFERROR(__xludf.DUMMYFUNCTION("""COMPUTED_VALUE"""),38688.645833333336)</f>
        <v>38688.64583</v>
      </c>
      <c r="C47" s="2">
        <f>IFERROR(__xludf.DUMMYFUNCTION("""COMPUTED_VALUE"""),196.8)</f>
        <v>196.8</v>
      </c>
    </row>
    <row r="48" ht="15.75" customHeight="1">
      <c r="B48" s="3">
        <f>IFERROR(__xludf.DUMMYFUNCTION("""COMPUTED_VALUE"""),38695.645833333336)</f>
        <v>38695.64583</v>
      </c>
      <c r="C48" s="2">
        <f>IFERROR(__xludf.DUMMYFUNCTION("""COMPUTED_VALUE"""),211.83)</f>
        <v>211.83</v>
      </c>
    </row>
    <row r="49" ht="15.75" customHeight="1">
      <c r="B49" s="3">
        <f>IFERROR(__xludf.DUMMYFUNCTION("""COMPUTED_VALUE"""),38702.645833333336)</f>
        <v>38702.64583</v>
      </c>
      <c r="C49" s="2">
        <f>IFERROR(__xludf.DUMMYFUNCTION("""COMPUTED_VALUE"""),215.75)</f>
        <v>215.75</v>
      </c>
    </row>
    <row r="50" ht="15.75" customHeight="1">
      <c r="B50" s="3">
        <f>IFERROR(__xludf.DUMMYFUNCTION("""COMPUTED_VALUE"""),38709.645833333336)</f>
        <v>38709.64583</v>
      </c>
      <c r="C50" s="2">
        <f>IFERROR(__xludf.DUMMYFUNCTION("""COMPUTED_VALUE"""),219.13)</f>
        <v>219.13</v>
      </c>
    </row>
    <row r="51" ht="15.75" customHeight="1">
      <c r="B51" s="3">
        <f>IFERROR(__xludf.DUMMYFUNCTION("""COMPUTED_VALUE"""),38716.645833333336)</f>
        <v>38716.64583</v>
      </c>
      <c r="C51" s="2">
        <f>IFERROR(__xludf.DUMMYFUNCTION("""COMPUTED_VALUE"""),214.99)</f>
        <v>214.99</v>
      </c>
    </row>
    <row r="52" ht="15.75" customHeight="1"/>
    <row r="53" ht="15.75" customHeight="1"/>
    <row r="54" ht="15.75" customHeight="1"/>
    <row r="55" ht="15.75" customHeight="1"/>
    <row r="56" ht="15.75" customHeight="1">
      <c r="B56" s="2" t="str">
        <f>IFERROR(__xludf.DUMMYFUNCTION("GOOGLEFINANCE(""NSE:TCS"", ""high"",DATE(2006,1,1),DATE(2007,1,1),""weekly"")"),"Date")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IFERROR(__xludf.DUMMYFUNCTION("""COMPUTED_VALUE"""),38723.645833333336)</f>
        <v>38723.64583</v>
      </c>
      <c r="C57" s="2">
        <f>IFERROR(__xludf.DUMMYFUNCTION("""COMPUTED_VALUE"""),218.74)</f>
        <v>218.74</v>
      </c>
    </row>
    <row r="58" ht="15.75" customHeight="1">
      <c r="B58" s="3">
        <f>IFERROR(__xludf.DUMMYFUNCTION("""COMPUTED_VALUE"""),38730.645833333336)</f>
        <v>38730.64583</v>
      </c>
      <c r="C58" s="2">
        <f>IFERROR(__xludf.DUMMYFUNCTION("""COMPUTED_VALUE"""),216.25)</f>
        <v>216.25</v>
      </c>
    </row>
    <row r="59" ht="15.75" customHeight="1">
      <c r="B59" s="3">
        <f>IFERROR(__xludf.DUMMYFUNCTION("""COMPUTED_VALUE"""),38737.645833333336)</f>
        <v>38737.64583</v>
      </c>
      <c r="C59" s="2">
        <f>IFERROR(__xludf.DUMMYFUNCTION("""COMPUTED_VALUE"""),208.73)</f>
        <v>208.73</v>
      </c>
    </row>
    <row r="60" ht="15.75" customHeight="1">
      <c r="B60" s="3">
        <f>IFERROR(__xludf.DUMMYFUNCTION("""COMPUTED_VALUE"""),38744.645833333336)</f>
        <v>38744.64583</v>
      </c>
      <c r="C60" s="2">
        <f>IFERROR(__xludf.DUMMYFUNCTION("""COMPUTED_VALUE"""),210.0)</f>
        <v>210</v>
      </c>
    </row>
    <row r="61" ht="15.75" customHeight="1">
      <c r="B61" s="3">
        <f>IFERROR(__xludf.DUMMYFUNCTION("""COMPUTED_VALUE"""),38751.645833333336)</f>
        <v>38751.64583</v>
      </c>
      <c r="C61" s="2">
        <f>IFERROR(__xludf.DUMMYFUNCTION("""COMPUTED_VALUE"""),209.95)</f>
        <v>209.95</v>
      </c>
    </row>
    <row r="62" ht="15.75" customHeight="1">
      <c r="B62" s="3">
        <f>IFERROR(__xludf.DUMMYFUNCTION("""COMPUTED_VALUE"""),38758.645833333336)</f>
        <v>38758.64583</v>
      </c>
      <c r="C62" s="2">
        <f>IFERROR(__xludf.DUMMYFUNCTION("""COMPUTED_VALUE"""),211.69)</f>
        <v>211.69</v>
      </c>
    </row>
    <row r="63" ht="15.75" customHeight="1">
      <c r="B63" s="3">
        <f>IFERROR(__xludf.DUMMYFUNCTION("""COMPUTED_VALUE"""),38765.645833333336)</f>
        <v>38765.64583</v>
      </c>
      <c r="C63" s="2">
        <f>IFERROR(__xludf.DUMMYFUNCTION("""COMPUTED_VALUE"""),208.75)</f>
        <v>208.75</v>
      </c>
    </row>
    <row r="64" ht="15.75" customHeight="1">
      <c r="B64" s="3">
        <f>IFERROR(__xludf.DUMMYFUNCTION("""COMPUTED_VALUE"""),38772.645833333336)</f>
        <v>38772.64583</v>
      </c>
      <c r="C64" s="2">
        <f>IFERROR(__xludf.DUMMYFUNCTION("""COMPUTED_VALUE"""),211.24)</f>
        <v>211.24</v>
      </c>
    </row>
    <row r="65" ht="15.75" customHeight="1">
      <c r="B65" s="3">
        <f>IFERROR(__xludf.DUMMYFUNCTION("""COMPUTED_VALUE"""),38779.645833333336)</f>
        <v>38779.64583</v>
      </c>
      <c r="C65" s="2">
        <f>IFERROR(__xludf.DUMMYFUNCTION("""COMPUTED_VALUE"""),219.25)</f>
        <v>219.25</v>
      </c>
    </row>
    <row r="66" ht="15.75" customHeight="1">
      <c r="B66" s="3">
        <f>IFERROR(__xludf.DUMMYFUNCTION("""COMPUTED_VALUE"""),38786.645833333336)</f>
        <v>38786.64583</v>
      </c>
      <c r="C66" s="2">
        <f>IFERROR(__xludf.DUMMYFUNCTION("""COMPUTED_VALUE"""),221.88)</f>
        <v>221.88</v>
      </c>
    </row>
    <row r="67" ht="15.75" customHeight="1">
      <c r="B67" s="3">
        <f>IFERROR(__xludf.DUMMYFUNCTION("""COMPUTED_VALUE"""),38793.645833333336)</f>
        <v>38793.64583</v>
      </c>
      <c r="C67" s="2">
        <f>IFERROR(__xludf.DUMMYFUNCTION("""COMPUTED_VALUE"""),235.06)</f>
        <v>235.06</v>
      </c>
    </row>
    <row r="68" ht="15.75" customHeight="1">
      <c r="B68" s="3">
        <f>IFERROR(__xludf.DUMMYFUNCTION("""COMPUTED_VALUE"""),38800.645833333336)</f>
        <v>38800.64583</v>
      </c>
      <c r="C68" s="2">
        <f>IFERROR(__xludf.DUMMYFUNCTION("""COMPUTED_VALUE"""),241.88)</f>
        <v>241.88</v>
      </c>
    </row>
    <row r="69" ht="15.75" customHeight="1">
      <c r="B69" s="3">
        <f>IFERROR(__xludf.DUMMYFUNCTION("""COMPUTED_VALUE"""),38807.645833333336)</f>
        <v>38807.64583</v>
      </c>
      <c r="C69" s="2">
        <f>IFERROR(__xludf.DUMMYFUNCTION("""COMPUTED_VALUE"""),251.25)</f>
        <v>251.25</v>
      </c>
    </row>
    <row r="70" ht="15.75" customHeight="1">
      <c r="B70" s="3">
        <f>IFERROR(__xludf.DUMMYFUNCTION("""COMPUTED_VALUE"""),38814.645833333336)</f>
        <v>38814.64583</v>
      </c>
      <c r="C70" s="2">
        <f>IFERROR(__xludf.DUMMYFUNCTION("""COMPUTED_VALUE"""),249.63)</f>
        <v>249.63</v>
      </c>
    </row>
    <row r="71" ht="15.75" customHeight="1">
      <c r="B71" s="3">
        <f>IFERROR(__xludf.DUMMYFUNCTION("""COMPUTED_VALUE"""),38820.645833333336)</f>
        <v>38820.64583</v>
      </c>
      <c r="C71" s="2">
        <f>IFERROR(__xludf.DUMMYFUNCTION("""COMPUTED_VALUE"""),239.99)</f>
        <v>239.99</v>
      </c>
    </row>
    <row r="72" ht="15.75" customHeight="1">
      <c r="B72" s="3">
        <f>IFERROR(__xludf.DUMMYFUNCTION("""COMPUTED_VALUE"""),38828.645833333336)</f>
        <v>38828.64583</v>
      </c>
      <c r="C72" s="2">
        <f>IFERROR(__xludf.DUMMYFUNCTION("""COMPUTED_VALUE"""),261.0)</f>
        <v>261</v>
      </c>
    </row>
    <row r="73" ht="15.75" customHeight="1">
      <c r="B73" s="3">
        <f>IFERROR(__xludf.DUMMYFUNCTION("""COMPUTED_VALUE"""),38842.645833333336)</f>
        <v>38842.64583</v>
      </c>
      <c r="C73" s="2">
        <f>IFERROR(__xludf.DUMMYFUNCTION("""COMPUTED_VALUE"""),257.24)</f>
        <v>257.24</v>
      </c>
    </row>
    <row r="74" ht="15.75" customHeight="1">
      <c r="B74" s="3">
        <f>IFERROR(__xludf.DUMMYFUNCTION("""COMPUTED_VALUE"""),38849.645833333336)</f>
        <v>38849.64583</v>
      </c>
      <c r="C74" s="2">
        <f>IFERROR(__xludf.DUMMYFUNCTION("""COMPUTED_VALUE"""),261.5)</f>
        <v>261.5</v>
      </c>
    </row>
    <row r="75" ht="15.75" customHeight="1">
      <c r="B75" s="3">
        <f>IFERROR(__xludf.DUMMYFUNCTION("""COMPUTED_VALUE"""),38856.645833333336)</f>
        <v>38856.64583</v>
      </c>
      <c r="C75" s="2">
        <f>IFERROR(__xludf.DUMMYFUNCTION("""COMPUTED_VALUE"""),252.5)</f>
        <v>252.5</v>
      </c>
    </row>
    <row r="76" ht="15.75" customHeight="1">
      <c r="B76" s="3">
        <f>IFERROR(__xludf.DUMMYFUNCTION("""COMPUTED_VALUE"""),38863.645833333336)</f>
        <v>38863.64583</v>
      </c>
      <c r="C76" s="2">
        <f>IFERROR(__xludf.DUMMYFUNCTION("""COMPUTED_VALUE"""),240.0)</f>
        <v>240</v>
      </c>
    </row>
    <row r="77" ht="15.75" customHeight="1">
      <c r="B77" s="3">
        <f>IFERROR(__xludf.DUMMYFUNCTION("""COMPUTED_VALUE"""),38870.645833333336)</f>
        <v>38870.64583</v>
      </c>
      <c r="C77" s="2">
        <f>IFERROR(__xludf.DUMMYFUNCTION("""COMPUTED_VALUE"""),236.89)</f>
        <v>236.89</v>
      </c>
    </row>
    <row r="78" ht="15.75" customHeight="1">
      <c r="B78" s="3">
        <f>IFERROR(__xludf.DUMMYFUNCTION("""COMPUTED_VALUE"""),38877.645833333336)</f>
        <v>38877.64583</v>
      </c>
      <c r="C78" s="2">
        <f>IFERROR(__xludf.DUMMYFUNCTION("""COMPUTED_VALUE"""),225.55)</f>
        <v>225.55</v>
      </c>
    </row>
    <row r="79" ht="15.75" customHeight="1">
      <c r="B79" s="3">
        <f>IFERROR(__xludf.DUMMYFUNCTION("""COMPUTED_VALUE"""),38884.645833333336)</f>
        <v>38884.64583</v>
      </c>
      <c r="C79" s="2">
        <f>IFERROR(__xludf.DUMMYFUNCTION("""COMPUTED_VALUE"""),214.38)</f>
        <v>214.38</v>
      </c>
    </row>
    <row r="80" ht="15.75" customHeight="1">
      <c r="B80" s="3">
        <f>IFERROR(__xludf.DUMMYFUNCTION("""COMPUTED_VALUE"""),38891.645833333336)</f>
        <v>38891.64583</v>
      </c>
      <c r="C80" s="2">
        <f>IFERROR(__xludf.DUMMYFUNCTION("""COMPUTED_VALUE"""),212.5)</f>
        <v>212.5</v>
      </c>
    </row>
    <row r="81" ht="15.75" customHeight="1">
      <c r="B81" s="3">
        <f>IFERROR(__xludf.DUMMYFUNCTION("""COMPUTED_VALUE"""),38898.645833333336)</f>
        <v>38898.64583</v>
      </c>
      <c r="C81" s="2">
        <f>IFERROR(__xludf.DUMMYFUNCTION("""COMPUTED_VALUE"""),220.88)</f>
        <v>220.88</v>
      </c>
    </row>
    <row r="82" ht="15.75" customHeight="1">
      <c r="B82" s="3">
        <f>IFERROR(__xludf.DUMMYFUNCTION("""COMPUTED_VALUE"""),38905.645833333336)</f>
        <v>38905.64583</v>
      </c>
      <c r="C82" s="2">
        <f>IFERROR(__xludf.DUMMYFUNCTION("""COMPUTED_VALUE"""),232.75)</f>
        <v>232.75</v>
      </c>
    </row>
    <row r="83" ht="15.75" customHeight="1">
      <c r="B83" s="3">
        <f>IFERROR(__xludf.DUMMYFUNCTION("""COMPUTED_VALUE"""),38912.645833333336)</f>
        <v>38912.64583</v>
      </c>
      <c r="C83" s="2">
        <f>IFERROR(__xludf.DUMMYFUNCTION("""COMPUTED_VALUE"""),238.63)</f>
        <v>238.63</v>
      </c>
    </row>
    <row r="84" ht="15.75" customHeight="1">
      <c r="B84" s="3">
        <f>IFERROR(__xludf.DUMMYFUNCTION("""COMPUTED_VALUE"""),38919.645833333336)</f>
        <v>38919.64583</v>
      </c>
      <c r="C84" s="2">
        <f>IFERROR(__xludf.DUMMYFUNCTION("""COMPUTED_VALUE"""),243.75)</f>
        <v>243.75</v>
      </c>
    </row>
    <row r="85" ht="15.75" customHeight="1">
      <c r="B85" s="3">
        <f>IFERROR(__xludf.DUMMYFUNCTION("""COMPUTED_VALUE"""),38926.645833333336)</f>
        <v>38926.64583</v>
      </c>
      <c r="C85" s="2">
        <f>IFERROR(__xludf.DUMMYFUNCTION("""COMPUTED_VALUE"""),243.74)</f>
        <v>243.74</v>
      </c>
    </row>
    <row r="86" ht="15.75" customHeight="1">
      <c r="B86" s="3">
        <f>IFERROR(__xludf.DUMMYFUNCTION("""COMPUTED_VALUE"""),38933.645833333336)</f>
        <v>38933.64583</v>
      </c>
      <c r="C86" s="2">
        <f>IFERROR(__xludf.DUMMYFUNCTION("""COMPUTED_VALUE"""),241.25)</f>
        <v>241.25</v>
      </c>
    </row>
    <row r="87" ht="15.75" customHeight="1">
      <c r="B87" s="3">
        <f>IFERROR(__xludf.DUMMYFUNCTION("""COMPUTED_VALUE"""),38940.645833333336)</f>
        <v>38940.64583</v>
      </c>
      <c r="C87" s="2">
        <f>IFERROR(__xludf.DUMMYFUNCTION("""COMPUTED_VALUE"""),243.75)</f>
        <v>243.75</v>
      </c>
    </row>
    <row r="88" ht="15.75" customHeight="1">
      <c r="B88" s="3">
        <f>IFERROR(__xludf.DUMMYFUNCTION("""COMPUTED_VALUE"""),38947.645833333336)</f>
        <v>38947.64583</v>
      </c>
      <c r="C88" s="2">
        <f>IFERROR(__xludf.DUMMYFUNCTION("""COMPUTED_VALUE"""),246.13)</f>
        <v>246.13</v>
      </c>
    </row>
    <row r="89" ht="15.75" customHeight="1">
      <c r="B89" s="3">
        <f>IFERROR(__xludf.DUMMYFUNCTION("""COMPUTED_VALUE"""),38954.645833333336)</f>
        <v>38954.64583</v>
      </c>
      <c r="C89" s="2">
        <f>IFERROR(__xludf.DUMMYFUNCTION("""COMPUTED_VALUE"""),245.75)</f>
        <v>245.75</v>
      </c>
    </row>
    <row r="90" ht="15.75" customHeight="1">
      <c r="B90" s="3">
        <f>IFERROR(__xludf.DUMMYFUNCTION("""COMPUTED_VALUE"""),38961.645833333336)</f>
        <v>38961.64583</v>
      </c>
      <c r="C90" s="2">
        <f>IFERROR(__xludf.DUMMYFUNCTION("""COMPUTED_VALUE"""),251.0)</f>
        <v>251</v>
      </c>
    </row>
    <row r="91" ht="15.75" customHeight="1">
      <c r="B91" s="3">
        <f>IFERROR(__xludf.DUMMYFUNCTION("""COMPUTED_VALUE"""),38968.645833333336)</f>
        <v>38968.64583</v>
      </c>
      <c r="C91" s="2">
        <f>IFERROR(__xludf.DUMMYFUNCTION("""COMPUTED_VALUE"""),257.5)</f>
        <v>257.5</v>
      </c>
    </row>
    <row r="92" ht="15.75" customHeight="1">
      <c r="B92" s="3">
        <f>IFERROR(__xludf.DUMMYFUNCTION("""COMPUTED_VALUE"""),38975.645833333336)</f>
        <v>38975.64583</v>
      </c>
      <c r="C92" s="2">
        <f>IFERROR(__xludf.DUMMYFUNCTION("""COMPUTED_VALUE"""),254.0)</f>
        <v>254</v>
      </c>
    </row>
    <row r="93" ht="15.75" customHeight="1">
      <c r="B93" s="3">
        <f>IFERROR(__xludf.DUMMYFUNCTION("""COMPUTED_VALUE"""),38982.645833333336)</f>
        <v>38982.64583</v>
      </c>
      <c r="C93" s="2">
        <f>IFERROR(__xludf.DUMMYFUNCTION("""COMPUTED_VALUE"""),264.48)</f>
        <v>264.48</v>
      </c>
    </row>
    <row r="94" ht="15.75" customHeight="1">
      <c r="B94" s="3">
        <f>IFERROR(__xludf.DUMMYFUNCTION("""COMPUTED_VALUE"""),38989.645833333336)</f>
        <v>38989.64583</v>
      </c>
      <c r="C94" s="2">
        <f>IFERROR(__xludf.DUMMYFUNCTION("""COMPUTED_VALUE"""),263.75)</f>
        <v>263.75</v>
      </c>
    </row>
    <row r="95" ht="15.75" customHeight="1">
      <c r="B95" s="3">
        <f>IFERROR(__xludf.DUMMYFUNCTION("""COMPUTED_VALUE"""),38996.645833333336)</f>
        <v>38996.64583</v>
      </c>
      <c r="C95" s="2">
        <f>IFERROR(__xludf.DUMMYFUNCTION("""COMPUTED_VALUE"""),258.75)</f>
        <v>258.75</v>
      </c>
    </row>
    <row r="96" ht="15.75" customHeight="1">
      <c r="B96" s="3">
        <f>IFERROR(__xludf.DUMMYFUNCTION("""COMPUTED_VALUE"""),39003.645833333336)</f>
        <v>39003.64583</v>
      </c>
      <c r="C96" s="2">
        <f>IFERROR(__xludf.DUMMYFUNCTION("""COMPUTED_VALUE"""),280.0)</f>
        <v>280</v>
      </c>
    </row>
    <row r="97" ht="15.75" customHeight="1">
      <c r="B97" s="3">
        <f>IFERROR(__xludf.DUMMYFUNCTION("""COMPUTED_VALUE"""),39017.645833333336)</f>
        <v>39017.64583</v>
      </c>
      <c r="C97" s="2">
        <f>IFERROR(__xludf.DUMMYFUNCTION("""COMPUTED_VALUE"""),273.73)</f>
        <v>273.73</v>
      </c>
    </row>
    <row r="98" ht="15.75" customHeight="1">
      <c r="B98" s="3">
        <f>IFERROR(__xludf.DUMMYFUNCTION("""COMPUTED_VALUE"""),39024.645833333336)</f>
        <v>39024.64583</v>
      </c>
      <c r="C98" s="2">
        <f>IFERROR(__xludf.DUMMYFUNCTION("""COMPUTED_VALUE"""),276.48)</f>
        <v>276.48</v>
      </c>
    </row>
    <row r="99" ht="15.75" customHeight="1">
      <c r="B99" s="3">
        <f>IFERROR(__xludf.DUMMYFUNCTION("""COMPUTED_VALUE"""),39031.645833333336)</f>
        <v>39031.64583</v>
      </c>
      <c r="C99" s="2">
        <f>IFERROR(__xludf.DUMMYFUNCTION("""COMPUTED_VALUE"""),273.68)</f>
        <v>273.68</v>
      </c>
    </row>
    <row r="100" ht="15.75" customHeight="1">
      <c r="B100" s="3">
        <f>IFERROR(__xludf.DUMMYFUNCTION("""COMPUTED_VALUE"""),39038.645833333336)</f>
        <v>39038.64583</v>
      </c>
      <c r="C100" s="2">
        <f>IFERROR(__xludf.DUMMYFUNCTION("""COMPUTED_VALUE"""),280.5)</f>
        <v>280.5</v>
      </c>
    </row>
    <row r="101" ht="15.75" customHeight="1">
      <c r="B101" s="3">
        <f>IFERROR(__xludf.DUMMYFUNCTION("""COMPUTED_VALUE"""),39045.645833333336)</f>
        <v>39045.64583</v>
      </c>
      <c r="C101" s="2">
        <f>IFERROR(__xludf.DUMMYFUNCTION("""COMPUTED_VALUE"""),292.75)</f>
        <v>292.75</v>
      </c>
    </row>
    <row r="102" ht="15.75" customHeight="1">
      <c r="B102" s="3">
        <f>IFERROR(__xludf.DUMMYFUNCTION("""COMPUTED_VALUE"""),39052.645833333336)</f>
        <v>39052.64583</v>
      </c>
      <c r="C102" s="2">
        <f>IFERROR(__xludf.DUMMYFUNCTION("""COMPUTED_VALUE"""),301.25)</f>
        <v>301.25</v>
      </c>
    </row>
    <row r="103" ht="15.75" customHeight="1">
      <c r="B103" s="3">
        <f>IFERROR(__xludf.DUMMYFUNCTION("""COMPUTED_VALUE"""),39059.645833333336)</f>
        <v>39059.64583</v>
      </c>
      <c r="C103" s="2">
        <f>IFERROR(__xludf.DUMMYFUNCTION("""COMPUTED_VALUE"""),308.61)</f>
        <v>308.61</v>
      </c>
    </row>
    <row r="104" ht="15.75" customHeight="1">
      <c r="B104" s="3">
        <f>IFERROR(__xludf.DUMMYFUNCTION("""COMPUTED_VALUE"""),39066.645833333336)</f>
        <v>39066.64583</v>
      </c>
      <c r="C104" s="2">
        <f>IFERROR(__xludf.DUMMYFUNCTION("""COMPUTED_VALUE"""),297.25)</f>
        <v>297.25</v>
      </c>
    </row>
    <row r="105" ht="15.75" customHeight="1">
      <c r="B105" s="3">
        <f>IFERROR(__xludf.DUMMYFUNCTION("""COMPUTED_VALUE"""),39073.645833333336)</f>
        <v>39073.64583</v>
      </c>
      <c r="C105" s="2">
        <f>IFERROR(__xludf.DUMMYFUNCTION("""COMPUTED_VALUE"""),297.1)</f>
        <v>297.1</v>
      </c>
    </row>
    <row r="106" ht="15.75" customHeight="1">
      <c r="B106" s="3">
        <f>IFERROR(__xludf.DUMMYFUNCTION("""COMPUTED_VALUE"""),39080.645833333336)</f>
        <v>39080.64583</v>
      </c>
      <c r="C106" s="2">
        <f>IFERROR(__xludf.DUMMYFUNCTION("""COMPUTED_VALUE"""),307.35)</f>
        <v>307.35</v>
      </c>
    </row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IFERROR(__xludf.DUMMYFUNCTION("GOOGLEFINANCE(""NSE:TCS"", ""high"",DATE(2007,1,1),DATE(2008,1,1),""weekly"")"),"Date")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IFERROR(__xludf.DUMMYFUNCTION("""COMPUTED_VALUE"""),39087.645833333336)</f>
        <v>39087.64583</v>
      </c>
      <c r="C112" s="2">
        <f>IFERROR(__xludf.DUMMYFUNCTION("""COMPUTED_VALUE"""),322.0)</f>
        <v>322</v>
      </c>
    </row>
    <row r="113" ht="15.75" customHeight="1">
      <c r="B113" s="3">
        <f>IFERROR(__xludf.DUMMYFUNCTION("""COMPUTED_VALUE"""),39094.645833333336)</f>
        <v>39094.64583</v>
      </c>
      <c r="C113" s="2">
        <f>IFERROR(__xludf.DUMMYFUNCTION("""COMPUTED_VALUE"""),332.25)</f>
        <v>332.25</v>
      </c>
    </row>
    <row r="114" ht="15.75" customHeight="1">
      <c r="B114" s="3">
        <f>IFERROR(__xludf.DUMMYFUNCTION("""COMPUTED_VALUE"""),39101.645833333336)</f>
        <v>39101.64583</v>
      </c>
      <c r="C114" s="2">
        <f>IFERROR(__xludf.DUMMYFUNCTION("""COMPUTED_VALUE"""),347.24)</f>
        <v>347.24</v>
      </c>
    </row>
    <row r="115" ht="15.75" customHeight="1">
      <c r="B115" s="3">
        <f>IFERROR(__xludf.DUMMYFUNCTION("""COMPUTED_VALUE"""),39107.645833333336)</f>
        <v>39107.64583</v>
      </c>
      <c r="C115" s="2">
        <f>IFERROR(__xludf.DUMMYFUNCTION("""COMPUTED_VALUE"""),342.25)</f>
        <v>342.25</v>
      </c>
    </row>
    <row r="116" ht="15.75" customHeight="1">
      <c r="B116" s="3">
        <f>IFERROR(__xludf.DUMMYFUNCTION("""COMPUTED_VALUE"""),39115.645833333336)</f>
        <v>39115.64583</v>
      </c>
      <c r="C116" s="2">
        <f>IFERROR(__xludf.DUMMYFUNCTION("""COMPUTED_VALUE"""),328.75)</f>
        <v>328.75</v>
      </c>
    </row>
    <row r="117" ht="15.75" customHeight="1">
      <c r="B117" s="3">
        <f>IFERROR(__xludf.DUMMYFUNCTION("""COMPUTED_VALUE"""),39122.645833333336)</f>
        <v>39122.64583</v>
      </c>
      <c r="C117" s="2">
        <f>IFERROR(__xludf.DUMMYFUNCTION("""COMPUTED_VALUE"""),329.36)</f>
        <v>329.36</v>
      </c>
    </row>
    <row r="118" ht="15.75" customHeight="1">
      <c r="B118" s="3">
        <f>IFERROR(__xludf.DUMMYFUNCTION("""COMPUTED_VALUE"""),39128.645833333336)</f>
        <v>39128.64583</v>
      </c>
      <c r="C118" s="2">
        <f>IFERROR(__xludf.DUMMYFUNCTION("""COMPUTED_VALUE"""),325.0)</f>
        <v>325</v>
      </c>
    </row>
    <row r="119" ht="15.75" customHeight="1">
      <c r="B119" s="3">
        <f>IFERROR(__xludf.DUMMYFUNCTION("""COMPUTED_VALUE"""),39136.645833333336)</f>
        <v>39136.64583</v>
      </c>
      <c r="C119" s="2">
        <f>IFERROR(__xludf.DUMMYFUNCTION("""COMPUTED_VALUE"""),330.95)</f>
        <v>330.95</v>
      </c>
    </row>
    <row r="120" ht="15.75" customHeight="1">
      <c r="B120" s="3">
        <f>IFERROR(__xludf.DUMMYFUNCTION("""COMPUTED_VALUE"""),39143.645833333336)</f>
        <v>39143.64583</v>
      </c>
      <c r="C120" s="2">
        <f>IFERROR(__xludf.DUMMYFUNCTION("""COMPUTED_VALUE"""),323.55)</f>
        <v>323.55</v>
      </c>
    </row>
    <row r="121" ht="15.75" customHeight="1">
      <c r="B121" s="3">
        <f>IFERROR(__xludf.DUMMYFUNCTION("""COMPUTED_VALUE"""),39150.645833333336)</f>
        <v>39150.64583</v>
      </c>
      <c r="C121" s="2">
        <f>IFERROR(__xludf.DUMMYFUNCTION("""COMPUTED_VALUE"""),333.75)</f>
        <v>333.75</v>
      </c>
    </row>
    <row r="122" ht="15.75" customHeight="1">
      <c r="B122" s="3">
        <f>IFERROR(__xludf.DUMMYFUNCTION("""COMPUTED_VALUE"""),39157.645833333336)</f>
        <v>39157.64583</v>
      </c>
      <c r="C122" s="2">
        <f>IFERROR(__xludf.DUMMYFUNCTION("""COMPUTED_VALUE"""),317.23)</f>
        <v>317.23</v>
      </c>
    </row>
    <row r="123" ht="15.75" customHeight="1">
      <c r="B123" s="3">
        <f>IFERROR(__xludf.DUMMYFUNCTION("""COMPUTED_VALUE"""),39164.645833333336)</f>
        <v>39164.64583</v>
      </c>
      <c r="C123" s="2">
        <f>IFERROR(__xludf.DUMMYFUNCTION("""COMPUTED_VALUE"""),330.0)</f>
        <v>330</v>
      </c>
    </row>
    <row r="124" ht="15.75" customHeight="1">
      <c r="B124" s="3">
        <f>IFERROR(__xludf.DUMMYFUNCTION("""COMPUTED_VALUE"""),39171.645833333336)</f>
        <v>39171.64583</v>
      </c>
      <c r="C124" s="2">
        <f>IFERROR(__xludf.DUMMYFUNCTION("""COMPUTED_VALUE"""),324.68)</f>
        <v>324.68</v>
      </c>
    </row>
    <row r="125" ht="15.75" customHeight="1">
      <c r="B125" s="3">
        <f>IFERROR(__xludf.DUMMYFUNCTION("""COMPUTED_VALUE"""),39177.645833333336)</f>
        <v>39177.64583</v>
      </c>
      <c r="C125" s="2">
        <f>IFERROR(__xludf.DUMMYFUNCTION("""COMPUTED_VALUE"""),306.18)</f>
        <v>306.18</v>
      </c>
    </row>
    <row r="126" ht="15.75" customHeight="1">
      <c r="B126" s="3">
        <f>IFERROR(__xludf.DUMMYFUNCTION("""COMPUTED_VALUE"""),39185.645833333336)</f>
        <v>39185.64583</v>
      </c>
      <c r="C126" s="2">
        <f>IFERROR(__xludf.DUMMYFUNCTION("""COMPUTED_VALUE"""),317.1)</f>
        <v>317.1</v>
      </c>
    </row>
    <row r="127" ht="15.75" customHeight="1">
      <c r="B127" s="3">
        <f>IFERROR(__xludf.DUMMYFUNCTION("""COMPUTED_VALUE"""),39192.645833333336)</f>
        <v>39192.64583</v>
      </c>
      <c r="C127" s="2">
        <f>IFERROR(__xludf.DUMMYFUNCTION("""COMPUTED_VALUE"""),328.75)</f>
        <v>328.75</v>
      </c>
    </row>
    <row r="128" ht="15.75" customHeight="1">
      <c r="B128" s="3">
        <f>IFERROR(__xludf.DUMMYFUNCTION("""COMPUTED_VALUE"""),39199.645833333336)</f>
        <v>39199.64583</v>
      </c>
      <c r="C128" s="2">
        <f>IFERROR(__xludf.DUMMYFUNCTION("""COMPUTED_VALUE"""),317.45)</f>
        <v>317.45</v>
      </c>
    </row>
    <row r="129" ht="15.75" customHeight="1">
      <c r="B129" s="3">
        <f>IFERROR(__xludf.DUMMYFUNCTION("""COMPUTED_VALUE"""),39206.645833333336)</f>
        <v>39206.64583</v>
      </c>
      <c r="C129" s="2">
        <f>IFERROR(__xludf.DUMMYFUNCTION("""COMPUTED_VALUE"""),332.48)</f>
        <v>332.48</v>
      </c>
    </row>
    <row r="130" ht="15.75" customHeight="1">
      <c r="B130" s="3">
        <f>IFERROR(__xludf.DUMMYFUNCTION("""COMPUTED_VALUE"""),39213.645833333336)</f>
        <v>39213.64583</v>
      </c>
      <c r="C130" s="2">
        <f>IFERROR(__xludf.DUMMYFUNCTION("""COMPUTED_VALUE"""),325.0)</f>
        <v>325</v>
      </c>
    </row>
    <row r="131" ht="15.75" customHeight="1">
      <c r="B131" s="3">
        <f>IFERROR(__xludf.DUMMYFUNCTION("""COMPUTED_VALUE"""),39220.645833333336)</f>
        <v>39220.64583</v>
      </c>
      <c r="C131" s="2">
        <f>IFERROR(__xludf.DUMMYFUNCTION("""COMPUTED_VALUE"""),319.63)</f>
        <v>319.63</v>
      </c>
    </row>
    <row r="132" ht="15.75" customHeight="1">
      <c r="B132" s="3">
        <f>IFERROR(__xludf.DUMMYFUNCTION("""COMPUTED_VALUE"""),39227.645833333336)</f>
        <v>39227.64583</v>
      </c>
      <c r="C132" s="2">
        <f>IFERROR(__xludf.DUMMYFUNCTION("""COMPUTED_VALUE"""),317.5)</f>
        <v>317.5</v>
      </c>
    </row>
    <row r="133" ht="15.75" customHeight="1">
      <c r="B133" s="3">
        <f>IFERROR(__xludf.DUMMYFUNCTION("""COMPUTED_VALUE"""),39234.645833333336)</f>
        <v>39234.64583</v>
      </c>
      <c r="C133" s="2">
        <f>IFERROR(__xludf.DUMMYFUNCTION("""COMPUTED_VALUE"""),312.5)</f>
        <v>312.5</v>
      </c>
    </row>
    <row r="134" ht="15.75" customHeight="1">
      <c r="B134" s="3">
        <f>IFERROR(__xludf.DUMMYFUNCTION("""COMPUTED_VALUE"""),39241.645833333336)</f>
        <v>39241.64583</v>
      </c>
      <c r="C134" s="2">
        <f>IFERROR(__xludf.DUMMYFUNCTION("""COMPUTED_VALUE"""),312.5)</f>
        <v>312.5</v>
      </c>
    </row>
    <row r="135" ht="15.75" customHeight="1">
      <c r="B135" s="3">
        <f>IFERROR(__xludf.DUMMYFUNCTION("""COMPUTED_VALUE"""),39248.645833333336)</f>
        <v>39248.64583</v>
      </c>
      <c r="C135" s="2">
        <f>IFERROR(__xludf.DUMMYFUNCTION("""COMPUTED_VALUE"""),309.85)</f>
        <v>309.85</v>
      </c>
    </row>
    <row r="136" ht="15.75" customHeight="1">
      <c r="B136" s="3">
        <f>IFERROR(__xludf.DUMMYFUNCTION("""COMPUTED_VALUE"""),39255.645833333336)</f>
        <v>39255.64583</v>
      </c>
      <c r="C136" s="2">
        <f>IFERROR(__xludf.DUMMYFUNCTION("""COMPUTED_VALUE"""),298.75)</f>
        <v>298.75</v>
      </c>
    </row>
    <row r="137" ht="15.75" customHeight="1">
      <c r="B137" s="3">
        <f>IFERROR(__xludf.DUMMYFUNCTION("""COMPUTED_VALUE"""),39262.645833333336)</f>
        <v>39262.64583</v>
      </c>
      <c r="C137" s="2">
        <f>IFERROR(__xludf.DUMMYFUNCTION("""COMPUTED_VALUE"""),289.0)</f>
        <v>289</v>
      </c>
    </row>
    <row r="138" ht="15.75" customHeight="1">
      <c r="B138" s="3">
        <f>IFERROR(__xludf.DUMMYFUNCTION("""COMPUTED_VALUE"""),39269.645833333336)</f>
        <v>39269.64583</v>
      </c>
      <c r="C138" s="2">
        <f>IFERROR(__xludf.DUMMYFUNCTION("""COMPUTED_VALUE"""),291.23)</f>
        <v>291.23</v>
      </c>
    </row>
    <row r="139" ht="15.75" customHeight="1">
      <c r="B139" s="3">
        <f>IFERROR(__xludf.DUMMYFUNCTION("""COMPUTED_VALUE"""),39276.645833333336)</f>
        <v>39276.64583</v>
      </c>
      <c r="C139" s="2">
        <f>IFERROR(__xludf.DUMMYFUNCTION("""COMPUTED_VALUE"""),315.38)</f>
        <v>315.38</v>
      </c>
    </row>
    <row r="140" ht="15.75" customHeight="1">
      <c r="B140" s="3">
        <f>IFERROR(__xludf.DUMMYFUNCTION("""COMPUTED_VALUE"""),39283.645833333336)</f>
        <v>39283.64583</v>
      </c>
      <c r="C140" s="2">
        <f>IFERROR(__xludf.DUMMYFUNCTION("""COMPUTED_VALUE"""),297.49)</f>
        <v>297.49</v>
      </c>
    </row>
    <row r="141" ht="15.75" customHeight="1">
      <c r="B141" s="3">
        <f>IFERROR(__xludf.DUMMYFUNCTION("""COMPUTED_VALUE"""),39290.645833333336)</f>
        <v>39290.64583</v>
      </c>
      <c r="C141" s="2">
        <f>IFERROR(__xludf.DUMMYFUNCTION("""COMPUTED_VALUE"""),302.5)</f>
        <v>302.5</v>
      </c>
    </row>
    <row r="142" ht="15.75" customHeight="1">
      <c r="B142" s="3">
        <f>IFERROR(__xludf.DUMMYFUNCTION("""COMPUTED_VALUE"""),39297.645833333336)</f>
        <v>39297.64583</v>
      </c>
      <c r="C142" s="2">
        <f>IFERROR(__xludf.DUMMYFUNCTION("""COMPUTED_VALUE"""),292.5)</f>
        <v>292.5</v>
      </c>
    </row>
    <row r="143" ht="15.75" customHeight="1">
      <c r="B143" s="3">
        <f>IFERROR(__xludf.DUMMYFUNCTION("""COMPUTED_VALUE"""),39304.645833333336)</f>
        <v>39304.64583</v>
      </c>
      <c r="C143" s="2">
        <f>IFERROR(__xludf.DUMMYFUNCTION("""COMPUTED_VALUE"""),297.21)</f>
        <v>297.21</v>
      </c>
    </row>
    <row r="144" ht="15.75" customHeight="1">
      <c r="B144" s="3">
        <f>IFERROR(__xludf.DUMMYFUNCTION("""COMPUTED_VALUE"""),39311.645833333336)</f>
        <v>39311.64583</v>
      </c>
      <c r="C144" s="2">
        <f>IFERROR(__xludf.DUMMYFUNCTION("""COMPUTED_VALUE"""),287.5)</f>
        <v>287.5</v>
      </c>
    </row>
    <row r="145" ht="15.75" customHeight="1">
      <c r="B145" s="3">
        <f>IFERROR(__xludf.DUMMYFUNCTION("""COMPUTED_VALUE"""),39318.645833333336)</f>
        <v>39318.64583</v>
      </c>
      <c r="C145" s="2">
        <f>IFERROR(__xludf.DUMMYFUNCTION("""COMPUTED_VALUE"""),274.85)</f>
        <v>274.85</v>
      </c>
    </row>
    <row r="146" ht="15.75" customHeight="1">
      <c r="B146" s="3">
        <f>IFERROR(__xludf.DUMMYFUNCTION("""COMPUTED_VALUE"""),39325.645833333336)</f>
        <v>39325.64583</v>
      </c>
      <c r="C146" s="2">
        <f>IFERROR(__xludf.DUMMYFUNCTION("""COMPUTED_VALUE"""),267.43)</f>
        <v>267.43</v>
      </c>
    </row>
    <row r="147" ht="15.75" customHeight="1">
      <c r="B147" s="3">
        <f>IFERROR(__xludf.DUMMYFUNCTION("""COMPUTED_VALUE"""),39332.645833333336)</f>
        <v>39332.64583</v>
      </c>
      <c r="C147" s="2">
        <f>IFERROR(__xludf.DUMMYFUNCTION("""COMPUTED_VALUE"""),271.93)</f>
        <v>271.93</v>
      </c>
    </row>
    <row r="148" ht="15.75" customHeight="1">
      <c r="B148" s="3">
        <f>IFERROR(__xludf.DUMMYFUNCTION("""COMPUTED_VALUE"""),39339.645833333336)</f>
        <v>39339.64583</v>
      </c>
      <c r="C148" s="2">
        <f>IFERROR(__xludf.DUMMYFUNCTION("""COMPUTED_VALUE"""),273.61)</f>
        <v>273.61</v>
      </c>
    </row>
    <row r="149" ht="15.75" customHeight="1">
      <c r="B149" s="3">
        <f>IFERROR(__xludf.DUMMYFUNCTION("""COMPUTED_VALUE"""),39346.645833333336)</f>
        <v>39346.64583</v>
      </c>
      <c r="C149" s="2">
        <f>IFERROR(__xludf.DUMMYFUNCTION("""COMPUTED_VALUE"""),258.43)</f>
        <v>258.43</v>
      </c>
    </row>
    <row r="150" ht="15.75" customHeight="1">
      <c r="B150" s="3">
        <f>IFERROR(__xludf.DUMMYFUNCTION("""COMPUTED_VALUE"""),39353.645833333336)</f>
        <v>39353.64583</v>
      </c>
      <c r="C150" s="2">
        <f>IFERROR(__xludf.DUMMYFUNCTION("""COMPUTED_VALUE"""),270.0)</f>
        <v>270</v>
      </c>
    </row>
    <row r="151" ht="15.75" customHeight="1">
      <c r="B151" s="3">
        <f>IFERROR(__xludf.DUMMYFUNCTION("""COMPUTED_VALUE"""),39360.645833333336)</f>
        <v>39360.64583</v>
      </c>
      <c r="C151" s="2">
        <f>IFERROR(__xludf.DUMMYFUNCTION("""COMPUTED_VALUE"""),273.75)</f>
        <v>273.75</v>
      </c>
    </row>
    <row r="152" ht="15.75" customHeight="1">
      <c r="B152" s="3">
        <f>IFERROR(__xludf.DUMMYFUNCTION("""COMPUTED_VALUE"""),39367.645833333336)</f>
        <v>39367.64583</v>
      </c>
      <c r="C152" s="2">
        <f>IFERROR(__xludf.DUMMYFUNCTION("""COMPUTED_VALUE"""),283.85)</f>
        <v>283.85</v>
      </c>
    </row>
    <row r="153" ht="15.75" customHeight="1">
      <c r="B153" s="3">
        <f>IFERROR(__xludf.DUMMYFUNCTION("""COMPUTED_VALUE"""),39374.645833333336)</f>
        <v>39374.64583</v>
      </c>
      <c r="C153" s="2">
        <f>IFERROR(__xludf.DUMMYFUNCTION("""COMPUTED_VALUE"""),287.5)</f>
        <v>287.5</v>
      </c>
    </row>
    <row r="154" ht="15.75" customHeight="1">
      <c r="B154" s="3">
        <f>IFERROR(__xludf.DUMMYFUNCTION("""COMPUTED_VALUE"""),39381.645833333336)</f>
        <v>39381.64583</v>
      </c>
      <c r="C154" s="2">
        <f>IFERROR(__xludf.DUMMYFUNCTION("""COMPUTED_VALUE"""),279.25)</f>
        <v>279.25</v>
      </c>
    </row>
    <row r="155" ht="15.75" customHeight="1">
      <c r="B155" s="3">
        <f>IFERROR(__xludf.DUMMYFUNCTION("""COMPUTED_VALUE"""),39388.645833333336)</f>
        <v>39388.64583</v>
      </c>
      <c r="C155" s="2">
        <f>IFERROR(__xludf.DUMMYFUNCTION("""COMPUTED_VALUE"""),272.5)</f>
        <v>272.5</v>
      </c>
    </row>
    <row r="156" ht="15.75" customHeight="1">
      <c r="B156" s="3">
        <f>IFERROR(__xludf.DUMMYFUNCTION("""COMPUTED_VALUE"""),39402.645833333336)</f>
        <v>39402.64583</v>
      </c>
      <c r="C156" s="2">
        <f>IFERROR(__xludf.DUMMYFUNCTION("""COMPUTED_VALUE"""),261.27)</f>
        <v>261.27</v>
      </c>
    </row>
    <row r="157" ht="15.75" customHeight="1">
      <c r="B157" s="3">
        <f>IFERROR(__xludf.DUMMYFUNCTION("""COMPUTED_VALUE"""),39409.645833333336)</f>
        <v>39409.64583</v>
      </c>
      <c r="C157" s="2">
        <f>IFERROR(__xludf.DUMMYFUNCTION("""COMPUTED_VALUE"""),251.75)</f>
        <v>251.75</v>
      </c>
    </row>
    <row r="158" ht="15.75" customHeight="1">
      <c r="B158" s="3">
        <f>IFERROR(__xludf.DUMMYFUNCTION("""COMPUTED_VALUE"""),39416.645833333336)</f>
        <v>39416.64583</v>
      </c>
      <c r="C158" s="2">
        <f>IFERROR(__xludf.DUMMYFUNCTION("""COMPUTED_VALUE"""),254.5)</f>
        <v>254.5</v>
      </c>
    </row>
    <row r="159" ht="15.75" customHeight="1">
      <c r="B159" s="3">
        <f>IFERROR(__xludf.DUMMYFUNCTION("""COMPUTED_VALUE"""),39423.645833333336)</f>
        <v>39423.64583</v>
      </c>
      <c r="C159" s="2">
        <f>IFERROR(__xludf.DUMMYFUNCTION("""COMPUTED_VALUE"""),268.01)</f>
        <v>268.01</v>
      </c>
    </row>
    <row r="160" ht="15.75" customHeight="1">
      <c r="B160" s="3">
        <f>IFERROR(__xludf.DUMMYFUNCTION("""COMPUTED_VALUE"""),39430.645833333336)</f>
        <v>39430.64583</v>
      </c>
      <c r="C160" s="2">
        <f>IFERROR(__xludf.DUMMYFUNCTION("""COMPUTED_VALUE"""),268.5)</f>
        <v>268.5</v>
      </c>
    </row>
    <row r="161" ht="15.75" customHeight="1">
      <c r="B161" s="3">
        <f>IFERROR(__xludf.DUMMYFUNCTION("""COMPUTED_VALUE"""),39436.645833333336)</f>
        <v>39436.64583</v>
      </c>
      <c r="C161" s="2">
        <f>IFERROR(__xludf.DUMMYFUNCTION("""COMPUTED_VALUE"""),268.1)</f>
        <v>268.1</v>
      </c>
    </row>
    <row r="162" ht="15.75" customHeight="1">
      <c r="B162" s="3">
        <f>IFERROR(__xludf.DUMMYFUNCTION("""COMPUTED_VALUE"""),39444.645833333336)</f>
        <v>39444.64583</v>
      </c>
      <c r="C162" s="2">
        <f>IFERROR(__xludf.DUMMYFUNCTION("""COMPUTED_VALUE"""),280.0)</f>
        <v>280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IFERROR(__xludf.DUMMYFUNCTION("GOOGLEFINANCE(""NSE:TCS"", ""high"",DATE(2008,1,1),DATE(2009,1,1),""weekly"")"),"Date")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IFERROR(__xludf.DUMMYFUNCTION("""COMPUTED_VALUE"""),39451.645833333336)</f>
        <v>39451.64583</v>
      </c>
      <c r="C167" s="2">
        <f>IFERROR(__xludf.DUMMYFUNCTION("""COMPUTED_VALUE"""),274.01)</f>
        <v>274.01</v>
      </c>
    </row>
    <row r="168" ht="15.75" customHeight="1">
      <c r="B168" s="3">
        <f>IFERROR(__xludf.DUMMYFUNCTION("""COMPUTED_VALUE"""),39458.645833333336)</f>
        <v>39458.64583</v>
      </c>
      <c r="C168" s="2">
        <f>IFERROR(__xludf.DUMMYFUNCTION("""COMPUTED_VALUE"""),252.38)</f>
        <v>252.38</v>
      </c>
    </row>
    <row r="169" ht="15.75" customHeight="1">
      <c r="B169" s="3">
        <f>IFERROR(__xludf.DUMMYFUNCTION("""COMPUTED_VALUE"""),39465.645833333336)</f>
        <v>39465.64583</v>
      </c>
      <c r="C169" s="2">
        <f>IFERROR(__xludf.DUMMYFUNCTION("""COMPUTED_VALUE"""),249.95)</f>
        <v>249.95</v>
      </c>
    </row>
    <row r="170" ht="15.75" customHeight="1">
      <c r="B170" s="3">
        <f>IFERROR(__xludf.DUMMYFUNCTION("""COMPUTED_VALUE"""),39472.645833333336)</f>
        <v>39472.64583</v>
      </c>
      <c r="C170" s="2">
        <f>IFERROR(__xludf.DUMMYFUNCTION("""COMPUTED_VALUE"""),247.5)</f>
        <v>247.5</v>
      </c>
    </row>
    <row r="171" ht="15.75" customHeight="1">
      <c r="B171" s="3">
        <f>IFERROR(__xludf.DUMMYFUNCTION("""COMPUTED_VALUE"""),39479.645833333336)</f>
        <v>39479.64583</v>
      </c>
      <c r="C171" s="2">
        <f>IFERROR(__xludf.DUMMYFUNCTION("""COMPUTED_VALUE"""),235.28)</f>
        <v>235.28</v>
      </c>
    </row>
    <row r="172" ht="15.75" customHeight="1">
      <c r="B172" s="3">
        <f>IFERROR(__xludf.DUMMYFUNCTION("""COMPUTED_VALUE"""),39486.645833333336)</f>
        <v>39486.64583</v>
      </c>
      <c r="C172" s="2">
        <f>IFERROR(__xludf.DUMMYFUNCTION("""COMPUTED_VALUE"""),247.25)</f>
        <v>247.25</v>
      </c>
    </row>
    <row r="173" ht="15.75" customHeight="1">
      <c r="B173" s="3">
        <f>IFERROR(__xludf.DUMMYFUNCTION("""COMPUTED_VALUE"""),39493.645833333336)</f>
        <v>39493.64583</v>
      </c>
      <c r="C173" s="2">
        <f>IFERROR(__xludf.DUMMYFUNCTION("""COMPUTED_VALUE"""),233.0)</f>
        <v>233</v>
      </c>
    </row>
    <row r="174" ht="15.75" customHeight="1">
      <c r="B174" s="3">
        <f>IFERROR(__xludf.DUMMYFUNCTION("""COMPUTED_VALUE"""),39500.645833333336)</f>
        <v>39500.64583</v>
      </c>
      <c r="C174" s="2">
        <f>IFERROR(__xludf.DUMMYFUNCTION("""COMPUTED_VALUE"""),232.75)</f>
        <v>232.75</v>
      </c>
    </row>
    <row r="175" ht="15.75" customHeight="1">
      <c r="B175" s="3">
        <f>IFERROR(__xludf.DUMMYFUNCTION("""COMPUTED_VALUE"""),39507.645833333336)</f>
        <v>39507.64583</v>
      </c>
      <c r="C175" s="2">
        <f>IFERROR(__xludf.DUMMYFUNCTION("""COMPUTED_VALUE"""),232.25)</f>
        <v>232.25</v>
      </c>
    </row>
    <row r="176" ht="15.75" customHeight="1">
      <c r="B176" s="3">
        <f>IFERROR(__xludf.DUMMYFUNCTION("""COMPUTED_VALUE"""),39514.645833333336)</f>
        <v>39514.64583</v>
      </c>
      <c r="C176" s="2">
        <f>IFERROR(__xludf.DUMMYFUNCTION("""COMPUTED_VALUE"""),220.7)</f>
        <v>220.7</v>
      </c>
    </row>
    <row r="177" ht="15.75" customHeight="1">
      <c r="B177" s="3">
        <f>IFERROR(__xludf.DUMMYFUNCTION("""COMPUTED_VALUE"""),39521.645833333336)</f>
        <v>39521.64583</v>
      </c>
      <c r="C177" s="2">
        <f>IFERROR(__xludf.DUMMYFUNCTION("""COMPUTED_VALUE"""),213.5)</f>
        <v>213.5</v>
      </c>
    </row>
    <row r="178" ht="15.75" customHeight="1">
      <c r="B178" s="3">
        <f>IFERROR(__xludf.DUMMYFUNCTION("""COMPUTED_VALUE"""),39526.645833333336)</f>
        <v>39526.64583</v>
      </c>
      <c r="C178" s="2">
        <f>IFERROR(__xludf.DUMMYFUNCTION("""COMPUTED_VALUE"""),210.0)</f>
        <v>210</v>
      </c>
    </row>
    <row r="179" ht="15.75" customHeight="1">
      <c r="B179" s="3">
        <f>IFERROR(__xludf.DUMMYFUNCTION("""COMPUTED_VALUE"""),39535.645833333336)</f>
        <v>39535.64583</v>
      </c>
      <c r="C179" s="2">
        <f>IFERROR(__xludf.DUMMYFUNCTION("""COMPUTED_VALUE"""),235.0)</f>
        <v>235</v>
      </c>
    </row>
    <row r="180" ht="15.75" customHeight="1">
      <c r="B180" s="3">
        <f>IFERROR(__xludf.DUMMYFUNCTION("""COMPUTED_VALUE"""),39542.645833333336)</f>
        <v>39542.64583</v>
      </c>
      <c r="C180" s="2">
        <f>IFERROR(__xludf.DUMMYFUNCTION("""COMPUTED_VALUE"""),223.0)</f>
        <v>223</v>
      </c>
    </row>
    <row r="181" ht="15.75" customHeight="1">
      <c r="B181" s="3">
        <f>IFERROR(__xludf.DUMMYFUNCTION("""COMPUTED_VALUE"""),39549.645833333336)</f>
        <v>39549.64583</v>
      </c>
      <c r="C181" s="2">
        <f>IFERROR(__xludf.DUMMYFUNCTION("""COMPUTED_VALUE"""),231.25)</f>
        <v>231.25</v>
      </c>
    </row>
    <row r="182" ht="15.75" customHeight="1">
      <c r="B182" s="3">
        <f>IFERROR(__xludf.DUMMYFUNCTION("""COMPUTED_VALUE"""),39555.645833333336)</f>
        <v>39555.64583</v>
      </c>
      <c r="C182" s="2">
        <f>IFERROR(__xludf.DUMMYFUNCTION("""COMPUTED_VALUE"""),252.5)</f>
        <v>252.5</v>
      </c>
    </row>
    <row r="183" ht="15.75" customHeight="1">
      <c r="B183" s="3">
        <f>IFERROR(__xludf.DUMMYFUNCTION("""COMPUTED_VALUE"""),39563.645833333336)</f>
        <v>39563.64583</v>
      </c>
      <c r="C183" s="2">
        <f>IFERROR(__xludf.DUMMYFUNCTION("""COMPUTED_VALUE"""),258.75)</f>
        <v>258.75</v>
      </c>
    </row>
    <row r="184" ht="15.75" customHeight="1">
      <c r="B184" s="3">
        <f>IFERROR(__xludf.DUMMYFUNCTION("""COMPUTED_VALUE"""),39570.645833333336)</f>
        <v>39570.64583</v>
      </c>
      <c r="C184" s="2">
        <f>IFERROR(__xludf.DUMMYFUNCTION("""COMPUTED_VALUE"""),240.5)</f>
        <v>240.5</v>
      </c>
    </row>
    <row r="185" ht="15.75" customHeight="1">
      <c r="B185" s="3">
        <f>IFERROR(__xludf.DUMMYFUNCTION("""COMPUTED_VALUE"""),39577.645833333336)</f>
        <v>39577.64583</v>
      </c>
      <c r="C185" s="2">
        <f>IFERROR(__xludf.DUMMYFUNCTION("""COMPUTED_VALUE"""),244.98)</f>
        <v>244.98</v>
      </c>
    </row>
    <row r="186" ht="15.75" customHeight="1">
      <c r="B186" s="3">
        <f>IFERROR(__xludf.DUMMYFUNCTION("""COMPUTED_VALUE"""),39584.645833333336)</f>
        <v>39584.64583</v>
      </c>
      <c r="C186" s="2">
        <f>IFERROR(__xludf.DUMMYFUNCTION("""COMPUTED_VALUE"""),250.5)</f>
        <v>250.5</v>
      </c>
    </row>
    <row r="187" ht="15.75" customHeight="1">
      <c r="B187" s="3">
        <f>IFERROR(__xludf.DUMMYFUNCTION("""COMPUTED_VALUE"""),39591.645833333336)</f>
        <v>39591.64583</v>
      </c>
      <c r="C187" s="2">
        <f>IFERROR(__xludf.DUMMYFUNCTION("""COMPUTED_VALUE"""),247.5)</f>
        <v>247.5</v>
      </c>
    </row>
    <row r="188" ht="15.75" customHeight="1">
      <c r="B188" s="3">
        <f>IFERROR(__xludf.DUMMYFUNCTION("""COMPUTED_VALUE"""),39598.645833333336)</f>
        <v>39598.64583</v>
      </c>
      <c r="C188" s="2">
        <f>IFERROR(__xludf.DUMMYFUNCTION("""COMPUTED_VALUE"""),262.25)</f>
        <v>262.25</v>
      </c>
    </row>
    <row r="189" ht="15.75" customHeight="1">
      <c r="B189" s="3">
        <f>IFERROR(__xludf.DUMMYFUNCTION("""COMPUTED_VALUE"""),39605.645833333336)</f>
        <v>39605.64583</v>
      </c>
      <c r="C189" s="2">
        <f>IFERROR(__xludf.DUMMYFUNCTION("""COMPUTED_VALUE"""),264.35)</f>
        <v>264.35</v>
      </c>
    </row>
    <row r="190" ht="15.75" customHeight="1">
      <c r="B190" s="3">
        <f>IFERROR(__xludf.DUMMYFUNCTION("""COMPUTED_VALUE"""),39612.645833333336)</f>
        <v>39612.64583</v>
      </c>
      <c r="C190" s="2">
        <f>IFERROR(__xludf.DUMMYFUNCTION("""COMPUTED_VALUE"""),241.23)</f>
        <v>241.23</v>
      </c>
    </row>
    <row r="191" ht="15.75" customHeight="1">
      <c r="B191" s="3">
        <f>IFERROR(__xludf.DUMMYFUNCTION("""COMPUTED_VALUE"""),39619.645833333336)</f>
        <v>39619.64583</v>
      </c>
      <c r="C191" s="2">
        <f>IFERROR(__xludf.DUMMYFUNCTION("""COMPUTED_VALUE"""),232.0)</f>
        <v>232</v>
      </c>
    </row>
    <row r="192" ht="15.75" customHeight="1">
      <c r="B192" s="3">
        <f>IFERROR(__xludf.DUMMYFUNCTION("""COMPUTED_VALUE"""),39626.645833333336)</f>
        <v>39626.64583</v>
      </c>
      <c r="C192" s="2">
        <f>IFERROR(__xludf.DUMMYFUNCTION("""COMPUTED_VALUE"""),224.5)</f>
        <v>224.5</v>
      </c>
    </row>
    <row r="193" ht="15.75" customHeight="1">
      <c r="B193" s="3">
        <f>IFERROR(__xludf.DUMMYFUNCTION("""COMPUTED_VALUE"""),39633.645833333336)</f>
        <v>39633.64583</v>
      </c>
      <c r="C193" s="2">
        <f>IFERROR(__xludf.DUMMYFUNCTION("""COMPUTED_VALUE"""),222.0)</f>
        <v>222</v>
      </c>
    </row>
    <row r="194" ht="15.75" customHeight="1">
      <c r="B194" s="3">
        <f>IFERROR(__xludf.DUMMYFUNCTION("""COMPUTED_VALUE"""),39640.645833333336)</f>
        <v>39640.64583</v>
      </c>
      <c r="C194" s="2">
        <f>IFERROR(__xludf.DUMMYFUNCTION("""COMPUTED_VALUE"""),235.75)</f>
        <v>235.75</v>
      </c>
    </row>
    <row r="195" ht="15.75" customHeight="1">
      <c r="B195" s="3">
        <f>IFERROR(__xludf.DUMMYFUNCTION("""COMPUTED_VALUE"""),39647.645833333336)</f>
        <v>39647.64583</v>
      </c>
      <c r="C195" s="2">
        <f>IFERROR(__xludf.DUMMYFUNCTION("""COMPUTED_VALUE"""),200.5)</f>
        <v>200.5</v>
      </c>
    </row>
    <row r="196" ht="15.75" customHeight="1">
      <c r="B196" s="3">
        <f>IFERROR(__xludf.DUMMYFUNCTION("""COMPUTED_VALUE"""),39654.645833333336)</f>
        <v>39654.64583</v>
      </c>
      <c r="C196" s="2">
        <f>IFERROR(__xludf.DUMMYFUNCTION("""COMPUTED_VALUE"""),218.63)</f>
        <v>218.63</v>
      </c>
    </row>
    <row r="197" ht="15.75" customHeight="1">
      <c r="B197" s="3">
        <f>IFERROR(__xludf.DUMMYFUNCTION("""COMPUTED_VALUE"""),39661.645833333336)</f>
        <v>39661.64583</v>
      </c>
      <c r="C197" s="2">
        <f>IFERROR(__xludf.DUMMYFUNCTION("""COMPUTED_VALUE"""),214.24)</f>
        <v>214.24</v>
      </c>
    </row>
    <row r="198" ht="15.75" customHeight="1">
      <c r="B198" s="3">
        <f>IFERROR(__xludf.DUMMYFUNCTION("""COMPUTED_VALUE"""),39668.645833333336)</f>
        <v>39668.64583</v>
      </c>
      <c r="C198" s="2">
        <f>IFERROR(__xludf.DUMMYFUNCTION("""COMPUTED_VALUE"""),217.49)</f>
        <v>217.49</v>
      </c>
    </row>
    <row r="199" ht="15.75" customHeight="1">
      <c r="B199" s="3">
        <f>IFERROR(__xludf.DUMMYFUNCTION("""COMPUTED_VALUE"""),39674.645833333336)</f>
        <v>39674.64583</v>
      </c>
      <c r="C199" s="2">
        <f>IFERROR(__xludf.DUMMYFUNCTION("""COMPUTED_VALUE"""),214.45)</f>
        <v>214.45</v>
      </c>
    </row>
    <row r="200" ht="15.75" customHeight="1">
      <c r="B200" s="3">
        <f>IFERROR(__xludf.DUMMYFUNCTION("""COMPUTED_VALUE"""),39682.645833333336)</f>
        <v>39682.64583</v>
      </c>
      <c r="C200" s="2">
        <f>IFERROR(__xludf.DUMMYFUNCTION("""COMPUTED_VALUE"""),213.1)</f>
        <v>213.1</v>
      </c>
    </row>
    <row r="201" ht="15.75" customHeight="1">
      <c r="B201" s="3">
        <f>IFERROR(__xludf.DUMMYFUNCTION("""COMPUTED_VALUE"""),39689.645833333336)</f>
        <v>39689.64583</v>
      </c>
      <c r="C201" s="2">
        <f>IFERROR(__xludf.DUMMYFUNCTION("""COMPUTED_VALUE"""),209.24)</f>
        <v>209.24</v>
      </c>
    </row>
    <row r="202" ht="15.75" customHeight="1">
      <c r="B202" s="3">
        <f>IFERROR(__xludf.DUMMYFUNCTION("""COMPUTED_VALUE"""),39696.645833333336)</f>
        <v>39696.64583</v>
      </c>
      <c r="C202" s="2">
        <f>IFERROR(__xludf.DUMMYFUNCTION("""COMPUTED_VALUE"""),213.7)</f>
        <v>213.7</v>
      </c>
    </row>
    <row r="203" ht="15.75" customHeight="1">
      <c r="B203" s="3">
        <f>IFERROR(__xludf.DUMMYFUNCTION("""COMPUTED_VALUE"""),39703.645833333336)</f>
        <v>39703.64583</v>
      </c>
      <c r="C203" s="2">
        <f>IFERROR(__xludf.DUMMYFUNCTION("""COMPUTED_VALUE"""),218.6)</f>
        <v>218.6</v>
      </c>
    </row>
    <row r="204" ht="15.75" customHeight="1">
      <c r="B204" s="3">
        <f>IFERROR(__xludf.DUMMYFUNCTION("""COMPUTED_VALUE"""),39710.645833333336)</f>
        <v>39710.64583</v>
      </c>
      <c r="C204" s="2">
        <f>IFERROR(__xludf.DUMMYFUNCTION("""COMPUTED_VALUE"""),199.75)</f>
        <v>199.75</v>
      </c>
    </row>
    <row r="205" ht="15.75" customHeight="1">
      <c r="B205" s="3">
        <f>IFERROR(__xludf.DUMMYFUNCTION("""COMPUTED_VALUE"""),39717.645833333336)</f>
        <v>39717.64583</v>
      </c>
      <c r="C205" s="2">
        <f>IFERROR(__xludf.DUMMYFUNCTION("""COMPUTED_VALUE"""),217.0)</f>
        <v>217</v>
      </c>
    </row>
    <row r="206" ht="15.75" customHeight="1">
      <c r="B206" s="3">
        <f>IFERROR(__xludf.DUMMYFUNCTION("""COMPUTED_VALUE"""),39724.645833333336)</f>
        <v>39724.64583</v>
      </c>
      <c r="C206" s="2">
        <f>IFERROR(__xludf.DUMMYFUNCTION("""COMPUTED_VALUE"""),171.23)</f>
        <v>171.23</v>
      </c>
    </row>
    <row r="207" ht="15.75" customHeight="1">
      <c r="B207" s="3">
        <f>IFERROR(__xludf.DUMMYFUNCTION("""COMPUTED_VALUE"""),39731.645833333336)</f>
        <v>39731.64583</v>
      </c>
      <c r="C207" s="2">
        <f>IFERROR(__xludf.DUMMYFUNCTION("""COMPUTED_VALUE"""),166.25)</f>
        <v>166.25</v>
      </c>
    </row>
    <row r="208" ht="15.75" customHeight="1">
      <c r="B208" s="3">
        <f>IFERROR(__xludf.DUMMYFUNCTION("""COMPUTED_VALUE"""),39738.645833333336)</f>
        <v>39738.64583</v>
      </c>
      <c r="C208" s="2">
        <f>IFERROR(__xludf.DUMMYFUNCTION("""COMPUTED_VALUE"""),154.85)</f>
        <v>154.85</v>
      </c>
    </row>
    <row r="209" ht="15.75" customHeight="1">
      <c r="B209" s="3">
        <f>IFERROR(__xludf.DUMMYFUNCTION("""COMPUTED_VALUE"""),39745.645833333336)</f>
        <v>39745.64583</v>
      </c>
      <c r="C209" s="2">
        <f>IFERROR(__xludf.DUMMYFUNCTION("""COMPUTED_VALUE"""),147.0)</f>
        <v>147</v>
      </c>
    </row>
    <row r="210" ht="15.75" customHeight="1">
      <c r="B210" s="3">
        <f>IFERROR(__xludf.DUMMYFUNCTION("""COMPUTED_VALUE"""),39752.645833333336)</f>
        <v>39752.64583</v>
      </c>
      <c r="C210" s="2">
        <f>IFERROR(__xludf.DUMMYFUNCTION("""COMPUTED_VALUE"""),148.75)</f>
        <v>148.75</v>
      </c>
    </row>
    <row r="211" ht="15.75" customHeight="1">
      <c r="B211" s="3">
        <f>IFERROR(__xludf.DUMMYFUNCTION("""COMPUTED_VALUE"""),39759.645833333336)</f>
        <v>39759.64583</v>
      </c>
      <c r="C211" s="2">
        <f>IFERROR(__xludf.DUMMYFUNCTION("""COMPUTED_VALUE"""),149.15)</f>
        <v>149.15</v>
      </c>
    </row>
    <row r="212" ht="15.75" customHeight="1">
      <c r="B212" s="3">
        <f>IFERROR(__xludf.DUMMYFUNCTION("""COMPUTED_VALUE"""),39766.645833333336)</f>
        <v>39766.64583</v>
      </c>
      <c r="C212" s="2">
        <f>IFERROR(__xludf.DUMMYFUNCTION("""COMPUTED_VALUE"""),138.61)</f>
        <v>138.61</v>
      </c>
    </row>
    <row r="213" ht="15.75" customHeight="1">
      <c r="B213" s="3">
        <f>IFERROR(__xludf.DUMMYFUNCTION("""COMPUTED_VALUE"""),39773.645833333336)</f>
        <v>39773.64583</v>
      </c>
      <c r="C213" s="2">
        <f>IFERROR(__xludf.DUMMYFUNCTION("""COMPUTED_VALUE"""),134.25)</f>
        <v>134.25</v>
      </c>
    </row>
    <row r="214" ht="15.75" customHeight="1">
      <c r="B214" s="3">
        <f>IFERROR(__xludf.DUMMYFUNCTION("""COMPUTED_VALUE"""),39780.645833333336)</f>
        <v>39780.64583</v>
      </c>
      <c r="C214" s="2">
        <f>IFERROR(__xludf.DUMMYFUNCTION("""COMPUTED_VALUE"""),142.0)</f>
        <v>142</v>
      </c>
    </row>
    <row r="215" ht="15.75" customHeight="1">
      <c r="B215" s="3">
        <f>IFERROR(__xludf.DUMMYFUNCTION("""COMPUTED_VALUE"""),39787.645833333336)</f>
        <v>39787.64583</v>
      </c>
      <c r="C215" s="2">
        <f>IFERROR(__xludf.DUMMYFUNCTION("""COMPUTED_VALUE"""),148.44)</f>
        <v>148.44</v>
      </c>
    </row>
    <row r="216" ht="15.75" customHeight="1">
      <c r="B216" s="3">
        <f>IFERROR(__xludf.DUMMYFUNCTION("""COMPUTED_VALUE"""),39794.645833333336)</f>
        <v>39794.64583</v>
      </c>
      <c r="C216" s="2">
        <f>IFERROR(__xludf.DUMMYFUNCTION("""COMPUTED_VALUE"""),139.2)</f>
        <v>139.2</v>
      </c>
    </row>
    <row r="217" ht="15.75" customHeight="1">
      <c r="B217" s="3">
        <f>IFERROR(__xludf.DUMMYFUNCTION("""COMPUTED_VALUE"""),39801.645833333336)</f>
        <v>39801.64583</v>
      </c>
      <c r="C217" s="2">
        <f>IFERROR(__xludf.DUMMYFUNCTION("""COMPUTED_VALUE"""),133.5)</f>
        <v>133.5</v>
      </c>
    </row>
    <row r="218" ht="15.75" customHeight="1">
      <c r="B218" s="3">
        <f>IFERROR(__xludf.DUMMYFUNCTION("""COMPUTED_VALUE"""),39808.645833333336)</f>
        <v>39808.64583</v>
      </c>
      <c r="C218" s="2">
        <f>IFERROR(__xludf.DUMMYFUNCTION("""COMPUTED_VALUE"""),129.88)</f>
        <v>129.88</v>
      </c>
    </row>
    <row r="219" ht="15.75" customHeight="1"/>
    <row r="220" ht="15.75" customHeight="1"/>
    <row r="221" ht="15.75" customHeight="1">
      <c r="B221" s="2" t="str">
        <f>IFERROR(__xludf.DUMMYFUNCTION("GOOGLEFINANCE(""NSE:TCS"", ""high"",DATE(2009,1,1),DATE(2010,1,1),""weekly"")"),"Date")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IFERROR(__xludf.DUMMYFUNCTION("""COMPUTED_VALUE"""),39815.645833333336)</f>
        <v>39815.64583</v>
      </c>
      <c r="C222" s="2">
        <f>IFERROR(__xludf.DUMMYFUNCTION("""COMPUTED_VALUE"""),127.18)</f>
        <v>127.18</v>
      </c>
    </row>
    <row r="223" ht="15.75" customHeight="1">
      <c r="B223" s="3">
        <f>IFERROR(__xludf.DUMMYFUNCTION("""COMPUTED_VALUE"""),39822.645833333336)</f>
        <v>39822.64583</v>
      </c>
      <c r="C223" s="2">
        <f>IFERROR(__xludf.DUMMYFUNCTION("""COMPUTED_VALUE"""),137.45)</f>
        <v>137.45</v>
      </c>
    </row>
    <row r="224" ht="15.75" customHeight="1">
      <c r="B224" s="3">
        <f>IFERROR(__xludf.DUMMYFUNCTION("""COMPUTED_VALUE"""),39829.645833333336)</f>
        <v>39829.64583</v>
      </c>
      <c r="C224" s="2">
        <f>IFERROR(__xludf.DUMMYFUNCTION("""COMPUTED_VALUE"""),139.4)</f>
        <v>139.4</v>
      </c>
    </row>
    <row r="225" ht="15.75" customHeight="1">
      <c r="B225" s="3">
        <f>IFERROR(__xludf.DUMMYFUNCTION("""COMPUTED_VALUE"""),39836.645833333336)</f>
        <v>39836.64583</v>
      </c>
      <c r="C225" s="2">
        <f>IFERROR(__xludf.DUMMYFUNCTION("""COMPUTED_VALUE"""),129.48)</f>
        <v>129.48</v>
      </c>
    </row>
    <row r="226" ht="15.75" customHeight="1">
      <c r="B226" s="3">
        <f>IFERROR(__xludf.DUMMYFUNCTION("""COMPUTED_VALUE"""),39843.645833333336)</f>
        <v>39843.64583</v>
      </c>
      <c r="C226" s="2">
        <f>IFERROR(__xludf.DUMMYFUNCTION("""COMPUTED_VALUE"""),128.75)</f>
        <v>128.75</v>
      </c>
    </row>
    <row r="227" ht="15.75" customHeight="1">
      <c r="B227" s="3">
        <f>IFERROR(__xludf.DUMMYFUNCTION("""COMPUTED_VALUE"""),39850.645833333336)</f>
        <v>39850.64583</v>
      </c>
      <c r="C227" s="2">
        <f>IFERROR(__xludf.DUMMYFUNCTION("""COMPUTED_VALUE"""),128.23)</f>
        <v>128.23</v>
      </c>
    </row>
    <row r="228" ht="15.75" customHeight="1">
      <c r="B228" s="3">
        <f>IFERROR(__xludf.DUMMYFUNCTION("""COMPUTED_VALUE"""),39857.645833333336)</f>
        <v>39857.64583</v>
      </c>
      <c r="C228" s="2">
        <f>IFERROR(__xludf.DUMMYFUNCTION("""COMPUTED_VALUE"""),132.0)</f>
        <v>132</v>
      </c>
    </row>
    <row r="229" ht="15.75" customHeight="1">
      <c r="B229" s="3">
        <f>IFERROR(__xludf.DUMMYFUNCTION("""COMPUTED_VALUE"""),39864.645833333336)</f>
        <v>39864.64583</v>
      </c>
      <c r="C229" s="2">
        <f>IFERROR(__xludf.DUMMYFUNCTION("""COMPUTED_VALUE"""),128.74)</f>
        <v>128.74</v>
      </c>
    </row>
    <row r="230" ht="15.75" customHeight="1">
      <c r="B230" s="3">
        <f>IFERROR(__xludf.DUMMYFUNCTION("""COMPUTED_VALUE"""),39871.645833333336)</f>
        <v>39871.64583</v>
      </c>
      <c r="C230" s="2">
        <f>IFERROR(__xludf.DUMMYFUNCTION("""COMPUTED_VALUE"""),122.65)</f>
        <v>122.65</v>
      </c>
    </row>
    <row r="231" ht="15.75" customHeight="1">
      <c r="B231" s="3">
        <f>IFERROR(__xludf.DUMMYFUNCTION("""COMPUTED_VALUE"""),39878.645833333336)</f>
        <v>39878.64583</v>
      </c>
      <c r="C231" s="2">
        <f>IFERROR(__xludf.DUMMYFUNCTION("""COMPUTED_VALUE"""),121.21)</f>
        <v>121.21</v>
      </c>
    </row>
    <row r="232" ht="15.75" customHeight="1">
      <c r="B232" s="3">
        <f>IFERROR(__xludf.DUMMYFUNCTION("""COMPUTED_VALUE"""),39885.645833333336)</f>
        <v>39885.64583</v>
      </c>
      <c r="C232" s="2">
        <f>IFERROR(__xludf.DUMMYFUNCTION("""COMPUTED_VALUE"""),127.5)</f>
        <v>127.5</v>
      </c>
    </row>
    <row r="233" ht="15.75" customHeight="1">
      <c r="B233" s="3">
        <f>IFERROR(__xludf.DUMMYFUNCTION("""COMPUTED_VALUE"""),39892.645833333336)</f>
        <v>39892.64583</v>
      </c>
      <c r="C233" s="2">
        <f>IFERROR(__xludf.DUMMYFUNCTION("""COMPUTED_VALUE"""),132.23)</f>
        <v>132.23</v>
      </c>
    </row>
    <row r="234" ht="15.75" customHeight="1">
      <c r="B234" s="3">
        <f>IFERROR(__xludf.DUMMYFUNCTION("""COMPUTED_VALUE"""),39899.645833333336)</f>
        <v>39899.64583</v>
      </c>
      <c r="C234" s="2">
        <f>IFERROR(__xludf.DUMMYFUNCTION("""COMPUTED_VALUE"""),146.25)</f>
        <v>146.25</v>
      </c>
    </row>
    <row r="235" ht="15.75" customHeight="1">
      <c r="B235" s="3">
        <f>IFERROR(__xludf.DUMMYFUNCTION("""COMPUTED_VALUE"""),39905.645833333336)</f>
        <v>39905.64583</v>
      </c>
      <c r="C235" s="2">
        <f>IFERROR(__xludf.DUMMYFUNCTION("""COMPUTED_VALUE"""),146.75)</f>
        <v>146.75</v>
      </c>
    </row>
    <row r="236" ht="15.75" customHeight="1">
      <c r="B236" s="3">
        <f>IFERROR(__xludf.DUMMYFUNCTION("""COMPUTED_VALUE"""),39912.645833333336)</f>
        <v>39912.64583</v>
      </c>
      <c r="C236" s="2">
        <f>IFERROR(__xludf.DUMMYFUNCTION("""COMPUTED_VALUE"""),154.98)</f>
        <v>154.98</v>
      </c>
    </row>
    <row r="237" ht="15.75" customHeight="1">
      <c r="B237" s="3">
        <f>IFERROR(__xludf.DUMMYFUNCTION("""COMPUTED_VALUE"""),39920.645833333336)</f>
        <v>39920.64583</v>
      </c>
      <c r="C237" s="2">
        <f>IFERROR(__xludf.DUMMYFUNCTION("""COMPUTED_VALUE"""),152.25)</f>
        <v>152.25</v>
      </c>
    </row>
    <row r="238" ht="15.75" customHeight="1">
      <c r="B238" s="3">
        <f>IFERROR(__xludf.DUMMYFUNCTION("""COMPUTED_VALUE"""),39927.645833333336)</f>
        <v>39927.64583</v>
      </c>
      <c r="C238" s="2">
        <f>IFERROR(__xludf.DUMMYFUNCTION("""COMPUTED_VALUE"""),147.13)</f>
        <v>147.13</v>
      </c>
    </row>
    <row r="239" ht="15.75" customHeight="1">
      <c r="B239" s="3">
        <f>IFERROR(__xludf.DUMMYFUNCTION("""COMPUTED_VALUE"""),39932.645833333336)</f>
        <v>39932.64583</v>
      </c>
      <c r="C239" s="2">
        <f>IFERROR(__xludf.DUMMYFUNCTION("""COMPUTED_VALUE"""),157.25)</f>
        <v>157.25</v>
      </c>
    </row>
    <row r="240" ht="15.75" customHeight="1">
      <c r="B240" s="3">
        <f>IFERROR(__xludf.DUMMYFUNCTION("""COMPUTED_VALUE"""),39941.645833333336)</f>
        <v>39941.64583</v>
      </c>
      <c r="C240" s="2">
        <f>IFERROR(__xludf.DUMMYFUNCTION("""COMPUTED_VALUE"""),174.9)</f>
        <v>174.9</v>
      </c>
    </row>
    <row r="241" ht="15.75" customHeight="1">
      <c r="B241" s="3">
        <f>IFERROR(__xludf.DUMMYFUNCTION("""COMPUTED_VALUE"""),39948.645833333336)</f>
        <v>39948.64583</v>
      </c>
      <c r="C241" s="2">
        <f>IFERROR(__xludf.DUMMYFUNCTION("""COMPUTED_VALUE"""),163.71)</f>
        <v>163.71</v>
      </c>
    </row>
    <row r="242" ht="15.75" customHeight="1">
      <c r="B242" s="3">
        <f>IFERROR(__xludf.DUMMYFUNCTION("""COMPUTED_VALUE"""),39955.645833333336)</f>
        <v>39955.64583</v>
      </c>
      <c r="C242" s="2">
        <f>IFERROR(__xludf.DUMMYFUNCTION("""COMPUTED_VALUE"""),197.9)</f>
        <v>197.9</v>
      </c>
    </row>
    <row r="243" ht="15.75" customHeight="1">
      <c r="B243" s="3">
        <f>IFERROR(__xludf.DUMMYFUNCTION("""COMPUTED_VALUE"""),39962.645833333336)</f>
        <v>39962.64583</v>
      </c>
      <c r="C243" s="2">
        <f>IFERROR(__xludf.DUMMYFUNCTION("""COMPUTED_VALUE"""),177.5)</f>
        <v>177.5</v>
      </c>
    </row>
    <row r="244" ht="15.75" customHeight="1">
      <c r="B244" s="3">
        <f>IFERROR(__xludf.DUMMYFUNCTION("""COMPUTED_VALUE"""),39969.645833333336)</f>
        <v>39969.64583</v>
      </c>
      <c r="C244" s="2">
        <f>IFERROR(__xludf.DUMMYFUNCTION("""COMPUTED_VALUE"""),182.18)</f>
        <v>182.18</v>
      </c>
    </row>
    <row r="245" ht="15.75" customHeight="1">
      <c r="B245" s="3">
        <f>IFERROR(__xludf.DUMMYFUNCTION("""COMPUTED_VALUE"""),39976.645833333336)</f>
        <v>39976.64583</v>
      </c>
      <c r="C245" s="2">
        <f>IFERROR(__xludf.DUMMYFUNCTION("""COMPUTED_VALUE"""),201.25)</f>
        <v>201.25</v>
      </c>
    </row>
    <row r="246" ht="15.75" customHeight="1">
      <c r="B246" s="3">
        <f>IFERROR(__xludf.DUMMYFUNCTION("""COMPUTED_VALUE"""),39983.645833333336)</f>
        <v>39983.64583</v>
      </c>
      <c r="C246" s="2">
        <f>IFERROR(__xludf.DUMMYFUNCTION("""COMPUTED_VALUE"""),197.5)</f>
        <v>197.5</v>
      </c>
    </row>
    <row r="247" ht="15.75" customHeight="1">
      <c r="B247" s="3">
        <f>IFERROR(__xludf.DUMMYFUNCTION("""COMPUTED_VALUE"""),39990.645833333336)</f>
        <v>39990.64583</v>
      </c>
      <c r="C247" s="2">
        <f>IFERROR(__xludf.DUMMYFUNCTION("""COMPUTED_VALUE"""),202.2)</f>
        <v>202.2</v>
      </c>
    </row>
    <row r="248" ht="15.75" customHeight="1">
      <c r="B248" s="3">
        <f>IFERROR(__xludf.DUMMYFUNCTION("""COMPUTED_VALUE"""),39997.645833333336)</f>
        <v>39997.64583</v>
      </c>
      <c r="C248" s="2">
        <f>IFERROR(__xludf.DUMMYFUNCTION("""COMPUTED_VALUE"""),201.0)</f>
        <v>201</v>
      </c>
    </row>
    <row r="249" ht="15.75" customHeight="1">
      <c r="B249" s="3">
        <f>IFERROR(__xludf.DUMMYFUNCTION("""COMPUTED_VALUE"""),40004.645833333336)</f>
        <v>40004.64583</v>
      </c>
      <c r="C249" s="2">
        <f>IFERROR(__xludf.DUMMYFUNCTION("""COMPUTED_VALUE"""),200.73)</f>
        <v>200.73</v>
      </c>
    </row>
    <row r="250" ht="15.75" customHeight="1">
      <c r="B250" s="3">
        <f>IFERROR(__xludf.DUMMYFUNCTION("""COMPUTED_VALUE"""),40011.645833333336)</f>
        <v>40011.64583</v>
      </c>
      <c r="C250" s="2">
        <f>IFERROR(__xludf.DUMMYFUNCTION("""COMPUTED_VALUE"""),222.88)</f>
        <v>222.88</v>
      </c>
    </row>
    <row r="251" ht="15.75" customHeight="1">
      <c r="B251" s="3">
        <f>IFERROR(__xludf.DUMMYFUNCTION("""COMPUTED_VALUE"""),40018.645833333336)</f>
        <v>40018.64583</v>
      </c>
      <c r="C251" s="2">
        <f>IFERROR(__xludf.DUMMYFUNCTION("""COMPUTED_VALUE"""),257.45)</f>
        <v>257.45</v>
      </c>
    </row>
    <row r="252" ht="15.75" customHeight="1">
      <c r="B252" s="3">
        <f>IFERROR(__xludf.DUMMYFUNCTION("""COMPUTED_VALUE"""),40025.645833333336)</f>
        <v>40025.64583</v>
      </c>
      <c r="C252" s="2">
        <f>IFERROR(__xludf.DUMMYFUNCTION("""COMPUTED_VALUE"""),272.5)</f>
        <v>272.5</v>
      </c>
    </row>
    <row r="253" ht="15.75" customHeight="1">
      <c r="B253" s="3">
        <f>IFERROR(__xludf.DUMMYFUNCTION("""COMPUTED_VALUE"""),40032.645833333336)</f>
        <v>40032.64583</v>
      </c>
      <c r="C253" s="2">
        <f>IFERROR(__xludf.DUMMYFUNCTION("""COMPUTED_VALUE"""),270.6)</f>
        <v>270.6</v>
      </c>
    </row>
    <row r="254" ht="15.75" customHeight="1">
      <c r="B254" s="3">
        <f>IFERROR(__xludf.DUMMYFUNCTION("""COMPUTED_VALUE"""),40039.645833333336)</f>
        <v>40039.64583</v>
      </c>
      <c r="C254" s="2">
        <f>IFERROR(__xludf.DUMMYFUNCTION("""COMPUTED_VALUE"""),279.0)</f>
        <v>279</v>
      </c>
    </row>
    <row r="255" ht="15.75" customHeight="1">
      <c r="B255" s="3">
        <f>IFERROR(__xludf.DUMMYFUNCTION("""COMPUTED_VALUE"""),40046.645833333336)</f>
        <v>40046.64583</v>
      </c>
      <c r="C255" s="2">
        <f>IFERROR(__xludf.DUMMYFUNCTION("""COMPUTED_VALUE"""),258.75)</f>
        <v>258.75</v>
      </c>
    </row>
    <row r="256" ht="15.75" customHeight="1">
      <c r="B256" s="3">
        <f>IFERROR(__xludf.DUMMYFUNCTION("""COMPUTED_VALUE"""),40053.645833333336)</f>
        <v>40053.64583</v>
      </c>
      <c r="C256" s="2">
        <f>IFERROR(__xludf.DUMMYFUNCTION("""COMPUTED_VALUE"""),283.0)</f>
        <v>283</v>
      </c>
    </row>
    <row r="257" ht="15.75" customHeight="1">
      <c r="B257" s="3">
        <f>IFERROR(__xludf.DUMMYFUNCTION("""COMPUTED_VALUE"""),40060.645833333336)</f>
        <v>40060.64583</v>
      </c>
      <c r="C257" s="2">
        <f>IFERROR(__xludf.DUMMYFUNCTION("""COMPUTED_VALUE"""),272.2)</f>
        <v>272.2</v>
      </c>
    </row>
    <row r="258" ht="15.75" customHeight="1">
      <c r="B258" s="3">
        <f>IFERROR(__xludf.DUMMYFUNCTION("""COMPUTED_VALUE"""),40067.645833333336)</f>
        <v>40067.64583</v>
      </c>
      <c r="C258" s="2">
        <f>IFERROR(__xludf.DUMMYFUNCTION("""COMPUTED_VALUE"""),285.25)</f>
        <v>285.25</v>
      </c>
    </row>
    <row r="259" ht="15.75" customHeight="1">
      <c r="B259" s="3">
        <f>IFERROR(__xludf.DUMMYFUNCTION("""COMPUTED_VALUE"""),40074.645833333336)</f>
        <v>40074.64583</v>
      </c>
      <c r="C259" s="2">
        <f>IFERROR(__xludf.DUMMYFUNCTION("""COMPUTED_VALUE"""),295.0)</f>
        <v>295</v>
      </c>
    </row>
    <row r="260" ht="15.75" customHeight="1">
      <c r="B260" s="3">
        <f>IFERROR(__xludf.DUMMYFUNCTION("""COMPUTED_VALUE"""),40081.645833333336)</f>
        <v>40081.64583</v>
      </c>
      <c r="C260" s="2">
        <f>IFERROR(__xludf.DUMMYFUNCTION("""COMPUTED_VALUE"""),305.83)</f>
        <v>305.83</v>
      </c>
    </row>
    <row r="261" ht="15.75" customHeight="1">
      <c r="B261" s="3">
        <f>IFERROR(__xludf.DUMMYFUNCTION("""COMPUTED_VALUE"""),40087.645833333336)</f>
        <v>40087.64583</v>
      </c>
      <c r="C261" s="2">
        <f>IFERROR(__xludf.DUMMYFUNCTION("""COMPUTED_VALUE"""),324.95)</f>
        <v>324.95</v>
      </c>
    </row>
    <row r="262" ht="15.75" customHeight="1">
      <c r="B262" s="3">
        <f>IFERROR(__xludf.DUMMYFUNCTION("""COMPUTED_VALUE"""),40095.645833333336)</f>
        <v>40095.64583</v>
      </c>
      <c r="C262" s="2">
        <f>IFERROR(__xludf.DUMMYFUNCTION("""COMPUTED_VALUE"""),319.5)</f>
        <v>319.5</v>
      </c>
    </row>
    <row r="263" ht="15.75" customHeight="1">
      <c r="B263" s="3">
        <f>IFERROR(__xludf.DUMMYFUNCTION("""COMPUTED_VALUE"""),40109.645833333336)</f>
        <v>40109.64583</v>
      </c>
      <c r="C263" s="2">
        <f>IFERROR(__xludf.DUMMYFUNCTION("""COMPUTED_VALUE"""),322.95)</f>
        <v>322.95</v>
      </c>
    </row>
    <row r="264" ht="15.75" customHeight="1">
      <c r="B264" s="3">
        <f>IFERROR(__xludf.DUMMYFUNCTION("""COMPUTED_VALUE"""),40116.645833333336)</f>
        <v>40116.64583</v>
      </c>
      <c r="C264" s="2">
        <f>IFERROR(__xludf.DUMMYFUNCTION("""COMPUTED_VALUE"""),328.95)</f>
        <v>328.95</v>
      </c>
    </row>
    <row r="265" ht="15.75" customHeight="1">
      <c r="B265" s="3">
        <f>IFERROR(__xludf.DUMMYFUNCTION("""COMPUTED_VALUE"""),40123.645833333336)</f>
        <v>40123.64583</v>
      </c>
      <c r="C265" s="2">
        <f>IFERROR(__xludf.DUMMYFUNCTION("""COMPUTED_VALUE"""),318.0)</f>
        <v>318</v>
      </c>
    </row>
    <row r="266" ht="15.75" customHeight="1">
      <c r="B266" s="3">
        <f>IFERROR(__xludf.DUMMYFUNCTION("""COMPUTED_VALUE"""),40130.645833333336)</f>
        <v>40130.64583</v>
      </c>
      <c r="C266" s="2">
        <f>IFERROR(__xludf.DUMMYFUNCTION("""COMPUTED_VALUE"""),337.45)</f>
        <v>337.45</v>
      </c>
    </row>
    <row r="267" ht="15.75" customHeight="1">
      <c r="B267" s="3">
        <f>IFERROR(__xludf.DUMMYFUNCTION("""COMPUTED_VALUE"""),40137.645833333336)</f>
        <v>40137.64583</v>
      </c>
      <c r="C267" s="2">
        <f>IFERROR(__xludf.DUMMYFUNCTION("""COMPUTED_VALUE"""),352.85)</f>
        <v>352.85</v>
      </c>
    </row>
    <row r="268" ht="15.75" customHeight="1">
      <c r="B268" s="3">
        <f>IFERROR(__xludf.DUMMYFUNCTION("""COMPUTED_VALUE"""),40144.645833333336)</f>
        <v>40144.64583</v>
      </c>
      <c r="C268" s="2">
        <f>IFERROR(__xludf.DUMMYFUNCTION("""COMPUTED_VALUE"""),355.83)</f>
        <v>355.83</v>
      </c>
    </row>
    <row r="269" ht="15.75" customHeight="1">
      <c r="B269" s="3">
        <f>IFERROR(__xludf.DUMMYFUNCTION("""COMPUTED_VALUE"""),40151.645833333336)</f>
        <v>40151.64583</v>
      </c>
      <c r="C269" s="2">
        <f>IFERROR(__xludf.DUMMYFUNCTION("""COMPUTED_VALUE"""),351.7)</f>
        <v>351.7</v>
      </c>
    </row>
    <row r="270" ht="15.75" customHeight="1">
      <c r="B270" s="3">
        <f>IFERROR(__xludf.DUMMYFUNCTION("""COMPUTED_VALUE"""),40158.645833333336)</f>
        <v>40158.64583</v>
      </c>
      <c r="C270" s="2">
        <f>IFERROR(__xludf.DUMMYFUNCTION("""COMPUTED_VALUE"""),357.2)</f>
        <v>357.2</v>
      </c>
    </row>
    <row r="271" ht="15.75" customHeight="1">
      <c r="B271" s="3">
        <f>IFERROR(__xludf.DUMMYFUNCTION("""COMPUTED_VALUE"""),40165.645833333336)</f>
        <v>40165.64583</v>
      </c>
      <c r="C271" s="2">
        <f>IFERROR(__xludf.DUMMYFUNCTION("""COMPUTED_VALUE"""),365.75)</f>
        <v>365.75</v>
      </c>
    </row>
    <row r="272" ht="15.75" customHeight="1">
      <c r="B272" s="3">
        <f>IFERROR(__xludf.DUMMYFUNCTION("""COMPUTED_VALUE"""),40171.645833333336)</f>
        <v>40171.64583</v>
      </c>
      <c r="C272" s="2">
        <f>IFERROR(__xludf.DUMMYFUNCTION("""COMPUTED_VALUE"""),378.5)</f>
        <v>378.5</v>
      </c>
    </row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IFERROR(__xludf.DUMMYFUNCTION("GOOGLEFINANCE(""NSE:TCS"", ""high"",DATE(2010,1,1),DATE(2011,1,1),""weekly"")"),"Date")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IFERROR(__xludf.DUMMYFUNCTION("""COMPUTED_VALUE"""),40186.645833333336)</f>
        <v>40186.64583</v>
      </c>
      <c r="C277" s="2">
        <f>IFERROR(__xludf.DUMMYFUNCTION("""COMPUTED_VALUE"""),379.78)</f>
        <v>379.78</v>
      </c>
    </row>
    <row r="278" ht="15.75" customHeight="1">
      <c r="B278" s="3">
        <f>IFERROR(__xludf.DUMMYFUNCTION("""COMPUTED_VALUE"""),40193.645833333336)</f>
        <v>40193.64583</v>
      </c>
      <c r="C278" s="2">
        <f>IFERROR(__xludf.DUMMYFUNCTION("""COMPUTED_VALUE"""),399.8)</f>
        <v>399.8</v>
      </c>
    </row>
    <row r="279" ht="15.75" customHeight="1">
      <c r="B279" s="3">
        <f>IFERROR(__xludf.DUMMYFUNCTION("""COMPUTED_VALUE"""),40200.645833333336)</f>
        <v>40200.64583</v>
      </c>
      <c r="C279" s="2">
        <f>IFERROR(__xludf.DUMMYFUNCTION("""COMPUTED_VALUE"""),414.5)</f>
        <v>414.5</v>
      </c>
    </row>
    <row r="280" ht="15.75" customHeight="1">
      <c r="B280" s="3">
        <f>IFERROR(__xludf.DUMMYFUNCTION("""COMPUTED_VALUE"""),40207.645833333336)</f>
        <v>40207.64583</v>
      </c>
      <c r="C280" s="2">
        <f>IFERROR(__xludf.DUMMYFUNCTION("""COMPUTED_VALUE"""),382.75)</f>
        <v>382.75</v>
      </c>
    </row>
    <row r="281" ht="15.75" customHeight="1">
      <c r="B281" s="3">
        <f>IFERROR(__xludf.DUMMYFUNCTION("""COMPUTED_VALUE"""),40220.645833333336)</f>
        <v>40220.64583</v>
      </c>
      <c r="C281" s="2">
        <f>IFERROR(__xludf.DUMMYFUNCTION("""COMPUTED_VALUE"""),373.98)</f>
        <v>373.98</v>
      </c>
    </row>
    <row r="282" ht="15.75" customHeight="1">
      <c r="B282" s="3">
        <f>IFERROR(__xludf.DUMMYFUNCTION("""COMPUTED_VALUE"""),40228.645833333336)</f>
        <v>40228.64583</v>
      </c>
      <c r="C282" s="2">
        <f>IFERROR(__xludf.DUMMYFUNCTION("""COMPUTED_VALUE"""),383.98)</f>
        <v>383.98</v>
      </c>
    </row>
    <row r="283" ht="15.75" customHeight="1">
      <c r="B283" s="3">
        <f>IFERROR(__xludf.DUMMYFUNCTION("""COMPUTED_VALUE"""),40235.645833333336)</f>
        <v>40235.64583</v>
      </c>
      <c r="C283" s="2">
        <f>IFERROR(__xludf.DUMMYFUNCTION("""COMPUTED_VALUE"""),389.28)</f>
        <v>389.28</v>
      </c>
    </row>
    <row r="284" ht="15.75" customHeight="1">
      <c r="B284" s="3">
        <f>IFERROR(__xludf.DUMMYFUNCTION("""COMPUTED_VALUE"""),40242.645833333336)</f>
        <v>40242.64583</v>
      </c>
      <c r="C284" s="2">
        <f>IFERROR(__xludf.DUMMYFUNCTION("""COMPUTED_VALUE"""),387.0)</f>
        <v>387</v>
      </c>
    </row>
    <row r="285" ht="15.75" customHeight="1">
      <c r="B285" s="3">
        <f>IFERROR(__xludf.DUMMYFUNCTION("""COMPUTED_VALUE"""),40249.645833333336)</f>
        <v>40249.64583</v>
      </c>
      <c r="C285" s="2">
        <f>IFERROR(__xludf.DUMMYFUNCTION("""COMPUTED_VALUE"""),400.0)</f>
        <v>400</v>
      </c>
    </row>
    <row r="286" ht="15.75" customHeight="1">
      <c r="B286" s="3">
        <f>IFERROR(__xludf.DUMMYFUNCTION("""COMPUTED_VALUE"""),40256.645833333336)</f>
        <v>40256.64583</v>
      </c>
      <c r="C286" s="2">
        <f>IFERROR(__xludf.DUMMYFUNCTION("""COMPUTED_VALUE"""),422.95)</f>
        <v>422.95</v>
      </c>
    </row>
    <row r="287" ht="15.75" customHeight="1">
      <c r="B287" s="3">
        <f>IFERROR(__xludf.DUMMYFUNCTION("""COMPUTED_VALUE"""),40263.645833333336)</f>
        <v>40263.64583</v>
      </c>
      <c r="C287" s="2">
        <f>IFERROR(__xludf.DUMMYFUNCTION("""COMPUTED_VALUE"""),418.4)</f>
        <v>418.4</v>
      </c>
    </row>
    <row r="288" ht="15.75" customHeight="1">
      <c r="B288" s="3">
        <f>IFERROR(__xludf.DUMMYFUNCTION("""COMPUTED_VALUE"""),40269.645833333336)</f>
        <v>40269.64583</v>
      </c>
      <c r="C288" s="2">
        <f>IFERROR(__xludf.DUMMYFUNCTION("""COMPUTED_VALUE"""),414.65)</f>
        <v>414.65</v>
      </c>
    </row>
    <row r="289" ht="15.75" customHeight="1">
      <c r="B289" s="3">
        <f>IFERROR(__xludf.DUMMYFUNCTION("""COMPUTED_VALUE"""),40277.645833333336)</f>
        <v>40277.64583</v>
      </c>
      <c r="C289" s="2">
        <f>IFERROR(__xludf.DUMMYFUNCTION("""COMPUTED_VALUE"""),408.5)</f>
        <v>408.5</v>
      </c>
    </row>
    <row r="290" ht="15.75" customHeight="1">
      <c r="B290" s="3">
        <f>IFERROR(__xludf.DUMMYFUNCTION("""COMPUTED_VALUE"""),40284.645833333336)</f>
        <v>40284.64583</v>
      </c>
      <c r="C290" s="2">
        <f>IFERROR(__xludf.DUMMYFUNCTION("""COMPUTED_VALUE"""),417.45)</f>
        <v>417.45</v>
      </c>
    </row>
    <row r="291" ht="15.75" customHeight="1">
      <c r="B291" s="3">
        <f>IFERROR(__xludf.DUMMYFUNCTION("""COMPUTED_VALUE"""),40291.645833333336)</f>
        <v>40291.64583</v>
      </c>
      <c r="C291" s="2">
        <f>IFERROR(__xludf.DUMMYFUNCTION("""COMPUTED_VALUE"""),416.33)</f>
        <v>416.33</v>
      </c>
    </row>
    <row r="292" ht="15.75" customHeight="1">
      <c r="B292" s="3">
        <f>IFERROR(__xludf.DUMMYFUNCTION("""COMPUTED_VALUE"""),40298.645833333336)</f>
        <v>40298.64583</v>
      </c>
      <c r="C292" s="2">
        <f>IFERROR(__xludf.DUMMYFUNCTION("""COMPUTED_VALUE"""),395.5)</f>
        <v>395.5</v>
      </c>
    </row>
    <row r="293" ht="15.75" customHeight="1">
      <c r="B293" s="3">
        <f>IFERROR(__xludf.DUMMYFUNCTION("""COMPUTED_VALUE"""),40305.645833333336)</f>
        <v>40305.64583</v>
      </c>
      <c r="C293" s="2">
        <f>IFERROR(__xludf.DUMMYFUNCTION("""COMPUTED_VALUE"""),387.42)</f>
        <v>387.42</v>
      </c>
    </row>
    <row r="294" ht="15.75" customHeight="1">
      <c r="B294" s="3">
        <f>IFERROR(__xludf.DUMMYFUNCTION("""COMPUTED_VALUE"""),40312.645833333336)</f>
        <v>40312.64583</v>
      </c>
      <c r="C294" s="2">
        <f>IFERROR(__xludf.DUMMYFUNCTION("""COMPUTED_VALUE"""),421.5)</f>
        <v>421.5</v>
      </c>
    </row>
    <row r="295" ht="15.75" customHeight="1">
      <c r="B295" s="3">
        <f>IFERROR(__xludf.DUMMYFUNCTION("""COMPUTED_VALUE"""),40319.645833333336)</f>
        <v>40319.64583</v>
      </c>
      <c r="C295" s="2">
        <f>IFERROR(__xludf.DUMMYFUNCTION("""COMPUTED_VALUE"""),387.48)</f>
        <v>387.48</v>
      </c>
    </row>
    <row r="296" ht="15.75" customHeight="1">
      <c r="B296" s="3">
        <f>IFERROR(__xludf.DUMMYFUNCTION("""COMPUTED_VALUE"""),40326.645833333336)</f>
        <v>40326.64583</v>
      </c>
      <c r="C296" s="2">
        <f>IFERROR(__xludf.DUMMYFUNCTION("""COMPUTED_VALUE"""),376.75)</f>
        <v>376.75</v>
      </c>
    </row>
    <row r="297" ht="15.75" customHeight="1">
      <c r="B297" s="3">
        <f>IFERROR(__xludf.DUMMYFUNCTION("""COMPUTED_VALUE"""),40333.645833333336)</f>
        <v>40333.64583</v>
      </c>
      <c r="C297" s="2">
        <f>IFERROR(__xludf.DUMMYFUNCTION("""COMPUTED_VALUE"""),384.85)</f>
        <v>384.85</v>
      </c>
    </row>
    <row r="298" ht="15.75" customHeight="1">
      <c r="B298" s="3">
        <f>IFERROR(__xludf.DUMMYFUNCTION("""COMPUTED_VALUE"""),40340.645833333336)</f>
        <v>40340.64583</v>
      </c>
      <c r="C298" s="2">
        <f>IFERROR(__xludf.DUMMYFUNCTION("""COMPUTED_VALUE"""),381.65)</f>
        <v>381.65</v>
      </c>
    </row>
    <row r="299" ht="15.75" customHeight="1">
      <c r="B299" s="3">
        <f>IFERROR(__xludf.DUMMYFUNCTION("""COMPUTED_VALUE"""),40347.645833333336)</f>
        <v>40347.64583</v>
      </c>
      <c r="C299" s="2">
        <f>IFERROR(__xludf.DUMMYFUNCTION("""COMPUTED_VALUE"""),394.45)</f>
        <v>394.45</v>
      </c>
    </row>
    <row r="300" ht="15.75" customHeight="1">
      <c r="B300" s="3">
        <f>IFERROR(__xludf.DUMMYFUNCTION("""COMPUTED_VALUE"""),40354.645833333336)</f>
        <v>40354.64583</v>
      </c>
      <c r="C300" s="2">
        <f>IFERROR(__xludf.DUMMYFUNCTION("""COMPUTED_VALUE"""),397.0)</f>
        <v>397</v>
      </c>
    </row>
    <row r="301" ht="15.75" customHeight="1">
      <c r="B301" s="3">
        <f>IFERROR(__xludf.DUMMYFUNCTION("""COMPUTED_VALUE"""),40361.645833333336)</f>
        <v>40361.64583</v>
      </c>
      <c r="C301" s="2">
        <f>IFERROR(__xludf.DUMMYFUNCTION("""COMPUTED_VALUE"""),383.58)</f>
        <v>383.58</v>
      </c>
    </row>
    <row r="302" ht="15.75" customHeight="1">
      <c r="B302" s="3">
        <f>IFERROR(__xludf.DUMMYFUNCTION("""COMPUTED_VALUE"""),40368.645833333336)</f>
        <v>40368.64583</v>
      </c>
      <c r="C302" s="2">
        <f>IFERROR(__xludf.DUMMYFUNCTION("""COMPUTED_VALUE"""),392.0)</f>
        <v>392</v>
      </c>
    </row>
    <row r="303" ht="15.75" customHeight="1">
      <c r="B303" s="3">
        <f>IFERROR(__xludf.DUMMYFUNCTION("""COMPUTED_VALUE"""),40375.645833333336)</f>
        <v>40375.64583</v>
      </c>
      <c r="C303" s="2">
        <f>IFERROR(__xludf.DUMMYFUNCTION("""COMPUTED_VALUE"""),419.25)</f>
        <v>419.25</v>
      </c>
    </row>
    <row r="304" ht="15.75" customHeight="1">
      <c r="B304" s="3">
        <f>IFERROR(__xludf.DUMMYFUNCTION("""COMPUTED_VALUE"""),40382.645833333336)</f>
        <v>40382.64583</v>
      </c>
      <c r="C304" s="2">
        <f>IFERROR(__xludf.DUMMYFUNCTION("""COMPUTED_VALUE"""),425.0)</f>
        <v>425</v>
      </c>
    </row>
    <row r="305" ht="15.75" customHeight="1">
      <c r="B305" s="3">
        <f>IFERROR(__xludf.DUMMYFUNCTION("""COMPUTED_VALUE"""),40389.645833333336)</f>
        <v>40389.64583</v>
      </c>
      <c r="C305" s="2">
        <f>IFERROR(__xludf.DUMMYFUNCTION("""COMPUTED_VALUE"""),429.9)</f>
        <v>429.9</v>
      </c>
    </row>
    <row r="306" ht="15.75" customHeight="1">
      <c r="B306" s="3">
        <f>IFERROR(__xludf.DUMMYFUNCTION("""COMPUTED_VALUE"""),40396.645833333336)</f>
        <v>40396.64583</v>
      </c>
      <c r="C306" s="2">
        <f>IFERROR(__xludf.DUMMYFUNCTION("""COMPUTED_VALUE"""),441.75)</f>
        <v>441.75</v>
      </c>
    </row>
    <row r="307" ht="15.75" customHeight="1">
      <c r="B307" s="3">
        <f>IFERROR(__xludf.DUMMYFUNCTION("""COMPUTED_VALUE"""),40403.645833333336)</f>
        <v>40403.64583</v>
      </c>
      <c r="C307" s="2">
        <f>IFERROR(__xludf.DUMMYFUNCTION("""COMPUTED_VALUE"""),442.5)</f>
        <v>442.5</v>
      </c>
    </row>
    <row r="308" ht="15.75" customHeight="1">
      <c r="B308" s="3">
        <f>IFERROR(__xludf.DUMMYFUNCTION("""COMPUTED_VALUE"""),40410.645833333336)</f>
        <v>40410.64583</v>
      </c>
      <c r="C308" s="2">
        <f>IFERROR(__xludf.DUMMYFUNCTION("""COMPUTED_VALUE"""),440.45)</f>
        <v>440.45</v>
      </c>
    </row>
    <row r="309" ht="15.75" customHeight="1">
      <c r="B309" s="3">
        <f>IFERROR(__xludf.DUMMYFUNCTION("""COMPUTED_VALUE"""),40417.645833333336)</f>
        <v>40417.64583</v>
      </c>
      <c r="C309" s="2">
        <f>IFERROR(__xludf.DUMMYFUNCTION("""COMPUTED_VALUE"""),440.95)</f>
        <v>440.95</v>
      </c>
    </row>
    <row r="310" ht="15.75" customHeight="1">
      <c r="B310" s="3">
        <f>IFERROR(__xludf.DUMMYFUNCTION("""COMPUTED_VALUE"""),40424.645833333336)</f>
        <v>40424.64583</v>
      </c>
      <c r="C310" s="2">
        <f>IFERROR(__xludf.DUMMYFUNCTION("""COMPUTED_VALUE"""),433.75)</f>
        <v>433.75</v>
      </c>
    </row>
    <row r="311" ht="15.75" customHeight="1">
      <c r="B311" s="3">
        <f>IFERROR(__xludf.DUMMYFUNCTION("""COMPUTED_VALUE"""),40430.645833333336)</f>
        <v>40430.64583</v>
      </c>
      <c r="C311" s="2">
        <f>IFERROR(__xludf.DUMMYFUNCTION("""COMPUTED_VALUE"""),441.45)</f>
        <v>441.45</v>
      </c>
    </row>
    <row r="312" ht="15.75" customHeight="1">
      <c r="B312" s="3">
        <f>IFERROR(__xludf.DUMMYFUNCTION("""COMPUTED_VALUE"""),40438.645833333336)</f>
        <v>40438.64583</v>
      </c>
      <c r="C312" s="2">
        <f>IFERROR(__xludf.DUMMYFUNCTION("""COMPUTED_VALUE"""),459.7)</f>
        <v>459.7</v>
      </c>
    </row>
    <row r="313" ht="15.75" customHeight="1">
      <c r="B313" s="3">
        <f>IFERROR(__xludf.DUMMYFUNCTION("""COMPUTED_VALUE"""),40445.645833333336)</f>
        <v>40445.64583</v>
      </c>
      <c r="C313" s="2">
        <f>IFERROR(__xludf.DUMMYFUNCTION("""COMPUTED_VALUE"""),480.0)</f>
        <v>480</v>
      </c>
    </row>
    <row r="314" ht="15.75" customHeight="1">
      <c r="B314" s="3">
        <f>IFERROR(__xludf.DUMMYFUNCTION("""COMPUTED_VALUE"""),40452.645833333336)</f>
        <v>40452.64583</v>
      </c>
      <c r="C314" s="2">
        <f>IFERROR(__xludf.DUMMYFUNCTION("""COMPUTED_VALUE"""),483.0)</f>
        <v>483</v>
      </c>
    </row>
    <row r="315" ht="15.75" customHeight="1">
      <c r="B315" s="3">
        <f>IFERROR(__xludf.DUMMYFUNCTION("""COMPUTED_VALUE"""),40459.645833333336)</f>
        <v>40459.64583</v>
      </c>
      <c r="C315" s="2">
        <f>IFERROR(__xludf.DUMMYFUNCTION("""COMPUTED_VALUE"""),487.5)</f>
        <v>487.5</v>
      </c>
    </row>
    <row r="316" ht="15.75" customHeight="1">
      <c r="B316" s="3">
        <f>IFERROR(__xludf.DUMMYFUNCTION("""COMPUTED_VALUE"""),40466.645833333336)</f>
        <v>40466.64583</v>
      </c>
      <c r="C316" s="2">
        <f>IFERROR(__xludf.DUMMYFUNCTION("""COMPUTED_VALUE"""),505.5)</f>
        <v>505.5</v>
      </c>
    </row>
    <row r="317" ht="15.75" customHeight="1">
      <c r="B317" s="3">
        <f>IFERROR(__xludf.DUMMYFUNCTION("""COMPUTED_VALUE"""),40473.645833333336)</f>
        <v>40473.64583</v>
      </c>
      <c r="C317" s="2">
        <f>IFERROR(__xludf.DUMMYFUNCTION("""COMPUTED_VALUE"""),524.7)</f>
        <v>524.7</v>
      </c>
    </row>
    <row r="318" ht="15.75" customHeight="1">
      <c r="B318" s="3">
        <f>IFERROR(__xludf.DUMMYFUNCTION("""COMPUTED_VALUE"""),40480.645833333336)</f>
        <v>40480.64583</v>
      </c>
      <c r="C318" s="2">
        <f>IFERROR(__xludf.DUMMYFUNCTION("""COMPUTED_VALUE"""),536.48)</f>
        <v>536.48</v>
      </c>
    </row>
    <row r="319" ht="15.75" customHeight="1">
      <c r="B319" s="3">
        <f>IFERROR(__xludf.DUMMYFUNCTION("""COMPUTED_VALUE"""),40487.645833333336)</f>
        <v>40487.64583</v>
      </c>
      <c r="C319" s="2">
        <f>IFERROR(__xludf.DUMMYFUNCTION("""COMPUTED_VALUE"""),541.95)</f>
        <v>541.95</v>
      </c>
    </row>
    <row r="320" ht="15.75" customHeight="1">
      <c r="B320" s="3">
        <f>IFERROR(__xludf.DUMMYFUNCTION("""COMPUTED_VALUE"""),40494.645833333336)</f>
        <v>40494.64583</v>
      </c>
      <c r="C320" s="2">
        <f>IFERROR(__xludf.DUMMYFUNCTION("""COMPUTED_VALUE"""),554.0)</f>
        <v>554</v>
      </c>
    </row>
    <row r="321" ht="15.75" customHeight="1">
      <c r="B321" s="3">
        <f>IFERROR(__xludf.DUMMYFUNCTION("""COMPUTED_VALUE"""),40501.645833333336)</f>
        <v>40501.64583</v>
      </c>
      <c r="C321" s="2">
        <f>IFERROR(__xludf.DUMMYFUNCTION("""COMPUTED_VALUE"""),539.92)</f>
        <v>539.92</v>
      </c>
    </row>
    <row r="322" ht="15.75" customHeight="1">
      <c r="B322" s="3">
        <f>IFERROR(__xludf.DUMMYFUNCTION("""COMPUTED_VALUE"""),40508.645833333336)</f>
        <v>40508.64583</v>
      </c>
      <c r="C322" s="2">
        <f>IFERROR(__xludf.DUMMYFUNCTION("""COMPUTED_VALUE"""),527.0)</f>
        <v>527</v>
      </c>
    </row>
    <row r="323" ht="15.75" customHeight="1">
      <c r="B323" s="3">
        <f>IFERROR(__xludf.DUMMYFUNCTION("""COMPUTED_VALUE"""),40515.645833333336)</f>
        <v>40515.64583</v>
      </c>
      <c r="C323" s="2">
        <f>IFERROR(__xludf.DUMMYFUNCTION("""COMPUTED_VALUE"""),556.5)</f>
        <v>556.5</v>
      </c>
    </row>
    <row r="324" ht="15.75" customHeight="1">
      <c r="B324" s="3">
        <f>IFERROR(__xludf.DUMMYFUNCTION("""COMPUTED_VALUE"""),40522.645833333336)</f>
        <v>40522.64583</v>
      </c>
      <c r="C324" s="2">
        <f>IFERROR(__xludf.DUMMYFUNCTION("""COMPUTED_VALUE"""),555.0)</f>
        <v>555</v>
      </c>
    </row>
    <row r="325" ht="15.75" customHeight="1">
      <c r="B325" s="3">
        <f>IFERROR(__xludf.DUMMYFUNCTION("""COMPUTED_VALUE"""),40528.645833333336)</f>
        <v>40528.64583</v>
      </c>
      <c r="C325" s="2">
        <f>IFERROR(__xludf.DUMMYFUNCTION("""COMPUTED_VALUE"""),572.0)</f>
        <v>572</v>
      </c>
    </row>
    <row r="326" ht="15.75" customHeight="1">
      <c r="B326" s="3">
        <f>IFERROR(__xludf.DUMMYFUNCTION("""COMPUTED_VALUE"""),40536.645833333336)</f>
        <v>40536.64583</v>
      </c>
      <c r="C326" s="2">
        <f>IFERROR(__xludf.DUMMYFUNCTION("""COMPUTED_VALUE"""),588.5)</f>
        <v>588.5</v>
      </c>
    </row>
    <row r="327" ht="15.75" customHeight="1">
      <c r="B327" s="3">
        <f>IFERROR(__xludf.DUMMYFUNCTION("""COMPUTED_VALUE"""),40543.645833333336)</f>
        <v>40543.64583</v>
      </c>
      <c r="C327" s="2">
        <f>IFERROR(__xludf.DUMMYFUNCTION("""COMPUTED_VALUE"""),590.0)</f>
        <v>590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IFERROR(__xludf.DUMMYFUNCTION("GOOGLEFINANCE(""NSE:TCS"", ""high"",DATE(2011,1,1),DATE(2012,1,1),""weekly"")"),"Date")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IFERROR(__xludf.DUMMYFUNCTION("""COMPUTED_VALUE"""),40550.645833333336)</f>
        <v>40550.64583</v>
      </c>
      <c r="C332" s="2">
        <f>IFERROR(__xludf.DUMMYFUNCTION("""COMPUTED_VALUE"""),593.42)</f>
        <v>593.42</v>
      </c>
    </row>
    <row r="333" ht="15.75" customHeight="1">
      <c r="B333" s="3">
        <f>IFERROR(__xludf.DUMMYFUNCTION("""COMPUTED_VALUE"""),40557.645833333336)</f>
        <v>40557.64583</v>
      </c>
      <c r="C333" s="2">
        <f>IFERROR(__xludf.DUMMYFUNCTION("""COMPUTED_VALUE"""),577.98)</f>
        <v>577.98</v>
      </c>
    </row>
    <row r="334" ht="15.75" customHeight="1">
      <c r="B334" s="3">
        <f>IFERROR(__xludf.DUMMYFUNCTION("""COMPUTED_VALUE"""),40564.645833333336)</f>
        <v>40564.64583</v>
      </c>
      <c r="C334" s="2">
        <f>IFERROR(__xludf.DUMMYFUNCTION("""COMPUTED_VALUE"""),610.0)</f>
        <v>610</v>
      </c>
    </row>
    <row r="335" ht="15.75" customHeight="1">
      <c r="B335" s="3">
        <f>IFERROR(__xludf.DUMMYFUNCTION("""COMPUTED_VALUE"""),40571.645833333336)</f>
        <v>40571.64583</v>
      </c>
      <c r="C335" s="2">
        <f>IFERROR(__xludf.DUMMYFUNCTION("""COMPUTED_VALUE"""),610.0)</f>
        <v>610</v>
      </c>
    </row>
    <row r="336" ht="15.75" customHeight="1">
      <c r="B336" s="3">
        <f>IFERROR(__xludf.DUMMYFUNCTION("""COMPUTED_VALUE"""),40578.645833333336)</f>
        <v>40578.64583</v>
      </c>
      <c r="C336" s="2">
        <f>IFERROR(__xludf.DUMMYFUNCTION("""COMPUTED_VALUE"""),599.45)</f>
        <v>599.45</v>
      </c>
    </row>
    <row r="337" ht="15.75" customHeight="1">
      <c r="B337" s="3">
        <f>IFERROR(__xludf.DUMMYFUNCTION("""COMPUTED_VALUE"""),40585.645833333336)</f>
        <v>40585.64583</v>
      </c>
      <c r="C337" s="2">
        <f>IFERROR(__xludf.DUMMYFUNCTION("""COMPUTED_VALUE"""),586.75)</f>
        <v>586.75</v>
      </c>
    </row>
    <row r="338" ht="15.75" customHeight="1">
      <c r="B338" s="3">
        <f>IFERROR(__xludf.DUMMYFUNCTION("""COMPUTED_VALUE"""),40592.645833333336)</f>
        <v>40592.64583</v>
      </c>
      <c r="C338" s="2">
        <f>IFERROR(__xludf.DUMMYFUNCTION("""COMPUTED_VALUE"""),566.2)</f>
        <v>566.2</v>
      </c>
    </row>
    <row r="339" ht="15.75" customHeight="1">
      <c r="B339" s="3">
        <f>IFERROR(__xludf.DUMMYFUNCTION("""COMPUTED_VALUE"""),40599.645833333336)</f>
        <v>40599.64583</v>
      </c>
      <c r="C339" s="2">
        <f>IFERROR(__xludf.DUMMYFUNCTION("""COMPUTED_VALUE"""),574.0)</f>
        <v>574</v>
      </c>
    </row>
    <row r="340" ht="15.75" customHeight="1">
      <c r="B340" s="3">
        <f>IFERROR(__xludf.DUMMYFUNCTION("""COMPUTED_VALUE"""),40606.645833333336)</f>
        <v>40606.64583</v>
      </c>
      <c r="C340" s="2">
        <f>IFERROR(__xludf.DUMMYFUNCTION("""COMPUTED_VALUE"""),581.67)</f>
        <v>581.67</v>
      </c>
    </row>
    <row r="341" ht="15.75" customHeight="1">
      <c r="B341" s="3">
        <f>IFERROR(__xludf.DUMMYFUNCTION("""COMPUTED_VALUE"""),40613.645833333336)</f>
        <v>40613.64583</v>
      </c>
      <c r="C341" s="2">
        <f>IFERROR(__xludf.DUMMYFUNCTION("""COMPUTED_VALUE"""),569.0)</f>
        <v>569</v>
      </c>
    </row>
    <row r="342" ht="15.75" customHeight="1">
      <c r="B342" s="3">
        <f>IFERROR(__xludf.DUMMYFUNCTION("""COMPUTED_VALUE"""),40620.645833333336)</f>
        <v>40620.64583</v>
      </c>
      <c r="C342" s="2">
        <f>IFERROR(__xludf.DUMMYFUNCTION("""COMPUTED_VALUE"""),561.73)</f>
        <v>561.73</v>
      </c>
    </row>
    <row r="343" ht="15.75" customHeight="1">
      <c r="B343" s="3">
        <f>IFERROR(__xludf.DUMMYFUNCTION("""COMPUTED_VALUE"""),40627.645833333336)</f>
        <v>40627.64583</v>
      </c>
      <c r="C343" s="2">
        <f>IFERROR(__xludf.DUMMYFUNCTION("""COMPUTED_VALUE"""),564.25)</f>
        <v>564.25</v>
      </c>
    </row>
    <row r="344" ht="15.75" customHeight="1">
      <c r="B344" s="3">
        <f>IFERROR(__xludf.DUMMYFUNCTION("""COMPUTED_VALUE"""),40634.645833333336)</f>
        <v>40634.64583</v>
      </c>
      <c r="C344" s="2">
        <f>IFERROR(__xludf.DUMMYFUNCTION("""COMPUTED_VALUE"""),599.38)</f>
        <v>599.38</v>
      </c>
    </row>
    <row r="345" ht="15.75" customHeight="1">
      <c r="B345" s="3">
        <f>IFERROR(__xludf.DUMMYFUNCTION("""COMPUTED_VALUE"""),40641.645833333336)</f>
        <v>40641.64583</v>
      </c>
      <c r="C345" s="2">
        <f>IFERROR(__xludf.DUMMYFUNCTION("""COMPUTED_VALUE"""),623.48)</f>
        <v>623.48</v>
      </c>
    </row>
    <row r="346" ht="15.75" customHeight="1">
      <c r="B346" s="3">
        <f>IFERROR(__xludf.DUMMYFUNCTION("""COMPUTED_VALUE"""),40648.645833333336)</f>
        <v>40648.64583</v>
      </c>
      <c r="C346" s="2">
        <f>IFERROR(__xludf.DUMMYFUNCTION("""COMPUTED_VALUE"""),610.7)</f>
        <v>610.7</v>
      </c>
    </row>
    <row r="347" ht="15.75" customHeight="1">
      <c r="B347" s="3">
        <f>IFERROR(__xludf.DUMMYFUNCTION("""COMPUTED_VALUE"""),40654.645833333336)</f>
        <v>40654.64583</v>
      </c>
      <c r="C347" s="2">
        <f>IFERROR(__xludf.DUMMYFUNCTION("""COMPUTED_VALUE"""),622.9)</f>
        <v>622.9</v>
      </c>
    </row>
    <row r="348" ht="15.75" customHeight="1">
      <c r="B348" s="3">
        <f>IFERROR(__xludf.DUMMYFUNCTION("""COMPUTED_VALUE"""),40662.645833333336)</f>
        <v>40662.64583</v>
      </c>
      <c r="C348" s="2">
        <f>IFERROR(__xludf.DUMMYFUNCTION("""COMPUTED_VALUE"""),602.0)</f>
        <v>602</v>
      </c>
    </row>
    <row r="349" ht="15.75" customHeight="1">
      <c r="B349" s="3">
        <f>IFERROR(__xludf.DUMMYFUNCTION("""COMPUTED_VALUE"""),40669.645833333336)</f>
        <v>40669.64583</v>
      </c>
      <c r="C349" s="2">
        <f>IFERROR(__xludf.DUMMYFUNCTION("""COMPUTED_VALUE"""),588.75)</f>
        <v>588.75</v>
      </c>
    </row>
    <row r="350" ht="15.75" customHeight="1">
      <c r="B350" s="3">
        <f>IFERROR(__xludf.DUMMYFUNCTION("""COMPUTED_VALUE"""),40676.645833333336)</f>
        <v>40676.64583</v>
      </c>
      <c r="C350" s="2">
        <f>IFERROR(__xludf.DUMMYFUNCTION("""COMPUTED_VALUE"""),579.98)</f>
        <v>579.98</v>
      </c>
    </row>
    <row r="351" ht="15.75" customHeight="1">
      <c r="B351" s="3">
        <f>IFERROR(__xludf.DUMMYFUNCTION("""COMPUTED_VALUE"""),40683.645833333336)</f>
        <v>40683.64583</v>
      </c>
      <c r="C351" s="2">
        <f>IFERROR(__xludf.DUMMYFUNCTION("""COMPUTED_VALUE"""),591.7)</f>
        <v>591.7</v>
      </c>
    </row>
    <row r="352" ht="15.75" customHeight="1">
      <c r="B352" s="3">
        <f>IFERROR(__xludf.DUMMYFUNCTION("""COMPUTED_VALUE"""),40690.645833333336)</f>
        <v>40690.64583</v>
      </c>
      <c r="C352" s="2">
        <f>IFERROR(__xludf.DUMMYFUNCTION("""COMPUTED_VALUE"""),586.4)</f>
        <v>586.4</v>
      </c>
    </row>
    <row r="353" ht="15.75" customHeight="1">
      <c r="B353" s="3">
        <f>IFERROR(__xludf.DUMMYFUNCTION("""COMPUTED_VALUE"""),40697.645833333336)</f>
        <v>40697.64583</v>
      </c>
      <c r="C353" s="2">
        <f>IFERROR(__xludf.DUMMYFUNCTION("""COMPUTED_VALUE"""),588.85)</f>
        <v>588.85</v>
      </c>
    </row>
    <row r="354" ht="15.75" customHeight="1">
      <c r="B354" s="3">
        <f>IFERROR(__xludf.DUMMYFUNCTION("""COMPUTED_VALUE"""),40704.645833333336)</f>
        <v>40704.64583</v>
      </c>
      <c r="C354" s="2">
        <f>IFERROR(__xludf.DUMMYFUNCTION("""COMPUTED_VALUE"""),598.75)</f>
        <v>598.75</v>
      </c>
    </row>
    <row r="355" ht="15.75" customHeight="1">
      <c r="B355" s="3">
        <f>IFERROR(__xludf.DUMMYFUNCTION("""COMPUTED_VALUE"""),40711.645833333336)</f>
        <v>40711.64583</v>
      </c>
      <c r="C355" s="2">
        <f>IFERROR(__xludf.DUMMYFUNCTION("""COMPUTED_VALUE"""),602.5)</f>
        <v>602.5</v>
      </c>
    </row>
    <row r="356" ht="15.75" customHeight="1">
      <c r="B356" s="3">
        <f>IFERROR(__xludf.DUMMYFUNCTION("""COMPUTED_VALUE"""),40718.645833333336)</f>
        <v>40718.64583</v>
      </c>
      <c r="C356" s="2">
        <f>IFERROR(__xludf.DUMMYFUNCTION("""COMPUTED_VALUE"""),570.38)</f>
        <v>570.38</v>
      </c>
    </row>
    <row r="357" ht="15.75" customHeight="1">
      <c r="B357" s="3">
        <f>IFERROR(__xludf.DUMMYFUNCTION("""COMPUTED_VALUE"""),40725.645833333336)</f>
        <v>40725.64583</v>
      </c>
      <c r="C357" s="2">
        <f>IFERROR(__xludf.DUMMYFUNCTION("""COMPUTED_VALUE"""),599.0)</f>
        <v>599</v>
      </c>
    </row>
    <row r="358" ht="15.75" customHeight="1">
      <c r="B358" s="3">
        <f>IFERROR(__xludf.DUMMYFUNCTION("""COMPUTED_VALUE"""),40732.645833333336)</f>
        <v>40732.64583</v>
      </c>
      <c r="C358" s="2">
        <f>IFERROR(__xludf.DUMMYFUNCTION("""COMPUTED_VALUE"""),602.5)</f>
        <v>602.5</v>
      </c>
    </row>
    <row r="359" ht="15.75" customHeight="1">
      <c r="B359" s="3">
        <f>IFERROR(__xludf.DUMMYFUNCTION("""COMPUTED_VALUE"""),40739.645833333336)</f>
        <v>40739.64583</v>
      </c>
      <c r="C359" s="2">
        <f>IFERROR(__xludf.DUMMYFUNCTION("""COMPUTED_VALUE"""),588.95)</f>
        <v>588.95</v>
      </c>
    </row>
    <row r="360" ht="15.75" customHeight="1">
      <c r="B360" s="3">
        <f>IFERROR(__xludf.DUMMYFUNCTION("""COMPUTED_VALUE"""),40746.645833333336)</f>
        <v>40746.64583</v>
      </c>
      <c r="C360" s="2">
        <f>IFERROR(__xludf.DUMMYFUNCTION("""COMPUTED_VALUE"""),576.0)</f>
        <v>576</v>
      </c>
    </row>
    <row r="361" ht="15.75" customHeight="1">
      <c r="B361" s="3">
        <f>IFERROR(__xludf.DUMMYFUNCTION("""COMPUTED_VALUE"""),40753.645833333336)</f>
        <v>40753.64583</v>
      </c>
      <c r="C361" s="2">
        <f>IFERROR(__xludf.DUMMYFUNCTION("""COMPUTED_VALUE"""),577.33)</f>
        <v>577.33</v>
      </c>
    </row>
    <row r="362" ht="15.75" customHeight="1">
      <c r="B362" s="3">
        <f>IFERROR(__xludf.DUMMYFUNCTION("""COMPUTED_VALUE"""),40760.645833333336)</f>
        <v>40760.64583</v>
      </c>
      <c r="C362" s="2">
        <f>IFERROR(__xludf.DUMMYFUNCTION("""COMPUTED_VALUE"""),574.95)</f>
        <v>574.95</v>
      </c>
    </row>
    <row r="363" ht="15.75" customHeight="1">
      <c r="B363" s="3">
        <f>IFERROR(__xludf.DUMMYFUNCTION("""COMPUTED_VALUE"""),40767.645833333336)</f>
        <v>40767.64583</v>
      </c>
      <c r="C363" s="2">
        <f>IFERROR(__xludf.DUMMYFUNCTION("""COMPUTED_VALUE"""),516.67)</f>
        <v>516.67</v>
      </c>
    </row>
    <row r="364" ht="15.75" customHeight="1">
      <c r="B364" s="3">
        <f>IFERROR(__xludf.DUMMYFUNCTION("""COMPUTED_VALUE"""),40774.645833333336)</f>
        <v>40774.64583</v>
      </c>
      <c r="C364" s="2">
        <f>IFERROR(__xludf.DUMMYFUNCTION("""COMPUTED_VALUE"""),504.7)</f>
        <v>504.7</v>
      </c>
    </row>
    <row r="365" ht="15.75" customHeight="1">
      <c r="B365" s="3">
        <f>IFERROR(__xludf.DUMMYFUNCTION("""COMPUTED_VALUE"""),40781.645833333336)</f>
        <v>40781.64583</v>
      </c>
      <c r="C365" s="2">
        <f>IFERROR(__xludf.DUMMYFUNCTION("""COMPUTED_VALUE"""),494.0)</f>
        <v>494</v>
      </c>
    </row>
    <row r="366" ht="15.75" customHeight="1">
      <c r="B366" s="3">
        <f>IFERROR(__xludf.DUMMYFUNCTION("""COMPUTED_VALUE"""),40788.645833333336)</f>
        <v>40788.64583</v>
      </c>
      <c r="C366" s="2">
        <f>IFERROR(__xludf.DUMMYFUNCTION("""COMPUTED_VALUE"""),537.38)</f>
        <v>537.38</v>
      </c>
    </row>
    <row r="367" ht="15.75" customHeight="1">
      <c r="B367" s="3">
        <f>IFERROR(__xludf.DUMMYFUNCTION("""COMPUTED_VALUE"""),40795.645833333336)</f>
        <v>40795.64583</v>
      </c>
      <c r="C367" s="2">
        <f>IFERROR(__xludf.DUMMYFUNCTION("""COMPUTED_VALUE"""),527.48)</f>
        <v>527.48</v>
      </c>
    </row>
    <row r="368" ht="15.75" customHeight="1">
      <c r="B368" s="3">
        <f>IFERROR(__xludf.DUMMYFUNCTION("""COMPUTED_VALUE"""),40802.645833333336)</f>
        <v>40802.64583</v>
      </c>
      <c r="C368" s="2">
        <f>IFERROR(__xludf.DUMMYFUNCTION("""COMPUTED_VALUE"""),536.2)</f>
        <v>536.2</v>
      </c>
    </row>
    <row r="369" ht="15.75" customHeight="1">
      <c r="B369" s="3">
        <f>IFERROR(__xludf.DUMMYFUNCTION("""COMPUTED_VALUE"""),40809.645833333336)</f>
        <v>40809.64583</v>
      </c>
      <c r="C369" s="2">
        <f>IFERROR(__xludf.DUMMYFUNCTION("""COMPUTED_VALUE"""),533.98)</f>
        <v>533.98</v>
      </c>
    </row>
    <row r="370" ht="15.75" customHeight="1">
      <c r="B370" s="3">
        <f>IFERROR(__xludf.DUMMYFUNCTION("""COMPUTED_VALUE"""),40816.645833333336)</f>
        <v>40816.64583</v>
      </c>
      <c r="C370" s="2">
        <f>IFERROR(__xludf.DUMMYFUNCTION("""COMPUTED_VALUE"""),534.0)</f>
        <v>534</v>
      </c>
    </row>
    <row r="371" ht="15.75" customHeight="1">
      <c r="B371" s="3">
        <f>IFERROR(__xludf.DUMMYFUNCTION("""COMPUTED_VALUE"""),40823.645833333336)</f>
        <v>40823.64583</v>
      </c>
      <c r="C371" s="2">
        <f>IFERROR(__xludf.DUMMYFUNCTION("""COMPUTED_VALUE"""),538.9)</f>
        <v>538.9</v>
      </c>
    </row>
    <row r="372" ht="15.75" customHeight="1">
      <c r="B372" s="3">
        <f>IFERROR(__xludf.DUMMYFUNCTION("""COMPUTED_VALUE"""),40830.645833333336)</f>
        <v>40830.64583</v>
      </c>
      <c r="C372" s="2">
        <f>IFERROR(__xludf.DUMMYFUNCTION("""COMPUTED_VALUE"""),570.38)</f>
        <v>570.38</v>
      </c>
    </row>
    <row r="373" ht="15.75" customHeight="1">
      <c r="B373" s="3">
        <f>IFERROR(__xludf.DUMMYFUNCTION("""COMPUTED_VALUE"""),40837.645833333336)</f>
        <v>40837.64583</v>
      </c>
      <c r="C373" s="2">
        <f>IFERROR(__xludf.DUMMYFUNCTION("""COMPUTED_VALUE"""),577.0)</f>
        <v>577</v>
      </c>
    </row>
    <row r="374" ht="15.75" customHeight="1">
      <c r="B374" s="3">
        <f>IFERROR(__xludf.DUMMYFUNCTION("""COMPUTED_VALUE"""),40844.645833333336)</f>
        <v>40844.64583</v>
      </c>
      <c r="C374" s="2">
        <f>IFERROR(__xludf.DUMMYFUNCTION("""COMPUTED_VALUE"""),569.55)</f>
        <v>569.55</v>
      </c>
    </row>
    <row r="375" ht="15.75" customHeight="1">
      <c r="B375" s="3">
        <f>IFERROR(__xludf.DUMMYFUNCTION("""COMPUTED_VALUE"""),40851.645833333336)</f>
        <v>40851.64583</v>
      </c>
      <c r="C375" s="2">
        <f>IFERROR(__xludf.DUMMYFUNCTION("""COMPUTED_VALUE"""),566.0)</f>
        <v>566</v>
      </c>
    </row>
    <row r="376" ht="15.75" customHeight="1">
      <c r="B376" s="3">
        <f>IFERROR(__xludf.DUMMYFUNCTION("""COMPUTED_VALUE"""),40858.645833333336)</f>
        <v>40858.64583</v>
      </c>
      <c r="C376" s="2">
        <f>IFERROR(__xludf.DUMMYFUNCTION("""COMPUTED_VALUE"""),573.0)</f>
        <v>573</v>
      </c>
    </row>
    <row r="377" ht="15.75" customHeight="1">
      <c r="B377" s="3">
        <f>IFERROR(__xludf.DUMMYFUNCTION("""COMPUTED_VALUE"""),40865.645833333336)</f>
        <v>40865.64583</v>
      </c>
      <c r="C377" s="2">
        <f>IFERROR(__xludf.DUMMYFUNCTION("""COMPUTED_VALUE"""),578.0)</f>
        <v>578</v>
      </c>
    </row>
    <row r="378" ht="15.75" customHeight="1">
      <c r="B378" s="3">
        <f>IFERROR(__xludf.DUMMYFUNCTION("""COMPUTED_VALUE"""),40872.645833333336)</f>
        <v>40872.64583</v>
      </c>
      <c r="C378" s="2">
        <f>IFERROR(__xludf.DUMMYFUNCTION("""COMPUTED_VALUE"""),548.2)</f>
        <v>548.2</v>
      </c>
    </row>
    <row r="379" ht="15.75" customHeight="1">
      <c r="B379" s="3">
        <f>IFERROR(__xludf.DUMMYFUNCTION("""COMPUTED_VALUE"""),40879.645833333336)</f>
        <v>40879.64583</v>
      </c>
      <c r="C379" s="2">
        <f>IFERROR(__xludf.DUMMYFUNCTION("""COMPUTED_VALUE"""),592.5)</f>
        <v>592.5</v>
      </c>
    </row>
    <row r="380" ht="15.75" customHeight="1">
      <c r="B380" s="3">
        <f>IFERROR(__xludf.DUMMYFUNCTION("""COMPUTED_VALUE"""),40886.645833333336)</f>
        <v>40886.64583</v>
      </c>
      <c r="C380" s="2">
        <f>IFERROR(__xludf.DUMMYFUNCTION("""COMPUTED_VALUE"""),596.45)</f>
        <v>596.45</v>
      </c>
    </row>
    <row r="381" ht="15.75" customHeight="1">
      <c r="B381" s="3">
        <f>IFERROR(__xludf.DUMMYFUNCTION("""COMPUTED_VALUE"""),40893.645833333336)</f>
        <v>40893.64583</v>
      </c>
      <c r="C381" s="2">
        <f>IFERROR(__xludf.DUMMYFUNCTION("""COMPUTED_VALUE"""),598.45)</f>
        <v>598.45</v>
      </c>
    </row>
    <row r="382" ht="15.75" customHeight="1">
      <c r="B382" s="3">
        <f>IFERROR(__xludf.DUMMYFUNCTION("""COMPUTED_VALUE"""),40900.645833333336)</f>
        <v>40900.64583</v>
      </c>
      <c r="C382" s="2">
        <f>IFERROR(__xludf.DUMMYFUNCTION("""COMPUTED_VALUE"""),583.0)</f>
        <v>583</v>
      </c>
    </row>
    <row r="383" ht="15.75" customHeight="1">
      <c r="B383" s="3">
        <f>IFERROR(__xludf.DUMMYFUNCTION("""COMPUTED_VALUE"""),40907.645833333336)</f>
        <v>40907.64583</v>
      </c>
      <c r="C383" s="2">
        <f>IFERROR(__xludf.DUMMYFUNCTION("""COMPUTED_VALUE"""),595.1)</f>
        <v>595.1</v>
      </c>
    </row>
    <row r="384" ht="15.75" customHeight="1"/>
    <row r="385" ht="15.75" customHeight="1"/>
    <row r="386" ht="15.75" customHeight="1">
      <c r="B386" s="2" t="str">
        <f>IFERROR(__xludf.DUMMYFUNCTION("GOOGLEFINANCE(""NSE:TCS"", ""high"",DATE(2012,1,1),DATE(2013,1,1),""weekly"")"),"Date")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IFERROR(__xludf.DUMMYFUNCTION("""COMPUTED_VALUE"""),40921.645833333336)</f>
        <v>40921.64583</v>
      </c>
      <c r="C387" s="2">
        <f>IFERROR(__xludf.DUMMYFUNCTION("""COMPUTED_VALUE"""),592.75)</f>
        <v>592.75</v>
      </c>
    </row>
    <row r="388" ht="15.75" customHeight="1">
      <c r="B388" s="3">
        <f>IFERROR(__xludf.DUMMYFUNCTION("""COMPUTED_VALUE"""),40928.645833333336)</f>
        <v>40928.64583</v>
      </c>
      <c r="C388" s="2">
        <f>IFERROR(__xludf.DUMMYFUNCTION("""COMPUTED_VALUE"""),562.35)</f>
        <v>562.35</v>
      </c>
    </row>
    <row r="389" ht="15.75" customHeight="1">
      <c r="B389" s="3">
        <f>IFERROR(__xludf.DUMMYFUNCTION("""COMPUTED_VALUE"""),40935.645833333336)</f>
        <v>40935.64583</v>
      </c>
      <c r="C389" s="2">
        <f>IFERROR(__xludf.DUMMYFUNCTION("""COMPUTED_VALUE"""),560.28)</f>
        <v>560.28</v>
      </c>
    </row>
    <row r="390" ht="15.75" customHeight="1">
      <c r="B390" s="3">
        <f>IFERROR(__xludf.DUMMYFUNCTION("""COMPUTED_VALUE"""),40942.645833333336)</f>
        <v>40942.64583</v>
      </c>
      <c r="C390" s="2">
        <f>IFERROR(__xludf.DUMMYFUNCTION("""COMPUTED_VALUE"""),588.0)</f>
        <v>588</v>
      </c>
    </row>
    <row r="391" ht="15.75" customHeight="1">
      <c r="B391" s="3">
        <f>IFERROR(__xludf.DUMMYFUNCTION("""COMPUTED_VALUE"""),40949.645833333336)</f>
        <v>40949.64583</v>
      </c>
      <c r="C391" s="2">
        <f>IFERROR(__xludf.DUMMYFUNCTION("""COMPUTED_VALUE"""),619.0)</f>
        <v>619</v>
      </c>
    </row>
    <row r="392" ht="15.75" customHeight="1">
      <c r="B392" s="3">
        <f>IFERROR(__xludf.DUMMYFUNCTION("""COMPUTED_VALUE"""),40956.645833333336)</f>
        <v>40956.64583</v>
      </c>
      <c r="C392" s="2">
        <f>IFERROR(__xludf.DUMMYFUNCTION("""COMPUTED_VALUE"""),627.0)</f>
        <v>627</v>
      </c>
    </row>
    <row r="393" ht="15.75" customHeight="1">
      <c r="B393" s="3">
        <f>IFERROR(__xludf.DUMMYFUNCTION("""COMPUTED_VALUE"""),40963.645833333336)</f>
        <v>40963.64583</v>
      </c>
      <c r="C393" s="2">
        <f>IFERROR(__xludf.DUMMYFUNCTION("""COMPUTED_VALUE"""),640.42)</f>
        <v>640.42</v>
      </c>
    </row>
    <row r="394" ht="15.75" customHeight="1">
      <c r="B394" s="3">
        <f>IFERROR(__xludf.DUMMYFUNCTION("""COMPUTED_VALUE"""),40977.645833333336)</f>
        <v>40977.64583</v>
      </c>
      <c r="C394" s="2">
        <f>IFERROR(__xludf.DUMMYFUNCTION("""COMPUTED_VALUE"""),613.5)</f>
        <v>613.5</v>
      </c>
    </row>
    <row r="395" ht="15.75" customHeight="1">
      <c r="B395" s="3">
        <f>IFERROR(__xludf.DUMMYFUNCTION("""COMPUTED_VALUE"""),40984.645833333336)</f>
        <v>40984.64583</v>
      </c>
      <c r="C395" s="2">
        <f>IFERROR(__xludf.DUMMYFUNCTION("""COMPUTED_VALUE"""),609.42)</f>
        <v>609.42</v>
      </c>
    </row>
    <row r="396" ht="15.75" customHeight="1">
      <c r="B396" s="3">
        <f>IFERROR(__xludf.DUMMYFUNCTION("""COMPUTED_VALUE"""),40991.645833333336)</f>
        <v>40991.64583</v>
      </c>
      <c r="C396" s="2">
        <f>IFERROR(__xludf.DUMMYFUNCTION("""COMPUTED_VALUE"""),595.95)</f>
        <v>595.95</v>
      </c>
    </row>
    <row r="397" ht="15.75" customHeight="1">
      <c r="B397" s="3">
        <f>IFERROR(__xludf.DUMMYFUNCTION("""COMPUTED_VALUE"""),40998.645833333336)</f>
        <v>40998.64583</v>
      </c>
      <c r="C397" s="2">
        <f>IFERROR(__xludf.DUMMYFUNCTION("""COMPUTED_VALUE"""),592.5)</f>
        <v>592.5</v>
      </c>
    </row>
    <row r="398" ht="15.75" customHeight="1">
      <c r="B398" s="3">
        <f>IFERROR(__xludf.DUMMYFUNCTION("""COMPUTED_VALUE"""),41003.645833333336)</f>
        <v>41003.64583</v>
      </c>
      <c r="C398" s="2">
        <f>IFERROR(__xludf.DUMMYFUNCTION("""COMPUTED_VALUE"""),603.67)</f>
        <v>603.67</v>
      </c>
    </row>
    <row r="399" ht="15.75" customHeight="1">
      <c r="B399" s="3">
        <f>IFERROR(__xludf.DUMMYFUNCTION("""COMPUTED_VALUE"""),41012.645833333336)</f>
        <v>41012.64583</v>
      </c>
      <c r="C399" s="2">
        <f>IFERROR(__xludf.DUMMYFUNCTION("""COMPUTED_VALUE"""),594.0)</f>
        <v>594</v>
      </c>
    </row>
    <row r="400" ht="15.75" customHeight="1">
      <c r="B400" s="3">
        <f>IFERROR(__xludf.DUMMYFUNCTION("""COMPUTED_VALUE"""),41019.645833333336)</f>
        <v>41019.64583</v>
      </c>
      <c r="C400" s="2">
        <f>IFERROR(__xludf.DUMMYFUNCTION("""COMPUTED_VALUE"""),557.35)</f>
        <v>557.35</v>
      </c>
    </row>
    <row r="401" ht="15.75" customHeight="1">
      <c r="B401" s="3">
        <f>IFERROR(__xludf.DUMMYFUNCTION("""COMPUTED_VALUE"""),41033.645833333336)</f>
        <v>41033.64583</v>
      </c>
      <c r="C401" s="2">
        <f>IFERROR(__xludf.DUMMYFUNCTION("""COMPUTED_VALUE"""),647.63)</f>
        <v>647.63</v>
      </c>
    </row>
    <row r="402" ht="15.75" customHeight="1">
      <c r="B402" s="3">
        <f>IFERROR(__xludf.DUMMYFUNCTION("""COMPUTED_VALUE"""),41040.645833333336)</f>
        <v>41040.64583</v>
      </c>
      <c r="C402" s="2">
        <f>IFERROR(__xludf.DUMMYFUNCTION("""COMPUTED_VALUE"""),639.25)</f>
        <v>639.25</v>
      </c>
    </row>
    <row r="403" ht="15.75" customHeight="1">
      <c r="B403" s="3">
        <f>IFERROR(__xludf.DUMMYFUNCTION("""COMPUTED_VALUE"""),41047.645833333336)</f>
        <v>41047.64583</v>
      </c>
      <c r="C403" s="2">
        <f>IFERROR(__xludf.DUMMYFUNCTION("""COMPUTED_VALUE"""),620.95)</f>
        <v>620.95</v>
      </c>
    </row>
    <row r="404" ht="15.75" customHeight="1">
      <c r="B404" s="3">
        <f>IFERROR(__xludf.DUMMYFUNCTION("""COMPUTED_VALUE"""),41054.645833333336)</f>
        <v>41054.64583</v>
      </c>
      <c r="C404" s="2">
        <f>IFERROR(__xludf.DUMMYFUNCTION("""COMPUTED_VALUE"""),620.0)</f>
        <v>620</v>
      </c>
    </row>
    <row r="405" ht="15.75" customHeight="1">
      <c r="B405" s="3">
        <f>IFERROR(__xludf.DUMMYFUNCTION("""COMPUTED_VALUE"""),41061.645833333336)</f>
        <v>41061.64583</v>
      </c>
      <c r="C405" s="2">
        <f>IFERROR(__xludf.DUMMYFUNCTION("""COMPUTED_VALUE"""),628.5)</f>
        <v>628.5</v>
      </c>
    </row>
    <row r="406" ht="15.75" customHeight="1">
      <c r="B406" s="3">
        <f>IFERROR(__xludf.DUMMYFUNCTION("""COMPUTED_VALUE"""),41068.645833333336)</f>
        <v>41068.64583</v>
      </c>
      <c r="C406" s="2">
        <f>IFERROR(__xludf.DUMMYFUNCTION("""COMPUTED_VALUE"""),631.88)</f>
        <v>631.88</v>
      </c>
    </row>
    <row r="407" ht="15.75" customHeight="1">
      <c r="B407" s="3">
        <f>IFERROR(__xludf.DUMMYFUNCTION("""COMPUTED_VALUE"""),41075.645833333336)</f>
        <v>41075.64583</v>
      </c>
      <c r="C407" s="2">
        <f>IFERROR(__xludf.DUMMYFUNCTION("""COMPUTED_VALUE"""),640.0)</f>
        <v>640</v>
      </c>
    </row>
    <row r="408" ht="15.75" customHeight="1">
      <c r="B408" s="3">
        <f>IFERROR(__xludf.DUMMYFUNCTION("""COMPUTED_VALUE"""),41082.645833333336)</f>
        <v>41082.64583</v>
      </c>
      <c r="C408" s="2">
        <f>IFERROR(__xludf.DUMMYFUNCTION("""COMPUTED_VALUE"""),643.17)</f>
        <v>643.17</v>
      </c>
    </row>
    <row r="409" ht="15.75" customHeight="1">
      <c r="B409" s="3">
        <f>IFERROR(__xludf.DUMMYFUNCTION("""COMPUTED_VALUE"""),41089.645833333336)</f>
        <v>41089.64583</v>
      </c>
      <c r="C409" s="2">
        <f>IFERROR(__xludf.DUMMYFUNCTION("""COMPUTED_VALUE"""),643.5)</f>
        <v>643.5</v>
      </c>
    </row>
    <row r="410" ht="15.75" customHeight="1">
      <c r="B410" s="3">
        <f>IFERROR(__xludf.DUMMYFUNCTION("""COMPUTED_VALUE"""),41096.645833333336)</f>
        <v>41096.64583</v>
      </c>
      <c r="C410" s="2">
        <f>IFERROR(__xludf.DUMMYFUNCTION("""COMPUTED_VALUE"""),639.5)</f>
        <v>639.5</v>
      </c>
    </row>
    <row r="411" ht="15.75" customHeight="1">
      <c r="B411" s="3">
        <f>IFERROR(__xludf.DUMMYFUNCTION("""COMPUTED_VALUE"""),41103.645833333336)</f>
        <v>41103.64583</v>
      </c>
      <c r="C411" s="2">
        <f>IFERROR(__xludf.DUMMYFUNCTION("""COMPUTED_VALUE"""),642.0)</f>
        <v>642</v>
      </c>
    </row>
    <row r="412" ht="15.75" customHeight="1">
      <c r="B412" s="3">
        <f>IFERROR(__xludf.DUMMYFUNCTION("""COMPUTED_VALUE"""),41110.645833333336)</f>
        <v>41110.64583</v>
      </c>
      <c r="C412" s="2">
        <f>IFERROR(__xludf.DUMMYFUNCTION("""COMPUTED_VALUE"""),629.63)</f>
        <v>629.63</v>
      </c>
    </row>
    <row r="413" ht="15.75" customHeight="1">
      <c r="B413" s="3">
        <f>IFERROR(__xludf.DUMMYFUNCTION("""COMPUTED_VALUE"""),41117.645833333336)</f>
        <v>41117.64583</v>
      </c>
      <c r="C413" s="2">
        <f>IFERROR(__xludf.DUMMYFUNCTION("""COMPUTED_VALUE"""),615.1)</f>
        <v>615.1</v>
      </c>
    </row>
    <row r="414" ht="15.75" customHeight="1">
      <c r="B414" s="3">
        <f>IFERROR(__xludf.DUMMYFUNCTION("""COMPUTED_VALUE"""),41124.645833333336)</f>
        <v>41124.64583</v>
      </c>
      <c r="C414" s="2">
        <f>IFERROR(__xludf.DUMMYFUNCTION("""COMPUTED_VALUE"""),624.63)</f>
        <v>624.63</v>
      </c>
    </row>
    <row r="415" ht="15.75" customHeight="1">
      <c r="B415" s="3">
        <f>IFERROR(__xludf.DUMMYFUNCTION("""COMPUTED_VALUE"""),41131.645833333336)</f>
        <v>41131.64583</v>
      </c>
      <c r="C415" s="2">
        <f>IFERROR(__xludf.DUMMYFUNCTION("""COMPUTED_VALUE"""),642.5)</f>
        <v>642.5</v>
      </c>
    </row>
    <row r="416" ht="15.75" customHeight="1">
      <c r="B416" s="3">
        <f>IFERROR(__xludf.DUMMYFUNCTION("""COMPUTED_VALUE"""),41138.645833333336)</f>
        <v>41138.64583</v>
      </c>
      <c r="C416" s="2">
        <f>IFERROR(__xludf.DUMMYFUNCTION("""COMPUTED_VALUE"""),642.25)</f>
        <v>642.25</v>
      </c>
    </row>
    <row r="417" ht="15.75" customHeight="1">
      <c r="B417" s="3">
        <f>IFERROR(__xludf.DUMMYFUNCTION("""COMPUTED_VALUE"""),41145.645833333336)</f>
        <v>41145.64583</v>
      </c>
      <c r="C417" s="2">
        <f>IFERROR(__xludf.DUMMYFUNCTION("""COMPUTED_VALUE"""),664.2)</f>
        <v>664.2</v>
      </c>
    </row>
    <row r="418" ht="15.75" customHeight="1">
      <c r="B418" s="3">
        <f>IFERROR(__xludf.DUMMYFUNCTION("""COMPUTED_VALUE"""),41152.645833333336)</f>
        <v>41152.64583</v>
      </c>
      <c r="C418" s="2">
        <f>IFERROR(__xludf.DUMMYFUNCTION("""COMPUTED_VALUE"""),694.4)</f>
        <v>694.4</v>
      </c>
    </row>
    <row r="419" ht="15.75" customHeight="1">
      <c r="B419" s="3">
        <f>IFERROR(__xludf.DUMMYFUNCTION("""COMPUTED_VALUE"""),41166.645833333336)</f>
        <v>41166.64583</v>
      </c>
      <c r="C419" s="2">
        <f>IFERROR(__xludf.DUMMYFUNCTION("""COMPUTED_VALUE"""),719.9)</f>
        <v>719.9</v>
      </c>
    </row>
    <row r="420" ht="15.75" customHeight="1">
      <c r="B420" s="3">
        <f>IFERROR(__xludf.DUMMYFUNCTION("""COMPUTED_VALUE"""),41173.645833333336)</f>
        <v>41173.64583</v>
      </c>
      <c r="C420" s="2">
        <f>IFERROR(__xludf.DUMMYFUNCTION("""COMPUTED_VALUE"""),710.78)</f>
        <v>710.78</v>
      </c>
    </row>
    <row r="421" ht="15.75" customHeight="1">
      <c r="B421" s="3">
        <f>IFERROR(__xludf.DUMMYFUNCTION("""COMPUTED_VALUE"""),41180.645833333336)</f>
        <v>41180.64583</v>
      </c>
      <c r="C421" s="2">
        <f>IFERROR(__xludf.DUMMYFUNCTION("""COMPUTED_VALUE"""),656.5)</f>
        <v>656.5</v>
      </c>
    </row>
    <row r="422" ht="15.75" customHeight="1">
      <c r="B422" s="3">
        <f>IFERROR(__xludf.DUMMYFUNCTION("""COMPUTED_VALUE"""),41187.645833333336)</f>
        <v>41187.64583</v>
      </c>
      <c r="C422" s="2">
        <f>IFERROR(__xludf.DUMMYFUNCTION("""COMPUTED_VALUE"""),662.5)</f>
        <v>662.5</v>
      </c>
    </row>
    <row r="423" ht="15.75" customHeight="1">
      <c r="B423" s="3">
        <f>IFERROR(__xludf.DUMMYFUNCTION("""COMPUTED_VALUE"""),41194.645833333336)</f>
        <v>41194.64583</v>
      </c>
      <c r="C423" s="2">
        <f>IFERROR(__xludf.DUMMYFUNCTION("""COMPUTED_VALUE"""),657.63)</f>
        <v>657.63</v>
      </c>
    </row>
    <row r="424" ht="15.75" customHeight="1">
      <c r="B424" s="3">
        <f>IFERROR(__xludf.DUMMYFUNCTION("""COMPUTED_VALUE"""),41201.645833333336)</f>
        <v>41201.64583</v>
      </c>
      <c r="C424" s="2">
        <f>IFERROR(__xludf.DUMMYFUNCTION("""COMPUTED_VALUE"""),655.7)</f>
        <v>655.7</v>
      </c>
    </row>
    <row r="425" ht="15.75" customHeight="1">
      <c r="B425" s="3">
        <f>IFERROR(__xludf.DUMMYFUNCTION("""COMPUTED_VALUE"""),41208.645833333336)</f>
        <v>41208.64583</v>
      </c>
      <c r="C425" s="2">
        <f>IFERROR(__xludf.DUMMYFUNCTION("""COMPUTED_VALUE"""),667.45)</f>
        <v>667.45</v>
      </c>
    </row>
    <row r="426" ht="15.75" customHeight="1">
      <c r="B426" s="3">
        <f>IFERROR(__xludf.DUMMYFUNCTION("""COMPUTED_VALUE"""),41215.645833333336)</f>
        <v>41215.64583</v>
      </c>
      <c r="C426" s="2">
        <f>IFERROR(__xludf.DUMMYFUNCTION("""COMPUTED_VALUE"""),669.0)</f>
        <v>669</v>
      </c>
    </row>
    <row r="427" ht="15.75" customHeight="1">
      <c r="B427" s="3">
        <f>IFERROR(__xludf.DUMMYFUNCTION("""COMPUTED_VALUE"""),41222.645833333336)</f>
        <v>41222.64583</v>
      </c>
      <c r="C427" s="2">
        <f>IFERROR(__xludf.DUMMYFUNCTION("""COMPUTED_VALUE"""),671.68)</f>
        <v>671.68</v>
      </c>
    </row>
    <row r="428" ht="15.75" customHeight="1">
      <c r="B428" s="3">
        <f>IFERROR(__xludf.DUMMYFUNCTION("""COMPUTED_VALUE"""),41229.645833333336)</f>
        <v>41229.64583</v>
      </c>
      <c r="C428" s="2">
        <f>IFERROR(__xludf.DUMMYFUNCTION("""COMPUTED_VALUE"""),674.0)</f>
        <v>674</v>
      </c>
    </row>
    <row r="429" ht="15.75" customHeight="1">
      <c r="B429" s="3">
        <f>IFERROR(__xludf.DUMMYFUNCTION("""COMPUTED_VALUE"""),41236.645833333336)</f>
        <v>41236.64583</v>
      </c>
      <c r="C429" s="2">
        <f>IFERROR(__xludf.DUMMYFUNCTION("""COMPUTED_VALUE"""),647.5)</f>
        <v>647.5</v>
      </c>
    </row>
    <row r="430" ht="15.75" customHeight="1">
      <c r="B430" s="3">
        <f>IFERROR(__xludf.DUMMYFUNCTION("""COMPUTED_VALUE"""),41243.645833333336)</f>
        <v>41243.64583</v>
      </c>
      <c r="C430" s="2">
        <f>IFERROR(__xludf.DUMMYFUNCTION("""COMPUTED_VALUE"""),662.5)</f>
        <v>662.5</v>
      </c>
    </row>
    <row r="431" ht="15.75" customHeight="1">
      <c r="B431" s="3">
        <f>IFERROR(__xludf.DUMMYFUNCTION("""COMPUTED_VALUE"""),41250.645833333336)</f>
        <v>41250.64583</v>
      </c>
      <c r="C431" s="2">
        <f>IFERROR(__xludf.DUMMYFUNCTION("""COMPUTED_VALUE"""),661.0)</f>
        <v>661</v>
      </c>
    </row>
    <row r="432" ht="15.75" customHeight="1">
      <c r="B432" s="3">
        <f>IFERROR(__xludf.DUMMYFUNCTION("""COMPUTED_VALUE"""),41257.645833333336)</f>
        <v>41257.64583</v>
      </c>
      <c r="C432" s="2">
        <f>IFERROR(__xludf.DUMMYFUNCTION("""COMPUTED_VALUE"""),633.4)</f>
        <v>633.4</v>
      </c>
    </row>
    <row r="433" ht="15.75" customHeight="1">
      <c r="B433" s="3">
        <f>IFERROR(__xludf.DUMMYFUNCTION("""COMPUTED_VALUE"""),41264.645833333336)</f>
        <v>41264.64583</v>
      </c>
      <c r="C433" s="2">
        <f>IFERROR(__xludf.DUMMYFUNCTION("""COMPUTED_VALUE"""),632.2)</f>
        <v>632.2</v>
      </c>
    </row>
    <row r="434" ht="15.75" customHeight="1">
      <c r="B434" s="3">
        <f>IFERROR(__xludf.DUMMYFUNCTION("""COMPUTED_VALUE"""),41271.645833333336)</f>
        <v>41271.64583</v>
      </c>
      <c r="C434" s="2">
        <f>IFERROR(__xludf.DUMMYFUNCTION("""COMPUTED_VALUE"""),636.0)</f>
        <v>636</v>
      </c>
    </row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>
      <c r="B441" s="2" t="str">
        <f>IFERROR(__xludf.DUMMYFUNCTION("GOOGLEFINANCE(""NSE:TCS"", ""high"",DATE(2013,1,1),DATE(2014,1,1),""weekly"")"),"Date")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IFERROR(__xludf.DUMMYFUNCTION("""COMPUTED_VALUE"""),41278.645833333336)</f>
        <v>41278.64583</v>
      </c>
      <c r="C442" s="2">
        <f>IFERROR(__xludf.DUMMYFUNCTION("""COMPUTED_VALUE"""),650.5)</f>
        <v>650.5</v>
      </c>
    </row>
    <row r="443" ht="15.75" customHeight="1">
      <c r="B443" s="3">
        <f>IFERROR(__xludf.DUMMYFUNCTION("""COMPUTED_VALUE"""),41285.645833333336)</f>
        <v>41285.64583</v>
      </c>
      <c r="C443" s="2">
        <f>IFERROR(__xludf.DUMMYFUNCTION("""COMPUTED_VALUE"""),661.25)</f>
        <v>661.25</v>
      </c>
    </row>
    <row r="444" ht="15.75" customHeight="1">
      <c r="B444" s="3">
        <f>IFERROR(__xludf.DUMMYFUNCTION("""COMPUTED_VALUE"""),41292.645833333336)</f>
        <v>41292.64583</v>
      </c>
      <c r="C444" s="2">
        <f>IFERROR(__xludf.DUMMYFUNCTION("""COMPUTED_VALUE"""),700.0)</f>
        <v>700</v>
      </c>
    </row>
    <row r="445" ht="15.75" customHeight="1">
      <c r="B445" s="3">
        <f>IFERROR(__xludf.DUMMYFUNCTION("""COMPUTED_VALUE"""),41299.645833333336)</f>
        <v>41299.64583</v>
      </c>
      <c r="C445" s="2">
        <f>IFERROR(__xludf.DUMMYFUNCTION("""COMPUTED_VALUE"""),677.45)</f>
        <v>677.45</v>
      </c>
    </row>
    <row r="446" ht="15.75" customHeight="1">
      <c r="B446" s="3">
        <f>IFERROR(__xludf.DUMMYFUNCTION("""COMPUTED_VALUE"""),41306.645833333336)</f>
        <v>41306.64583</v>
      </c>
      <c r="C446" s="2">
        <f>IFERROR(__xludf.DUMMYFUNCTION("""COMPUTED_VALUE"""),678.28)</f>
        <v>678.28</v>
      </c>
    </row>
    <row r="447" ht="15.75" customHeight="1">
      <c r="B447" s="3">
        <f>IFERROR(__xludf.DUMMYFUNCTION("""COMPUTED_VALUE"""),41313.645833333336)</f>
        <v>41313.64583</v>
      </c>
      <c r="C447" s="2">
        <f>IFERROR(__xludf.DUMMYFUNCTION("""COMPUTED_VALUE"""),718.5)</f>
        <v>718.5</v>
      </c>
    </row>
    <row r="448" ht="15.75" customHeight="1">
      <c r="B448" s="3">
        <f>IFERROR(__xludf.DUMMYFUNCTION("""COMPUTED_VALUE"""),41320.645833333336)</f>
        <v>41320.64583</v>
      </c>
      <c r="C448" s="2">
        <f>IFERROR(__xludf.DUMMYFUNCTION("""COMPUTED_VALUE"""),727.9)</f>
        <v>727.9</v>
      </c>
    </row>
    <row r="449" ht="15.75" customHeight="1">
      <c r="B449" s="3">
        <f>IFERROR(__xludf.DUMMYFUNCTION("""COMPUTED_VALUE"""),41327.645833333336)</f>
        <v>41327.64583</v>
      </c>
      <c r="C449" s="2">
        <f>IFERROR(__xludf.DUMMYFUNCTION("""COMPUTED_VALUE"""),732.03)</f>
        <v>732.03</v>
      </c>
    </row>
    <row r="450" ht="15.75" customHeight="1">
      <c r="B450" s="3">
        <f>IFERROR(__xludf.DUMMYFUNCTION("""COMPUTED_VALUE"""),41334.645833333336)</f>
        <v>41334.64583</v>
      </c>
      <c r="C450" s="2">
        <f>IFERROR(__xludf.DUMMYFUNCTION("""COMPUTED_VALUE"""),762.5)</f>
        <v>762.5</v>
      </c>
    </row>
    <row r="451" ht="15.75" customHeight="1">
      <c r="B451" s="3">
        <f>IFERROR(__xludf.DUMMYFUNCTION("""COMPUTED_VALUE"""),41341.645833333336)</f>
        <v>41341.64583</v>
      </c>
      <c r="C451" s="2">
        <f>IFERROR(__xludf.DUMMYFUNCTION("""COMPUTED_VALUE"""),798.8)</f>
        <v>798.8</v>
      </c>
    </row>
    <row r="452" ht="15.75" customHeight="1">
      <c r="B452" s="3">
        <f>IFERROR(__xludf.DUMMYFUNCTION("""COMPUTED_VALUE"""),41348.645833333336)</f>
        <v>41348.64583</v>
      </c>
      <c r="C452" s="2">
        <f>IFERROR(__xludf.DUMMYFUNCTION("""COMPUTED_VALUE"""),794.78)</f>
        <v>794.78</v>
      </c>
    </row>
    <row r="453" ht="15.75" customHeight="1">
      <c r="B453" s="3">
        <f>IFERROR(__xludf.DUMMYFUNCTION("""COMPUTED_VALUE"""),41355.645833333336)</f>
        <v>41355.64583</v>
      </c>
      <c r="C453" s="2">
        <f>IFERROR(__xludf.DUMMYFUNCTION("""COMPUTED_VALUE"""),787.2)</f>
        <v>787.2</v>
      </c>
    </row>
    <row r="454" ht="15.75" customHeight="1">
      <c r="B454" s="3">
        <f>IFERROR(__xludf.DUMMYFUNCTION("""COMPUTED_VALUE"""),41361.645833333336)</f>
        <v>41361.64583</v>
      </c>
      <c r="C454" s="2">
        <f>IFERROR(__xludf.DUMMYFUNCTION("""COMPUTED_VALUE"""),791.7)</f>
        <v>791.7</v>
      </c>
    </row>
    <row r="455" ht="15.75" customHeight="1">
      <c r="B455" s="3">
        <f>IFERROR(__xludf.DUMMYFUNCTION("""COMPUTED_VALUE"""),41369.645833333336)</f>
        <v>41369.64583</v>
      </c>
      <c r="C455" s="2">
        <f>IFERROR(__xludf.DUMMYFUNCTION("""COMPUTED_VALUE"""),787.5)</f>
        <v>787.5</v>
      </c>
    </row>
    <row r="456" ht="15.75" customHeight="1">
      <c r="B456" s="3">
        <f>IFERROR(__xludf.DUMMYFUNCTION("""COMPUTED_VALUE"""),41376.645833333336)</f>
        <v>41376.64583</v>
      </c>
      <c r="C456" s="2">
        <f>IFERROR(__xludf.DUMMYFUNCTION("""COMPUTED_VALUE"""),775.05)</f>
        <v>775.05</v>
      </c>
    </row>
    <row r="457" ht="15.75" customHeight="1">
      <c r="B457" s="3">
        <f>IFERROR(__xludf.DUMMYFUNCTION("""COMPUTED_VALUE"""),41382.645833333336)</f>
        <v>41382.64583</v>
      </c>
      <c r="C457" s="2">
        <f>IFERROR(__xludf.DUMMYFUNCTION("""COMPUTED_VALUE"""),757.0)</f>
        <v>757</v>
      </c>
    </row>
    <row r="458" ht="15.75" customHeight="1">
      <c r="B458" s="3">
        <f>IFERROR(__xludf.DUMMYFUNCTION("""COMPUTED_VALUE"""),41390.645833333336)</f>
        <v>41390.64583</v>
      </c>
      <c r="C458" s="2">
        <f>IFERROR(__xludf.DUMMYFUNCTION("""COMPUTED_VALUE"""),729.9)</f>
        <v>729.9</v>
      </c>
    </row>
    <row r="459" ht="15.75" customHeight="1">
      <c r="B459" s="3">
        <f>IFERROR(__xludf.DUMMYFUNCTION("""COMPUTED_VALUE"""),41397.645833333336)</f>
        <v>41397.64583</v>
      </c>
      <c r="C459" s="2">
        <f>IFERROR(__xludf.DUMMYFUNCTION("""COMPUTED_VALUE"""),723.63)</f>
        <v>723.63</v>
      </c>
    </row>
    <row r="460" ht="15.75" customHeight="1">
      <c r="B460" s="3">
        <f>IFERROR(__xludf.DUMMYFUNCTION("""COMPUTED_VALUE"""),41411.645833333336)</f>
        <v>41411.64583</v>
      </c>
      <c r="C460" s="2">
        <f>IFERROR(__xludf.DUMMYFUNCTION("""COMPUTED_VALUE"""),740.5)</f>
        <v>740.5</v>
      </c>
    </row>
    <row r="461" ht="15.75" customHeight="1">
      <c r="B461" s="3">
        <f>IFERROR(__xludf.DUMMYFUNCTION("""COMPUTED_VALUE"""),41418.645833333336)</f>
        <v>41418.64583</v>
      </c>
      <c r="C461" s="2">
        <f>IFERROR(__xludf.DUMMYFUNCTION("""COMPUTED_VALUE"""),763.38)</f>
        <v>763.38</v>
      </c>
    </row>
    <row r="462" ht="15.75" customHeight="1">
      <c r="B462" s="3">
        <f>IFERROR(__xludf.DUMMYFUNCTION("""COMPUTED_VALUE"""),41425.645833333336)</f>
        <v>41425.64583</v>
      </c>
      <c r="C462" s="2">
        <f>IFERROR(__xludf.DUMMYFUNCTION("""COMPUTED_VALUE"""),763.75)</f>
        <v>763.75</v>
      </c>
    </row>
    <row r="463" ht="15.75" customHeight="1">
      <c r="B463" s="3">
        <f>IFERROR(__xludf.DUMMYFUNCTION("""COMPUTED_VALUE"""),41432.645833333336)</f>
        <v>41432.64583</v>
      </c>
      <c r="C463" s="2">
        <f>IFERROR(__xludf.DUMMYFUNCTION("""COMPUTED_VALUE"""),769.5)</f>
        <v>769.5</v>
      </c>
    </row>
    <row r="464" ht="15.75" customHeight="1">
      <c r="B464" s="3">
        <f>IFERROR(__xludf.DUMMYFUNCTION("""COMPUTED_VALUE"""),41439.645833333336)</f>
        <v>41439.64583</v>
      </c>
      <c r="C464" s="2">
        <f>IFERROR(__xludf.DUMMYFUNCTION("""COMPUTED_VALUE"""),772.35)</f>
        <v>772.35</v>
      </c>
    </row>
    <row r="465" ht="15.75" customHeight="1">
      <c r="B465" s="3">
        <f>IFERROR(__xludf.DUMMYFUNCTION("""COMPUTED_VALUE"""),41446.645833333336)</f>
        <v>41446.64583</v>
      </c>
      <c r="C465" s="2">
        <f>IFERROR(__xludf.DUMMYFUNCTION("""COMPUTED_VALUE"""),732.5)</f>
        <v>732.5</v>
      </c>
    </row>
    <row r="466" ht="15.75" customHeight="1">
      <c r="B466" s="3">
        <f>IFERROR(__xludf.DUMMYFUNCTION("""COMPUTED_VALUE"""),41453.645833333336)</f>
        <v>41453.64583</v>
      </c>
      <c r="C466" s="2">
        <f>IFERROR(__xludf.DUMMYFUNCTION("""COMPUTED_VALUE"""),762.15)</f>
        <v>762.15</v>
      </c>
    </row>
    <row r="467" ht="15.75" customHeight="1">
      <c r="B467" s="3">
        <f>IFERROR(__xludf.DUMMYFUNCTION("""COMPUTED_VALUE"""),41460.645833333336)</f>
        <v>41460.64583</v>
      </c>
      <c r="C467" s="2">
        <f>IFERROR(__xludf.DUMMYFUNCTION("""COMPUTED_VALUE"""),779.0)</f>
        <v>779</v>
      </c>
    </row>
    <row r="468" ht="15.75" customHeight="1">
      <c r="B468" s="3">
        <f>IFERROR(__xludf.DUMMYFUNCTION("""COMPUTED_VALUE"""),41467.645833333336)</f>
        <v>41467.64583</v>
      </c>
      <c r="C468" s="2">
        <f>IFERROR(__xludf.DUMMYFUNCTION("""COMPUTED_VALUE"""),812.4)</f>
        <v>812.4</v>
      </c>
    </row>
    <row r="469" ht="15.75" customHeight="1">
      <c r="B469" s="3">
        <f>IFERROR(__xludf.DUMMYFUNCTION("""COMPUTED_VALUE"""),41474.645833333336)</f>
        <v>41474.64583</v>
      </c>
      <c r="C469" s="2">
        <f>IFERROR(__xludf.DUMMYFUNCTION("""COMPUTED_VALUE"""),879.5)</f>
        <v>879.5</v>
      </c>
    </row>
    <row r="470" ht="15.75" customHeight="1">
      <c r="B470" s="3">
        <f>IFERROR(__xludf.DUMMYFUNCTION("""COMPUTED_VALUE"""),41481.645833333336)</f>
        <v>41481.64583</v>
      </c>
      <c r="C470" s="2">
        <f>IFERROR(__xludf.DUMMYFUNCTION("""COMPUTED_VALUE"""),905.0)</f>
        <v>905</v>
      </c>
    </row>
    <row r="471" ht="15.75" customHeight="1">
      <c r="B471" s="3">
        <f>IFERROR(__xludf.DUMMYFUNCTION("""COMPUTED_VALUE"""),41488.645833333336)</f>
        <v>41488.64583</v>
      </c>
      <c r="C471" s="2">
        <f>IFERROR(__xludf.DUMMYFUNCTION("""COMPUTED_VALUE"""),924.95)</f>
        <v>924.95</v>
      </c>
    </row>
    <row r="472" ht="15.75" customHeight="1">
      <c r="B472" s="3">
        <f>IFERROR(__xludf.DUMMYFUNCTION("""COMPUTED_VALUE"""),41494.645833333336)</f>
        <v>41494.64583</v>
      </c>
      <c r="C472" s="2">
        <f>IFERROR(__xludf.DUMMYFUNCTION("""COMPUTED_VALUE"""),945.45)</f>
        <v>945.45</v>
      </c>
    </row>
    <row r="473" ht="15.75" customHeight="1">
      <c r="B473" s="3">
        <f>IFERROR(__xludf.DUMMYFUNCTION("""COMPUTED_VALUE"""),41502.645833333336)</f>
        <v>41502.64583</v>
      </c>
      <c r="C473" s="2">
        <f>IFERROR(__xludf.DUMMYFUNCTION("""COMPUTED_VALUE"""),929.0)</f>
        <v>929</v>
      </c>
    </row>
    <row r="474" ht="15.75" customHeight="1">
      <c r="B474" s="3">
        <f>IFERROR(__xludf.DUMMYFUNCTION("""COMPUTED_VALUE"""),41509.645833333336)</f>
        <v>41509.64583</v>
      </c>
      <c r="C474" s="2">
        <f>IFERROR(__xludf.DUMMYFUNCTION("""COMPUTED_VALUE"""),919.0)</f>
        <v>919</v>
      </c>
    </row>
    <row r="475" ht="15.75" customHeight="1">
      <c r="B475" s="3">
        <f>IFERROR(__xludf.DUMMYFUNCTION("""COMPUTED_VALUE"""),41516.645833333336)</f>
        <v>41516.64583</v>
      </c>
      <c r="C475" s="2">
        <f>IFERROR(__xludf.DUMMYFUNCTION("""COMPUTED_VALUE"""),1025.0)</f>
        <v>1025</v>
      </c>
    </row>
    <row r="476" ht="15.75" customHeight="1">
      <c r="B476" s="3">
        <f>IFERROR(__xludf.DUMMYFUNCTION("""COMPUTED_VALUE"""),41523.645833333336)</f>
        <v>41523.64583</v>
      </c>
      <c r="C476" s="2">
        <f>IFERROR(__xludf.DUMMYFUNCTION("""COMPUTED_VALUE"""),1039.4)</f>
        <v>1039.4</v>
      </c>
    </row>
    <row r="477" ht="15.75" customHeight="1">
      <c r="B477" s="3">
        <f>IFERROR(__xludf.DUMMYFUNCTION("""COMPUTED_VALUE"""),41530.645833333336)</f>
        <v>41530.64583</v>
      </c>
      <c r="C477" s="2">
        <f>IFERROR(__xludf.DUMMYFUNCTION("""COMPUTED_VALUE"""),1009.0)</f>
        <v>1009</v>
      </c>
    </row>
    <row r="478" ht="15.75" customHeight="1">
      <c r="B478" s="3">
        <f>IFERROR(__xludf.DUMMYFUNCTION("""COMPUTED_VALUE"""),41537.645833333336)</f>
        <v>41537.64583</v>
      </c>
      <c r="C478" s="2">
        <f>IFERROR(__xludf.DUMMYFUNCTION("""COMPUTED_VALUE"""),995.0)</f>
        <v>995</v>
      </c>
    </row>
    <row r="479" ht="15.75" customHeight="1">
      <c r="B479" s="3">
        <f>IFERROR(__xludf.DUMMYFUNCTION("""COMPUTED_VALUE"""),41544.645833333336)</f>
        <v>41544.64583</v>
      </c>
      <c r="C479" s="2">
        <f>IFERROR(__xludf.DUMMYFUNCTION("""COMPUTED_VALUE"""),988.95)</f>
        <v>988.95</v>
      </c>
    </row>
    <row r="480" ht="15.75" customHeight="1">
      <c r="B480" s="3">
        <f>IFERROR(__xludf.DUMMYFUNCTION("""COMPUTED_VALUE"""),41551.645833333336)</f>
        <v>41551.64583</v>
      </c>
      <c r="C480" s="2">
        <f>IFERROR(__xludf.DUMMYFUNCTION("""COMPUTED_VALUE"""),1034.5)</f>
        <v>1034.5</v>
      </c>
    </row>
    <row r="481" ht="15.75" customHeight="1">
      <c r="B481" s="3">
        <f>IFERROR(__xludf.DUMMYFUNCTION("""COMPUTED_VALUE"""),41558.645833333336)</f>
        <v>41558.64583</v>
      </c>
      <c r="C481" s="2">
        <f>IFERROR(__xludf.DUMMYFUNCTION("""COMPUTED_VALUE"""),1069.0)</f>
        <v>1069</v>
      </c>
    </row>
    <row r="482" ht="15.75" customHeight="1">
      <c r="B482" s="3">
        <f>IFERROR(__xludf.DUMMYFUNCTION("""COMPUTED_VALUE"""),41565.645833333336)</f>
        <v>41565.64583</v>
      </c>
      <c r="C482" s="2">
        <f>IFERROR(__xludf.DUMMYFUNCTION("""COMPUTED_VALUE"""),1129.43)</f>
        <v>1129.43</v>
      </c>
    </row>
    <row r="483" ht="15.75" customHeight="1">
      <c r="B483" s="3">
        <f>IFERROR(__xludf.DUMMYFUNCTION("""COMPUTED_VALUE"""),41572.645833333336)</f>
        <v>41572.64583</v>
      </c>
      <c r="C483" s="2">
        <f>IFERROR(__xludf.DUMMYFUNCTION("""COMPUTED_VALUE"""),1063.97)</f>
        <v>1063.97</v>
      </c>
    </row>
    <row r="484" ht="15.75" customHeight="1">
      <c r="B484" s="3">
        <f>IFERROR(__xludf.DUMMYFUNCTION("""COMPUTED_VALUE"""),41579.645833333336)</f>
        <v>41579.64583</v>
      </c>
      <c r="C484" s="2">
        <f>IFERROR(__xludf.DUMMYFUNCTION("""COMPUTED_VALUE"""),1070.97)</f>
        <v>1070.97</v>
      </c>
    </row>
    <row r="485" ht="15.75" customHeight="1">
      <c r="B485" s="3">
        <f>IFERROR(__xludf.DUMMYFUNCTION("""COMPUTED_VALUE"""),41586.645833333336)</f>
        <v>41586.64583</v>
      </c>
      <c r="C485" s="2">
        <f>IFERROR(__xludf.DUMMYFUNCTION("""COMPUTED_VALUE"""),1074.07)</f>
        <v>1074.07</v>
      </c>
    </row>
    <row r="486" ht="15.75" customHeight="1">
      <c r="B486" s="3">
        <f>IFERROR(__xludf.DUMMYFUNCTION("""COMPUTED_VALUE"""),41592.645833333336)</f>
        <v>41592.64583</v>
      </c>
      <c r="C486" s="2">
        <f>IFERROR(__xludf.DUMMYFUNCTION("""COMPUTED_VALUE"""),1070.0)</f>
        <v>1070</v>
      </c>
    </row>
    <row r="487" ht="15.75" customHeight="1">
      <c r="B487" s="3">
        <f>IFERROR(__xludf.DUMMYFUNCTION("""COMPUTED_VALUE"""),41600.645833333336)</f>
        <v>41600.64583</v>
      </c>
      <c r="C487" s="2">
        <f>IFERROR(__xludf.DUMMYFUNCTION("""COMPUTED_VALUE"""),1029.95)</f>
        <v>1029.95</v>
      </c>
    </row>
    <row r="488" ht="15.75" customHeight="1">
      <c r="B488" s="3">
        <f>IFERROR(__xludf.DUMMYFUNCTION("""COMPUTED_VALUE"""),41607.645833333336)</f>
        <v>41607.64583</v>
      </c>
      <c r="C488" s="2">
        <f>IFERROR(__xludf.DUMMYFUNCTION("""COMPUTED_VALUE"""),1013.43)</f>
        <v>1013.43</v>
      </c>
    </row>
    <row r="489" ht="15.75" customHeight="1">
      <c r="B489" s="3">
        <f>IFERROR(__xludf.DUMMYFUNCTION("""COMPUTED_VALUE"""),41614.645833333336)</f>
        <v>41614.64583</v>
      </c>
      <c r="C489" s="2">
        <f>IFERROR(__xludf.DUMMYFUNCTION("""COMPUTED_VALUE"""),1021.0)</f>
        <v>1021</v>
      </c>
    </row>
    <row r="490" ht="15.75" customHeight="1">
      <c r="B490" s="3">
        <f>IFERROR(__xludf.DUMMYFUNCTION("""COMPUTED_VALUE"""),41621.645833333336)</f>
        <v>41621.64583</v>
      </c>
      <c r="C490" s="2">
        <f>IFERROR(__xludf.DUMMYFUNCTION("""COMPUTED_VALUE"""),1044.5)</f>
        <v>1044.5</v>
      </c>
    </row>
    <row r="491" ht="15.75" customHeight="1">
      <c r="B491" s="3">
        <f>IFERROR(__xludf.DUMMYFUNCTION("""COMPUTED_VALUE"""),41628.645833333336)</f>
        <v>41628.64583</v>
      </c>
      <c r="C491" s="2">
        <f>IFERROR(__xludf.DUMMYFUNCTION("""COMPUTED_VALUE"""),1065.0)</f>
        <v>1065</v>
      </c>
    </row>
    <row r="492" ht="15.75" customHeight="1">
      <c r="B492" s="3">
        <f>IFERROR(__xludf.DUMMYFUNCTION("""COMPUTED_VALUE"""),41635.645833333336)</f>
        <v>41635.64583</v>
      </c>
      <c r="C492" s="2">
        <f>IFERROR(__xludf.DUMMYFUNCTION("""COMPUTED_VALUE"""),1084.95)</f>
        <v>1084.95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IFERROR(__xludf.DUMMYFUNCTION("GOOGLEFINANCE(""NSE:TCS"", ""high"",DATE(2014,1,1),DATE(2015,1,1),""weekly"")"),"Date")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IFERROR(__xludf.DUMMYFUNCTION("""COMPUTED_VALUE"""),41642.645833333336)</f>
        <v>41642.64583</v>
      </c>
      <c r="C497" s="2">
        <f>IFERROR(__xludf.DUMMYFUNCTION("""COMPUTED_VALUE"""),1114.55)</f>
        <v>1114.55</v>
      </c>
    </row>
    <row r="498" ht="15.75" customHeight="1">
      <c r="B498" s="3">
        <f>IFERROR(__xludf.DUMMYFUNCTION("""COMPUTED_VALUE"""),41649.645833333336)</f>
        <v>41649.64583</v>
      </c>
      <c r="C498" s="2">
        <f>IFERROR(__xludf.DUMMYFUNCTION("""COMPUTED_VALUE"""),1154.9)</f>
        <v>1154.9</v>
      </c>
    </row>
    <row r="499" ht="15.75" customHeight="1">
      <c r="B499" s="3">
        <f>IFERROR(__xludf.DUMMYFUNCTION("""COMPUTED_VALUE"""),41656.645833333336)</f>
        <v>41656.64583</v>
      </c>
      <c r="C499" s="2">
        <f>IFERROR(__xludf.DUMMYFUNCTION("""COMPUTED_VALUE"""),1192.4)</f>
        <v>1192.4</v>
      </c>
    </row>
    <row r="500" ht="15.75" customHeight="1">
      <c r="B500" s="3">
        <f>IFERROR(__xludf.DUMMYFUNCTION("""COMPUTED_VALUE"""),41663.645833333336)</f>
        <v>41663.64583</v>
      </c>
      <c r="C500" s="2">
        <f>IFERROR(__xludf.DUMMYFUNCTION("""COMPUTED_VALUE"""),1175.0)</f>
        <v>1175</v>
      </c>
    </row>
    <row r="501" ht="15.75" customHeight="1">
      <c r="B501" s="3">
        <f>IFERROR(__xludf.DUMMYFUNCTION("""COMPUTED_VALUE"""),41670.645833333336)</f>
        <v>41670.64583</v>
      </c>
      <c r="C501" s="2">
        <f>IFERROR(__xludf.DUMMYFUNCTION("""COMPUTED_VALUE"""),1134.9)</f>
        <v>1134.9</v>
      </c>
    </row>
    <row r="502" ht="15.75" customHeight="1">
      <c r="B502" s="3">
        <f>IFERROR(__xludf.DUMMYFUNCTION("""COMPUTED_VALUE"""),41677.645833333336)</f>
        <v>41677.64583</v>
      </c>
      <c r="C502" s="2">
        <f>IFERROR(__xludf.DUMMYFUNCTION("""COMPUTED_VALUE"""),1122.13)</f>
        <v>1122.13</v>
      </c>
    </row>
    <row r="503" ht="15.75" customHeight="1">
      <c r="B503" s="3">
        <f>IFERROR(__xludf.DUMMYFUNCTION("""COMPUTED_VALUE"""),41684.645833333336)</f>
        <v>41684.64583</v>
      </c>
      <c r="C503" s="2">
        <f>IFERROR(__xludf.DUMMYFUNCTION("""COMPUTED_VALUE"""),1092.38)</f>
        <v>1092.38</v>
      </c>
    </row>
    <row r="504" ht="15.75" customHeight="1">
      <c r="B504" s="3">
        <f>IFERROR(__xludf.DUMMYFUNCTION("""COMPUTED_VALUE"""),41691.645833333336)</f>
        <v>41691.64583</v>
      </c>
      <c r="C504" s="2">
        <f>IFERROR(__xludf.DUMMYFUNCTION("""COMPUTED_VALUE"""),1111.0)</f>
        <v>1111</v>
      </c>
    </row>
    <row r="505" ht="15.75" customHeight="1">
      <c r="B505" s="3">
        <f>IFERROR(__xludf.DUMMYFUNCTION("""COMPUTED_VALUE"""),41698.645833333336)</f>
        <v>41698.64583</v>
      </c>
      <c r="C505" s="2">
        <f>IFERROR(__xludf.DUMMYFUNCTION("""COMPUTED_VALUE"""),1140.0)</f>
        <v>1140</v>
      </c>
    </row>
    <row r="506" ht="15.75" customHeight="1">
      <c r="B506" s="3">
        <f>IFERROR(__xludf.DUMMYFUNCTION("""COMPUTED_VALUE"""),41705.645833333336)</f>
        <v>41705.64583</v>
      </c>
      <c r="C506" s="2">
        <f>IFERROR(__xludf.DUMMYFUNCTION("""COMPUTED_VALUE"""),1149.5)</f>
        <v>1149.5</v>
      </c>
    </row>
    <row r="507" ht="15.75" customHeight="1">
      <c r="B507" s="3">
        <f>IFERROR(__xludf.DUMMYFUNCTION("""COMPUTED_VALUE"""),41712.645833333336)</f>
        <v>41712.64583</v>
      </c>
      <c r="C507" s="2">
        <f>IFERROR(__xludf.DUMMYFUNCTION("""COMPUTED_VALUE"""),1114.25)</f>
        <v>1114.25</v>
      </c>
    </row>
    <row r="508" ht="15.75" customHeight="1">
      <c r="B508" s="3">
        <f>IFERROR(__xludf.DUMMYFUNCTION("""COMPUTED_VALUE"""),41726.645833333336)</f>
        <v>41726.64583</v>
      </c>
      <c r="C508" s="2">
        <f>IFERROR(__xludf.DUMMYFUNCTION("""COMPUTED_VALUE"""),1086.0)</f>
        <v>1086</v>
      </c>
    </row>
    <row r="509" ht="15.75" customHeight="1">
      <c r="B509" s="3">
        <f>IFERROR(__xludf.DUMMYFUNCTION("""COMPUTED_VALUE"""),41733.645833333336)</f>
        <v>41733.64583</v>
      </c>
      <c r="C509" s="2">
        <f>IFERROR(__xludf.DUMMYFUNCTION("""COMPUTED_VALUE"""),1101.0)</f>
        <v>1101</v>
      </c>
    </row>
    <row r="510" ht="15.75" customHeight="1">
      <c r="B510" s="3">
        <f>IFERROR(__xludf.DUMMYFUNCTION("""COMPUTED_VALUE"""),41740.645833333336)</f>
        <v>41740.64583</v>
      </c>
      <c r="C510" s="2">
        <f>IFERROR(__xludf.DUMMYFUNCTION("""COMPUTED_VALUE"""),1087.45)</f>
        <v>1087.45</v>
      </c>
    </row>
    <row r="511" ht="15.75" customHeight="1">
      <c r="B511" s="3">
        <f>IFERROR(__xludf.DUMMYFUNCTION("""COMPUTED_VALUE"""),41746.645833333336)</f>
        <v>41746.64583</v>
      </c>
      <c r="C511" s="2">
        <f>IFERROR(__xludf.DUMMYFUNCTION("""COMPUTED_VALUE"""),1132.0)</f>
        <v>1132</v>
      </c>
    </row>
    <row r="512" ht="15.75" customHeight="1">
      <c r="B512" s="3">
        <f>IFERROR(__xludf.DUMMYFUNCTION("""COMPUTED_VALUE"""),41754.645833333336)</f>
        <v>41754.64583</v>
      </c>
      <c r="C512" s="2">
        <f>IFERROR(__xludf.DUMMYFUNCTION("""COMPUTED_VALUE"""),1124.95)</f>
        <v>1124.95</v>
      </c>
    </row>
    <row r="513" ht="15.75" customHeight="1">
      <c r="B513" s="3">
        <f>IFERROR(__xludf.DUMMYFUNCTION("""COMPUTED_VALUE"""),41761.645833333336)</f>
        <v>41761.64583</v>
      </c>
      <c r="C513" s="2">
        <f>IFERROR(__xludf.DUMMYFUNCTION("""COMPUTED_VALUE"""),1111.35)</f>
        <v>1111.35</v>
      </c>
    </row>
    <row r="514" ht="15.75" customHeight="1">
      <c r="B514" s="3">
        <f>IFERROR(__xludf.DUMMYFUNCTION("""COMPUTED_VALUE"""),41768.645833333336)</f>
        <v>41768.64583</v>
      </c>
      <c r="C514" s="2">
        <f>IFERROR(__xludf.DUMMYFUNCTION("""COMPUTED_VALUE"""),1114.5)</f>
        <v>1114.5</v>
      </c>
    </row>
    <row r="515" ht="15.75" customHeight="1">
      <c r="B515" s="3">
        <f>IFERROR(__xludf.DUMMYFUNCTION("""COMPUTED_VALUE"""),41775.645833333336)</f>
        <v>41775.64583</v>
      </c>
      <c r="C515" s="2">
        <f>IFERROR(__xludf.DUMMYFUNCTION("""COMPUTED_VALUE"""),1126.7)</f>
        <v>1126.7</v>
      </c>
    </row>
    <row r="516" ht="15.75" customHeight="1">
      <c r="B516" s="3">
        <f>IFERROR(__xludf.DUMMYFUNCTION("""COMPUTED_VALUE"""),41782.645833333336)</f>
        <v>41782.64583</v>
      </c>
      <c r="C516" s="2">
        <f>IFERROR(__xludf.DUMMYFUNCTION("""COMPUTED_VALUE"""),1080.0)</f>
        <v>1080</v>
      </c>
    </row>
    <row r="517" ht="15.75" customHeight="1">
      <c r="B517" s="3">
        <f>IFERROR(__xludf.DUMMYFUNCTION("""COMPUTED_VALUE"""),41789.645833333336)</f>
        <v>41789.64583</v>
      </c>
      <c r="C517" s="2">
        <f>IFERROR(__xludf.DUMMYFUNCTION("""COMPUTED_VALUE"""),1092.3)</f>
        <v>1092.3</v>
      </c>
    </row>
    <row r="518" ht="15.75" customHeight="1">
      <c r="B518" s="3">
        <f>IFERROR(__xludf.DUMMYFUNCTION("""COMPUTED_VALUE"""),41796.645833333336)</f>
        <v>41796.64583</v>
      </c>
      <c r="C518" s="2">
        <f>IFERROR(__xludf.DUMMYFUNCTION("""COMPUTED_VALUE"""),1078.88)</f>
        <v>1078.88</v>
      </c>
    </row>
    <row r="519" ht="15.75" customHeight="1">
      <c r="B519" s="3">
        <f>IFERROR(__xludf.DUMMYFUNCTION("""COMPUTED_VALUE"""),41803.645833333336)</f>
        <v>41803.64583</v>
      </c>
      <c r="C519" s="2">
        <f>IFERROR(__xludf.DUMMYFUNCTION("""COMPUTED_VALUE"""),1127.0)</f>
        <v>1127</v>
      </c>
    </row>
    <row r="520" ht="15.75" customHeight="1">
      <c r="B520" s="3">
        <f>IFERROR(__xludf.DUMMYFUNCTION("""COMPUTED_VALUE"""),41810.645833333336)</f>
        <v>41810.64583</v>
      </c>
      <c r="C520" s="2">
        <f>IFERROR(__xludf.DUMMYFUNCTION("""COMPUTED_VALUE"""),1149.5)</f>
        <v>1149.5</v>
      </c>
    </row>
    <row r="521" ht="15.75" customHeight="1">
      <c r="B521" s="3">
        <f>IFERROR(__xludf.DUMMYFUNCTION("""COMPUTED_VALUE"""),41817.645833333336)</f>
        <v>41817.64583</v>
      </c>
      <c r="C521" s="2">
        <f>IFERROR(__xludf.DUMMYFUNCTION("""COMPUTED_VALUE"""),1203.45)</f>
        <v>1203.45</v>
      </c>
    </row>
    <row r="522" ht="15.75" customHeight="1">
      <c r="B522" s="3">
        <f>IFERROR(__xludf.DUMMYFUNCTION("""COMPUTED_VALUE"""),41824.645833333336)</f>
        <v>41824.64583</v>
      </c>
      <c r="C522" s="2">
        <f>IFERROR(__xludf.DUMMYFUNCTION("""COMPUTED_VALUE"""),1222.5)</f>
        <v>1222.5</v>
      </c>
    </row>
    <row r="523" ht="15.75" customHeight="1">
      <c r="B523" s="3">
        <f>IFERROR(__xludf.DUMMYFUNCTION("""COMPUTED_VALUE"""),41831.645833333336)</f>
        <v>41831.64583</v>
      </c>
      <c r="C523" s="2">
        <f>IFERROR(__xludf.DUMMYFUNCTION("""COMPUTED_VALUE"""),1249.0)</f>
        <v>1249</v>
      </c>
    </row>
    <row r="524" ht="15.75" customHeight="1">
      <c r="B524" s="3">
        <f>IFERROR(__xludf.DUMMYFUNCTION("""COMPUTED_VALUE"""),41838.645833333336)</f>
        <v>41838.64583</v>
      </c>
      <c r="C524" s="2">
        <f>IFERROR(__xludf.DUMMYFUNCTION("""COMPUTED_VALUE"""),1242.5)</f>
        <v>1242.5</v>
      </c>
    </row>
    <row r="525" ht="15.75" customHeight="1">
      <c r="B525" s="3">
        <f>IFERROR(__xludf.DUMMYFUNCTION("""COMPUTED_VALUE"""),41845.645833333336)</f>
        <v>41845.64583</v>
      </c>
      <c r="C525" s="2">
        <f>IFERROR(__xludf.DUMMYFUNCTION("""COMPUTED_VALUE"""),1307.18)</f>
        <v>1307.18</v>
      </c>
    </row>
    <row r="526" ht="15.75" customHeight="1">
      <c r="B526" s="3">
        <f>IFERROR(__xludf.DUMMYFUNCTION("""COMPUTED_VALUE"""),41852.645833333336)</f>
        <v>41852.64583</v>
      </c>
      <c r="C526" s="2">
        <f>IFERROR(__xludf.DUMMYFUNCTION("""COMPUTED_VALUE"""),1305.0)</f>
        <v>1305</v>
      </c>
    </row>
    <row r="527" ht="15.75" customHeight="1">
      <c r="B527" s="3">
        <f>IFERROR(__xludf.DUMMYFUNCTION("""COMPUTED_VALUE"""),41859.645833333336)</f>
        <v>41859.64583</v>
      </c>
      <c r="C527" s="2">
        <f>IFERROR(__xludf.DUMMYFUNCTION("""COMPUTED_VALUE"""),1272.5)</f>
        <v>1272.5</v>
      </c>
    </row>
    <row r="528" ht="15.75" customHeight="1">
      <c r="B528" s="3">
        <f>IFERROR(__xludf.DUMMYFUNCTION("""COMPUTED_VALUE"""),41865.645833333336)</f>
        <v>41865.64583</v>
      </c>
      <c r="C528" s="2">
        <f>IFERROR(__xludf.DUMMYFUNCTION("""COMPUTED_VALUE"""),1266.0)</f>
        <v>1266</v>
      </c>
    </row>
    <row r="529" ht="15.75" customHeight="1">
      <c r="B529" s="3">
        <f>IFERROR(__xludf.DUMMYFUNCTION("""COMPUTED_VALUE"""),41873.645833333336)</f>
        <v>41873.64583</v>
      </c>
      <c r="C529" s="2">
        <f>IFERROR(__xludf.DUMMYFUNCTION("""COMPUTED_VALUE"""),1252.5)</f>
        <v>1252.5</v>
      </c>
    </row>
    <row r="530" ht="15.75" customHeight="1">
      <c r="B530" s="3">
        <f>IFERROR(__xludf.DUMMYFUNCTION("""COMPUTED_VALUE"""),41879.645833333336)</f>
        <v>41879.64583</v>
      </c>
      <c r="C530" s="2">
        <f>IFERROR(__xludf.DUMMYFUNCTION("""COMPUTED_VALUE"""),1283.7)</f>
        <v>1283.7</v>
      </c>
    </row>
    <row r="531" ht="15.75" customHeight="1">
      <c r="B531" s="3">
        <f>IFERROR(__xludf.DUMMYFUNCTION("""COMPUTED_VALUE"""),41887.645833333336)</f>
        <v>41887.64583</v>
      </c>
      <c r="C531" s="2">
        <f>IFERROR(__xludf.DUMMYFUNCTION("""COMPUTED_VALUE"""),1313.73)</f>
        <v>1313.73</v>
      </c>
    </row>
    <row r="532" ht="15.75" customHeight="1">
      <c r="B532" s="3">
        <f>IFERROR(__xludf.DUMMYFUNCTION("""COMPUTED_VALUE"""),41894.645833333336)</f>
        <v>41894.64583</v>
      </c>
      <c r="C532" s="2">
        <f>IFERROR(__xludf.DUMMYFUNCTION("""COMPUTED_VALUE"""),1333.5)</f>
        <v>1333.5</v>
      </c>
    </row>
    <row r="533" ht="15.75" customHeight="1">
      <c r="B533" s="3">
        <f>IFERROR(__xludf.DUMMYFUNCTION("""COMPUTED_VALUE"""),41901.645833333336)</f>
        <v>41901.64583</v>
      </c>
      <c r="C533" s="2">
        <f>IFERROR(__xludf.DUMMYFUNCTION("""COMPUTED_VALUE"""),1370.0)</f>
        <v>1370</v>
      </c>
    </row>
    <row r="534" ht="15.75" customHeight="1">
      <c r="B534" s="3">
        <f>IFERROR(__xludf.DUMMYFUNCTION("""COMPUTED_VALUE"""),41908.645833333336)</f>
        <v>41908.64583</v>
      </c>
      <c r="C534" s="2">
        <f>IFERROR(__xludf.DUMMYFUNCTION("""COMPUTED_VALUE"""),1391.23)</f>
        <v>1391.23</v>
      </c>
    </row>
    <row r="535" ht="15.75" customHeight="1">
      <c r="B535" s="3">
        <f>IFERROR(__xludf.DUMMYFUNCTION("""COMPUTED_VALUE"""),41913.645833333336)</f>
        <v>41913.64583</v>
      </c>
      <c r="C535" s="2">
        <f>IFERROR(__xludf.DUMMYFUNCTION("""COMPUTED_VALUE"""),1401.0)</f>
        <v>1401</v>
      </c>
    </row>
    <row r="536" ht="15.75" customHeight="1">
      <c r="B536" s="3">
        <f>IFERROR(__xludf.DUMMYFUNCTION("""COMPUTED_VALUE"""),41922.645833333336)</f>
        <v>41922.64583</v>
      </c>
      <c r="C536" s="2">
        <f>IFERROR(__xludf.DUMMYFUNCTION("""COMPUTED_VALUE"""),1419.85)</f>
        <v>1419.85</v>
      </c>
    </row>
    <row r="537" ht="15.75" customHeight="1">
      <c r="B537" s="3">
        <f>IFERROR(__xludf.DUMMYFUNCTION("""COMPUTED_VALUE"""),41929.645833333336)</f>
        <v>41929.64583</v>
      </c>
      <c r="C537" s="2">
        <f>IFERROR(__xludf.DUMMYFUNCTION("""COMPUTED_VALUE"""),1379.3)</f>
        <v>1379.3</v>
      </c>
    </row>
    <row r="538" ht="15.75" customHeight="1">
      <c r="B538" s="3">
        <f>IFERROR(__xludf.DUMMYFUNCTION("""COMPUTED_VALUE"""),41935.645833333336)</f>
        <v>41935.64583</v>
      </c>
      <c r="C538" s="2">
        <f>IFERROR(__xludf.DUMMYFUNCTION("""COMPUTED_VALUE"""),1246.8)</f>
        <v>1246.8</v>
      </c>
    </row>
    <row r="539" ht="15.75" customHeight="1">
      <c r="B539" s="3">
        <f>IFERROR(__xludf.DUMMYFUNCTION("""COMPUTED_VALUE"""),41943.645833333336)</f>
        <v>41943.64583</v>
      </c>
      <c r="C539" s="2">
        <f>IFERROR(__xludf.DUMMYFUNCTION("""COMPUTED_VALUE"""),1310.0)</f>
        <v>1310</v>
      </c>
    </row>
    <row r="540" ht="15.75" customHeight="1">
      <c r="B540" s="3">
        <f>IFERROR(__xludf.DUMMYFUNCTION("""COMPUTED_VALUE"""),41950.645833333336)</f>
        <v>41950.64583</v>
      </c>
      <c r="C540" s="2">
        <f>IFERROR(__xludf.DUMMYFUNCTION("""COMPUTED_VALUE"""),1324.5)</f>
        <v>1324.5</v>
      </c>
    </row>
    <row r="541" ht="15.75" customHeight="1">
      <c r="B541" s="3">
        <f>IFERROR(__xludf.DUMMYFUNCTION("""COMPUTED_VALUE"""),41957.64583333333)</f>
        <v>41957.64583</v>
      </c>
      <c r="C541" s="2">
        <f>IFERROR(__xludf.DUMMYFUNCTION("""COMPUTED_VALUE"""),1305.57)</f>
        <v>1305.57</v>
      </c>
    </row>
    <row r="542" ht="15.75" customHeight="1">
      <c r="B542" s="3">
        <f>IFERROR(__xludf.DUMMYFUNCTION("""COMPUTED_VALUE"""),41964.64583333333)</f>
        <v>41964.64583</v>
      </c>
      <c r="C542" s="2">
        <f>IFERROR(__xludf.DUMMYFUNCTION("""COMPUTED_VALUE"""),1320.0)</f>
        <v>1320</v>
      </c>
    </row>
    <row r="543" ht="15.75" customHeight="1">
      <c r="B543" s="3">
        <f>IFERROR(__xludf.DUMMYFUNCTION("""COMPUTED_VALUE"""),41971.64583333333)</f>
        <v>41971.64583</v>
      </c>
      <c r="C543" s="2">
        <f>IFERROR(__xludf.DUMMYFUNCTION("""COMPUTED_VALUE"""),1345.95)</f>
        <v>1345.95</v>
      </c>
    </row>
    <row r="544" ht="15.75" customHeight="1">
      <c r="B544" s="3">
        <f>IFERROR(__xludf.DUMMYFUNCTION("""COMPUTED_VALUE"""),41978.64583333333)</f>
        <v>41978.64583</v>
      </c>
      <c r="C544" s="2">
        <f>IFERROR(__xludf.DUMMYFUNCTION("""COMPUTED_VALUE"""),1355.48)</f>
        <v>1355.48</v>
      </c>
    </row>
    <row r="545" ht="15.75" customHeight="1">
      <c r="B545" s="3">
        <f>IFERROR(__xludf.DUMMYFUNCTION("""COMPUTED_VALUE"""),41985.64583333333)</f>
        <v>41985.64583</v>
      </c>
      <c r="C545" s="2">
        <f>IFERROR(__xludf.DUMMYFUNCTION("""COMPUTED_VALUE"""),1297.5)</f>
        <v>1297.5</v>
      </c>
    </row>
    <row r="546" ht="15.75" customHeight="1">
      <c r="B546" s="3">
        <f>IFERROR(__xludf.DUMMYFUNCTION("""COMPUTED_VALUE"""),41992.64583333333)</f>
        <v>41992.64583</v>
      </c>
      <c r="C546" s="2">
        <f>IFERROR(__xludf.DUMMYFUNCTION("""COMPUTED_VALUE"""),1261.88)</f>
        <v>1261.88</v>
      </c>
    </row>
    <row r="547" ht="15.75" customHeight="1">
      <c r="B547" s="3">
        <f>IFERROR(__xludf.DUMMYFUNCTION("""COMPUTED_VALUE"""),41999.64583333333)</f>
        <v>41999.64583</v>
      </c>
      <c r="C547" s="2">
        <f>IFERROR(__xludf.DUMMYFUNCTION("""COMPUTED_VALUE"""),1268.32)</f>
        <v>1268.32</v>
      </c>
    </row>
    <row r="548" ht="15.75" customHeight="1"/>
    <row r="549" ht="15.75" customHeight="1"/>
    <row r="550" ht="15.75" customHeight="1"/>
    <row r="551" ht="15.75" customHeight="1">
      <c r="B551" s="2" t="str">
        <f>IFERROR(__xludf.DUMMYFUNCTION("GOOGLEFINANCE(""NSE:TCS"", ""high"",DATE(2015,1,1),DATE(2016,1,1),""weekly"")"),"Date")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IFERROR(__xludf.DUMMYFUNCTION("""COMPUTED_VALUE"""),42006.64583333333)</f>
        <v>42006.64583</v>
      </c>
      <c r="C552" s="2">
        <f>IFERROR(__xludf.DUMMYFUNCTION("""COMPUTED_VALUE"""),1295.47)</f>
        <v>1295.47</v>
      </c>
    </row>
    <row r="553" ht="15.75" customHeight="1">
      <c r="B553" s="3">
        <f>IFERROR(__xludf.DUMMYFUNCTION("""COMPUTED_VALUE"""),42013.64583333333)</f>
        <v>42013.64583</v>
      </c>
      <c r="C553" s="2">
        <f>IFERROR(__xludf.DUMMYFUNCTION("""COMPUTED_VALUE"""),1299.95)</f>
        <v>1299.95</v>
      </c>
    </row>
    <row r="554" ht="15.75" customHeight="1">
      <c r="B554" s="3">
        <f>IFERROR(__xludf.DUMMYFUNCTION("""COMPUTED_VALUE"""),42020.64583333333)</f>
        <v>42020.64583</v>
      </c>
      <c r="C554" s="2">
        <f>IFERROR(__xludf.DUMMYFUNCTION("""COMPUTED_VALUE"""),1290.88)</f>
        <v>1290.88</v>
      </c>
    </row>
    <row r="555" ht="15.75" customHeight="1">
      <c r="B555" s="3">
        <f>IFERROR(__xludf.DUMMYFUNCTION("""COMPUTED_VALUE"""),42027.64583333333)</f>
        <v>42027.64583</v>
      </c>
      <c r="C555" s="2">
        <f>IFERROR(__xludf.DUMMYFUNCTION("""COMPUTED_VALUE"""),1275.5)</f>
        <v>1275.5</v>
      </c>
    </row>
    <row r="556" ht="15.75" customHeight="1">
      <c r="B556" s="3">
        <f>IFERROR(__xludf.DUMMYFUNCTION("""COMPUTED_VALUE"""),42034.64583333333)</f>
        <v>42034.64583</v>
      </c>
      <c r="C556" s="2">
        <f>IFERROR(__xludf.DUMMYFUNCTION("""COMPUTED_VALUE"""),1287.5)</f>
        <v>1287.5</v>
      </c>
    </row>
    <row r="557" ht="15.75" customHeight="1">
      <c r="B557" s="3">
        <f>IFERROR(__xludf.DUMMYFUNCTION("""COMPUTED_VALUE"""),42041.64583333333)</f>
        <v>42041.64583</v>
      </c>
      <c r="C557" s="2">
        <f>IFERROR(__xludf.DUMMYFUNCTION("""COMPUTED_VALUE"""),1297.4)</f>
        <v>1297.4</v>
      </c>
    </row>
    <row r="558" ht="15.75" customHeight="1">
      <c r="B558" s="3">
        <f>IFERROR(__xludf.DUMMYFUNCTION("""COMPUTED_VALUE"""),42048.64583333333)</f>
        <v>42048.64583</v>
      </c>
      <c r="C558" s="2">
        <f>IFERROR(__xludf.DUMMYFUNCTION("""COMPUTED_VALUE"""),1284.55)</f>
        <v>1284.55</v>
      </c>
    </row>
    <row r="559" ht="15.75" customHeight="1">
      <c r="B559" s="3">
        <f>IFERROR(__xludf.DUMMYFUNCTION("""COMPUTED_VALUE"""),42055.64583333333)</f>
        <v>42055.64583</v>
      </c>
      <c r="C559" s="2">
        <f>IFERROR(__xludf.DUMMYFUNCTION("""COMPUTED_VALUE"""),1349.4)</f>
        <v>1349.4</v>
      </c>
    </row>
    <row r="560" ht="15.75" customHeight="1">
      <c r="B560" s="3">
        <f>IFERROR(__xludf.DUMMYFUNCTION("""COMPUTED_VALUE"""),42068.64583333333)</f>
        <v>42068.64583</v>
      </c>
      <c r="C560" s="2">
        <f>IFERROR(__xludf.DUMMYFUNCTION("""COMPUTED_VALUE"""),1406.05)</f>
        <v>1406.05</v>
      </c>
    </row>
    <row r="561" ht="15.75" customHeight="1">
      <c r="B561" s="3">
        <f>IFERROR(__xludf.DUMMYFUNCTION("""COMPUTED_VALUE"""),42076.64583333333)</f>
        <v>42076.64583</v>
      </c>
      <c r="C561" s="2">
        <f>IFERROR(__xludf.DUMMYFUNCTION("""COMPUTED_VALUE"""),1339.9)</f>
        <v>1339.9</v>
      </c>
    </row>
    <row r="562" ht="15.75" customHeight="1">
      <c r="B562" s="3">
        <f>IFERROR(__xludf.DUMMYFUNCTION("""COMPUTED_VALUE"""),42083.64583333333)</f>
        <v>42083.64583</v>
      </c>
      <c r="C562" s="2">
        <f>IFERROR(__xludf.DUMMYFUNCTION("""COMPUTED_VALUE"""),1309.0)</f>
        <v>1309</v>
      </c>
    </row>
    <row r="563" ht="15.75" customHeight="1">
      <c r="B563" s="3">
        <f>IFERROR(__xludf.DUMMYFUNCTION("""COMPUTED_VALUE"""),42090.64583333333)</f>
        <v>42090.64583</v>
      </c>
      <c r="C563" s="2">
        <f>IFERROR(__xludf.DUMMYFUNCTION("""COMPUTED_VALUE"""),1318.5)</f>
        <v>1318.5</v>
      </c>
    </row>
    <row r="564" ht="15.75" customHeight="1">
      <c r="B564" s="3">
        <f>IFERROR(__xludf.DUMMYFUNCTION("""COMPUTED_VALUE"""),42095.64583333333)</f>
        <v>42095.64583</v>
      </c>
      <c r="C564" s="2">
        <f>IFERROR(__xludf.DUMMYFUNCTION("""COMPUTED_VALUE"""),1284.95)</f>
        <v>1284.95</v>
      </c>
    </row>
    <row r="565" ht="15.75" customHeight="1">
      <c r="B565" s="3">
        <f>IFERROR(__xludf.DUMMYFUNCTION("""COMPUTED_VALUE"""),42104.64583333333)</f>
        <v>42104.64583</v>
      </c>
      <c r="C565" s="2">
        <f>IFERROR(__xludf.DUMMYFUNCTION("""COMPUTED_VALUE"""),1343.73)</f>
        <v>1343.73</v>
      </c>
    </row>
    <row r="566" ht="15.75" customHeight="1">
      <c r="B566" s="3">
        <f>IFERROR(__xludf.DUMMYFUNCTION("""COMPUTED_VALUE"""),42111.64583333333)</f>
        <v>42111.64583</v>
      </c>
      <c r="C566" s="2">
        <f>IFERROR(__xludf.DUMMYFUNCTION("""COMPUTED_VALUE"""),1356.95)</f>
        <v>1356.95</v>
      </c>
    </row>
    <row r="567" ht="15.75" customHeight="1">
      <c r="B567" s="3">
        <f>IFERROR(__xludf.DUMMYFUNCTION("""COMPUTED_VALUE"""),42118.64583333333)</f>
        <v>42118.64583</v>
      </c>
      <c r="C567" s="2">
        <f>IFERROR(__xludf.DUMMYFUNCTION("""COMPUTED_VALUE"""),1257.0)</f>
        <v>1257</v>
      </c>
    </row>
    <row r="568" ht="15.75" customHeight="1">
      <c r="B568" s="3">
        <f>IFERROR(__xludf.DUMMYFUNCTION("""COMPUTED_VALUE"""),42124.64583333333)</f>
        <v>42124.64583</v>
      </c>
      <c r="C568" s="2">
        <f>IFERROR(__xludf.DUMMYFUNCTION("""COMPUTED_VALUE"""),1260.0)</f>
        <v>1260</v>
      </c>
    </row>
    <row r="569" ht="15.75" customHeight="1">
      <c r="B569" s="3">
        <f>IFERROR(__xludf.DUMMYFUNCTION("""COMPUTED_VALUE"""),42132.64583333333)</f>
        <v>42132.64583</v>
      </c>
      <c r="C569" s="2">
        <f>IFERROR(__xludf.DUMMYFUNCTION("""COMPUTED_VALUE"""),1294.0)</f>
        <v>1294</v>
      </c>
    </row>
    <row r="570" ht="15.75" customHeight="1">
      <c r="B570" s="3">
        <f>IFERROR(__xludf.DUMMYFUNCTION("""COMPUTED_VALUE"""),42139.64583333333)</f>
        <v>42139.64583</v>
      </c>
      <c r="C570" s="2">
        <f>IFERROR(__xludf.DUMMYFUNCTION("""COMPUTED_VALUE"""),1282.5)</f>
        <v>1282.5</v>
      </c>
    </row>
    <row r="571" ht="15.75" customHeight="1">
      <c r="B571" s="3">
        <f>IFERROR(__xludf.DUMMYFUNCTION("""COMPUTED_VALUE"""),42146.64583333333)</f>
        <v>42146.64583</v>
      </c>
      <c r="C571" s="2">
        <f>IFERROR(__xludf.DUMMYFUNCTION("""COMPUTED_VALUE"""),1314.38)</f>
        <v>1314.38</v>
      </c>
    </row>
    <row r="572" ht="15.75" customHeight="1">
      <c r="B572" s="3">
        <f>IFERROR(__xludf.DUMMYFUNCTION("""COMPUTED_VALUE"""),42153.64583333333)</f>
        <v>42153.64583</v>
      </c>
      <c r="C572" s="2">
        <f>IFERROR(__xludf.DUMMYFUNCTION("""COMPUTED_VALUE"""),1324.3)</f>
        <v>1324.3</v>
      </c>
    </row>
    <row r="573" ht="15.75" customHeight="1">
      <c r="B573" s="3">
        <f>IFERROR(__xludf.DUMMYFUNCTION("""COMPUTED_VALUE"""),42160.64583333333)</f>
        <v>42160.64583</v>
      </c>
      <c r="C573" s="2">
        <f>IFERROR(__xludf.DUMMYFUNCTION("""COMPUTED_VALUE"""),1323.55)</f>
        <v>1323.55</v>
      </c>
    </row>
    <row r="574" ht="15.75" customHeight="1">
      <c r="B574" s="3">
        <f>IFERROR(__xludf.DUMMYFUNCTION("""COMPUTED_VALUE"""),42167.64583333333)</f>
        <v>42167.64583</v>
      </c>
      <c r="C574" s="2">
        <f>IFERROR(__xludf.DUMMYFUNCTION("""COMPUTED_VALUE"""),1306.5)</f>
        <v>1306.5</v>
      </c>
    </row>
    <row r="575" ht="15.75" customHeight="1">
      <c r="B575" s="3">
        <f>IFERROR(__xludf.DUMMYFUNCTION("""COMPUTED_VALUE"""),42174.64583333333)</f>
        <v>42174.64583</v>
      </c>
      <c r="C575" s="2">
        <f>IFERROR(__xludf.DUMMYFUNCTION("""COMPUTED_VALUE"""),1277.5)</f>
        <v>1277.5</v>
      </c>
    </row>
    <row r="576" ht="15.75" customHeight="1">
      <c r="B576" s="3">
        <f>IFERROR(__xludf.DUMMYFUNCTION("""COMPUTED_VALUE"""),42181.64583333333)</f>
        <v>42181.64583</v>
      </c>
      <c r="C576" s="2">
        <f>IFERROR(__xludf.DUMMYFUNCTION("""COMPUTED_VALUE"""),1304.0)</f>
        <v>1304</v>
      </c>
    </row>
    <row r="577" ht="15.75" customHeight="1">
      <c r="B577" s="3">
        <f>IFERROR(__xludf.DUMMYFUNCTION("""COMPUTED_VALUE"""),42188.64583333333)</f>
        <v>42188.64583</v>
      </c>
      <c r="C577" s="2">
        <f>IFERROR(__xludf.DUMMYFUNCTION("""COMPUTED_VALUE"""),1305.0)</f>
        <v>1305</v>
      </c>
    </row>
    <row r="578" ht="15.75" customHeight="1">
      <c r="B578" s="3">
        <f>IFERROR(__xludf.DUMMYFUNCTION("""COMPUTED_VALUE"""),42195.64583333333)</f>
        <v>42195.64583</v>
      </c>
      <c r="C578" s="2">
        <f>IFERROR(__xludf.DUMMYFUNCTION("""COMPUTED_VALUE"""),1323.45)</f>
        <v>1323.45</v>
      </c>
    </row>
    <row r="579" ht="15.75" customHeight="1">
      <c r="B579" s="3">
        <f>IFERROR(__xludf.DUMMYFUNCTION("""COMPUTED_VALUE"""),42202.64583333333)</f>
        <v>42202.64583</v>
      </c>
      <c r="C579" s="2">
        <f>IFERROR(__xludf.DUMMYFUNCTION("""COMPUTED_VALUE"""),1285.05)</f>
        <v>1285.05</v>
      </c>
    </row>
    <row r="580" ht="15.75" customHeight="1">
      <c r="B580" s="3">
        <f>IFERROR(__xludf.DUMMYFUNCTION("""COMPUTED_VALUE"""),42209.64583333333)</f>
        <v>42209.64583</v>
      </c>
      <c r="C580" s="2">
        <f>IFERROR(__xludf.DUMMYFUNCTION("""COMPUTED_VALUE"""),1300.18)</f>
        <v>1300.18</v>
      </c>
    </row>
    <row r="581" ht="15.75" customHeight="1">
      <c r="B581" s="3">
        <f>IFERROR(__xludf.DUMMYFUNCTION("""COMPUTED_VALUE"""),42216.64583333333)</f>
        <v>42216.64583</v>
      </c>
      <c r="C581" s="2">
        <f>IFERROR(__xludf.DUMMYFUNCTION("""COMPUTED_VALUE"""),1259.5)</f>
        <v>1259.5</v>
      </c>
    </row>
    <row r="582" ht="15.75" customHeight="1">
      <c r="B582" s="3">
        <f>IFERROR(__xludf.DUMMYFUNCTION("""COMPUTED_VALUE"""),42223.64583333333)</f>
        <v>42223.64583</v>
      </c>
      <c r="C582" s="2">
        <f>IFERROR(__xludf.DUMMYFUNCTION("""COMPUTED_VALUE"""),1291.5)</f>
        <v>1291.5</v>
      </c>
    </row>
    <row r="583" ht="15.75" customHeight="1">
      <c r="B583" s="3">
        <f>IFERROR(__xludf.DUMMYFUNCTION("""COMPUTED_VALUE"""),42230.64583333333)</f>
        <v>42230.64583</v>
      </c>
      <c r="C583" s="2">
        <f>IFERROR(__xludf.DUMMYFUNCTION("""COMPUTED_VALUE"""),1359.68)</f>
        <v>1359.68</v>
      </c>
    </row>
    <row r="584" ht="15.75" customHeight="1">
      <c r="B584" s="3">
        <f>IFERROR(__xludf.DUMMYFUNCTION("""COMPUTED_VALUE"""),42237.64583333333)</f>
        <v>42237.64583</v>
      </c>
      <c r="C584" s="2">
        <f>IFERROR(__xludf.DUMMYFUNCTION("""COMPUTED_VALUE"""),1376.43)</f>
        <v>1376.43</v>
      </c>
    </row>
    <row r="585" ht="15.75" customHeight="1">
      <c r="B585" s="3">
        <f>IFERROR(__xludf.DUMMYFUNCTION("""COMPUTED_VALUE"""),42244.64583333333)</f>
        <v>42244.64583</v>
      </c>
      <c r="C585" s="2">
        <f>IFERROR(__xludf.DUMMYFUNCTION("""COMPUTED_VALUE"""),1322.5)</f>
        <v>1322.5</v>
      </c>
    </row>
    <row r="586" ht="15.75" customHeight="1">
      <c r="B586" s="3">
        <f>IFERROR(__xludf.DUMMYFUNCTION("""COMPUTED_VALUE"""),42251.64583333333)</f>
        <v>42251.64583</v>
      </c>
      <c r="C586" s="2">
        <f>IFERROR(__xludf.DUMMYFUNCTION("""COMPUTED_VALUE"""),1310.22)</f>
        <v>1310.22</v>
      </c>
    </row>
    <row r="587" ht="15.75" customHeight="1">
      <c r="B587" s="3">
        <f>IFERROR(__xludf.DUMMYFUNCTION("""COMPUTED_VALUE"""),42258.64583333333)</f>
        <v>42258.64583</v>
      </c>
      <c r="C587" s="2">
        <f>IFERROR(__xludf.DUMMYFUNCTION("""COMPUTED_VALUE"""),1289.25)</f>
        <v>1289.25</v>
      </c>
    </row>
    <row r="588" ht="15.75" customHeight="1">
      <c r="B588" s="3">
        <f>IFERROR(__xludf.DUMMYFUNCTION("""COMPUTED_VALUE"""),42265.64583333333)</f>
        <v>42265.64583</v>
      </c>
      <c r="C588" s="2">
        <f>IFERROR(__xludf.DUMMYFUNCTION("""COMPUTED_VALUE"""),1293.0)</f>
        <v>1293</v>
      </c>
    </row>
    <row r="589" ht="15.75" customHeight="1">
      <c r="B589" s="3">
        <f>IFERROR(__xludf.DUMMYFUNCTION("""COMPUTED_VALUE"""),42271.64583333333)</f>
        <v>42271.64583</v>
      </c>
      <c r="C589" s="2">
        <f>IFERROR(__xludf.DUMMYFUNCTION("""COMPUTED_VALUE"""),1295.0)</f>
        <v>1295</v>
      </c>
    </row>
    <row r="590" ht="15.75" customHeight="1">
      <c r="B590" s="3">
        <f>IFERROR(__xludf.DUMMYFUNCTION("""COMPUTED_VALUE"""),42278.64583333333)</f>
        <v>42278.64583</v>
      </c>
      <c r="C590" s="2">
        <f>IFERROR(__xludf.DUMMYFUNCTION("""COMPUTED_VALUE"""),1324.98)</f>
        <v>1324.98</v>
      </c>
    </row>
    <row r="591" ht="15.75" customHeight="1">
      <c r="B591" s="3">
        <f>IFERROR(__xludf.DUMMYFUNCTION("""COMPUTED_VALUE"""),42286.64583333333)</f>
        <v>42286.64583</v>
      </c>
      <c r="C591" s="2">
        <f>IFERROR(__xludf.DUMMYFUNCTION("""COMPUTED_VALUE"""),1385.0)</f>
        <v>1385</v>
      </c>
    </row>
    <row r="592" ht="15.75" customHeight="1">
      <c r="B592" s="3">
        <f>IFERROR(__xludf.DUMMYFUNCTION("""COMPUTED_VALUE"""),42293.64583333333)</f>
        <v>42293.64583</v>
      </c>
      <c r="C592" s="2">
        <f>IFERROR(__xludf.DUMMYFUNCTION("""COMPUTED_VALUE"""),1330.18)</f>
        <v>1330.18</v>
      </c>
    </row>
    <row r="593" ht="15.75" customHeight="1">
      <c r="B593" s="3">
        <f>IFERROR(__xludf.DUMMYFUNCTION("""COMPUTED_VALUE"""),42300.64583333333)</f>
        <v>42300.64583</v>
      </c>
      <c r="C593" s="2">
        <f>IFERROR(__xludf.DUMMYFUNCTION("""COMPUTED_VALUE"""),1274.0)</f>
        <v>1274</v>
      </c>
    </row>
    <row r="594" ht="15.75" customHeight="1">
      <c r="B594" s="3">
        <f>IFERROR(__xludf.DUMMYFUNCTION("""COMPUTED_VALUE"""),42307.64583333333)</f>
        <v>42307.64583</v>
      </c>
      <c r="C594" s="2">
        <f>IFERROR(__xludf.DUMMYFUNCTION("""COMPUTED_VALUE"""),1274.5)</f>
        <v>1274.5</v>
      </c>
    </row>
    <row r="595" ht="15.75" customHeight="1">
      <c r="B595" s="3">
        <f>IFERROR(__xludf.DUMMYFUNCTION("""COMPUTED_VALUE"""),42314.64583333333)</f>
        <v>42314.64583</v>
      </c>
      <c r="C595" s="2">
        <f>IFERROR(__xludf.DUMMYFUNCTION("""COMPUTED_VALUE"""),1273.9)</f>
        <v>1273.9</v>
      </c>
    </row>
    <row r="596" ht="15.75" customHeight="1">
      <c r="B596" s="3">
        <f>IFERROR(__xludf.DUMMYFUNCTION("""COMPUTED_VALUE"""),42321.64583333333)</f>
        <v>42321.64583</v>
      </c>
      <c r="C596" s="2">
        <f>IFERROR(__xludf.DUMMYFUNCTION("""COMPUTED_VALUE"""),1251.38)</f>
        <v>1251.38</v>
      </c>
    </row>
    <row r="597" ht="15.75" customHeight="1">
      <c r="B597" s="3">
        <f>IFERROR(__xludf.DUMMYFUNCTION("""COMPUTED_VALUE"""),42328.64583333333)</f>
        <v>42328.64583</v>
      </c>
      <c r="C597" s="2">
        <f>IFERROR(__xludf.DUMMYFUNCTION("""COMPUTED_VALUE"""),1211.78)</f>
        <v>1211.78</v>
      </c>
    </row>
    <row r="598" ht="15.75" customHeight="1">
      <c r="B598" s="3">
        <f>IFERROR(__xludf.DUMMYFUNCTION("""COMPUTED_VALUE"""),42335.64583333333)</f>
        <v>42335.64583</v>
      </c>
      <c r="C598" s="2">
        <f>IFERROR(__xludf.DUMMYFUNCTION("""COMPUTED_VALUE"""),1206.7)</f>
        <v>1206.7</v>
      </c>
    </row>
    <row r="599" ht="15.75" customHeight="1">
      <c r="B599" s="3">
        <f>IFERROR(__xludf.DUMMYFUNCTION("""COMPUTED_VALUE"""),42342.64583333333)</f>
        <v>42342.64583</v>
      </c>
      <c r="C599" s="2">
        <f>IFERROR(__xludf.DUMMYFUNCTION("""COMPUTED_VALUE"""),1195.63)</f>
        <v>1195.63</v>
      </c>
    </row>
    <row r="600" ht="15.75" customHeight="1">
      <c r="B600" s="3">
        <f>IFERROR(__xludf.DUMMYFUNCTION("""COMPUTED_VALUE"""),42349.64583333333)</f>
        <v>42349.64583</v>
      </c>
      <c r="C600" s="2">
        <f>IFERROR(__xludf.DUMMYFUNCTION("""COMPUTED_VALUE"""),1195.97)</f>
        <v>1195.97</v>
      </c>
    </row>
    <row r="601" ht="15.75" customHeight="1">
      <c r="B601" s="3">
        <f>IFERROR(__xludf.DUMMYFUNCTION("""COMPUTED_VALUE"""),42356.64583333333)</f>
        <v>42356.64583</v>
      </c>
      <c r="C601" s="2">
        <f>IFERROR(__xludf.DUMMYFUNCTION("""COMPUTED_VALUE"""),1222.5)</f>
        <v>1222.5</v>
      </c>
    </row>
    <row r="602" ht="15.75" customHeight="1">
      <c r="B602" s="3">
        <f>IFERROR(__xludf.DUMMYFUNCTION("""COMPUTED_VALUE"""),42362.64583333333)</f>
        <v>42362.64583</v>
      </c>
      <c r="C602" s="2">
        <f>IFERROR(__xludf.DUMMYFUNCTION("""COMPUTED_VALUE"""),1225.0)</f>
        <v>1225</v>
      </c>
    </row>
    <row r="603" ht="15.75" customHeight="1">
      <c r="B603" s="3">
        <f>IFERROR(__xludf.DUMMYFUNCTION("""COMPUTED_VALUE"""),42370.64583333333)</f>
        <v>42370.64583</v>
      </c>
      <c r="C603" s="2">
        <f>IFERROR(__xludf.DUMMYFUNCTION("""COMPUTED_VALUE"""),1233.2)</f>
        <v>1233.2</v>
      </c>
    </row>
    <row r="604" ht="15.75" customHeight="1"/>
    <row r="605" ht="15.75" customHeight="1"/>
    <row r="606" ht="15.75" customHeight="1">
      <c r="B606" s="2" t="str">
        <f>IFERROR(__xludf.DUMMYFUNCTION("GOOGLEFINANCE(""NSE:TCS"", ""high"",DATE(2016,1,1),DATE(2017,1,1),""weekly"")"),"Date")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IFERROR(__xludf.DUMMYFUNCTION("""COMPUTED_VALUE"""),42377.64583333333)</f>
        <v>42377.64583</v>
      </c>
      <c r="C607" s="2">
        <f>IFERROR(__xludf.DUMMYFUNCTION("""COMPUTED_VALUE"""),1207.0)</f>
        <v>1207</v>
      </c>
    </row>
    <row r="608" ht="15.75" customHeight="1">
      <c r="B608" s="3">
        <f>IFERROR(__xludf.DUMMYFUNCTION("""COMPUTED_VALUE"""),42384.64583333333)</f>
        <v>42384.64583</v>
      </c>
      <c r="C608" s="2">
        <f>IFERROR(__xludf.DUMMYFUNCTION("""COMPUTED_VALUE"""),1192.0)</f>
        <v>1192</v>
      </c>
    </row>
    <row r="609" ht="15.75" customHeight="1">
      <c r="B609" s="3">
        <f>IFERROR(__xludf.DUMMYFUNCTION("""COMPUTED_VALUE"""),42391.64583333333)</f>
        <v>42391.64583</v>
      </c>
      <c r="C609" s="2">
        <f>IFERROR(__xludf.DUMMYFUNCTION("""COMPUTED_VALUE"""),1151.03)</f>
        <v>1151.03</v>
      </c>
    </row>
    <row r="610" ht="15.75" customHeight="1">
      <c r="B610" s="3">
        <f>IFERROR(__xludf.DUMMYFUNCTION("""COMPUTED_VALUE"""),42398.64583333333)</f>
        <v>42398.64583</v>
      </c>
      <c r="C610" s="2">
        <f>IFERROR(__xludf.DUMMYFUNCTION("""COMPUTED_VALUE"""),1200.0)</f>
        <v>1200</v>
      </c>
    </row>
    <row r="611" ht="15.75" customHeight="1">
      <c r="B611" s="3">
        <f>IFERROR(__xludf.DUMMYFUNCTION("""COMPUTED_VALUE"""),42405.64583333333)</f>
        <v>42405.64583</v>
      </c>
      <c r="C611" s="2">
        <f>IFERROR(__xludf.DUMMYFUNCTION("""COMPUTED_VALUE"""),1220.0)</f>
        <v>1220</v>
      </c>
    </row>
    <row r="612" ht="15.75" customHeight="1">
      <c r="B612" s="3">
        <f>IFERROR(__xludf.DUMMYFUNCTION("""COMPUTED_VALUE"""),42412.64583333333)</f>
        <v>42412.64583</v>
      </c>
      <c r="C612" s="2">
        <f>IFERROR(__xludf.DUMMYFUNCTION("""COMPUTED_VALUE"""),1206.03)</f>
        <v>1206.03</v>
      </c>
    </row>
    <row r="613" ht="15.75" customHeight="1">
      <c r="B613" s="3">
        <f>IFERROR(__xludf.DUMMYFUNCTION("""COMPUTED_VALUE"""),42419.64583333333)</f>
        <v>42419.64583</v>
      </c>
      <c r="C613" s="2">
        <f>IFERROR(__xludf.DUMMYFUNCTION("""COMPUTED_VALUE"""),1163.5)</f>
        <v>1163.5</v>
      </c>
    </row>
    <row r="614" ht="15.75" customHeight="1">
      <c r="B614" s="3">
        <f>IFERROR(__xludf.DUMMYFUNCTION("""COMPUTED_VALUE"""),42426.64583333333)</f>
        <v>42426.64583</v>
      </c>
      <c r="C614" s="2">
        <f>IFERROR(__xludf.DUMMYFUNCTION("""COMPUTED_VALUE"""),1171.5)</f>
        <v>1171.5</v>
      </c>
    </row>
    <row r="615" ht="15.75" customHeight="1">
      <c r="B615" s="3">
        <f>IFERROR(__xludf.DUMMYFUNCTION("""COMPUTED_VALUE"""),42433.64583333333)</f>
        <v>42433.64583</v>
      </c>
      <c r="C615" s="2">
        <f>IFERROR(__xludf.DUMMYFUNCTION("""COMPUTED_VALUE"""),1195.5)</f>
        <v>1195.5</v>
      </c>
    </row>
    <row r="616" ht="15.75" customHeight="1">
      <c r="B616" s="3">
        <f>IFERROR(__xludf.DUMMYFUNCTION("""COMPUTED_VALUE"""),42440.64583333333)</f>
        <v>42440.64583</v>
      </c>
      <c r="C616" s="2">
        <f>IFERROR(__xludf.DUMMYFUNCTION("""COMPUTED_VALUE"""),1195.43)</f>
        <v>1195.43</v>
      </c>
    </row>
    <row r="617" ht="15.75" customHeight="1">
      <c r="B617" s="3">
        <f>IFERROR(__xludf.DUMMYFUNCTION("""COMPUTED_VALUE"""),42447.64583333333)</f>
        <v>42447.64583</v>
      </c>
      <c r="C617" s="2">
        <f>IFERROR(__xludf.DUMMYFUNCTION("""COMPUTED_VALUE"""),1215.0)</f>
        <v>1215</v>
      </c>
    </row>
    <row r="618" ht="15.75" customHeight="1">
      <c r="B618" s="3">
        <f>IFERROR(__xludf.DUMMYFUNCTION("""COMPUTED_VALUE"""),42452.64583333333)</f>
        <v>42452.64583</v>
      </c>
      <c r="C618" s="2">
        <f>IFERROR(__xludf.DUMMYFUNCTION("""COMPUTED_VALUE"""),1243.95)</f>
        <v>1243.95</v>
      </c>
    </row>
    <row r="619" ht="15.75" customHeight="1">
      <c r="B619" s="3">
        <f>IFERROR(__xludf.DUMMYFUNCTION("""COMPUTED_VALUE"""),42461.64583333333)</f>
        <v>42461.64583</v>
      </c>
      <c r="C619" s="2">
        <f>IFERROR(__xludf.DUMMYFUNCTION("""COMPUTED_VALUE"""),1275.0)</f>
        <v>1275</v>
      </c>
    </row>
    <row r="620" ht="15.75" customHeight="1">
      <c r="B620" s="3">
        <f>IFERROR(__xludf.DUMMYFUNCTION("""COMPUTED_VALUE"""),42468.64583333333)</f>
        <v>42468.64583</v>
      </c>
      <c r="C620" s="2">
        <f>IFERROR(__xludf.DUMMYFUNCTION("""COMPUTED_VALUE"""),1244.5)</f>
        <v>1244.5</v>
      </c>
    </row>
    <row r="621" ht="15.75" customHeight="1">
      <c r="B621" s="3">
        <f>IFERROR(__xludf.DUMMYFUNCTION("""COMPUTED_VALUE"""),42473.64583333333)</f>
        <v>42473.64583</v>
      </c>
      <c r="C621" s="2">
        <f>IFERROR(__xludf.DUMMYFUNCTION("""COMPUTED_VALUE"""),1272.5)</f>
        <v>1272.5</v>
      </c>
    </row>
    <row r="622" ht="15.75" customHeight="1">
      <c r="B622" s="3">
        <f>IFERROR(__xludf.DUMMYFUNCTION("""COMPUTED_VALUE"""),42482.64583333333)</f>
        <v>42482.64583</v>
      </c>
      <c r="C622" s="2">
        <f>IFERROR(__xludf.DUMMYFUNCTION("""COMPUTED_VALUE"""),1276.75)</f>
        <v>1276.75</v>
      </c>
    </row>
    <row r="623" ht="15.75" customHeight="1">
      <c r="B623" s="3">
        <f>IFERROR(__xludf.DUMMYFUNCTION("""COMPUTED_VALUE"""),42489.64583333333)</f>
        <v>42489.64583</v>
      </c>
      <c r="C623" s="2">
        <f>IFERROR(__xludf.DUMMYFUNCTION("""COMPUTED_VALUE"""),1271.0)</f>
        <v>1271</v>
      </c>
    </row>
    <row r="624" ht="15.75" customHeight="1">
      <c r="B624" s="3">
        <f>IFERROR(__xludf.DUMMYFUNCTION("""COMPUTED_VALUE"""),42496.64583333333)</f>
        <v>42496.64583</v>
      </c>
      <c r="C624" s="2">
        <f>IFERROR(__xludf.DUMMYFUNCTION("""COMPUTED_VALUE"""),1265.0)</f>
        <v>1265</v>
      </c>
    </row>
    <row r="625" ht="15.75" customHeight="1">
      <c r="B625" s="3">
        <f>IFERROR(__xludf.DUMMYFUNCTION("""COMPUTED_VALUE"""),42503.64583333333)</f>
        <v>42503.64583</v>
      </c>
      <c r="C625" s="2">
        <f>IFERROR(__xludf.DUMMYFUNCTION("""COMPUTED_VALUE"""),1284.95)</f>
        <v>1284.95</v>
      </c>
    </row>
    <row r="626" ht="15.75" customHeight="1">
      <c r="B626" s="3">
        <f>IFERROR(__xludf.DUMMYFUNCTION("""COMPUTED_VALUE"""),42510.64583333333)</f>
        <v>42510.64583</v>
      </c>
      <c r="C626" s="2">
        <f>IFERROR(__xludf.DUMMYFUNCTION("""COMPUTED_VALUE"""),1295.63)</f>
        <v>1295.63</v>
      </c>
    </row>
    <row r="627" ht="15.75" customHeight="1">
      <c r="B627" s="3">
        <f>IFERROR(__xludf.DUMMYFUNCTION("""COMPUTED_VALUE"""),42517.64583333333)</f>
        <v>42517.64583</v>
      </c>
      <c r="C627" s="2">
        <f>IFERROR(__xludf.DUMMYFUNCTION("""COMPUTED_VALUE"""),1289.93)</f>
        <v>1289.93</v>
      </c>
    </row>
    <row r="628" ht="15.75" customHeight="1">
      <c r="B628" s="3">
        <f>IFERROR(__xludf.DUMMYFUNCTION("""COMPUTED_VALUE"""),42524.64583333333)</f>
        <v>42524.64583</v>
      </c>
      <c r="C628" s="2">
        <f>IFERROR(__xludf.DUMMYFUNCTION("""COMPUTED_VALUE"""),1329.0)</f>
        <v>1329</v>
      </c>
    </row>
    <row r="629" ht="15.75" customHeight="1">
      <c r="B629" s="3">
        <f>IFERROR(__xludf.DUMMYFUNCTION("""COMPUTED_VALUE"""),42531.64583333333)</f>
        <v>42531.64583</v>
      </c>
      <c r="C629" s="2">
        <f>IFERROR(__xludf.DUMMYFUNCTION("""COMPUTED_VALUE"""),1319.5)</f>
        <v>1319.5</v>
      </c>
    </row>
    <row r="630" ht="15.75" customHeight="1">
      <c r="B630" s="3">
        <f>IFERROR(__xludf.DUMMYFUNCTION("""COMPUTED_VALUE"""),42538.64583333333)</f>
        <v>42538.64583</v>
      </c>
      <c r="C630" s="2">
        <f>IFERROR(__xludf.DUMMYFUNCTION("""COMPUTED_VALUE"""),1305.0)</f>
        <v>1305</v>
      </c>
    </row>
    <row r="631" ht="15.75" customHeight="1">
      <c r="B631" s="3">
        <f>IFERROR(__xludf.DUMMYFUNCTION("""COMPUTED_VALUE"""),42545.64583333333)</f>
        <v>42545.64583</v>
      </c>
      <c r="C631" s="2">
        <f>IFERROR(__xludf.DUMMYFUNCTION("""COMPUTED_VALUE"""),1338.85)</f>
        <v>1338.85</v>
      </c>
    </row>
    <row r="632" ht="15.75" customHeight="1">
      <c r="B632" s="3">
        <f>IFERROR(__xludf.DUMMYFUNCTION("""COMPUTED_VALUE"""),42552.64583333333)</f>
        <v>42552.64583</v>
      </c>
      <c r="C632" s="2">
        <f>IFERROR(__xludf.DUMMYFUNCTION("""COMPUTED_VALUE"""),1282.3)</f>
        <v>1282.3</v>
      </c>
    </row>
    <row r="633" ht="15.75" customHeight="1">
      <c r="B633" s="3">
        <f>IFERROR(__xludf.DUMMYFUNCTION("""COMPUTED_VALUE"""),42559.64583333333)</f>
        <v>42559.64583</v>
      </c>
      <c r="C633" s="2">
        <f>IFERROR(__xludf.DUMMYFUNCTION("""COMPUTED_VALUE"""),1262.93)</f>
        <v>1262.93</v>
      </c>
    </row>
    <row r="634" ht="15.75" customHeight="1">
      <c r="B634" s="3">
        <f>IFERROR(__xludf.DUMMYFUNCTION("""COMPUTED_VALUE"""),42566.64583333333)</f>
        <v>42566.64583</v>
      </c>
      <c r="C634" s="2">
        <f>IFERROR(__xludf.DUMMYFUNCTION("""COMPUTED_VALUE"""),1264.5)</f>
        <v>1264.5</v>
      </c>
    </row>
    <row r="635" ht="15.75" customHeight="1">
      <c r="B635" s="3">
        <f>IFERROR(__xludf.DUMMYFUNCTION("""COMPUTED_VALUE"""),42573.64583333333)</f>
        <v>42573.64583</v>
      </c>
      <c r="C635" s="2">
        <f>IFERROR(__xludf.DUMMYFUNCTION("""COMPUTED_VALUE"""),1262.0)</f>
        <v>1262</v>
      </c>
    </row>
    <row r="636" ht="15.75" customHeight="1">
      <c r="B636" s="3">
        <f>IFERROR(__xludf.DUMMYFUNCTION("""COMPUTED_VALUE"""),42580.64583333333)</f>
        <v>42580.64583</v>
      </c>
      <c r="C636" s="2">
        <f>IFERROR(__xludf.DUMMYFUNCTION("""COMPUTED_VALUE"""),1317.45)</f>
        <v>1317.45</v>
      </c>
    </row>
    <row r="637" ht="15.75" customHeight="1">
      <c r="B637" s="3">
        <f>IFERROR(__xludf.DUMMYFUNCTION("""COMPUTED_VALUE"""),42587.64583333333)</f>
        <v>42587.64583</v>
      </c>
      <c r="C637" s="2">
        <f>IFERROR(__xludf.DUMMYFUNCTION("""COMPUTED_VALUE"""),1362.5)</f>
        <v>1362.5</v>
      </c>
    </row>
    <row r="638" ht="15.75" customHeight="1">
      <c r="B638" s="3">
        <f>IFERROR(__xludf.DUMMYFUNCTION("""COMPUTED_VALUE"""),42594.64583333333)</f>
        <v>42594.64583</v>
      </c>
      <c r="C638" s="2">
        <f>IFERROR(__xludf.DUMMYFUNCTION("""COMPUTED_VALUE"""),1372.4)</f>
        <v>1372.4</v>
      </c>
    </row>
    <row r="639" ht="15.75" customHeight="1">
      <c r="B639" s="3">
        <f>IFERROR(__xludf.DUMMYFUNCTION("""COMPUTED_VALUE"""),42601.64583333333)</f>
        <v>42601.64583</v>
      </c>
      <c r="C639" s="2">
        <f>IFERROR(__xludf.DUMMYFUNCTION("""COMPUTED_VALUE"""),1370.0)</f>
        <v>1370</v>
      </c>
    </row>
    <row r="640" ht="15.75" customHeight="1">
      <c r="B640" s="3">
        <f>IFERROR(__xludf.DUMMYFUNCTION("""COMPUTED_VALUE"""),42608.64583333333)</f>
        <v>42608.64583</v>
      </c>
      <c r="C640" s="2">
        <f>IFERROR(__xludf.DUMMYFUNCTION("""COMPUTED_VALUE"""),1302.47)</f>
        <v>1302.47</v>
      </c>
    </row>
    <row r="641" ht="15.75" customHeight="1">
      <c r="B641" s="3">
        <f>IFERROR(__xludf.DUMMYFUNCTION("""COMPUTED_VALUE"""),42615.64583333333)</f>
        <v>42615.64583</v>
      </c>
      <c r="C641" s="2">
        <f>IFERROR(__xludf.DUMMYFUNCTION("""COMPUTED_VALUE"""),1275.0)</f>
        <v>1275</v>
      </c>
    </row>
    <row r="642" ht="15.75" customHeight="1">
      <c r="B642" s="3">
        <f>IFERROR(__xludf.DUMMYFUNCTION("""COMPUTED_VALUE"""),42622.64583333333)</f>
        <v>42622.64583</v>
      </c>
      <c r="C642" s="2">
        <f>IFERROR(__xludf.DUMMYFUNCTION("""COMPUTED_VALUE"""),1260.08)</f>
        <v>1260.08</v>
      </c>
    </row>
    <row r="643" ht="15.75" customHeight="1">
      <c r="B643" s="3">
        <f>IFERROR(__xludf.DUMMYFUNCTION("""COMPUTED_VALUE"""),42629.64583333333)</f>
        <v>42629.64583</v>
      </c>
      <c r="C643" s="2">
        <f>IFERROR(__xludf.DUMMYFUNCTION("""COMPUTED_VALUE"""),1188.8)</f>
        <v>1188.8</v>
      </c>
    </row>
    <row r="644" ht="15.75" customHeight="1">
      <c r="B644" s="3">
        <f>IFERROR(__xludf.DUMMYFUNCTION("""COMPUTED_VALUE"""),42636.64583333333)</f>
        <v>42636.64583</v>
      </c>
      <c r="C644" s="2">
        <f>IFERROR(__xludf.DUMMYFUNCTION("""COMPUTED_VALUE"""),1214.0)</f>
        <v>1214</v>
      </c>
    </row>
    <row r="645" ht="15.75" customHeight="1">
      <c r="B645" s="3">
        <f>IFERROR(__xludf.DUMMYFUNCTION("""COMPUTED_VALUE"""),42643.64583333333)</f>
        <v>42643.64583</v>
      </c>
      <c r="C645" s="2">
        <f>IFERROR(__xludf.DUMMYFUNCTION("""COMPUTED_VALUE"""),1228.25)</f>
        <v>1228.25</v>
      </c>
    </row>
    <row r="646" ht="15.75" customHeight="1">
      <c r="B646" s="3">
        <f>IFERROR(__xludf.DUMMYFUNCTION("""COMPUTED_VALUE"""),42650.64583333333)</f>
        <v>42650.64583</v>
      </c>
      <c r="C646" s="2">
        <f>IFERROR(__xludf.DUMMYFUNCTION("""COMPUTED_VALUE"""),1228.83)</f>
        <v>1228.83</v>
      </c>
    </row>
    <row r="647" ht="15.75" customHeight="1">
      <c r="B647" s="3">
        <f>IFERROR(__xludf.DUMMYFUNCTION("""COMPUTED_VALUE"""),42657.64583333333)</f>
        <v>42657.64583</v>
      </c>
      <c r="C647" s="2">
        <f>IFERROR(__xludf.DUMMYFUNCTION("""COMPUTED_VALUE"""),1193.5)</f>
        <v>1193.5</v>
      </c>
    </row>
    <row r="648" ht="15.75" customHeight="1">
      <c r="B648" s="3">
        <f>IFERROR(__xludf.DUMMYFUNCTION("""COMPUTED_VALUE"""),42664.64583333333)</f>
        <v>42664.64583</v>
      </c>
      <c r="C648" s="2">
        <f>IFERROR(__xludf.DUMMYFUNCTION("""COMPUTED_VALUE"""),1215.95)</f>
        <v>1215.95</v>
      </c>
    </row>
    <row r="649" ht="15.75" customHeight="1">
      <c r="B649" s="3">
        <f>IFERROR(__xludf.DUMMYFUNCTION("""COMPUTED_VALUE"""),42671.64583333333)</f>
        <v>42671.64583</v>
      </c>
      <c r="C649" s="2">
        <f>IFERROR(__xludf.DUMMYFUNCTION("""COMPUTED_VALUE"""),1217.45)</f>
        <v>1217.45</v>
      </c>
    </row>
    <row r="650" ht="15.75" customHeight="1">
      <c r="B650" s="3">
        <f>IFERROR(__xludf.DUMMYFUNCTION("""COMPUTED_VALUE"""),42678.64583333333)</f>
        <v>42678.64583</v>
      </c>
      <c r="C650" s="2">
        <f>IFERROR(__xludf.DUMMYFUNCTION("""COMPUTED_VALUE"""),1204.47)</f>
        <v>1204.47</v>
      </c>
    </row>
    <row r="651" ht="15.75" customHeight="1">
      <c r="B651" s="3">
        <f>IFERROR(__xludf.DUMMYFUNCTION("""COMPUTED_VALUE"""),42685.64583333333)</f>
        <v>42685.64583</v>
      </c>
      <c r="C651" s="2">
        <f>IFERROR(__xludf.DUMMYFUNCTION("""COMPUTED_VALUE"""),1172.45)</f>
        <v>1172.45</v>
      </c>
    </row>
    <row r="652" ht="15.75" customHeight="1">
      <c r="B652" s="3">
        <f>IFERROR(__xludf.DUMMYFUNCTION("""COMPUTED_VALUE"""),42692.64583333333)</f>
        <v>42692.64583</v>
      </c>
      <c r="C652" s="2">
        <f>IFERROR(__xludf.DUMMYFUNCTION("""COMPUTED_VALUE"""),1104.45)</f>
        <v>1104.45</v>
      </c>
    </row>
    <row r="653" ht="15.75" customHeight="1">
      <c r="B653" s="3">
        <f>IFERROR(__xludf.DUMMYFUNCTION("""COMPUTED_VALUE"""),42699.64583333333)</f>
        <v>42699.64583</v>
      </c>
      <c r="C653" s="2">
        <f>IFERROR(__xludf.DUMMYFUNCTION("""COMPUTED_VALUE"""),1153.63)</f>
        <v>1153.63</v>
      </c>
    </row>
    <row r="654" ht="15.75" customHeight="1">
      <c r="B654" s="3">
        <f>IFERROR(__xludf.DUMMYFUNCTION("""COMPUTED_VALUE"""),42706.64583333333)</f>
        <v>42706.64583</v>
      </c>
      <c r="C654" s="2">
        <f>IFERROR(__xludf.DUMMYFUNCTION("""COMPUTED_VALUE"""),1159.72)</f>
        <v>1159.72</v>
      </c>
    </row>
    <row r="655" ht="15.75" customHeight="1">
      <c r="B655" s="3">
        <f>IFERROR(__xludf.DUMMYFUNCTION("""COMPUTED_VALUE"""),42713.64583333333)</f>
        <v>42713.64583</v>
      </c>
      <c r="C655" s="2">
        <f>IFERROR(__xludf.DUMMYFUNCTION("""COMPUTED_VALUE"""),1118.93)</f>
        <v>1118.93</v>
      </c>
    </row>
    <row r="656" ht="15.75" customHeight="1">
      <c r="B656" s="3">
        <f>IFERROR(__xludf.DUMMYFUNCTION("""COMPUTED_VALUE"""),42720.64583333333)</f>
        <v>42720.64583</v>
      </c>
      <c r="C656" s="2">
        <f>IFERROR(__xludf.DUMMYFUNCTION("""COMPUTED_VALUE"""),1145.0)</f>
        <v>1145</v>
      </c>
    </row>
    <row r="657" ht="15.75" customHeight="1">
      <c r="B657" s="3">
        <f>IFERROR(__xludf.DUMMYFUNCTION("""COMPUTED_VALUE"""),42727.64583333333)</f>
        <v>42727.64583</v>
      </c>
      <c r="C657" s="2">
        <f>IFERROR(__xludf.DUMMYFUNCTION("""COMPUTED_VALUE"""),1172.5)</f>
        <v>1172.5</v>
      </c>
    </row>
    <row r="658" ht="15.75" customHeight="1">
      <c r="B658" s="3">
        <f>IFERROR(__xludf.DUMMYFUNCTION("""COMPUTED_VALUE"""),42734.64583333333)</f>
        <v>42734.64583</v>
      </c>
      <c r="C658" s="2">
        <f>IFERROR(__xludf.DUMMYFUNCTION("""COMPUTED_VALUE"""),1189.3)</f>
        <v>1189.3</v>
      </c>
    </row>
    <row r="659" ht="15.75" customHeight="1"/>
    <row r="660" ht="15.75" customHeight="1"/>
    <row r="661" ht="15.75" customHeight="1">
      <c r="B661" s="2" t="str">
        <f>IFERROR(__xludf.DUMMYFUNCTION("GOOGLEFINANCE(""NSE:TCS"", ""high"",DATE(2017,1,1),DATE(2018,1,1),""weekly"")"),"Date")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IFERROR(__xludf.DUMMYFUNCTION("""COMPUTED_VALUE"""),42741.64583333333)</f>
        <v>42741.64583</v>
      </c>
      <c r="C662" s="2">
        <f>IFERROR(__xludf.DUMMYFUNCTION("""COMPUTED_VALUE"""),1194.97)</f>
        <v>1194.97</v>
      </c>
    </row>
    <row r="663" ht="15.75" customHeight="1">
      <c r="B663" s="3">
        <f>IFERROR(__xludf.DUMMYFUNCTION("""COMPUTED_VALUE"""),42748.64583333333)</f>
        <v>42748.64583</v>
      </c>
      <c r="C663" s="2">
        <f>IFERROR(__xludf.DUMMYFUNCTION("""COMPUTED_VALUE"""),1180.0)</f>
        <v>1180</v>
      </c>
    </row>
    <row r="664" ht="15.75" customHeight="1">
      <c r="B664" s="3">
        <f>IFERROR(__xludf.DUMMYFUNCTION("""COMPUTED_VALUE"""),42755.64583333333)</f>
        <v>42755.64583</v>
      </c>
      <c r="C664" s="2">
        <f>IFERROR(__xludf.DUMMYFUNCTION("""COMPUTED_VALUE"""),1150.0)</f>
        <v>1150</v>
      </c>
    </row>
    <row r="665" ht="15.75" customHeight="1">
      <c r="B665" s="3">
        <f>IFERROR(__xludf.DUMMYFUNCTION("""COMPUTED_VALUE"""),42762.64583333333)</f>
        <v>42762.64583</v>
      </c>
      <c r="C665" s="2">
        <f>IFERROR(__xludf.DUMMYFUNCTION("""COMPUTED_VALUE"""),1189.38)</f>
        <v>1189.38</v>
      </c>
    </row>
    <row r="666" ht="15.75" customHeight="1">
      <c r="B666" s="3">
        <f>IFERROR(__xludf.DUMMYFUNCTION("""COMPUTED_VALUE"""),42769.64583333333)</f>
        <v>42769.64583</v>
      </c>
      <c r="C666" s="2">
        <f>IFERROR(__xludf.DUMMYFUNCTION("""COMPUTED_VALUE"""),1175.97)</f>
        <v>1175.97</v>
      </c>
    </row>
    <row r="667" ht="15.75" customHeight="1">
      <c r="B667" s="3">
        <f>IFERROR(__xludf.DUMMYFUNCTION("""COMPUTED_VALUE"""),42776.64583333333)</f>
        <v>42776.64583</v>
      </c>
      <c r="C667" s="2">
        <f>IFERROR(__xludf.DUMMYFUNCTION("""COMPUTED_VALUE"""),1212.22)</f>
        <v>1212.22</v>
      </c>
    </row>
    <row r="668" ht="15.75" customHeight="1">
      <c r="B668" s="3">
        <f>IFERROR(__xludf.DUMMYFUNCTION("""COMPUTED_VALUE"""),42783.64583333333)</f>
        <v>42783.64583</v>
      </c>
      <c r="C668" s="2">
        <f>IFERROR(__xludf.DUMMYFUNCTION("""COMPUTED_VALUE"""),1239.0)</f>
        <v>1239</v>
      </c>
    </row>
    <row r="669" ht="15.75" customHeight="1">
      <c r="B669" s="3">
        <f>IFERROR(__xludf.DUMMYFUNCTION("""COMPUTED_VALUE"""),42789.64583333333)</f>
        <v>42789.64583</v>
      </c>
      <c r="C669" s="2">
        <f>IFERROR(__xludf.DUMMYFUNCTION("""COMPUTED_VALUE"""),1277.5)</f>
        <v>1277.5</v>
      </c>
    </row>
    <row r="670" ht="15.75" customHeight="1">
      <c r="B670" s="3">
        <f>IFERROR(__xludf.DUMMYFUNCTION("""COMPUTED_VALUE"""),42797.64583333333)</f>
        <v>42797.64583</v>
      </c>
      <c r="C670" s="2">
        <f>IFERROR(__xludf.DUMMYFUNCTION("""COMPUTED_VALUE"""),1255.0)</f>
        <v>1255</v>
      </c>
    </row>
    <row r="671" ht="15.75" customHeight="1">
      <c r="B671" s="3">
        <f>IFERROR(__xludf.DUMMYFUNCTION("""COMPUTED_VALUE"""),42804.64583333333)</f>
        <v>42804.64583</v>
      </c>
      <c r="C671" s="2">
        <f>IFERROR(__xludf.DUMMYFUNCTION("""COMPUTED_VALUE"""),1274.78)</f>
        <v>1274.78</v>
      </c>
    </row>
    <row r="672" ht="15.75" customHeight="1">
      <c r="B672" s="3">
        <f>IFERROR(__xludf.DUMMYFUNCTION("""COMPUTED_VALUE"""),42811.64583333333)</f>
        <v>42811.64583</v>
      </c>
      <c r="C672" s="2">
        <f>IFERROR(__xludf.DUMMYFUNCTION("""COMPUTED_VALUE"""),1293.58)</f>
        <v>1293.58</v>
      </c>
    </row>
    <row r="673" ht="15.75" customHeight="1">
      <c r="B673" s="3">
        <f>IFERROR(__xludf.DUMMYFUNCTION("""COMPUTED_VALUE"""),42818.64583333333)</f>
        <v>42818.64583</v>
      </c>
      <c r="C673" s="2">
        <f>IFERROR(__xludf.DUMMYFUNCTION("""COMPUTED_VALUE"""),1262.97)</f>
        <v>1262.97</v>
      </c>
    </row>
    <row r="674" ht="15.75" customHeight="1">
      <c r="B674" s="3">
        <f>IFERROR(__xludf.DUMMYFUNCTION("""COMPUTED_VALUE"""),42825.64583333333)</f>
        <v>42825.64583</v>
      </c>
      <c r="C674" s="2">
        <f>IFERROR(__xludf.DUMMYFUNCTION("""COMPUTED_VALUE"""),1232.5)</f>
        <v>1232.5</v>
      </c>
    </row>
    <row r="675" ht="15.75" customHeight="1">
      <c r="B675" s="3">
        <f>IFERROR(__xludf.DUMMYFUNCTION("""COMPUTED_VALUE"""),42832.64583333333)</f>
        <v>42832.64583</v>
      </c>
      <c r="C675" s="2">
        <f>IFERROR(__xludf.DUMMYFUNCTION("""COMPUTED_VALUE"""),1217.5)</f>
        <v>1217.5</v>
      </c>
    </row>
    <row r="676" ht="15.75" customHeight="1">
      <c r="B676" s="3">
        <f>IFERROR(__xludf.DUMMYFUNCTION("""COMPUTED_VALUE"""),42838.64583333333)</f>
        <v>42838.64583</v>
      </c>
      <c r="C676" s="2">
        <f>IFERROR(__xludf.DUMMYFUNCTION("""COMPUTED_VALUE"""),1224.5)</f>
        <v>1224.5</v>
      </c>
    </row>
    <row r="677" ht="15.75" customHeight="1">
      <c r="B677" s="3">
        <f>IFERROR(__xludf.DUMMYFUNCTION("""COMPUTED_VALUE"""),42846.64583333333)</f>
        <v>42846.64583</v>
      </c>
      <c r="C677" s="2">
        <f>IFERROR(__xludf.DUMMYFUNCTION("""COMPUTED_VALUE"""),1174.35)</f>
        <v>1174.35</v>
      </c>
    </row>
    <row r="678" ht="15.75" customHeight="1">
      <c r="B678" s="3">
        <f>IFERROR(__xludf.DUMMYFUNCTION("""COMPUTED_VALUE"""),42853.64583333333)</f>
        <v>42853.64583</v>
      </c>
      <c r="C678" s="2">
        <f>IFERROR(__xludf.DUMMYFUNCTION("""COMPUTED_VALUE"""),1172.22)</f>
        <v>1172.22</v>
      </c>
    </row>
    <row r="679" ht="15.75" customHeight="1">
      <c r="B679" s="3">
        <f>IFERROR(__xludf.DUMMYFUNCTION("""COMPUTED_VALUE"""),42860.64583333333)</f>
        <v>42860.64583</v>
      </c>
      <c r="C679" s="2">
        <f>IFERROR(__xludf.DUMMYFUNCTION("""COMPUTED_VALUE"""),1175.0)</f>
        <v>1175</v>
      </c>
    </row>
    <row r="680" ht="15.75" customHeight="1">
      <c r="B680" s="3">
        <f>IFERROR(__xludf.DUMMYFUNCTION("""COMPUTED_VALUE"""),42867.64583333333)</f>
        <v>42867.64583</v>
      </c>
      <c r="C680" s="2">
        <f>IFERROR(__xludf.DUMMYFUNCTION("""COMPUTED_VALUE"""),1184.95)</f>
        <v>1184.95</v>
      </c>
    </row>
    <row r="681" ht="15.75" customHeight="1">
      <c r="B681" s="3">
        <f>IFERROR(__xludf.DUMMYFUNCTION("""COMPUTED_VALUE"""),42874.64583333333)</f>
        <v>42874.64583</v>
      </c>
      <c r="C681" s="2">
        <f>IFERROR(__xludf.DUMMYFUNCTION("""COMPUTED_VALUE"""),1286.0)</f>
        <v>1286</v>
      </c>
    </row>
    <row r="682" ht="15.75" customHeight="1">
      <c r="B682" s="3">
        <f>IFERROR(__xludf.DUMMYFUNCTION("""COMPUTED_VALUE"""),42881.64583333333)</f>
        <v>42881.64583</v>
      </c>
      <c r="C682" s="2">
        <f>IFERROR(__xludf.DUMMYFUNCTION("""COMPUTED_VALUE"""),1318.78)</f>
        <v>1318.78</v>
      </c>
    </row>
    <row r="683" ht="15.75" customHeight="1">
      <c r="B683" s="3">
        <f>IFERROR(__xludf.DUMMYFUNCTION("""COMPUTED_VALUE"""),42888.64583333333)</f>
        <v>42888.64583</v>
      </c>
      <c r="C683" s="2">
        <f>IFERROR(__xludf.DUMMYFUNCTION("""COMPUTED_VALUE"""),1298.25)</f>
        <v>1298.25</v>
      </c>
    </row>
    <row r="684" ht="15.75" customHeight="1">
      <c r="B684" s="3">
        <f>IFERROR(__xludf.DUMMYFUNCTION("""COMPUTED_VALUE"""),42895.64583333333)</f>
        <v>42895.64583</v>
      </c>
      <c r="C684" s="2">
        <f>IFERROR(__xludf.DUMMYFUNCTION("""COMPUTED_VALUE"""),1354.48)</f>
        <v>1354.48</v>
      </c>
    </row>
    <row r="685" ht="15.75" customHeight="1">
      <c r="B685" s="3">
        <f>IFERROR(__xludf.DUMMYFUNCTION("""COMPUTED_VALUE"""),42902.64583333333)</f>
        <v>42902.64583</v>
      </c>
      <c r="C685" s="2">
        <f>IFERROR(__xludf.DUMMYFUNCTION("""COMPUTED_VALUE"""),1256.45)</f>
        <v>1256.45</v>
      </c>
    </row>
    <row r="686" ht="15.75" customHeight="1">
      <c r="B686" s="3">
        <f>IFERROR(__xludf.DUMMYFUNCTION("""COMPUTED_VALUE"""),42909.64583333333)</f>
        <v>42909.64583</v>
      </c>
      <c r="C686" s="2">
        <f>IFERROR(__xludf.DUMMYFUNCTION("""COMPUTED_VALUE"""),1224.5)</f>
        <v>1224.5</v>
      </c>
    </row>
    <row r="687" ht="15.75" customHeight="1">
      <c r="B687" s="3">
        <f>IFERROR(__xludf.DUMMYFUNCTION("""COMPUTED_VALUE"""),42916.64583333333)</f>
        <v>42916.64583</v>
      </c>
      <c r="C687" s="2">
        <f>IFERROR(__xludf.DUMMYFUNCTION("""COMPUTED_VALUE"""),1192.35)</f>
        <v>1192.35</v>
      </c>
    </row>
    <row r="688" ht="15.75" customHeight="1">
      <c r="B688" s="3">
        <f>IFERROR(__xludf.DUMMYFUNCTION("""COMPUTED_VALUE"""),42923.64583333333)</f>
        <v>42923.64583</v>
      </c>
      <c r="C688" s="2">
        <f>IFERROR(__xludf.DUMMYFUNCTION("""COMPUTED_VALUE"""),1191.53)</f>
        <v>1191.53</v>
      </c>
    </row>
    <row r="689" ht="15.75" customHeight="1">
      <c r="B689" s="3">
        <f>IFERROR(__xludf.DUMMYFUNCTION("""COMPUTED_VALUE"""),42930.64583333333)</f>
        <v>42930.64583</v>
      </c>
      <c r="C689" s="2">
        <f>IFERROR(__xludf.DUMMYFUNCTION("""COMPUTED_VALUE"""),1257.4)</f>
        <v>1257.4</v>
      </c>
    </row>
    <row r="690" ht="15.75" customHeight="1">
      <c r="B690" s="3">
        <f>IFERROR(__xludf.DUMMYFUNCTION("""COMPUTED_VALUE"""),42937.64583333333)</f>
        <v>42937.64583</v>
      </c>
      <c r="C690" s="2">
        <f>IFERROR(__xludf.DUMMYFUNCTION("""COMPUTED_VALUE"""),1250.0)</f>
        <v>1250</v>
      </c>
    </row>
    <row r="691" ht="15.75" customHeight="1">
      <c r="B691" s="3">
        <f>IFERROR(__xludf.DUMMYFUNCTION("""COMPUTED_VALUE"""),42944.64583333333)</f>
        <v>42944.64583</v>
      </c>
      <c r="C691" s="2">
        <f>IFERROR(__xludf.DUMMYFUNCTION("""COMPUTED_VALUE"""),1292.4)</f>
        <v>1292.4</v>
      </c>
    </row>
    <row r="692" ht="15.75" customHeight="1">
      <c r="B692" s="3">
        <f>IFERROR(__xludf.DUMMYFUNCTION("""COMPUTED_VALUE"""),42951.64583333333)</f>
        <v>42951.64583</v>
      </c>
      <c r="C692" s="2">
        <f>IFERROR(__xludf.DUMMYFUNCTION("""COMPUTED_VALUE"""),1264.15)</f>
        <v>1264.15</v>
      </c>
    </row>
    <row r="693" ht="15.75" customHeight="1">
      <c r="B693" s="3">
        <f>IFERROR(__xludf.DUMMYFUNCTION("""COMPUTED_VALUE"""),42958.64583333333)</f>
        <v>42958.64583</v>
      </c>
      <c r="C693" s="2">
        <f>IFERROR(__xludf.DUMMYFUNCTION("""COMPUTED_VALUE"""),1267.5)</f>
        <v>1267.5</v>
      </c>
    </row>
    <row r="694" ht="15.75" customHeight="1">
      <c r="B694" s="3">
        <f>IFERROR(__xludf.DUMMYFUNCTION("""COMPUTED_VALUE"""),42965.64583333333)</f>
        <v>42965.64583</v>
      </c>
      <c r="C694" s="2">
        <f>IFERROR(__xludf.DUMMYFUNCTION("""COMPUTED_VALUE"""),1274.95)</f>
        <v>1274.95</v>
      </c>
    </row>
    <row r="695" ht="15.75" customHeight="1">
      <c r="B695" s="3">
        <f>IFERROR(__xludf.DUMMYFUNCTION("""COMPUTED_VALUE"""),42971.64583333333)</f>
        <v>42971.64583</v>
      </c>
      <c r="C695" s="2">
        <f>IFERROR(__xludf.DUMMYFUNCTION("""COMPUTED_VALUE"""),1274.5)</f>
        <v>1274.5</v>
      </c>
    </row>
    <row r="696" ht="15.75" customHeight="1">
      <c r="B696" s="3">
        <f>IFERROR(__xludf.DUMMYFUNCTION("""COMPUTED_VALUE"""),42979.64583333333)</f>
        <v>42979.64583</v>
      </c>
      <c r="C696" s="2">
        <f>IFERROR(__xludf.DUMMYFUNCTION("""COMPUTED_VALUE"""),1252.7)</f>
        <v>1252.7</v>
      </c>
    </row>
    <row r="697" ht="15.75" customHeight="1">
      <c r="B697" s="3">
        <f>IFERROR(__xludf.DUMMYFUNCTION("""COMPUTED_VALUE"""),42986.64583333333)</f>
        <v>42986.64583</v>
      </c>
      <c r="C697" s="2">
        <f>IFERROR(__xludf.DUMMYFUNCTION("""COMPUTED_VALUE"""),1245.0)</f>
        <v>1245</v>
      </c>
    </row>
    <row r="698" ht="15.75" customHeight="1">
      <c r="B698" s="3">
        <f>IFERROR(__xludf.DUMMYFUNCTION("""COMPUTED_VALUE"""),42993.64583333333)</f>
        <v>42993.64583</v>
      </c>
      <c r="C698" s="2">
        <f>IFERROR(__xludf.DUMMYFUNCTION("""COMPUTED_VALUE"""),1265.83)</f>
        <v>1265.83</v>
      </c>
    </row>
    <row r="699" ht="15.75" customHeight="1">
      <c r="B699" s="3">
        <f>IFERROR(__xludf.DUMMYFUNCTION("""COMPUTED_VALUE"""),43000.64583333333)</f>
        <v>43000.64583</v>
      </c>
      <c r="C699" s="2">
        <f>IFERROR(__xludf.DUMMYFUNCTION("""COMPUTED_VALUE"""),1270.5)</f>
        <v>1270.5</v>
      </c>
    </row>
    <row r="700" ht="15.75" customHeight="1">
      <c r="B700" s="3">
        <f>IFERROR(__xludf.DUMMYFUNCTION("""COMPUTED_VALUE"""),43007.64583333333)</f>
        <v>43007.64583</v>
      </c>
      <c r="C700" s="2">
        <f>IFERROR(__xludf.DUMMYFUNCTION("""COMPUTED_VALUE"""),1267.0)</f>
        <v>1267</v>
      </c>
    </row>
    <row r="701" ht="15.75" customHeight="1">
      <c r="B701" s="3">
        <f>IFERROR(__xludf.DUMMYFUNCTION("""COMPUTED_VALUE"""),43014.64583333333)</f>
        <v>43014.64583</v>
      </c>
      <c r="C701" s="2">
        <f>IFERROR(__xludf.DUMMYFUNCTION("""COMPUTED_VALUE"""),1227.5)</f>
        <v>1227.5</v>
      </c>
    </row>
    <row r="702" ht="15.75" customHeight="1">
      <c r="B702" s="3">
        <f>IFERROR(__xludf.DUMMYFUNCTION("""COMPUTED_VALUE"""),43021.64583333333)</f>
        <v>43021.64583</v>
      </c>
      <c r="C702" s="2">
        <f>IFERROR(__xludf.DUMMYFUNCTION("""COMPUTED_VALUE"""),1304.47)</f>
        <v>1304.47</v>
      </c>
    </row>
    <row r="703" ht="15.75" customHeight="1">
      <c r="B703" s="3">
        <f>IFERROR(__xludf.DUMMYFUNCTION("""COMPUTED_VALUE"""),43027.83333333333)</f>
        <v>43027.83333</v>
      </c>
      <c r="C703" s="2">
        <f>IFERROR(__xludf.DUMMYFUNCTION("""COMPUTED_VALUE"""),1307.47)</f>
        <v>1307.47</v>
      </c>
    </row>
    <row r="704" ht="15.75" customHeight="1">
      <c r="B704" s="3">
        <f>IFERROR(__xludf.DUMMYFUNCTION("""COMPUTED_VALUE"""),43035.64583333333)</f>
        <v>43035.64583</v>
      </c>
      <c r="C704" s="2">
        <f>IFERROR(__xludf.DUMMYFUNCTION("""COMPUTED_VALUE"""),1314.5)</f>
        <v>1314.5</v>
      </c>
    </row>
    <row r="705" ht="15.75" customHeight="1">
      <c r="B705" s="3">
        <f>IFERROR(__xludf.DUMMYFUNCTION("""COMPUTED_VALUE"""),43042.64583333333)</f>
        <v>43042.64583</v>
      </c>
      <c r="C705" s="2">
        <f>IFERROR(__xludf.DUMMYFUNCTION("""COMPUTED_VALUE"""),1337.0)</f>
        <v>1337</v>
      </c>
    </row>
    <row r="706" ht="15.75" customHeight="1">
      <c r="B706" s="3">
        <f>IFERROR(__xludf.DUMMYFUNCTION("""COMPUTED_VALUE"""),43049.64583333333)</f>
        <v>43049.64583</v>
      </c>
      <c r="C706" s="2">
        <f>IFERROR(__xludf.DUMMYFUNCTION("""COMPUTED_VALUE"""),1384.0)</f>
        <v>1384</v>
      </c>
    </row>
    <row r="707" ht="15.75" customHeight="1">
      <c r="B707" s="3">
        <f>IFERROR(__xludf.DUMMYFUNCTION("""COMPUTED_VALUE"""),43056.64583333333)</f>
        <v>43056.64583</v>
      </c>
      <c r="C707" s="2">
        <f>IFERROR(__xludf.DUMMYFUNCTION("""COMPUTED_VALUE"""),1388.7)</f>
        <v>1388.7</v>
      </c>
    </row>
    <row r="708" ht="15.75" customHeight="1">
      <c r="B708" s="3">
        <f>IFERROR(__xludf.DUMMYFUNCTION("""COMPUTED_VALUE"""),43063.64583333333)</f>
        <v>43063.64583</v>
      </c>
      <c r="C708" s="2">
        <f>IFERROR(__xludf.DUMMYFUNCTION("""COMPUTED_VALUE"""),1363.45)</f>
        <v>1363.45</v>
      </c>
    </row>
    <row r="709" ht="15.75" customHeight="1">
      <c r="B709" s="3">
        <f>IFERROR(__xludf.DUMMYFUNCTION("""COMPUTED_VALUE"""),43070.64583333333)</f>
        <v>43070.64583</v>
      </c>
      <c r="C709" s="2">
        <f>IFERROR(__xludf.DUMMYFUNCTION("""COMPUTED_VALUE"""),1351.2)</f>
        <v>1351.2</v>
      </c>
    </row>
    <row r="710" ht="15.75" customHeight="1">
      <c r="B710" s="3">
        <f>IFERROR(__xludf.DUMMYFUNCTION("""COMPUTED_VALUE"""),43077.64583333333)</f>
        <v>43077.64583</v>
      </c>
      <c r="C710" s="2">
        <f>IFERROR(__xludf.DUMMYFUNCTION("""COMPUTED_VALUE"""),1329.25)</f>
        <v>1329.25</v>
      </c>
    </row>
    <row r="711" ht="15.75" customHeight="1">
      <c r="B711" s="3">
        <f>IFERROR(__xludf.DUMMYFUNCTION("""COMPUTED_VALUE"""),43084.64583333333)</f>
        <v>43084.64583</v>
      </c>
      <c r="C711" s="2">
        <f>IFERROR(__xludf.DUMMYFUNCTION("""COMPUTED_VALUE"""),1336.33)</f>
        <v>1336.33</v>
      </c>
    </row>
    <row r="712" ht="15.75" customHeight="1">
      <c r="B712" s="3">
        <f>IFERROR(__xludf.DUMMYFUNCTION("""COMPUTED_VALUE"""),43091.64583333333)</f>
        <v>43091.64583</v>
      </c>
      <c r="C712" s="2">
        <f>IFERROR(__xludf.DUMMYFUNCTION("""COMPUTED_VALUE"""),1331.95)</f>
        <v>1331.95</v>
      </c>
    </row>
    <row r="713" ht="15.75" customHeight="1">
      <c r="B713" s="3">
        <f>IFERROR(__xludf.DUMMYFUNCTION("""COMPUTED_VALUE"""),43098.64583333333)</f>
        <v>43098.64583</v>
      </c>
      <c r="C713" s="2">
        <f>IFERROR(__xludf.DUMMYFUNCTION("""COMPUTED_VALUE"""),1354.45)</f>
        <v>1354.45</v>
      </c>
    </row>
    <row r="714" ht="15.75" customHeight="1"/>
    <row r="715" ht="15.75" customHeight="1"/>
    <row r="716" ht="15.75" customHeight="1">
      <c r="B716" s="2" t="str">
        <f>IFERROR(__xludf.DUMMYFUNCTION("GOOGLEFINANCE(""NSE:TCS"", ""high"",DATE(2018,1,1),DATE(2019,1,1),""weekly"")"),"Date")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IFERROR(__xludf.DUMMYFUNCTION("""COMPUTED_VALUE"""),43105.64583333333)</f>
        <v>43105.64583</v>
      </c>
      <c r="C717" s="2">
        <f>IFERROR(__xludf.DUMMYFUNCTION("""COMPUTED_VALUE"""),1349.75)</f>
        <v>1349.75</v>
      </c>
    </row>
    <row r="718" ht="15.75" customHeight="1">
      <c r="B718" s="3">
        <f>IFERROR(__xludf.DUMMYFUNCTION("""COMPUTED_VALUE"""),43112.64583333333)</f>
        <v>43112.64583</v>
      </c>
      <c r="C718" s="2">
        <f>IFERROR(__xludf.DUMMYFUNCTION("""COMPUTED_VALUE"""),1410.95)</f>
        <v>1410.95</v>
      </c>
    </row>
    <row r="719" ht="15.75" customHeight="1">
      <c r="B719" s="3">
        <f>IFERROR(__xludf.DUMMYFUNCTION("""COMPUTED_VALUE"""),43119.64583333333)</f>
        <v>43119.64583</v>
      </c>
      <c r="C719" s="2">
        <f>IFERROR(__xludf.DUMMYFUNCTION("""COMPUTED_VALUE"""),1491.0)</f>
        <v>1491</v>
      </c>
    </row>
    <row r="720" ht="15.75" customHeight="1">
      <c r="B720" s="3">
        <f>IFERROR(__xludf.DUMMYFUNCTION("""COMPUTED_VALUE"""),43125.64583333333)</f>
        <v>43125.64583</v>
      </c>
      <c r="C720" s="2">
        <f>IFERROR(__xludf.DUMMYFUNCTION("""COMPUTED_VALUE"""),1629.53)</f>
        <v>1629.53</v>
      </c>
    </row>
    <row r="721" ht="15.75" customHeight="1">
      <c r="B721" s="3">
        <f>IFERROR(__xludf.DUMMYFUNCTION("""COMPUTED_VALUE"""),43133.64583333333)</f>
        <v>43133.64583</v>
      </c>
      <c r="C721" s="2">
        <f>IFERROR(__xludf.DUMMYFUNCTION("""COMPUTED_VALUE"""),1612.5)</f>
        <v>1612.5</v>
      </c>
    </row>
    <row r="722" ht="15.75" customHeight="1">
      <c r="B722" s="3">
        <f>IFERROR(__xludf.DUMMYFUNCTION("""COMPUTED_VALUE"""),43140.64583333333)</f>
        <v>43140.64583</v>
      </c>
      <c r="C722" s="2">
        <f>IFERROR(__xludf.DUMMYFUNCTION("""COMPUTED_VALUE"""),1594.0)</f>
        <v>1594</v>
      </c>
    </row>
    <row r="723" ht="15.75" customHeight="1">
      <c r="B723" s="3">
        <f>IFERROR(__xludf.DUMMYFUNCTION("""COMPUTED_VALUE"""),43147.64583333333)</f>
        <v>43147.64583</v>
      </c>
      <c r="C723" s="2">
        <f>IFERROR(__xludf.DUMMYFUNCTION("""COMPUTED_VALUE"""),1511.68)</f>
        <v>1511.68</v>
      </c>
    </row>
    <row r="724" ht="15.75" customHeight="1">
      <c r="B724" s="3">
        <f>IFERROR(__xludf.DUMMYFUNCTION("""COMPUTED_VALUE"""),43154.64583333333)</f>
        <v>43154.64583</v>
      </c>
      <c r="C724" s="2">
        <f>IFERROR(__xludf.DUMMYFUNCTION("""COMPUTED_VALUE"""),1544.5)</f>
        <v>1544.5</v>
      </c>
    </row>
    <row r="725" ht="15.75" customHeight="1">
      <c r="B725" s="3">
        <f>IFERROR(__xludf.DUMMYFUNCTION("""COMPUTED_VALUE"""),43160.64583333333)</f>
        <v>43160.64583</v>
      </c>
      <c r="C725" s="2">
        <f>IFERROR(__xludf.DUMMYFUNCTION("""COMPUTED_VALUE"""),1544.98)</f>
        <v>1544.98</v>
      </c>
    </row>
    <row r="726" ht="15.75" customHeight="1">
      <c r="B726" s="3">
        <f>IFERROR(__xludf.DUMMYFUNCTION("""COMPUTED_VALUE"""),43168.64583333333)</f>
        <v>43168.64583</v>
      </c>
      <c r="C726" s="2">
        <f>IFERROR(__xludf.DUMMYFUNCTION("""COMPUTED_VALUE"""),1563.5)</f>
        <v>1563.5</v>
      </c>
    </row>
    <row r="727" ht="15.75" customHeight="1">
      <c r="B727" s="3">
        <f>IFERROR(__xludf.DUMMYFUNCTION("""COMPUTED_VALUE"""),43175.64583333333)</f>
        <v>43175.64583</v>
      </c>
      <c r="C727" s="2">
        <f>IFERROR(__xludf.DUMMYFUNCTION("""COMPUTED_VALUE"""),1541.95)</f>
        <v>1541.95</v>
      </c>
    </row>
    <row r="728" ht="15.75" customHeight="1">
      <c r="B728" s="3">
        <f>IFERROR(__xludf.DUMMYFUNCTION("""COMPUTED_VALUE"""),43182.64583333333)</f>
        <v>43182.64583</v>
      </c>
      <c r="C728" s="2">
        <f>IFERROR(__xludf.DUMMYFUNCTION("""COMPUTED_VALUE"""),1442.15)</f>
        <v>1442.15</v>
      </c>
    </row>
    <row r="729" ht="15.75" customHeight="1">
      <c r="B729" s="3">
        <f>IFERROR(__xludf.DUMMYFUNCTION("""COMPUTED_VALUE"""),43187.64583333333)</f>
        <v>43187.64583</v>
      </c>
      <c r="C729" s="2">
        <f>IFERROR(__xludf.DUMMYFUNCTION("""COMPUTED_VALUE"""),1437.5)</f>
        <v>1437.5</v>
      </c>
    </row>
    <row r="730" ht="15.75" customHeight="1">
      <c r="B730" s="3">
        <f>IFERROR(__xludf.DUMMYFUNCTION("""COMPUTED_VALUE"""),43196.64583333333)</f>
        <v>43196.64583</v>
      </c>
      <c r="C730" s="2">
        <f>IFERROR(__xludf.DUMMYFUNCTION("""COMPUTED_VALUE"""),1481.88)</f>
        <v>1481.88</v>
      </c>
    </row>
    <row r="731" ht="15.75" customHeight="1">
      <c r="B731" s="3">
        <f>IFERROR(__xludf.DUMMYFUNCTION("""COMPUTED_VALUE"""),43203.64583333333)</f>
        <v>43203.64583</v>
      </c>
      <c r="C731" s="2">
        <f>IFERROR(__xludf.DUMMYFUNCTION("""COMPUTED_VALUE"""),1620.4)</f>
        <v>1620.4</v>
      </c>
    </row>
    <row r="732" ht="15.75" customHeight="1">
      <c r="B732" s="3">
        <f>IFERROR(__xludf.DUMMYFUNCTION("""COMPUTED_VALUE"""),43210.64583333333)</f>
        <v>43210.64583</v>
      </c>
      <c r="C732" s="2">
        <f>IFERROR(__xludf.DUMMYFUNCTION("""COMPUTED_VALUE"""),1711.18)</f>
        <v>1711.18</v>
      </c>
    </row>
    <row r="733" ht="15.75" customHeight="1">
      <c r="B733" s="3">
        <f>IFERROR(__xludf.DUMMYFUNCTION("""COMPUTED_VALUE"""),43217.64583333333)</f>
        <v>43217.64583</v>
      </c>
      <c r="C733" s="2">
        <f>IFERROR(__xludf.DUMMYFUNCTION("""COMPUTED_VALUE"""),1780.0)</f>
        <v>1780</v>
      </c>
    </row>
    <row r="734" ht="15.75" customHeight="1">
      <c r="B734" s="3">
        <f>IFERROR(__xludf.DUMMYFUNCTION("""COMPUTED_VALUE"""),43224.64583333333)</f>
        <v>43224.64583</v>
      </c>
      <c r="C734" s="2">
        <f>IFERROR(__xludf.DUMMYFUNCTION("""COMPUTED_VALUE"""),1774.5)</f>
        <v>1774.5</v>
      </c>
    </row>
    <row r="735" ht="15.75" customHeight="1">
      <c r="B735" s="3">
        <f>IFERROR(__xludf.DUMMYFUNCTION("""COMPUTED_VALUE"""),43231.64583333333)</f>
        <v>43231.64583</v>
      </c>
      <c r="C735" s="2">
        <f>IFERROR(__xludf.DUMMYFUNCTION("""COMPUTED_VALUE"""),1755.58)</f>
        <v>1755.58</v>
      </c>
    </row>
    <row r="736" ht="15.75" customHeight="1">
      <c r="B736" s="3">
        <f>IFERROR(__xludf.DUMMYFUNCTION("""COMPUTED_VALUE"""),43238.64583333333)</f>
        <v>43238.64583</v>
      </c>
      <c r="C736" s="2">
        <f>IFERROR(__xludf.DUMMYFUNCTION("""COMPUTED_VALUE"""),1766.58)</f>
        <v>1766.58</v>
      </c>
    </row>
    <row r="737" ht="15.75" customHeight="1">
      <c r="B737" s="3">
        <f>IFERROR(__xludf.DUMMYFUNCTION("""COMPUTED_VALUE"""),43245.64583333333)</f>
        <v>43245.64583</v>
      </c>
      <c r="C737" s="2">
        <f>IFERROR(__xludf.DUMMYFUNCTION("""COMPUTED_VALUE"""),1837.4)</f>
        <v>1837.4</v>
      </c>
    </row>
    <row r="738" ht="15.75" customHeight="1">
      <c r="B738" s="3">
        <f>IFERROR(__xludf.DUMMYFUNCTION("""COMPUTED_VALUE"""),43252.64583333333)</f>
        <v>43252.64583</v>
      </c>
      <c r="C738" s="2">
        <f>IFERROR(__xludf.DUMMYFUNCTION("""COMPUTED_VALUE"""),1808.25)</f>
        <v>1808.25</v>
      </c>
    </row>
    <row r="739" ht="15.75" customHeight="1">
      <c r="B739" s="3">
        <f>IFERROR(__xludf.DUMMYFUNCTION("""COMPUTED_VALUE"""),43259.64583333333)</f>
        <v>43259.64583</v>
      </c>
      <c r="C739" s="2">
        <f>IFERROR(__xludf.DUMMYFUNCTION("""COMPUTED_VALUE"""),1757.3)</f>
        <v>1757.3</v>
      </c>
    </row>
    <row r="740" ht="15.75" customHeight="1">
      <c r="B740" s="3">
        <f>IFERROR(__xludf.DUMMYFUNCTION("""COMPUTED_VALUE"""),43266.64583333333)</f>
        <v>43266.64583</v>
      </c>
      <c r="C740" s="2">
        <f>IFERROR(__xludf.DUMMYFUNCTION("""COMPUTED_VALUE"""),1847.1)</f>
        <v>1847.1</v>
      </c>
    </row>
    <row r="741" ht="15.75" customHeight="1">
      <c r="B741" s="3">
        <f>IFERROR(__xludf.DUMMYFUNCTION("""COMPUTED_VALUE"""),43273.64583333333)</f>
        <v>43273.64583</v>
      </c>
      <c r="C741" s="2">
        <f>IFERROR(__xludf.DUMMYFUNCTION("""COMPUTED_VALUE"""),1867.95)</f>
        <v>1867.95</v>
      </c>
    </row>
    <row r="742" ht="15.75" customHeight="1">
      <c r="B742" s="3">
        <f>IFERROR(__xludf.DUMMYFUNCTION("""COMPUTED_VALUE"""),43280.64583333333)</f>
        <v>43280.64583</v>
      </c>
      <c r="C742" s="2">
        <f>IFERROR(__xludf.DUMMYFUNCTION("""COMPUTED_VALUE"""),1885.15)</f>
        <v>1885.15</v>
      </c>
    </row>
    <row r="743" ht="15.75" customHeight="1">
      <c r="B743" s="3">
        <f>IFERROR(__xludf.DUMMYFUNCTION("""COMPUTED_VALUE"""),43287.64583333333)</f>
        <v>43287.64583</v>
      </c>
      <c r="C743" s="2">
        <f>IFERROR(__xludf.DUMMYFUNCTION("""COMPUTED_VALUE"""),1921.0)</f>
        <v>1921</v>
      </c>
    </row>
    <row r="744" ht="15.75" customHeight="1">
      <c r="B744" s="3">
        <f>IFERROR(__xludf.DUMMYFUNCTION("""COMPUTED_VALUE"""),43294.64583333333)</f>
        <v>43294.64583</v>
      </c>
      <c r="C744" s="2">
        <f>IFERROR(__xludf.DUMMYFUNCTION("""COMPUTED_VALUE"""),1998.0)</f>
        <v>1998</v>
      </c>
    </row>
    <row r="745" ht="15.75" customHeight="1">
      <c r="B745" s="3">
        <f>IFERROR(__xludf.DUMMYFUNCTION("""COMPUTED_VALUE"""),43301.64583333333)</f>
        <v>43301.64583</v>
      </c>
      <c r="C745" s="2">
        <f>IFERROR(__xludf.DUMMYFUNCTION("""COMPUTED_VALUE"""),2011.7)</f>
        <v>2011.7</v>
      </c>
    </row>
    <row r="746" ht="15.75" customHeight="1">
      <c r="B746" s="3">
        <f>IFERROR(__xludf.DUMMYFUNCTION("""COMPUTED_VALUE"""),43308.64583333333)</f>
        <v>43308.64583</v>
      </c>
      <c r="C746" s="2">
        <f>IFERROR(__xludf.DUMMYFUNCTION("""COMPUTED_VALUE"""),2015.0)</f>
        <v>2015</v>
      </c>
    </row>
    <row r="747" ht="15.75" customHeight="1">
      <c r="B747" s="3">
        <f>IFERROR(__xludf.DUMMYFUNCTION("""COMPUTED_VALUE"""),43315.64583333333)</f>
        <v>43315.64583</v>
      </c>
      <c r="C747" s="2">
        <f>IFERROR(__xludf.DUMMYFUNCTION("""COMPUTED_VALUE"""),1985.0)</f>
        <v>1985</v>
      </c>
    </row>
    <row r="748" ht="15.75" customHeight="1">
      <c r="B748" s="3">
        <f>IFERROR(__xludf.DUMMYFUNCTION("""COMPUTED_VALUE"""),43322.64583333333)</f>
        <v>43322.64583</v>
      </c>
      <c r="C748" s="2">
        <f>IFERROR(__xludf.DUMMYFUNCTION("""COMPUTED_VALUE"""),1998.95)</f>
        <v>1998.95</v>
      </c>
    </row>
    <row r="749" ht="15.75" customHeight="1">
      <c r="B749" s="3">
        <f>IFERROR(__xludf.DUMMYFUNCTION("""COMPUTED_VALUE"""),43329.64583333333)</f>
        <v>43329.64583</v>
      </c>
      <c r="C749" s="2">
        <f>IFERROR(__xludf.DUMMYFUNCTION("""COMPUTED_VALUE"""),2024.6)</f>
        <v>2024.6</v>
      </c>
    </row>
    <row r="750" ht="15.75" customHeight="1">
      <c r="B750" s="3">
        <f>IFERROR(__xludf.DUMMYFUNCTION("""COMPUTED_VALUE"""),43336.64583333333)</f>
        <v>43336.64583</v>
      </c>
      <c r="C750" s="2">
        <f>IFERROR(__xludf.DUMMYFUNCTION("""COMPUTED_VALUE"""),2046.0)</f>
        <v>2046</v>
      </c>
    </row>
    <row r="751" ht="15.75" customHeight="1">
      <c r="B751" s="3">
        <f>IFERROR(__xludf.DUMMYFUNCTION("""COMPUTED_VALUE"""),43343.64583333333)</f>
        <v>43343.64583</v>
      </c>
      <c r="C751" s="2">
        <f>IFERROR(__xludf.DUMMYFUNCTION("""COMPUTED_VALUE"""),2092.0)</f>
        <v>2092</v>
      </c>
    </row>
    <row r="752" ht="15.75" customHeight="1">
      <c r="B752" s="3">
        <f>IFERROR(__xludf.DUMMYFUNCTION("""COMPUTED_VALUE"""),43350.64583333333)</f>
        <v>43350.64583</v>
      </c>
      <c r="C752" s="2">
        <f>IFERROR(__xludf.DUMMYFUNCTION("""COMPUTED_VALUE"""),2107.25)</f>
        <v>2107.25</v>
      </c>
    </row>
    <row r="753" ht="15.75" customHeight="1">
      <c r="B753" s="3">
        <f>IFERROR(__xludf.DUMMYFUNCTION("""COMPUTED_VALUE"""),43357.64583333333)</f>
        <v>43357.64583</v>
      </c>
      <c r="C753" s="2">
        <f>IFERROR(__xludf.DUMMYFUNCTION("""COMPUTED_VALUE"""),2093.4)</f>
        <v>2093.4</v>
      </c>
    </row>
    <row r="754" ht="15.75" customHeight="1">
      <c r="B754" s="3">
        <f>IFERROR(__xludf.DUMMYFUNCTION("""COMPUTED_VALUE"""),43364.64583333333)</f>
        <v>43364.64583</v>
      </c>
      <c r="C754" s="2">
        <f>IFERROR(__xludf.DUMMYFUNCTION("""COMPUTED_VALUE"""),2121.0)</f>
        <v>2121</v>
      </c>
    </row>
    <row r="755" ht="15.75" customHeight="1">
      <c r="B755" s="3">
        <f>IFERROR(__xludf.DUMMYFUNCTION("""COMPUTED_VALUE"""),43371.64583333333)</f>
        <v>43371.64583</v>
      </c>
      <c r="C755" s="2">
        <f>IFERROR(__xludf.DUMMYFUNCTION("""COMPUTED_VALUE"""),2211.9)</f>
        <v>2211.9</v>
      </c>
    </row>
    <row r="756" ht="15.75" customHeight="1">
      <c r="B756" s="3">
        <f>IFERROR(__xludf.DUMMYFUNCTION("""COMPUTED_VALUE"""),43378.64583333333)</f>
        <v>43378.64583</v>
      </c>
      <c r="C756" s="2">
        <f>IFERROR(__xludf.DUMMYFUNCTION("""COMPUTED_VALUE"""),2275.95)</f>
        <v>2275.95</v>
      </c>
    </row>
    <row r="757" ht="15.75" customHeight="1">
      <c r="B757" s="3">
        <f>IFERROR(__xludf.DUMMYFUNCTION("""COMPUTED_VALUE"""),43385.64583333333)</f>
        <v>43385.64583</v>
      </c>
      <c r="C757" s="2">
        <f>IFERROR(__xludf.DUMMYFUNCTION("""COMPUTED_VALUE"""),2122.2)</f>
        <v>2122.2</v>
      </c>
    </row>
    <row r="758" ht="15.75" customHeight="1">
      <c r="B758" s="3">
        <f>IFERROR(__xludf.DUMMYFUNCTION("""COMPUTED_VALUE"""),43392.64583333333)</f>
        <v>43392.64583</v>
      </c>
      <c r="C758" s="2">
        <f>IFERROR(__xludf.DUMMYFUNCTION("""COMPUTED_VALUE"""),1989.0)</f>
        <v>1989</v>
      </c>
    </row>
    <row r="759" ht="15.75" customHeight="1">
      <c r="B759" s="3">
        <f>IFERROR(__xludf.DUMMYFUNCTION("""COMPUTED_VALUE"""),43399.64583333333)</f>
        <v>43399.64583</v>
      </c>
      <c r="C759" s="2">
        <f>IFERROR(__xludf.DUMMYFUNCTION("""COMPUTED_VALUE"""),1916.0)</f>
        <v>1916</v>
      </c>
    </row>
    <row r="760" ht="15.75" customHeight="1">
      <c r="B760" s="3">
        <f>IFERROR(__xludf.DUMMYFUNCTION("""COMPUTED_VALUE"""),43406.64583333333)</f>
        <v>43406.64583</v>
      </c>
      <c r="C760" s="2">
        <f>IFERROR(__xludf.DUMMYFUNCTION("""COMPUTED_VALUE"""),1954.6)</f>
        <v>1954.6</v>
      </c>
    </row>
    <row r="761" ht="15.75" customHeight="1">
      <c r="B761" s="3">
        <f>IFERROR(__xludf.DUMMYFUNCTION("""COMPUTED_VALUE"""),43413.64583333333)</f>
        <v>43413.64583</v>
      </c>
      <c r="C761" s="2">
        <f>IFERROR(__xludf.DUMMYFUNCTION("""COMPUTED_VALUE"""),1961.95)</f>
        <v>1961.95</v>
      </c>
    </row>
    <row r="762" ht="15.75" customHeight="1">
      <c r="B762" s="3">
        <f>IFERROR(__xludf.DUMMYFUNCTION("""COMPUTED_VALUE"""),43420.64583333333)</f>
        <v>43420.64583</v>
      </c>
      <c r="C762" s="2">
        <f>IFERROR(__xludf.DUMMYFUNCTION("""COMPUTED_VALUE"""),1946.1)</f>
        <v>1946.1</v>
      </c>
    </row>
    <row r="763" ht="15.75" customHeight="1">
      <c r="B763" s="3">
        <f>IFERROR(__xludf.DUMMYFUNCTION("""COMPUTED_VALUE"""),43426.64583333333)</f>
        <v>43426.64583</v>
      </c>
      <c r="C763" s="2">
        <f>IFERROR(__xludf.DUMMYFUNCTION("""COMPUTED_VALUE"""),1907.35)</f>
        <v>1907.35</v>
      </c>
    </row>
    <row r="764" ht="15.75" customHeight="1">
      <c r="B764" s="3">
        <f>IFERROR(__xludf.DUMMYFUNCTION("""COMPUTED_VALUE"""),43434.64583333333)</f>
        <v>43434.64583</v>
      </c>
      <c r="C764" s="2">
        <f>IFERROR(__xludf.DUMMYFUNCTION("""COMPUTED_VALUE"""),1997.0)</f>
        <v>1997</v>
      </c>
    </row>
    <row r="765" ht="15.75" customHeight="1">
      <c r="B765" s="3">
        <f>IFERROR(__xludf.DUMMYFUNCTION("""COMPUTED_VALUE"""),43441.64583333333)</f>
        <v>43441.64583</v>
      </c>
      <c r="C765" s="2">
        <f>IFERROR(__xludf.DUMMYFUNCTION("""COMPUTED_VALUE"""),2019.4)</f>
        <v>2019.4</v>
      </c>
    </row>
    <row r="766" ht="15.75" customHeight="1">
      <c r="B766" s="3">
        <f>IFERROR(__xludf.DUMMYFUNCTION("""COMPUTED_VALUE"""),43448.64583333333)</f>
        <v>43448.64583</v>
      </c>
      <c r="C766" s="2">
        <f>IFERROR(__xludf.DUMMYFUNCTION("""COMPUTED_VALUE"""),2029.7)</f>
        <v>2029.7</v>
      </c>
    </row>
    <row r="767" ht="15.75" customHeight="1">
      <c r="B767" s="3">
        <f>IFERROR(__xludf.DUMMYFUNCTION("""COMPUTED_VALUE"""),43455.64583333333)</f>
        <v>43455.64583</v>
      </c>
      <c r="C767" s="2">
        <f>IFERROR(__xludf.DUMMYFUNCTION("""COMPUTED_VALUE"""),2004.9)</f>
        <v>2004.9</v>
      </c>
    </row>
    <row r="768" ht="15.75" customHeight="1">
      <c r="B768" s="3">
        <f>IFERROR(__xludf.DUMMYFUNCTION("""COMPUTED_VALUE"""),43462.64583333333)</f>
        <v>43462.64583</v>
      </c>
      <c r="C768" s="2">
        <f>IFERROR(__xludf.DUMMYFUNCTION("""COMPUTED_VALUE"""),1941.7)</f>
        <v>1941.7</v>
      </c>
    </row>
    <row r="769" ht="15.75" customHeight="1"/>
    <row r="770" ht="15.75" customHeight="1"/>
    <row r="771" ht="15.75" customHeight="1">
      <c r="B771" s="2" t="str">
        <f>IFERROR(__xludf.DUMMYFUNCTION("GOOGLEFINANCE(""NSE:TCS"", ""high"",DATE(2019,1,1),DATE(2020,1,1),""weekly"")"),"Date")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IFERROR(__xludf.DUMMYFUNCTION("""COMPUTED_VALUE"""),43469.64583333333)</f>
        <v>43469.64583</v>
      </c>
      <c r="C772" s="2">
        <f>IFERROR(__xludf.DUMMYFUNCTION("""COMPUTED_VALUE"""),1944.95)</f>
        <v>1944.95</v>
      </c>
    </row>
    <row r="773" ht="15.75" customHeight="1">
      <c r="B773" s="3">
        <f>IFERROR(__xludf.DUMMYFUNCTION("""COMPUTED_VALUE"""),43476.64583333333)</f>
        <v>43476.64583</v>
      </c>
      <c r="C773" s="2">
        <f>IFERROR(__xludf.DUMMYFUNCTION("""COMPUTED_VALUE"""),1919.0)</f>
        <v>1919</v>
      </c>
    </row>
    <row r="774" ht="15.75" customHeight="1">
      <c r="B774" s="3">
        <f>IFERROR(__xludf.DUMMYFUNCTION("""COMPUTED_VALUE"""),43483.64583333333)</f>
        <v>43483.64583</v>
      </c>
      <c r="C774" s="2">
        <f>IFERROR(__xludf.DUMMYFUNCTION("""COMPUTED_VALUE"""),1904.2)</f>
        <v>1904.2</v>
      </c>
    </row>
    <row r="775" ht="15.75" customHeight="1">
      <c r="B775" s="3">
        <f>IFERROR(__xludf.DUMMYFUNCTION("""COMPUTED_VALUE"""),43490.64583333333)</f>
        <v>43490.64583</v>
      </c>
      <c r="C775" s="2">
        <f>IFERROR(__xludf.DUMMYFUNCTION("""COMPUTED_VALUE"""),1935.0)</f>
        <v>1935</v>
      </c>
    </row>
    <row r="776" ht="15.75" customHeight="1">
      <c r="B776" s="3">
        <f>IFERROR(__xludf.DUMMYFUNCTION("""COMPUTED_VALUE"""),43497.64583333333)</f>
        <v>43497.64583</v>
      </c>
      <c r="C776" s="2">
        <f>IFERROR(__xludf.DUMMYFUNCTION("""COMPUTED_VALUE"""),2034.75)</f>
        <v>2034.75</v>
      </c>
    </row>
    <row r="777" ht="15.75" customHeight="1">
      <c r="B777" s="3">
        <f>IFERROR(__xludf.DUMMYFUNCTION("""COMPUTED_VALUE"""),43504.64583333333)</f>
        <v>43504.64583</v>
      </c>
      <c r="C777" s="2">
        <f>IFERROR(__xludf.DUMMYFUNCTION("""COMPUTED_VALUE"""),2097.95)</f>
        <v>2097.95</v>
      </c>
    </row>
    <row r="778" ht="15.75" customHeight="1">
      <c r="B778" s="3">
        <f>IFERROR(__xludf.DUMMYFUNCTION("""COMPUTED_VALUE"""),43511.64583333333)</f>
        <v>43511.64583</v>
      </c>
      <c r="C778" s="2">
        <f>IFERROR(__xludf.DUMMYFUNCTION("""COMPUTED_VALUE"""),2096.0)</f>
        <v>2096</v>
      </c>
    </row>
    <row r="779" ht="15.75" customHeight="1">
      <c r="B779" s="3">
        <f>IFERROR(__xludf.DUMMYFUNCTION("""COMPUTED_VALUE"""),43518.64583333333)</f>
        <v>43518.64583</v>
      </c>
      <c r="C779" s="2">
        <f>IFERROR(__xludf.DUMMYFUNCTION("""COMPUTED_VALUE"""),2041.95)</f>
        <v>2041.95</v>
      </c>
    </row>
    <row r="780" ht="15.75" customHeight="1">
      <c r="B780" s="3">
        <f>IFERROR(__xludf.DUMMYFUNCTION("""COMPUTED_VALUE"""),43525.64583333333)</f>
        <v>43525.64583</v>
      </c>
      <c r="C780" s="2">
        <f>IFERROR(__xludf.DUMMYFUNCTION("""COMPUTED_VALUE"""),2074.95)</f>
        <v>2074.95</v>
      </c>
    </row>
    <row r="781" ht="15.75" customHeight="1">
      <c r="B781" s="3">
        <f>IFERROR(__xludf.DUMMYFUNCTION("""COMPUTED_VALUE"""),43532.64583333333)</f>
        <v>43532.64583</v>
      </c>
      <c r="C781" s="2">
        <f>IFERROR(__xludf.DUMMYFUNCTION("""COMPUTED_VALUE"""),2033.0)</f>
        <v>2033</v>
      </c>
    </row>
    <row r="782" ht="15.75" customHeight="1">
      <c r="B782" s="3">
        <f>IFERROR(__xludf.DUMMYFUNCTION("""COMPUTED_VALUE"""),43539.64583333333)</f>
        <v>43539.64583</v>
      </c>
      <c r="C782" s="2">
        <f>IFERROR(__xludf.DUMMYFUNCTION("""COMPUTED_VALUE"""),2068.95)</f>
        <v>2068.95</v>
      </c>
    </row>
    <row r="783" ht="15.75" customHeight="1">
      <c r="B783" s="3">
        <f>IFERROR(__xludf.DUMMYFUNCTION("""COMPUTED_VALUE"""),43546.64583333333)</f>
        <v>43546.64583</v>
      </c>
      <c r="C783" s="2">
        <f>IFERROR(__xludf.DUMMYFUNCTION("""COMPUTED_VALUE"""),2064.6)</f>
        <v>2064.6</v>
      </c>
    </row>
    <row r="784" ht="15.75" customHeight="1">
      <c r="B784" s="3">
        <f>IFERROR(__xludf.DUMMYFUNCTION("""COMPUTED_VALUE"""),43553.64583333333)</f>
        <v>43553.64583</v>
      </c>
      <c r="C784" s="2">
        <f>IFERROR(__xludf.DUMMYFUNCTION("""COMPUTED_VALUE"""),2024.9)</f>
        <v>2024.9</v>
      </c>
    </row>
    <row r="785" ht="15.75" customHeight="1">
      <c r="B785" s="3">
        <f>IFERROR(__xludf.DUMMYFUNCTION("""COMPUTED_VALUE"""),43560.64583333333)</f>
        <v>43560.64583</v>
      </c>
      <c r="C785" s="2">
        <f>IFERROR(__xludf.DUMMYFUNCTION("""COMPUTED_VALUE"""),2089.6)</f>
        <v>2089.6</v>
      </c>
    </row>
    <row r="786" ht="15.75" customHeight="1">
      <c r="B786" s="3">
        <f>IFERROR(__xludf.DUMMYFUNCTION("""COMPUTED_VALUE"""),43567.64583333333)</f>
        <v>43567.64583</v>
      </c>
      <c r="C786" s="2">
        <f>IFERROR(__xludf.DUMMYFUNCTION("""COMPUTED_VALUE"""),2098.0)</f>
        <v>2098</v>
      </c>
    </row>
    <row r="787" ht="15.75" customHeight="1">
      <c r="B787" s="3">
        <f>IFERROR(__xludf.DUMMYFUNCTION("""COMPUTED_VALUE"""),43573.64583333333)</f>
        <v>43573.64583</v>
      </c>
      <c r="C787" s="2">
        <f>IFERROR(__xludf.DUMMYFUNCTION("""COMPUTED_VALUE"""),2155.95)</f>
        <v>2155.95</v>
      </c>
    </row>
    <row r="788" ht="15.75" customHeight="1">
      <c r="B788" s="3">
        <f>IFERROR(__xludf.DUMMYFUNCTION("""COMPUTED_VALUE"""),43581.64583333333)</f>
        <v>43581.64583</v>
      </c>
      <c r="C788" s="2">
        <f>IFERROR(__xludf.DUMMYFUNCTION("""COMPUTED_VALUE"""),2243.95)</f>
        <v>2243.95</v>
      </c>
    </row>
    <row r="789" ht="15.75" customHeight="1">
      <c r="B789" s="3">
        <f>IFERROR(__xludf.DUMMYFUNCTION("""COMPUTED_VALUE"""),43588.64583333333)</f>
        <v>43588.64583</v>
      </c>
      <c r="C789" s="2">
        <f>IFERROR(__xludf.DUMMYFUNCTION("""COMPUTED_VALUE"""),2266.95)</f>
        <v>2266.95</v>
      </c>
    </row>
    <row r="790" ht="15.75" customHeight="1">
      <c r="B790" s="3">
        <f>IFERROR(__xludf.DUMMYFUNCTION("""COMPUTED_VALUE"""),43595.64583333333)</f>
        <v>43595.64583</v>
      </c>
      <c r="C790" s="2">
        <f>IFERROR(__xludf.DUMMYFUNCTION("""COMPUTED_VALUE"""),2192.0)</f>
        <v>2192</v>
      </c>
    </row>
    <row r="791" ht="15.75" customHeight="1">
      <c r="B791" s="3">
        <f>IFERROR(__xludf.DUMMYFUNCTION("""COMPUTED_VALUE"""),43602.64583333333)</f>
        <v>43602.64583</v>
      </c>
      <c r="C791" s="2">
        <f>IFERROR(__xludf.DUMMYFUNCTION("""COMPUTED_VALUE"""),2167.0)</f>
        <v>2167</v>
      </c>
    </row>
    <row r="792" ht="15.75" customHeight="1">
      <c r="B792" s="3">
        <f>IFERROR(__xludf.DUMMYFUNCTION("""COMPUTED_VALUE"""),43609.64583333333)</f>
        <v>43609.64583</v>
      </c>
      <c r="C792" s="2">
        <f>IFERROR(__xludf.DUMMYFUNCTION("""COMPUTED_VALUE"""),2151.4)</f>
        <v>2151.4</v>
      </c>
    </row>
    <row r="793" ht="15.75" customHeight="1">
      <c r="B793" s="3">
        <f>IFERROR(__xludf.DUMMYFUNCTION("""COMPUTED_VALUE"""),43616.64583333333)</f>
        <v>43616.64583</v>
      </c>
      <c r="C793" s="2">
        <f>IFERROR(__xludf.DUMMYFUNCTION("""COMPUTED_VALUE"""),2204.95)</f>
        <v>2204.95</v>
      </c>
    </row>
    <row r="794" ht="15.75" customHeight="1">
      <c r="B794" s="3">
        <f>IFERROR(__xludf.DUMMYFUNCTION("""COMPUTED_VALUE"""),43623.64583333333)</f>
        <v>43623.64583</v>
      </c>
      <c r="C794" s="2">
        <f>IFERROR(__xludf.DUMMYFUNCTION("""COMPUTED_VALUE"""),2247.65)</f>
        <v>2247.65</v>
      </c>
    </row>
    <row r="795" ht="15.75" customHeight="1">
      <c r="B795" s="3">
        <f>IFERROR(__xludf.DUMMYFUNCTION("""COMPUTED_VALUE"""),43630.64583333333)</f>
        <v>43630.64583</v>
      </c>
      <c r="C795" s="2">
        <f>IFERROR(__xludf.DUMMYFUNCTION("""COMPUTED_VALUE"""),2285.0)</f>
        <v>2285</v>
      </c>
    </row>
    <row r="796" ht="15.75" customHeight="1">
      <c r="B796" s="3">
        <f>IFERROR(__xludf.DUMMYFUNCTION("""COMPUTED_VALUE"""),43637.64583333333)</f>
        <v>43637.64583</v>
      </c>
      <c r="C796" s="2">
        <f>IFERROR(__xludf.DUMMYFUNCTION("""COMPUTED_VALUE"""),2292.5)</f>
        <v>2292.5</v>
      </c>
    </row>
    <row r="797" ht="15.75" customHeight="1">
      <c r="B797" s="3">
        <f>IFERROR(__xludf.DUMMYFUNCTION("""COMPUTED_VALUE"""),43644.64583333333)</f>
        <v>43644.64583</v>
      </c>
      <c r="C797" s="2">
        <f>IFERROR(__xludf.DUMMYFUNCTION("""COMPUTED_VALUE"""),2280.0)</f>
        <v>2280</v>
      </c>
    </row>
    <row r="798" ht="15.75" customHeight="1">
      <c r="B798" s="3">
        <f>IFERROR(__xludf.DUMMYFUNCTION("""COMPUTED_VALUE"""),43651.64583333333)</f>
        <v>43651.64583</v>
      </c>
      <c r="C798" s="2">
        <f>IFERROR(__xludf.DUMMYFUNCTION("""COMPUTED_VALUE"""),2258.8)</f>
        <v>2258.8</v>
      </c>
    </row>
    <row r="799" ht="15.75" customHeight="1">
      <c r="B799" s="3">
        <f>IFERROR(__xludf.DUMMYFUNCTION("""COMPUTED_VALUE"""),43658.64583333333)</f>
        <v>43658.64583</v>
      </c>
      <c r="C799" s="2">
        <f>IFERROR(__xludf.DUMMYFUNCTION("""COMPUTED_VALUE"""),2188.8)</f>
        <v>2188.8</v>
      </c>
    </row>
    <row r="800" ht="15.75" customHeight="1">
      <c r="B800" s="3">
        <f>IFERROR(__xludf.DUMMYFUNCTION("""COMPUTED_VALUE"""),43665.64583333333)</f>
        <v>43665.64583</v>
      </c>
      <c r="C800" s="2">
        <f>IFERROR(__xludf.DUMMYFUNCTION("""COMPUTED_VALUE"""),2153.6)</f>
        <v>2153.6</v>
      </c>
    </row>
    <row r="801" ht="15.75" customHeight="1">
      <c r="B801" s="3">
        <f>IFERROR(__xludf.DUMMYFUNCTION("""COMPUTED_VALUE"""),43672.64583333333)</f>
        <v>43672.64583</v>
      </c>
      <c r="C801" s="2">
        <f>IFERROR(__xludf.DUMMYFUNCTION("""COMPUTED_VALUE"""),2135.0)</f>
        <v>2135</v>
      </c>
    </row>
    <row r="802" ht="15.75" customHeight="1">
      <c r="B802" s="3">
        <f>IFERROR(__xludf.DUMMYFUNCTION("""COMPUTED_VALUE"""),43679.64583333333)</f>
        <v>43679.64583</v>
      </c>
      <c r="C802" s="2">
        <f>IFERROR(__xludf.DUMMYFUNCTION("""COMPUTED_VALUE"""),2217.5)</f>
        <v>2217.5</v>
      </c>
    </row>
    <row r="803" ht="15.75" customHeight="1">
      <c r="B803" s="3">
        <f>IFERROR(__xludf.DUMMYFUNCTION("""COMPUTED_VALUE"""),43686.64583333333)</f>
        <v>43686.64583</v>
      </c>
      <c r="C803" s="2">
        <f>IFERROR(__xludf.DUMMYFUNCTION("""COMPUTED_VALUE"""),2281.0)</f>
        <v>2281</v>
      </c>
    </row>
    <row r="804" ht="15.75" customHeight="1">
      <c r="B804" s="3">
        <f>IFERROR(__xludf.DUMMYFUNCTION("""COMPUTED_VALUE"""),43693.64583333333)</f>
        <v>43693.64583</v>
      </c>
      <c r="C804" s="2">
        <f>IFERROR(__xludf.DUMMYFUNCTION("""COMPUTED_VALUE"""),2246.25)</f>
        <v>2246.25</v>
      </c>
    </row>
    <row r="805" ht="15.75" customHeight="1">
      <c r="B805" s="3">
        <f>IFERROR(__xludf.DUMMYFUNCTION("""COMPUTED_VALUE"""),43700.64583333333)</f>
        <v>43700.64583</v>
      </c>
      <c r="C805" s="2">
        <f>IFERROR(__xludf.DUMMYFUNCTION("""COMPUTED_VALUE"""),2259.9)</f>
        <v>2259.9</v>
      </c>
    </row>
    <row r="806" ht="15.75" customHeight="1">
      <c r="B806" s="3">
        <f>IFERROR(__xludf.DUMMYFUNCTION("""COMPUTED_VALUE"""),43707.64583333333)</f>
        <v>43707.64583</v>
      </c>
      <c r="C806" s="2">
        <f>IFERROR(__xludf.DUMMYFUNCTION("""COMPUTED_VALUE"""),2282.0)</f>
        <v>2282</v>
      </c>
    </row>
    <row r="807" ht="15.75" customHeight="1">
      <c r="B807" s="3">
        <f>IFERROR(__xludf.DUMMYFUNCTION("""COMPUTED_VALUE"""),43714.64583333333)</f>
        <v>43714.64583</v>
      </c>
      <c r="C807" s="2">
        <f>IFERROR(__xludf.DUMMYFUNCTION("""COMPUTED_VALUE"""),2296.2)</f>
        <v>2296.2</v>
      </c>
    </row>
    <row r="808" ht="15.75" customHeight="1">
      <c r="B808" s="3">
        <f>IFERROR(__xludf.DUMMYFUNCTION("""COMPUTED_VALUE"""),43721.64583333333)</f>
        <v>43721.64583</v>
      </c>
      <c r="C808" s="2">
        <f>IFERROR(__xludf.DUMMYFUNCTION("""COMPUTED_VALUE"""),2202.85)</f>
        <v>2202.85</v>
      </c>
    </row>
    <row r="809" ht="15.75" customHeight="1">
      <c r="B809" s="3">
        <f>IFERROR(__xludf.DUMMYFUNCTION("""COMPUTED_VALUE"""),43728.64583333333)</f>
        <v>43728.64583</v>
      </c>
      <c r="C809" s="2">
        <f>IFERROR(__xludf.DUMMYFUNCTION("""COMPUTED_VALUE"""),2173.4)</f>
        <v>2173.4</v>
      </c>
    </row>
    <row r="810" ht="15.75" customHeight="1">
      <c r="B810" s="3">
        <f>IFERROR(__xludf.DUMMYFUNCTION("""COMPUTED_VALUE"""),43735.64583333333)</f>
        <v>43735.64583</v>
      </c>
      <c r="C810" s="2">
        <f>IFERROR(__xludf.DUMMYFUNCTION("""COMPUTED_VALUE"""),2107.0)</f>
        <v>2107</v>
      </c>
    </row>
    <row r="811" ht="15.75" customHeight="1">
      <c r="B811" s="3">
        <f>IFERROR(__xludf.DUMMYFUNCTION("""COMPUTED_VALUE"""),43742.64583333333)</f>
        <v>43742.64583</v>
      </c>
      <c r="C811" s="2">
        <f>IFERROR(__xludf.DUMMYFUNCTION("""COMPUTED_VALUE"""),2104.0)</f>
        <v>2104</v>
      </c>
    </row>
    <row r="812" ht="15.75" customHeight="1">
      <c r="B812" s="3">
        <f>IFERROR(__xludf.DUMMYFUNCTION("""COMPUTED_VALUE"""),43749.64583333333)</f>
        <v>43749.64583</v>
      </c>
      <c r="C812" s="2">
        <f>IFERROR(__xludf.DUMMYFUNCTION("""COMPUTED_VALUE"""),2094.5)</f>
        <v>2094.5</v>
      </c>
    </row>
    <row r="813" ht="15.75" customHeight="1">
      <c r="B813" s="3">
        <f>IFERROR(__xludf.DUMMYFUNCTION("""COMPUTED_VALUE"""),43756.64583333333)</f>
        <v>43756.64583</v>
      </c>
      <c r="C813" s="2">
        <f>IFERROR(__xludf.DUMMYFUNCTION("""COMPUTED_VALUE"""),2063.9)</f>
        <v>2063.9</v>
      </c>
    </row>
    <row r="814" ht="15.75" customHeight="1">
      <c r="B814" s="3">
        <f>IFERROR(__xludf.DUMMYFUNCTION("""COMPUTED_VALUE"""),43763.79166666667)</f>
        <v>43763.79167</v>
      </c>
      <c r="C814" s="2">
        <f>IFERROR(__xludf.DUMMYFUNCTION("""COMPUTED_VALUE"""),2130.0)</f>
        <v>2130</v>
      </c>
    </row>
    <row r="815" ht="15.75" customHeight="1">
      <c r="B815" s="3">
        <f>IFERROR(__xludf.DUMMYFUNCTION("""COMPUTED_VALUE"""),43770.64583333333)</f>
        <v>43770.64583</v>
      </c>
      <c r="C815" s="2">
        <f>IFERROR(__xludf.DUMMYFUNCTION("""COMPUTED_VALUE"""),2284.95)</f>
        <v>2284.95</v>
      </c>
    </row>
    <row r="816" ht="15.75" customHeight="1">
      <c r="B816" s="3">
        <f>IFERROR(__xludf.DUMMYFUNCTION("""COMPUTED_VALUE"""),43777.64583333333)</f>
        <v>43777.64583</v>
      </c>
      <c r="C816" s="2">
        <f>IFERROR(__xludf.DUMMYFUNCTION("""COMPUTED_VALUE"""),2229.2)</f>
        <v>2229.2</v>
      </c>
    </row>
    <row r="817" ht="15.75" customHeight="1">
      <c r="B817" s="3">
        <f>IFERROR(__xludf.DUMMYFUNCTION("""COMPUTED_VALUE"""),43784.64583333333)</f>
        <v>43784.64583</v>
      </c>
      <c r="C817" s="2">
        <f>IFERROR(__xludf.DUMMYFUNCTION("""COMPUTED_VALUE"""),2211.5)</f>
        <v>2211.5</v>
      </c>
    </row>
    <row r="818" ht="15.75" customHeight="1">
      <c r="B818" s="3">
        <f>IFERROR(__xludf.DUMMYFUNCTION("""COMPUTED_VALUE"""),43791.64583333333)</f>
        <v>43791.64583</v>
      </c>
      <c r="C818" s="2">
        <f>IFERROR(__xludf.DUMMYFUNCTION("""COMPUTED_VALUE"""),2187.75)</f>
        <v>2187.75</v>
      </c>
    </row>
    <row r="819" ht="15.75" customHeight="1">
      <c r="B819" s="3">
        <f>IFERROR(__xludf.DUMMYFUNCTION("""COMPUTED_VALUE"""),43798.64583333333)</f>
        <v>43798.64583</v>
      </c>
      <c r="C819" s="2">
        <f>IFERROR(__xludf.DUMMYFUNCTION("""COMPUTED_VALUE"""),2097.9)</f>
        <v>2097.9</v>
      </c>
    </row>
    <row r="820" ht="15.75" customHeight="1">
      <c r="B820" s="3">
        <f>IFERROR(__xludf.DUMMYFUNCTION("""COMPUTED_VALUE"""),43805.64583333333)</f>
        <v>43805.64583</v>
      </c>
      <c r="C820" s="2">
        <f>IFERROR(__xludf.DUMMYFUNCTION("""COMPUTED_VALUE"""),2128.0)</f>
        <v>2128</v>
      </c>
    </row>
    <row r="821" ht="15.75" customHeight="1">
      <c r="B821" s="3">
        <f>IFERROR(__xludf.DUMMYFUNCTION("""COMPUTED_VALUE"""),43812.64583333333)</f>
        <v>43812.64583</v>
      </c>
      <c r="C821" s="2">
        <f>IFERROR(__xludf.DUMMYFUNCTION("""COMPUTED_VALUE"""),2127.95)</f>
        <v>2127.95</v>
      </c>
    </row>
    <row r="822" ht="15.75" customHeight="1">
      <c r="B822" s="3">
        <f>IFERROR(__xludf.DUMMYFUNCTION("""COMPUTED_VALUE"""),43819.64583333333)</f>
        <v>43819.64583</v>
      </c>
      <c r="C822" s="2">
        <f>IFERROR(__xludf.DUMMYFUNCTION("""COMPUTED_VALUE"""),2246.7)</f>
        <v>2246.7</v>
      </c>
    </row>
    <row r="823" ht="15.75" customHeight="1">
      <c r="B823" s="3">
        <f>IFERROR(__xludf.DUMMYFUNCTION("""COMPUTED_VALUE"""),43826.64583333333)</f>
        <v>43826.64583</v>
      </c>
      <c r="C823" s="2">
        <f>IFERROR(__xludf.DUMMYFUNCTION("""COMPUTED_VALUE"""),2243.55)</f>
        <v>2243.55</v>
      </c>
    </row>
    <row r="824" ht="15.75" customHeight="1"/>
    <row r="825" ht="15.75" customHeight="1"/>
    <row r="826" ht="15.75" customHeight="1">
      <c r="B826" s="2" t="str">
        <f>IFERROR(__xludf.DUMMYFUNCTION("GOOGLEFINANCE(""NSE:TCS"", ""high"",DATE(2020,1,1),DATE(2021,1,1),""weekly"")"),"Date")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IFERROR(__xludf.DUMMYFUNCTION("""COMPUTED_VALUE"""),43833.64583333333)</f>
        <v>43833.64583</v>
      </c>
      <c r="C827" s="2">
        <f>IFERROR(__xludf.DUMMYFUNCTION("""COMPUTED_VALUE"""),2225.0)</f>
        <v>2225</v>
      </c>
    </row>
    <row r="828" ht="15.75" customHeight="1">
      <c r="B828" s="3">
        <f>IFERROR(__xludf.DUMMYFUNCTION("""COMPUTED_VALUE"""),43840.64583333333)</f>
        <v>43840.64583</v>
      </c>
      <c r="C828" s="2">
        <f>IFERROR(__xludf.DUMMYFUNCTION("""COMPUTED_VALUE"""),2260.0)</f>
        <v>2260</v>
      </c>
    </row>
    <row r="829" ht="15.75" customHeight="1">
      <c r="B829" s="3">
        <f>IFERROR(__xludf.DUMMYFUNCTION("""COMPUTED_VALUE"""),43847.64583333333)</f>
        <v>43847.64583</v>
      </c>
      <c r="C829" s="2">
        <f>IFERROR(__xludf.DUMMYFUNCTION("""COMPUTED_VALUE"""),2253.55)</f>
        <v>2253.55</v>
      </c>
    </row>
    <row r="830" ht="15.75" customHeight="1">
      <c r="B830" s="3">
        <f>IFERROR(__xludf.DUMMYFUNCTION("""COMPUTED_VALUE"""),43854.64583333333)</f>
        <v>43854.64583</v>
      </c>
      <c r="C830" s="2">
        <f>IFERROR(__xludf.DUMMYFUNCTION("""COMPUTED_VALUE"""),2242.2)</f>
        <v>2242.2</v>
      </c>
    </row>
    <row r="831" ht="15.75" customHeight="1">
      <c r="B831" s="3">
        <f>IFERROR(__xludf.DUMMYFUNCTION("""COMPUTED_VALUE"""),43862.70833333333)</f>
        <v>43862.70833</v>
      </c>
      <c r="C831" s="2">
        <f>IFERROR(__xludf.DUMMYFUNCTION("""COMPUTED_VALUE"""),2193.45)</f>
        <v>2193.45</v>
      </c>
    </row>
    <row r="832" ht="15.75" customHeight="1">
      <c r="B832" s="3">
        <f>IFERROR(__xludf.DUMMYFUNCTION("""COMPUTED_VALUE"""),43868.64583333333)</f>
        <v>43868.64583</v>
      </c>
      <c r="C832" s="2">
        <f>IFERROR(__xludf.DUMMYFUNCTION("""COMPUTED_VALUE"""),2194.7)</f>
        <v>2194.7</v>
      </c>
    </row>
    <row r="833" ht="15.75" customHeight="1">
      <c r="B833" s="3">
        <f>IFERROR(__xludf.DUMMYFUNCTION("""COMPUTED_VALUE"""),43875.64583333333)</f>
        <v>43875.64583</v>
      </c>
      <c r="C833" s="2">
        <f>IFERROR(__xludf.DUMMYFUNCTION("""COMPUTED_VALUE"""),2212.0)</f>
        <v>2212</v>
      </c>
    </row>
    <row r="834" ht="15.75" customHeight="1">
      <c r="B834" s="3">
        <f>IFERROR(__xludf.DUMMYFUNCTION("""COMPUTED_VALUE"""),43881.64583333333)</f>
        <v>43881.64583</v>
      </c>
      <c r="C834" s="2">
        <f>IFERROR(__xludf.DUMMYFUNCTION("""COMPUTED_VALUE"""),2230.0)</f>
        <v>2230</v>
      </c>
    </row>
    <row r="835" ht="15.75" customHeight="1">
      <c r="B835" s="3">
        <f>IFERROR(__xludf.DUMMYFUNCTION("""COMPUTED_VALUE"""),43889.64583333333)</f>
        <v>43889.64583</v>
      </c>
      <c r="C835" s="2">
        <f>IFERROR(__xludf.DUMMYFUNCTION("""COMPUTED_VALUE"""),2178.95)</f>
        <v>2178.95</v>
      </c>
    </row>
    <row r="836" ht="15.75" customHeight="1">
      <c r="B836" s="3">
        <f>IFERROR(__xludf.DUMMYFUNCTION("""COMPUTED_VALUE"""),43896.64583333333)</f>
        <v>43896.64583</v>
      </c>
      <c r="C836" s="2">
        <f>IFERROR(__xludf.DUMMYFUNCTION("""COMPUTED_VALUE"""),2147.75)</f>
        <v>2147.75</v>
      </c>
    </row>
    <row r="837" ht="15.75" customHeight="1">
      <c r="B837" s="3">
        <f>IFERROR(__xludf.DUMMYFUNCTION("""COMPUTED_VALUE"""),43903.64583333333)</f>
        <v>43903.64583</v>
      </c>
      <c r="C837" s="2">
        <f>IFERROR(__xludf.DUMMYFUNCTION("""COMPUTED_VALUE"""),2079.9)</f>
        <v>2079.9</v>
      </c>
    </row>
    <row r="838" ht="15.75" customHeight="1">
      <c r="B838" s="3">
        <f>IFERROR(__xludf.DUMMYFUNCTION("""COMPUTED_VALUE"""),43910.64583333333)</f>
        <v>43910.64583</v>
      </c>
      <c r="C838" s="2">
        <f>IFERROR(__xludf.DUMMYFUNCTION("""COMPUTED_VALUE"""),1869.0)</f>
        <v>1869</v>
      </c>
    </row>
    <row r="839" ht="15.75" customHeight="1">
      <c r="B839" s="3">
        <f>IFERROR(__xludf.DUMMYFUNCTION("""COMPUTED_VALUE"""),43917.64583333333)</f>
        <v>43917.64583</v>
      </c>
      <c r="C839" s="2">
        <f>IFERROR(__xludf.DUMMYFUNCTION("""COMPUTED_VALUE"""),1850.0)</f>
        <v>1850</v>
      </c>
    </row>
    <row r="840" ht="15.75" customHeight="1">
      <c r="B840" s="3">
        <f>IFERROR(__xludf.DUMMYFUNCTION("""COMPUTED_VALUE"""),43924.64583333333)</f>
        <v>43924.64583</v>
      </c>
      <c r="C840" s="2">
        <f>IFERROR(__xludf.DUMMYFUNCTION("""COMPUTED_VALUE"""),1905.0)</f>
        <v>1905</v>
      </c>
    </row>
    <row r="841" ht="15.75" customHeight="1">
      <c r="B841" s="3">
        <f>IFERROR(__xludf.DUMMYFUNCTION("""COMPUTED_VALUE"""),43930.64583333333)</f>
        <v>43930.64583</v>
      </c>
      <c r="C841" s="2">
        <f>IFERROR(__xludf.DUMMYFUNCTION("""COMPUTED_VALUE"""),1806.0)</f>
        <v>1806</v>
      </c>
    </row>
    <row r="842" ht="15.75" customHeight="1">
      <c r="B842" s="3">
        <f>IFERROR(__xludf.DUMMYFUNCTION("""COMPUTED_VALUE"""),43938.64583333333)</f>
        <v>43938.64583</v>
      </c>
      <c r="C842" s="2">
        <f>IFERROR(__xludf.DUMMYFUNCTION("""COMPUTED_VALUE"""),1851.95)</f>
        <v>1851.95</v>
      </c>
    </row>
    <row r="843" ht="15.75" customHeight="1">
      <c r="B843" s="3">
        <f>IFERROR(__xludf.DUMMYFUNCTION("""COMPUTED_VALUE"""),43945.64583333333)</f>
        <v>43945.64583</v>
      </c>
      <c r="C843" s="2">
        <f>IFERROR(__xludf.DUMMYFUNCTION("""COMPUTED_VALUE"""),1900.0)</f>
        <v>1900</v>
      </c>
    </row>
    <row r="844" ht="15.75" customHeight="1">
      <c r="B844" s="3">
        <f>IFERROR(__xludf.DUMMYFUNCTION("""COMPUTED_VALUE"""),43951.64583333333)</f>
        <v>43951.64583</v>
      </c>
      <c r="C844" s="2">
        <f>IFERROR(__xludf.DUMMYFUNCTION("""COMPUTED_VALUE"""),2032.0)</f>
        <v>2032</v>
      </c>
    </row>
    <row r="845" ht="15.75" customHeight="1">
      <c r="B845" s="3">
        <f>IFERROR(__xludf.DUMMYFUNCTION("""COMPUTED_VALUE"""),43959.64583333333)</f>
        <v>43959.64583</v>
      </c>
      <c r="C845" s="2">
        <f>IFERROR(__xludf.DUMMYFUNCTION("""COMPUTED_VALUE"""),1977.0)</f>
        <v>1977</v>
      </c>
    </row>
    <row r="846" ht="15.75" customHeight="1">
      <c r="B846" s="3">
        <f>IFERROR(__xludf.DUMMYFUNCTION("""COMPUTED_VALUE"""),43966.64583333333)</f>
        <v>43966.64583</v>
      </c>
      <c r="C846" s="2">
        <f>IFERROR(__xludf.DUMMYFUNCTION("""COMPUTED_VALUE"""),1994.0)</f>
        <v>1994</v>
      </c>
    </row>
    <row r="847" ht="15.75" customHeight="1">
      <c r="B847" s="3">
        <f>IFERROR(__xludf.DUMMYFUNCTION("""COMPUTED_VALUE"""),43973.64583333333)</f>
        <v>43973.64583</v>
      </c>
      <c r="C847" s="2">
        <f>IFERROR(__xludf.DUMMYFUNCTION("""COMPUTED_VALUE"""),2032.0)</f>
        <v>2032</v>
      </c>
    </row>
    <row r="848" ht="15.75" customHeight="1">
      <c r="B848" s="3">
        <f>IFERROR(__xludf.DUMMYFUNCTION("""COMPUTED_VALUE"""),43980.64583333333)</f>
        <v>43980.64583</v>
      </c>
      <c r="C848" s="2">
        <f>IFERROR(__xludf.DUMMYFUNCTION("""COMPUTED_VALUE"""),2024.0)</f>
        <v>2024</v>
      </c>
    </row>
    <row r="849" ht="15.75" customHeight="1">
      <c r="B849" s="3">
        <f>IFERROR(__xludf.DUMMYFUNCTION("""COMPUTED_VALUE"""),43987.64583333333)</f>
        <v>43987.64583</v>
      </c>
      <c r="C849" s="2">
        <f>IFERROR(__xludf.DUMMYFUNCTION("""COMPUTED_VALUE"""),2100.0)</f>
        <v>2100</v>
      </c>
    </row>
    <row r="850" ht="15.75" customHeight="1">
      <c r="B850" s="3">
        <f>IFERROR(__xludf.DUMMYFUNCTION("""COMPUTED_VALUE"""),43994.64583333333)</f>
        <v>43994.64583</v>
      </c>
      <c r="C850" s="2">
        <f>IFERROR(__xludf.DUMMYFUNCTION("""COMPUTED_VALUE"""),2132.0)</f>
        <v>2132</v>
      </c>
    </row>
    <row r="851" ht="15.75" customHeight="1">
      <c r="B851" s="3">
        <f>IFERROR(__xludf.DUMMYFUNCTION("""COMPUTED_VALUE"""),44001.64583333333)</f>
        <v>44001.64583</v>
      </c>
      <c r="C851" s="2">
        <f>IFERROR(__xludf.DUMMYFUNCTION("""COMPUTED_VALUE"""),2090.0)</f>
        <v>2090</v>
      </c>
    </row>
    <row r="852" ht="15.75" customHeight="1">
      <c r="B852" s="3">
        <f>IFERROR(__xludf.DUMMYFUNCTION("""COMPUTED_VALUE"""),44008.64583333333)</f>
        <v>44008.64583</v>
      </c>
      <c r="C852" s="2">
        <f>IFERROR(__xludf.DUMMYFUNCTION("""COMPUTED_VALUE"""),2132.0)</f>
        <v>2132</v>
      </c>
    </row>
    <row r="853" ht="15.75" customHeight="1">
      <c r="B853" s="3">
        <f>IFERROR(__xludf.DUMMYFUNCTION("""COMPUTED_VALUE"""),44015.64583333333)</f>
        <v>44015.64583</v>
      </c>
      <c r="C853" s="2">
        <f>IFERROR(__xludf.DUMMYFUNCTION("""COMPUTED_VALUE"""),2205.0)</f>
        <v>2205</v>
      </c>
    </row>
    <row r="854" ht="15.75" customHeight="1">
      <c r="B854" s="3">
        <f>IFERROR(__xludf.DUMMYFUNCTION("""COMPUTED_VALUE"""),44022.64583333333)</f>
        <v>44022.64583</v>
      </c>
      <c r="C854" s="2">
        <f>IFERROR(__xludf.DUMMYFUNCTION("""COMPUTED_VALUE"""),2302.7)</f>
        <v>2302.7</v>
      </c>
    </row>
    <row r="855" ht="15.75" customHeight="1">
      <c r="B855" s="3">
        <f>IFERROR(__xludf.DUMMYFUNCTION("""COMPUTED_VALUE"""),44029.64583333333)</f>
        <v>44029.64583</v>
      </c>
      <c r="C855" s="2">
        <f>IFERROR(__xludf.DUMMYFUNCTION("""COMPUTED_VALUE"""),2333.0)</f>
        <v>2333</v>
      </c>
    </row>
    <row r="856" ht="15.75" customHeight="1">
      <c r="B856" s="3">
        <f>IFERROR(__xludf.DUMMYFUNCTION("""COMPUTED_VALUE"""),44036.64583333333)</f>
        <v>44036.64583</v>
      </c>
      <c r="C856" s="2">
        <f>IFERROR(__xludf.DUMMYFUNCTION("""COMPUTED_VALUE"""),2238.65)</f>
        <v>2238.65</v>
      </c>
    </row>
    <row r="857" ht="15.75" customHeight="1">
      <c r="B857" s="3">
        <f>IFERROR(__xludf.DUMMYFUNCTION("""COMPUTED_VALUE"""),44043.64583333333)</f>
        <v>44043.64583</v>
      </c>
      <c r="C857" s="2">
        <f>IFERROR(__xludf.DUMMYFUNCTION("""COMPUTED_VALUE"""),2358.0)</f>
        <v>2358</v>
      </c>
    </row>
    <row r="858" ht="15.75" customHeight="1">
      <c r="B858" s="3">
        <f>IFERROR(__xludf.DUMMYFUNCTION("""COMPUTED_VALUE"""),44050.64583333333)</f>
        <v>44050.64583</v>
      </c>
      <c r="C858" s="2">
        <f>IFERROR(__xludf.DUMMYFUNCTION("""COMPUTED_VALUE"""),2328.0)</f>
        <v>2328</v>
      </c>
    </row>
    <row r="859" ht="15.75" customHeight="1">
      <c r="B859" s="3">
        <f>IFERROR(__xludf.DUMMYFUNCTION("""COMPUTED_VALUE"""),44057.64583333333)</f>
        <v>44057.64583</v>
      </c>
      <c r="C859" s="2">
        <f>IFERROR(__xludf.DUMMYFUNCTION("""COMPUTED_VALUE"""),2325.0)</f>
        <v>2325</v>
      </c>
    </row>
    <row r="860" ht="15.75" customHeight="1">
      <c r="B860" s="3">
        <f>IFERROR(__xludf.DUMMYFUNCTION("""COMPUTED_VALUE"""),44064.64583333333)</f>
        <v>44064.64583</v>
      </c>
      <c r="C860" s="2">
        <f>IFERROR(__xludf.DUMMYFUNCTION("""COMPUTED_VALUE"""),2289.0)</f>
        <v>2289</v>
      </c>
    </row>
    <row r="861" ht="15.75" customHeight="1">
      <c r="B861" s="3">
        <f>IFERROR(__xludf.DUMMYFUNCTION("""COMPUTED_VALUE"""),44071.64583333333)</f>
        <v>44071.64583</v>
      </c>
      <c r="C861" s="2">
        <f>IFERROR(__xludf.DUMMYFUNCTION("""COMPUTED_VALUE"""),2287.35)</f>
        <v>2287.35</v>
      </c>
    </row>
    <row r="862" ht="15.75" customHeight="1">
      <c r="B862" s="3">
        <f>IFERROR(__xludf.DUMMYFUNCTION("""COMPUTED_VALUE"""),44078.64583333333)</f>
        <v>44078.64583</v>
      </c>
      <c r="C862" s="2">
        <f>IFERROR(__xludf.DUMMYFUNCTION("""COMPUTED_VALUE"""),2324.25)</f>
        <v>2324.25</v>
      </c>
    </row>
    <row r="863" ht="15.75" customHeight="1">
      <c r="B863" s="3">
        <f>IFERROR(__xludf.DUMMYFUNCTION("""COMPUTED_VALUE"""),44085.64583333333)</f>
        <v>44085.64583</v>
      </c>
      <c r="C863" s="2">
        <f>IFERROR(__xludf.DUMMYFUNCTION("""COMPUTED_VALUE"""),2390.45)</f>
        <v>2390.45</v>
      </c>
    </row>
    <row r="864" ht="15.75" customHeight="1">
      <c r="B864" s="3">
        <f>IFERROR(__xludf.DUMMYFUNCTION("""COMPUTED_VALUE"""),44092.64583333333)</f>
        <v>44092.64583</v>
      </c>
      <c r="C864" s="2">
        <f>IFERROR(__xludf.DUMMYFUNCTION("""COMPUTED_VALUE"""),2538.0)</f>
        <v>2538</v>
      </c>
    </row>
    <row r="865" ht="15.75" customHeight="1">
      <c r="B865" s="3">
        <f>IFERROR(__xludf.DUMMYFUNCTION("""COMPUTED_VALUE"""),44099.64583333333)</f>
        <v>44099.64583</v>
      </c>
      <c r="C865" s="2">
        <f>IFERROR(__xludf.DUMMYFUNCTION("""COMPUTED_VALUE"""),2555.0)</f>
        <v>2555</v>
      </c>
    </row>
    <row r="866" ht="15.75" customHeight="1">
      <c r="B866" s="3">
        <f>IFERROR(__xludf.DUMMYFUNCTION("""COMPUTED_VALUE"""),44105.64583333333)</f>
        <v>44105.64583</v>
      </c>
      <c r="C866" s="2">
        <f>IFERROR(__xludf.DUMMYFUNCTION("""COMPUTED_VALUE"""),2540.0)</f>
        <v>2540</v>
      </c>
    </row>
    <row r="867" ht="15.75" customHeight="1">
      <c r="B867" s="3">
        <f>IFERROR(__xludf.DUMMYFUNCTION("""COMPUTED_VALUE"""),44113.64583333333)</f>
        <v>44113.64583</v>
      </c>
      <c r="C867" s="2">
        <f>IFERROR(__xludf.DUMMYFUNCTION("""COMPUTED_VALUE"""),2885.0)</f>
        <v>2885</v>
      </c>
    </row>
    <row r="868" ht="15.75" customHeight="1">
      <c r="B868" s="3">
        <f>IFERROR(__xludf.DUMMYFUNCTION("""COMPUTED_VALUE"""),44120.64583333333)</f>
        <v>44120.64583</v>
      </c>
      <c r="C868" s="2">
        <f>IFERROR(__xludf.DUMMYFUNCTION("""COMPUTED_VALUE"""),2854.9)</f>
        <v>2854.9</v>
      </c>
    </row>
    <row r="869" ht="15.75" customHeight="1">
      <c r="B869" s="3">
        <f>IFERROR(__xludf.DUMMYFUNCTION("""COMPUTED_VALUE"""),44127.64583333333)</f>
        <v>44127.64583</v>
      </c>
      <c r="C869" s="2">
        <f>IFERROR(__xludf.DUMMYFUNCTION("""COMPUTED_VALUE"""),2774.0)</f>
        <v>2774</v>
      </c>
    </row>
    <row r="870" ht="15.75" customHeight="1">
      <c r="B870" s="3">
        <f>IFERROR(__xludf.DUMMYFUNCTION("""COMPUTED_VALUE"""),44134.64583333333)</f>
        <v>44134.64583</v>
      </c>
      <c r="C870" s="2">
        <f>IFERROR(__xludf.DUMMYFUNCTION("""COMPUTED_VALUE"""),2718.15)</f>
        <v>2718.15</v>
      </c>
    </row>
    <row r="871" ht="15.75" customHeight="1">
      <c r="B871" s="3">
        <f>IFERROR(__xludf.DUMMYFUNCTION("""COMPUTED_VALUE"""),44141.64583333333)</f>
        <v>44141.64583</v>
      </c>
      <c r="C871" s="2">
        <f>IFERROR(__xludf.DUMMYFUNCTION("""COMPUTED_VALUE"""),2721.85)</f>
        <v>2721.85</v>
      </c>
    </row>
    <row r="872" ht="15.75" customHeight="1">
      <c r="B872" s="3">
        <f>IFERROR(__xludf.DUMMYFUNCTION("""COMPUTED_VALUE"""),44155.64583333333)</f>
        <v>44155.64583</v>
      </c>
      <c r="C872" s="2">
        <f>IFERROR(__xludf.DUMMYFUNCTION("""COMPUTED_VALUE"""),2695.0)</f>
        <v>2695</v>
      </c>
    </row>
    <row r="873" ht="15.75" customHeight="1">
      <c r="B873" s="3">
        <f>IFERROR(__xludf.DUMMYFUNCTION("""COMPUTED_VALUE"""),44162.64583333333)</f>
        <v>44162.64583</v>
      </c>
      <c r="C873" s="2">
        <f>IFERROR(__xludf.DUMMYFUNCTION("""COMPUTED_VALUE"""),2743.0)</f>
        <v>2743</v>
      </c>
    </row>
    <row r="874" ht="15.75" customHeight="1">
      <c r="B874" s="3">
        <f>IFERROR(__xludf.DUMMYFUNCTION("""COMPUTED_VALUE"""),44169.64583333333)</f>
        <v>44169.64583</v>
      </c>
      <c r="C874" s="2">
        <f>IFERROR(__xludf.DUMMYFUNCTION("""COMPUTED_VALUE"""),2773.9)</f>
        <v>2773.9</v>
      </c>
    </row>
    <row r="875" ht="15.75" customHeight="1">
      <c r="B875" s="3">
        <f>IFERROR(__xludf.DUMMYFUNCTION("""COMPUTED_VALUE"""),44176.64583333333)</f>
        <v>44176.64583</v>
      </c>
      <c r="C875" s="2">
        <f>IFERROR(__xludf.DUMMYFUNCTION("""COMPUTED_VALUE"""),2840.0)</f>
        <v>2840</v>
      </c>
    </row>
    <row r="876" ht="15.75" customHeight="1">
      <c r="B876" s="3">
        <f>IFERROR(__xludf.DUMMYFUNCTION("""COMPUTED_VALUE"""),44183.64583333333)</f>
        <v>44183.64583</v>
      </c>
      <c r="C876" s="2">
        <f>IFERROR(__xludf.DUMMYFUNCTION("""COMPUTED_VALUE"""),2898.0)</f>
        <v>2898</v>
      </c>
    </row>
    <row r="877" ht="15.75" customHeight="1">
      <c r="B877" s="3">
        <f>IFERROR(__xludf.DUMMYFUNCTION("""COMPUTED_VALUE"""),44189.64583333333)</f>
        <v>44189.64583</v>
      </c>
      <c r="C877" s="2">
        <f>IFERROR(__xludf.DUMMYFUNCTION("""COMPUTED_VALUE"""),2921.35)</f>
        <v>2921.35</v>
      </c>
    </row>
    <row r="878" ht="15.75" customHeight="1">
      <c r="B878" s="3">
        <f>IFERROR(__xludf.DUMMYFUNCTION("""COMPUTED_VALUE"""),44197.64583333333)</f>
        <v>44197.64583</v>
      </c>
      <c r="C878" s="2">
        <f>IFERROR(__xludf.DUMMYFUNCTION("""COMPUTED_VALUE"""),2952.0)</f>
        <v>2952</v>
      </c>
    </row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IFERROR(__xludf.DUMMYFUNCTION("GOOGLEFINANCE(""NSE:JETAIRWAYS"", ""high"",DATE(2006,1,1),DATE(2007,1,1),""weekly"")"),"Date")</f>
        <v>Date</v>
      </c>
      <c r="C1" s="2" t="str">
        <f>IFERROR(__xludf.DUMMYFUNCTION("""COMPUTED_VALUE"""),"High")</f>
        <v>High</v>
      </c>
    </row>
    <row r="2">
      <c r="A2" s="2" t="s">
        <v>5</v>
      </c>
      <c r="B2" s="3">
        <f>IFERROR(__xludf.DUMMYFUNCTION("""COMPUTED_VALUE"""),38723.645833333336)</f>
        <v>38723.64583</v>
      </c>
      <c r="C2" s="2">
        <f>IFERROR(__xludf.DUMMYFUNCTION("""COMPUTED_VALUE"""),1168.0)</f>
        <v>1168</v>
      </c>
    </row>
    <row r="3">
      <c r="B3" s="3">
        <f>IFERROR(__xludf.DUMMYFUNCTION("""COMPUTED_VALUE"""),38730.645833333336)</f>
        <v>38730.64583</v>
      </c>
      <c r="C3" s="2">
        <f>IFERROR(__xludf.DUMMYFUNCTION("""COMPUTED_VALUE"""),1207.0)</f>
        <v>1207</v>
      </c>
    </row>
    <row r="4">
      <c r="B4" s="3">
        <f>IFERROR(__xludf.DUMMYFUNCTION("""COMPUTED_VALUE"""),38737.645833333336)</f>
        <v>38737.64583</v>
      </c>
      <c r="C4" s="2">
        <f>IFERROR(__xludf.DUMMYFUNCTION("""COMPUTED_VALUE"""),1189.0)</f>
        <v>1189</v>
      </c>
    </row>
    <row r="5">
      <c r="B5" s="3">
        <f>IFERROR(__xludf.DUMMYFUNCTION("""COMPUTED_VALUE"""),38744.645833333336)</f>
        <v>38744.64583</v>
      </c>
      <c r="C5" s="2">
        <f>IFERROR(__xludf.DUMMYFUNCTION("""COMPUTED_VALUE"""),1120.0)</f>
        <v>1120</v>
      </c>
    </row>
    <row r="6">
      <c r="B6" s="3">
        <f>IFERROR(__xludf.DUMMYFUNCTION("""COMPUTED_VALUE"""),38751.645833333336)</f>
        <v>38751.64583</v>
      </c>
      <c r="C6" s="2">
        <f>IFERROR(__xludf.DUMMYFUNCTION("""COMPUTED_VALUE"""),1027.8)</f>
        <v>1027.8</v>
      </c>
    </row>
    <row r="7">
      <c r="B7" s="3">
        <f>IFERROR(__xludf.DUMMYFUNCTION("""COMPUTED_VALUE"""),38758.645833333336)</f>
        <v>38758.64583</v>
      </c>
      <c r="C7" s="2">
        <f>IFERROR(__xludf.DUMMYFUNCTION("""COMPUTED_VALUE"""),1016.95)</f>
        <v>1016.95</v>
      </c>
    </row>
    <row r="8">
      <c r="B8" s="3">
        <f>IFERROR(__xludf.DUMMYFUNCTION("""COMPUTED_VALUE"""),38765.645833333336)</f>
        <v>38765.64583</v>
      </c>
      <c r="C8" s="2">
        <f>IFERROR(__xludf.DUMMYFUNCTION("""COMPUTED_VALUE"""),999.0)</f>
        <v>999</v>
      </c>
    </row>
    <row r="9">
      <c r="B9" s="3">
        <f>IFERROR(__xludf.DUMMYFUNCTION("""COMPUTED_VALUE"""),38772.645833333336)</f>
        <v>38772.64583</v>
      </c>
      <c r="C9" s="2">
        <f>IFERROR(__xludf.DUMMYFUNCTION("""COMPUTED_VALUE"""),1008.0)</f>
        <v>1008</v>
      </c>
    </row>
    <row r="10">
      <c r="B10" s="3">
        <f>IFERROR(__xludf.DUMMYFUNCTION("""COMPUTED_VALUE"""),38779.645833333336)</f>
        <v>38779.64583</v>
      </c>
      <c r="C10" s="2">
        <f>IFERROR(__xludf.DUMMYFUNCTION("""COMPUTED_VALUE"""),1003.9)</f>
        <v>1003.9</v>
      </c>
    </row>
    <row r="11">
      <c r="B11" s="3">
        <f>IFERROR(__xludf.DUMMYFUNCTION("""COMPUTED_VALUE"""),38786.645833333336)</f>
        <v>38786.64583</v>
      </c>
      <c r="C11" s="2">
        <f>IFERROR(__xludf.DUMMYFUNCTION("""COMPUTED_VALUE"""),1013.0)</f>
        <v>1013</v>
      </c>
    </row>
    <row r="12">
      <c r="B12" s="3">
        <f>IFERROR(__xludf.DUMMYFUNCTION("""COMPUTED_VALUE"""),38793.645833333336)</f>
        <v>38793.64583</v>
      </c>
      <c r="C12" s="2">
        <f>IFERROR(__xludf.DUMMYFUNCTION("""COMPUTED_VALUE"""),981.5)</f>
        <v>981.5</v>
      </c>
    </row>
    <row r="13">
      <c r="B13" s="3">
        <f>IFERROR(__xludf.DUMMYFUNCTION("""COMPUTED_VALUE"""),38800.645833333336)</f>
        <v>38800.64583</v>
      </c>
      <c r="C13" s="2">
        <f>IFERROR(__xludf.DUMMYFUNCTION("""COMPUTED_VALUE"""),968.0)</f>
        <v>968</v>
      </c>
    </row>
    <row r="14">
      <c r="B14" s="3">
        <f>IFERROR(__xludf.DUMMYFUNCTION("""COMPUTED_VALUE"""),38807.645833333336)</f>
        <v>38807.64583</v>
      </c>
      <c r="C14" s="2">
        <f>IFERROR(__xludf.DUMMYFUNCTION("""COMPUTED_VALUE"""),996.8)</f>
        <v>996.8</v>
      </c>
    </row>
    <row r="15">
      <c r="B15" s="3">
        <f>IFERROR(__xludf.DUMMYFUNCTION("""COMPUTED_VALUE"""),38814.645833333336)</f>
        <v>38814.64583</v>
      </c>
      <c r="C15" s="2">
        <f>IFERROR(__xludf.DUMMYFUNCTION("""COMPUTED_VALUE"""),1049.7)</f>
        <v>1049.7</v>
      </c>
    </row>
    <row r="16">
      <c r="B16" s="3">
        <f>IFERROR(__xludf.DUMMYFUNCTION("""COMPUTED_VALUE"""),38820.645833333336)</f>
        <v>38820.64583</v>
      </c>
      <c r="C16" s="2">
        <f>IFERROR(__xludf.DUMMYFUNCTION("""COMPUTED_VALUE"""),1057.8)</f>
        <v>1057.8</v>
      </c>
    </row>
    <row r="17">
      <c r="B17" s="3">
        <f>IFERROR(__xludf.DUMMYFUNCTION("""COMPUTED_VALUE"""),38828.645833333336)</f>
        <v>38828.64583</v>
      </c>
      <c r="C17" s="2">
        <f>IFERROR(__xludf.DUMMYFUNCTION("""COMPUTED_VALUE"""),1009.95)</f>
        <v>1009.95</v>
      </c>
    </row>
    <row r="18">
      <c r="B18" s="3">
        <f>IFERROR(__xludf.DUMMYFUNCTION("""COMPUTED_VALUE"""),38842.645833333336)</f>
        <v>38842.64583</v>
      </c>
      <c r="C18" s="2">
        <f>IFERROR(__xludf.DUMMYFUNCTION("""COMPUTED_VALUE"""),989.0)</f>
        <v>989</v>
      </c>
    </row>
    <row r="19">
      <c r="B19" s="3">
        <f>IFERROR(__xludf.DUMMYFUNCTION("""COMPUTED_VALUE"""),38849.645833333336)</f>
        <v>38849.64583</v>
      </c>
      <c r="C19" s="2">
        <f>IFERROR(__xludf.DUMMYFUNCTION("""COMPUTED_VALUE"""),980.0)</f>
        <v>980</v>
      </c>
    </row>
    <row r="20">
      <c r="B20" s="3">
        <f>IFERROR(__xludf.DUMMYFUNCTION("""COMPUTED_VALUE"""),38856.645833333336)</f>
        <v>38856.64583</v>
      </c>
      <c r="C20" s="2">
        <f>IFERROR(__xludf.DUMMYFUNCTION("""COMPUTED_VALUE"""),957.95)</f>
        <v>957.95</v>
      </c>
    </row>
    <row r="21" ht="15.75" customHeight="1">
      <c r="B21" s="3">
        <f>IFERROR(__xludf.DUMMYFUNCTION("""COMPUTED_VALUE"""),38863.645833333336)</f>
        <v>38863.64583</v>
      </c>
      <c r="C21" s="2">
        <f>IFERROR(__xludf.DUMMYFUNCTION("""COMPUTED_VALUE"""),955.0)</f>
        <v>955</v>
      </c>
    </row>
    <row r="22" ht="15.75" customHeight="1">
      <c r="B22" s="3">
        <f>IFERROR(__xludf.DUMMYFUNCTION("""COMPUTED_VALUE"""),38870.645833333336)</f>
        <v>38870.64583</v>
      </c>
      <c r="C22" s="2">
        <f>IFERROR(__xludf.DUMMYFUNCTION("""COMPUTED_VALUE"""),795.0)</f>
        <v>795</v>
      </c>
    </row>
    <row r="23" ht="15.75" customHeight="1">
      <c r="B23" s="3">
        <f>IFERROR(__xludf.DUMMYFUNCTION("""COMPUTED_VALUE"""),38877.645833333336)</f>
        <v>38877.64583</v>
      </c>
      <c r="C23" s="2">
        <f>IFERROR(__xludf.DUMMYFUNCTION("""COMPUTED_VALUE"""),753.0)</f>
        <v>753</v>
      </c>
    </row>
    <row r="24" ht="15.75" customHeight="1">
      <c r="B24" s="3">
        <f>IFERROR(__xludf.DUMMYFUNCTION("""COMPUTED_VALUE"""),38884.645833333336)</f>
        <v>38884.64583</v>
      </c>
      <c r="C24" s="2">
        <f>IFERROR(__xludf.DUMMYFUNCTION("""COMPUTED_VALUE"""),725.0)</f>
        <v>725</v>
      </c>
    </row>
    <row r="25" ht="15.75" customHeight="1">
      <c r="B25" s="3">
        <f>IFERROR(__xludf.DUMMYFUNCTION("""COMPUTED_VALUE"""),38891.645833333336)</f>
        <v>38891.64583</v>
      </c>
      <c r="C25" s="2">
        <f>IFERROR(__xludf.DUMMYFUNCTION("""COMPUTED_VALUE"""),770.0)</f>
        <v>770</v>
      </c>
    </row>
    <row r="26" ht="15.75" customHeight="1">
      <c r="B26" s="3">
        <f>IFERROR(__xludf.DUMMYFUNCTION("""COMPUTED_VALUE"""),38898.645833333336)</f>
        <v>38898.64583</v>
      </c>
      <c r="C26" s="2">
        <f>IFERROR(__xludf.DUMMYFUNCTION("""COMPUTED_VALUE"""),695.0)</f>
        <v>695</v>
      </c>
    </row>
    <row r="27" ht="15.75" customHeight="1">
      <c r="B27" s="3">
        <f>IFERROR(__xludf.DUMMYFUNCTION("""COMPUTED_VALUE"""),38905.645833333336)</f>
        <v>38905.64583</v>
      </c>
      <c r="C27" s="2">
        <f>IFERROR(__xludf.DUMMYFUNCTION("""COMPUTED_VALUE"""),612.5)</f>
        <v>612.5</v>
      </c>
    </row>
    <row r="28" ht="15.75" customHeight="1">
      <c r="B28" s="3">
        <f>IFERROR(__xludf.DUMMYFUNCTION("""COMPUTED_VALUE"""),38912.645833333336)</f>
        <v>38912.64583</v>
      </c>
      <c r="C28" s="2">
        <f>IFERROR(__xludf.DUMMYFUNCTION("""COMPUTED_VALUE"""),654.0)</f>
        <v>654</v>
      </c>
    </row>
    <row r="29" ht="15.75" customHeight="1">
      <c r="B29" s="3">
        <f>IFERROR(__xludf.DUMMYFUNCTION("""COMPUTED_VALUE"""),38919.645833333336)</f>
        <v>38919.64583</v>
      </c>
      <c r="C29" s="2">
        <f>IFERROR(__xludf.DUMMYFUNCTION("""COMPUTED_VALUE"""),540.0)</f>
        <v>540</v>
      </c>
    </row>
    <row r="30" ht="15.75" customHeight="1">
      <c r="B30" s="3">
        <f>IFERROR(__xludf.DUMMYFUNCTION("""COMPUTED_VALUE"""),38926.645833333336)</f>
        <v>38926.64583</v>
      </c>
      <c r="C30" s="2">
        <f>IFERROR(__xludf.DUMMYFUNCTION("""COMPUTED_VALUE"""),599.9)</f>
        <v>599.9</v>
      </c>
    </row>
    <row r="31" ht="15.75" customHeight="1">
      <c r="B31" s="3">
        <f>IFERROR(__xludf.DUMMYFUNCTION("""COMPUTED_VALUE"""),38933.645833333336)</f>
        <v>38933.64583</v>
      </c>
      <c r="C31" s="2">
        <f>IFERROR(__xludf.DUMMYFUNCTION("""COMPUTED_VALUE"""),550.0)</f>
        <v>550</v>
      </c>
    </row>
    <row r="32" ht="15.75" customHeight="1">
      <c r="B32" s="3">
        <f>IFERROR(__xludf.DUMMYFUNCTION("""COMPUTED_VALUE"""),38940.645833333336)</f>
        <v>38940.64583</v>
      </c>
      <c r="C32" s="2">
        <f>IFERROR(__xludf.DUMMYFUNCTION("""COMPUTED_VALUE"""),528.0)</f>
        <v>528</v>
      </c>
    </row>
    <row r="33" ht="15.75" customHeight="1">
      <c r="B33" s="3">
        <f>IFERROR(__xludf.DUMMYFUNCTION("""COMPUTED_VALUE"""),38947.645833333336)</f>
        <v>38947.64583</v>
      </c>
      <c r="C33" s="2">
        <f>IFERROR(__xludf.DUMMYFUNCTION("""COMPUTED_VALUE"""),588.0)</f>
        <v>588</v>
      </c>
    </row>
    <row r="34" ht="15.75" customHeight="1">
      <c r="B34" s="3">
        <f>IFERROR(__xludf.DUMMYFUNCTION("""COMPUTED_VALUE"""),38954.645833333336)</f>
        <v>38954.64583</v>
      </c>
      <c r="C34" s="2">
        <f>IFERROR(__xludf.DUMMYFUNCTION("""COMPUTED_VALUE"""),605.0)</f>
        <v>605</v>
      </c>
    </row>
    <row r="35" ht="15.75" customHeight="1">
      <c r="B35" s="3">
        <f>IFERROR(__xludf.DUMMYFUNCTION("""COMPUTED_VALUE"""),38961.645833333336)</f>
        <v>38961.64583</v>
      </c>
      <c r="C35" s="2">
        <f>IFERROR(__xludf.DUMMYFUNCTION("""COMPUTED_VALUE"""),575.0)</f>
        <v>575</v>
      </c>
    </row>
    <row r="36" ht="15.75" customHeight="1">
      <c r="B36" s="3">
        <f>IFERROR(__xludf.DUMMYFUNCTION("""COMPUTED_VALUE"""),38968.645833333336)</f>
        <v>38968.64583</v>
      </c>
      <c r="C36" s="2">
        <f>IFERROR(__xludf.DUMMYFUNCTION("""COMPUTED_VALUE"""),707.0)</f>
        <v>707</v>
      </c>
    </row>
    <row r="37" ht="15.75" customHeight="1">
      <c r="B37" s="3">
        <f>IFERROR(__xludf.DUMMYFUNCTION("""COMPUTED_VALUE"""),38975.645833333336)</f>
        <v>38975.64583</v>
      </c>
      <c r="C37" s="2">
        <f>IFERROR(__xludf.DUMMYFUNCTION("""COMPUTED_VALUE"""),701.8)</f>
        <v>701.8</v>
      </c>
    </row>
    <row r="38" ht="15.75" customHeight="1">
      <c r="B38" s="3">
        <f>IFERROR(__xludf.DUMMYFUNCTION("""COMPUTED_VALUE"""),38982.645833333336)</f>
        <v>38982.64583</v>
      </c>
      <c r="C38" s="2">
        <f>IFERROR(__xludf.DUMMYFUNCTION("""COMPUTED_VALUE"""),688.0)</f>
        <v>688</v>
      </c>
    </row>
    <row r="39" ht="15.75" customHeight="1">
      <c r="B39" s="3">
        <f>IFERROR(__xludf.DUMMYFUNCTION("""COMPUTED_VALUE"""),38989.645833333336)</f>
        <v>38989.64583</v>
      </c>
      <c r="C39" s="2">
        <f>IFERROR(__xludf.DUMMYFUNCTION("""COMPUTED_VALUE"""),668.45)</f>
        <v>668.45</v>
      </c>
    </row>
    <row r="40" ht="15.75" customHeight="1">
      <c r="B40" s="3">
        <f>IFERROR(__xludf.DUMMYFUNCTION("""COMPUTED_VALUE"""),38996.645833333336)</f>
        <v>38996.64583</v>
      </c>
      <c r="C40" s="2">
        <f>IFERROR(__xludf.DUMMYFUNCTION("""COMPUTED_VALUE"""),663.0)</f>
        <v>663</v>
      </c>
    </row>
    <row r="41" ht="15.75" customHeight="1">
      <c r="B41" s="3">
        <f>IFERROR(__xludf.DUMMYFUNCTION("""COMPUTED_VALUE"""),39003.645833333336)</f>
        <v>39003.64583</v>
      </c>
      <c r="C41" s="2">
        <f>IFERROR(__xludf.DUMMYFUNCTION("""COMPUTED_VALUE"""),662.0)</f>
        <v>662</v>
      </c>
    </row>
    <row r="42" ht="15.75" customHeight="1">
      <c r="B42" s="3">
        <f>IFERROR(__xludf.DUMMYFUNCTION("""COMPUTED_VALUE"""),39017.645833333336)</f>
        <v>39017.64583</v>
      </c>
      <c r="C42" s="2">
        <f>IFERROR(__xludf.DUMMYFUNCTION("""COMPUTED_VALUE"""),625.0)</f>
        <v>625</v>
      </c>
    </row>
    <row r="43" ht="15.75" customHeight="1">
      <c r="B43" s="3">
        <f>IFERROR(__xludf.DUMMYFUNCTION("""COMPUTED_VALUE"""),39024.645833333336)</f>
        <v>39024.64583</v>
      </c>
      <c r="C43" s="2">
        <f>IFERROR(__xludf.DUMMYFUNCTION("""COMPUTED_VALUE"""),628.5)</f>
        <v>628.5</v>
      </c>
    </row>
    <row r="44" ht="15.75" customHeight="1">
      <c r="B44" s="3">
        <f>IFERROR(__xludf.DUMMYFUNCTION("""COMPUTED_VALUE"""),39031.645833333336)</f>
        <v>39031.64583</v>
      </c>
      <c r="C44" s="2">
        <f>IFERROR(__xludf.DUMMYFUNCTION("""COMPUTED_VALUE"""),660.0)</f>
        <v>660</v>
      </c>
    </row>
    <row r="45" ht="15.75" customHeight="1">
      <c r="B45" s="3">
        <f>IFERROR(__xludf.DUMMYFUNCTION("""COMPUTED_VALUE"""),39038.645833333336)</f>
        <v>39038.64583</v>
      </c>
      <c r="C45" s="2">
        <f>IFERROR(__xludf.DUMMYFUNCTION("""COMPUTED_VALUE"""),683.9)</f>
        <v>683.9</v>
      </c>
    </row>
    <row r="46" ht="15.75" customHeight="1">
      <c r="B46" s="3">
        <f>IFERROR(__xludf.DUMMYFUNCTION("""COMPUTED_VALUE"""),39045.645833333336)</f>
        <v>39045.64583</v>
      </c>
      <c r="C46" s="2">
        <f>IFERROR(__xludf.DUMMYFUNCTION("""COMPUTED_VALUE"""),731.15)</f>
        <v>731.15</v>
      </c>
    </row>
    <row r="47" ht="15.75" customHeight="1">
      <c r="B47" s="3">
        <f>IFERROR(__xludf.DUMMYFUNCTION("""COMPUTED_VALUE"""),39052.645833333336)</f>
        <v>39052.64583</v>
      </c>
      <c r="C47" s="2">
        <f>IFERROR(__xludf.DUMMYFUNCTION("""COMPUTED_VALUE"""),723.2)</f>
        <v>723.2</v>
      </c>
    </row>
    <row r="48" ht="15.75" customHeight="1">
      <c r="B48" s="3">
        <f>IFERROR(__xludf.DUMMYFUNCTION("""COMPUTED_VALUE"""),39059.645833333336)</f>
        <v>39059.64583</v>
      </c>
      <c r="C48" s="2">
        <f>IFERROR(__xludf.DUMMYFUNCTION("""COMPUTED_VALUE"""),699.0)</f>
        <v>699</v>
      </c>
    </row>
    <row r="49" ht="15.75" customHeight="1">
      <c r="B49" s="3">
        <f>IFERROR(__xludf.DUMMYFUNCTION("""COMPUTED_VALUE"""),39066.645833333336)</f>
        <v>39066.64583</v>
      </c>
      <c r="C49" s="2">
        <f>IFERROR(__xludf.DUMMYFUNCTION("""COMPUTED_VALUE"""),690.0)</f>
        <v>690</v>
      </c>
    </row>
    <row r="50" ht="15.75" customHeight="1">
      <c r="B50" s="3">
        <f>IFERROR(__xludf.DUMMYFUNCTION("""COMPUTED_VALUE"""),39073.645833333336)</f>
        <v>39073.64583</v>
      </c>
      <c r="C50" s="2">
        <f>IFERROR(__xludf.DUMMYFUNCTION("""COMPUTED_VALUE"""),619.0)</f>
        <v>619</v>
      </c>
    </row>
    <row r="51" ht="15.75" customHeight="1">
      <c r="B51" s="3">
        <f>IFERROR(__xludf.DUMMYFUNCTION("""COMPUTED_VALUE"""),39080.645833333336)</f>
        <v>39080.64583</v>
      </c>
      <c r="C51" s="2">
        <f>IFERROR(__xludf.DUMMYFUNCTION("""COMPUTED_VALUE"""),620.55)</f>
        <v>620.55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IFERROR(__xludf.DUMMYFUNCTION("GOOGLEFINANCE(""NSE:SIEMENS"", ""high"",DATE(2006,1,1),DATE(2007,1,1),""weekly"")"),"Date")</f>
        <v>Date</v>
      </c>
      <c r="C1" s="2" t="str">
        <f>IFERROR(__xludf.DUMMYFUNCTION("""COMPUTED_VALUE"""),"High")</f>
        <v>High</v>
      </c>
    </row>
    <row r="2">
      <c r="A2" s="2" t="s">
        <v>5</v>
      </c>
      <c r="B2" s="3">
        <f>IFERROR(__xludf.DUMMYFUNCTION("""COMPUTED_VALUE"""),38723.645833333336)</f>
        <v>38723.64583</v>
      </c>
      <c r="C2" s="2">
        <f>IFERROR(__xludf.DUMMYFUNCTION("""COMPUTED_VALUE"""),378.77)</f>
        <v>378.77</v>
      </c>
    </row>
    <row r="3">
      <c r="A3" s="2" t="s">
        <v>6</v>
      </c>
      <c r="B3" s="3">
        <f>IFERROR(__xludf.DUMMYFUNCTION("""COMPUTED_VALUE"""),38730.645833333336)</f>
        <v>38730.64583</v>
      </c>
      <c r="C3" s="2">
        <f>IFERROR(__xludf.DUMMYFUNCTION("""COMPUTED_VALUE"""),376.5)</f>
        <v>376.5</v>
      </c>
    </row>
    <row r="4">
      <c r="A4" s="2" t="s">
        <v>7</v>
      </c>
      <c r="B4" s="3">
        <f>IFERROR(__xludf.DUMMYFUNCTION("""COMPUTED_VALUE"""),38737.645833333336)</f>
        <v>38737.64583</v>
      </c>
      <c r="C4" s="2">
        <f>IFERROR(__xludf.DUMMYFUNCTION("""COMPUTED_VALUE"""),415.4)</f>
        <v>415.4</v>
      </c>
    </row>
    <row r="5">
      <c r="A5" s="2" t="s">
        <v>8</v>
      </c>
      <c r="B5" s="3">
        <f>IFERROR(__xludf.DUMMYFUNCTION("""COMPUTED_VALUE"""),38744.645833333336)</f>
        <v>38744.64583</v>
      </c>
      <c r="C5" s="2">
        <f>IFERROR(__xludf.DUMMYFUNCTION("""COMPUTED_VALUE"""),450.0)</f>
        <v>450</v>
      </c>
    </row>
    <row r="6">
      <c r="A6" s="2" t="s">
        <v>9</v>
      </c>
      <c r="B6" s="3">
        <f>IFERROR(__xludf.DUMMYFUNCTION("""COMPUTED_VALUE"""),38751.645833333336)</f>
        <v>38751.64583</v>
      </c>
      <c r="C6" s="2">
        <f>IFERROR(__xludf.DUMMYFUNCTION("""COMPUTED_VALUE"""),464.7)</f>
        <v>464.7</v>
      </c>
    </row>
    <row r="7">
      <c r="A7" s="2" t="s">
        <v>10</v>
      </c>
      <c r="B7" s="3">
        <f>IFERROR(__xludf.DUMMYFUNCTION("""COMPUTED_VALUE"""),38758.645833333336)</f>
        <v>38758.64583</v>
      </c>
      <c r="C7" s="2">
        <f>IFERROR(__xludf.DUMMYFUNCTION("""COMPUTED_VALUE"""),452.0)</f>
        <v>452</v>
      </c>
    </row>
    <row r="8">
      <c r="A8" s="2" t="s">
        <v>11</v>
      </c>
      <c r="B8" s="3">
        <f>IFERROR(__xludf.DUMMYFUNCTION("""COMPUTED_VALUE"""),38765.645833333336)</f>
        <v>38765.64583</v>
      </c>
      <c r="C8" s="2">
        <f>IFERROR(__xludf.DUMMYFUNCTION("""COMPUTED_VALUE"""),450.0)</f>
        <v>450</v>
      </c>
    </row>
    <row r="9">
      <c r="B9" s="3">
        <f>IFERROR(__xludf.DUMMYFUNCTION("""COMPUTED_VALUE"""),38772.645833333336)</f>
        <v>38772.64583</v>
      </c>
      <c r="C9" s="2">
        <f>IFERROR(__xludf.DUMMYFUNCTION("""COMPUTED_VALUE"""),442.5)</f>
        <v>442.5</v>
      </c>
    </row>
    <row r="10">
      <c r="B10" s="3">
        <f>IFERROR(__xludf.DUMMYFUNCTION("""COMPUTED_VALUE"""),38779.645833333336)</f>
        <v>38779.64583</v>
      </c>
      <c r="C10" s="2">
        <f>IFERROR(__xludf.DUMMYFUNCTION("""COMPUTED_VALUE"""),506.1)</f>
        <v>506.1</v>
      </c>
    </row>
    <row r="11">
      <c r="B11" s="3">
        <f>IFERROR(__xludf.DUMMYFUNCTION("""COMPUTED_VALUE"""),38786.645833333336)</f>
        <v>38786.64583</v>
      </c>
      <c r="C11" s="2">
        <f>IFERROR(__xludf.DUMMYFUNCTION("""COMPUTED_VALUE"""),590.9)</f>
        <v>590.9</v>
      </c>
    </row>
    <row r="12">
      <c r="B12" s="3">
        <f>IFERROR(__xludf.DUMMYFUNCTION("""COMPUTED_VALUE"""),38793.645833333336)</f>
        <v>38793.64583</v>
      </c>
      <c r="C12" s="2">
        <f>IFERROR(__xludf.DUMMYFUNCTION("""COMPUTED_VALUE"""),582.1)</f>
        <v>582.1</v>
      </c>
    </row>
    <row r="13">
      <c r="B13" s="3">
        <f>IFERROR(__xludf.DUMMYFUNCTION("""COMPUTED_VALUE"""),38800.645833333336)</f>
        <v>38800.64583</v>
      </c>
      <c r="C13" s="2">
        <f>IFERROR(__xludf.DUMMYFUNCTION("""COMPUTED_VALUE"""),583.3)</f>
        <v>583.3</v>
      </c>
    </row>
    <row r="14">
      <c r="B14" s="3">
        <f>IFERROR(__xludf.DUMMYFUNCTION("""COMPUTED_VALUE"""),38807.645833333336)</f>
        <v>38807.64583</v>
      </c>
      <c r="C14" s="2">
        <f>IFERROR(__xludf.DUMMYFUNCTION("""COMPUTED_VALUE"""),580.4)</f>
        <v>580.4</v>
      </c>
    </row>
    <row r="15">
      <c r="B15" s="3">
        <f>IFERROR(__xludf.DUMMYFUNCTION("""COMPUTED_VALUE"""),38814.645833333336)</f>
        <v>38814.64583</v>
      </c>
      <c r="C15" s="2">
        <f>IFERROR(__xludf.DUMMYFUNCTION("""COMPUTED_VALUE"""),626.8)</f>
        <v>626.8</v>
      </c>
    </row>
    <row r="16">
      <c r="B16" s="3">
        <f>IFERROR(__xludf.DUMMYFUNCTION("""COMPUTED_VALUE"""),38820.645833333336)</f>
        <v>38820.64583</v>
      </c>
      <c r="C16" s="2">
        <f>IFERROR(__xludf.DUMMYFUNCTION("""COMPUTED_VALUE"""),631.0)</f>
        <v>631</v>
      </c>
    </row>
    <row r="17">
      <c r="B17" s="3">
        <f>IFERROR(__xludf.DUMMYFUNCTION("""COMPUTED_VALUE"""),38828.645833333336)</f>
        <v>38828.64583</v>
      </c>
      <c r="C17" s="2">
        <f>IFERROR(__xludf.DUMMYFUNCTION("""COMPUTED_VALUE"""),605.5)</f>
        <v>605.5</v>
      </c>
    </row>
    <row r="18">
      <c r="B18" s="3">
        <f>IFERROR(__xludf.DUMMYFUNCTION("""COMPUTED_VALUE"""),38842.645833333336)</f>
        <v>38842.64583</v>
      </c>
      <c r="C18" s="2">
        <f>IFERROR(__xludf.DUMMYFUNCTION("""COMPUTED_VALUE"""),607.4)</f>
        <v>607.4</v>
      </c>
    </row>
    <row r="19">
      <c r="B19" s="3">
        <f>IFERROR(__xludf.DUMMYFUNCTION("""COMPUTED_VALUE"""),38849.645833333336)</f>
        <v>38849.64583</v>
      </c>
      <c r="C19" s="2">
        <f>IFERROR(__xludf.DUMMYFUNCTION("""COMPUTED_VALUE"""),611.0)</f>
        <v>611</v>
      </c>
    </row>
    <row r="20">
      <c r="B20" s="3">
        <f>IFERROR(__xludf.DUMMYFUNCTION("""COMPUTED_VALUE"""),38856.645833333336)</f>
        <v>38856.64583</v>
      </c>
      <c r="C20" s="2">
        <f>IFERROR(__xludf.DUMMYFUNCTION("""COMPUTED_VALUE"""),605.0)</f>
        <v>605</v>
      </c>
    </row>
    <row r="21" ht="15.75" customHeight="1">
      <c r="B21" s="3">
        <f>IFERROR(__xludf.DUMMYFUNCTION("""COMPUTED_VALUE"""),38863.645833333336)</f>
        <v>38863.64583</v>
      </c>
      <c r="C21" s="2">
        <f>IFERROR(__xludf.DUMMYFUNCTION("""COMPUTED_VALUE"""),536.0)</f>
        <v>536</v>
      </c>
    </row>
    <row r="22" ht="15.75" customHeight="1">
      <c r="B22" s="3">
        <f>IFERROR(__xludf.DUMMYFUNCTION("""COMPUTED_VALUE"""),38870.645833333336)</f>
        <v>38870.64583</v>
      </c>
      <c r="C22" s="2">
        <f>IFERROR(__xludf.DUMMYFUNCTION("""COMPUTED_VALUE"""),529.0)</f>
        <v>529</v>
      </c>
    </row>
    <row r="23" ht="15.75" customHeight="1">
      <c r="B23" s="3">
        <f>IFERROR(__xludf.DUMMYFUNCTION("""COMPUTED_VALUE"""),38877.645833333336)</f>
        <v>38877.64583</v>
      </c>
      <c r="C23" s="2">
        <f>IFERROR(__xludf.DUMMYFUNCTION("""COMPUTED_VALUE"""),499.0)</f>
        <v>499</v>
      </c>
    </row>
    <row r="24" ht="15.75" customHeight="1">
      <c r="B24" s="3">
        <f>IFERROR(__xludf.DUMMYFUNCTION("""COMPUTED_VALUE"""),38884.645833333336)</f>
        <v>38884.64583</v>
      </c>
      <c r="C24" s="2">
        <f>IFERROR(__xludf.DUMMYFUNCTION("""COMPUTED_VALUE"""),475.25)</f>
        <v>475.25</v>
      </c>
    </row>
    <row r="25" ht="15.75" customHeight="1">
      <c r="B25" s="3">
        <f>IFERROR(__xludf.DUMMYFUNCTION("""COMPUTED_VALUE"""),38891.645833333336)</f>
        <v>38891.64583</v>
      </c>
      <c r="C25" s="2">
        <f>IFERROR(__xludf.DUMMYFUNCTION("""COMPUTED_VALUE"""),482.5)</f>
        <v>482.5</v>
      </c>
    </row>
    <row r="26" ht="15.75" customHeight="1">
      <c r="B26" s="3">
        <f>IFERROR(__xludf.DUMMYFUNCTION("""COMPUTED_VALUE"""),38898.645833333336)</f>
        <v>38898.64583</v>
      </c>
      <c r="C26" s="2">
        <f>IFERROR(__xludf.DUMMYFUNCTION("""COMPUTED_VALUE"""),465.5)</f>
        <v>465.5</v>
      </c>
    </row>
    <row r="27" ht="15.75" customHeight="1">
      <c r="B27" s="3">
        <f>IFERROR(__xludf.DUMMYFUNCTION("""COMPUTED_VALUE"""),38905.645833333336)</f>
        <v>38905.64583</v>
      </c>
      <c r="C27" s="2">
        <f>IFERROR(__xludf.DUMMYFUNCTION("""COMPUTED_VALUE"""),462.5)</f>
        <v>462.5</v>
      </c>
    </row>
    <row r="28" ht="15.75" customHeight="1">
      <c r="B28" s="3">
        <f>IFERROR(__xludf.DUMMYFUNCTION("""COMPUTED_VALUE"""),38912.645833333336)</f>
        <v>38912.64583</v>
      </c>
      <c r="C28" s="2">
        <f>IFERROR(__xludf.DUMMYFUNCTION("""COMPUTED_VALUE"""),475.5)</f>
        <v>475.5</v>
      </c>
    </row>
    <row r="29" ht="15.75" customHeight="1">
      <c r="B29" s="3">
        <f>IFERROR(__xludf.DUMMYFUNCTION("""COMPUTED_VALUE"""),38919.645833333336)</f>
        <v>38919.64583</v>
      </c>
      <c r="C29" s="2">
        <f>IFERROR(__xludf.DUMMYFUNCTION("""COMPUTED_VALUE"""),461.5)</f>
        <v>461.5</v>
      </c>
    </row>
    <row r="30" ht="15.75" customHeight="1">
      <c r="B30" s="3">
        <f>IFERROR(__xludf.DUMMYFUNCTION("""COMPUTED_VALUE"""),38926.645833333336)</f>
        <v>38926.64583</v>
      </c>
      <c r="C30" s="2">
        <f>IFERROR(__xludf.DUMMYFUNCTION("""COMPUTED_VALUE"""),441.25)</f>
        <v>441.25</v>
      </c>
    </row>
    <row r="31" ht="15.75" customHeight="1">
      <c r="B31" s="3">
        <f>IFERROR(__xludf.DUMMYFUNCTION("""COMPUTED_VALUE"""),38933.645833333336)</f>
        <v>38933.64583</v>
      </c>
      <c r="C31" s="2">
        <f>IFERROR(__xludf.DUMMYFUNCTION("""COMPUTED_VALUE"""),466.55)</f>
        <v>466.55</v>
      </c>
    </row>
    <row r="32" ht="15.75" customHeight="1">
      <c r="B32" s="3">
        <f>IFERROR(__xludf.DUMMYFUNCTION("""COMPUTED_VALUE"""),38940.645833333336)</f>
        <v>38940.64583</v>
      </c>
      <c r="C32" s="2">
        <f>IFERROR(__xludf.DUMMYFUNCTION("""COMPUTED_VALUE"""),505.85)</f>
        <v>505.85</v>
      </c>
    </row>
    <row r="33" ht="15.75" customHeight="1">
      <c r="B33" s="3">
        <f>IFERROR(__xludf.DUMMYFUNCTION("""COMPUTED_VALUE"""),38947.645833333336)</f>
        <v>38947.64583</v>
      </c>
      <c r="C33" s="2">
        <f>IFERROR(__xludf.DUMMYFUNCTION("""COMPUTED_VALUE"""),538.4)</f>
        <v>538.4</v>
      </c>
    </row>
    <row r="34" ht="15.75" customHeight="1">
      <c r="B34" s="3">
        <f>IFERROR(__xludf.DUMMYFUNCTION("""COMPUTED_VALUE"""),38954.645833333336)</f>
        <v>38954.64583</v>
      </c>
      <c r="C34" s="2">
        <f>IFERROR(__xludf.DUMMYFUNCTION("""COMPUTED_VALUE"""),535.0)</f>
        <v>535</v>
      </c>
    </row>
    <row r="35" ht="15.75" customHeight="1">
      <c r="B35" s="3">
        <f>IFERROR(__xludf.DUMMYFUNCTION("""COMPUTED_VALUE"""),38961.645833333336)</f>
        <v>38961.64583</v>
      </c>
      <c r="C35" s="2">
        <f>IFERROR(__xludf.DUMMYFUNCTION("""COMPUTED_VALUE"""),542.25)</f>
        <v>542.25</v>
      </c>
    </row>
    <row r="36" ht="15.75" customHeight="1">
      <c r="B36" s="3">
        <f>IFERROR(__xludf.DUMMYFUNCTION("""COMPUTED_VALUE"""),38968.645833333336)</f>
        <v>38968.64583</v>
      </c>
      <c r="C36" s="2">
        <f>IFERROR(__xludf.DUMMYFUNCTION("""COMPUTED_VALUE"""),553.35)</f>
        <v>553.35</v>
      </c>
    </row>
    <row r="37" ht="15.75" customHeight="1">
      <c r="B37" s="3">
        <f>IFERROR(__xludf.DUMMYFUNCTION("""COMPUTED_VALUE"""),38975.645833333336)</f>
        <v>38975.64583</v>
      </c>
      <c r="C37" s="2">
        <f>IFERROR(__xludf.DUMMYFUNCTION("""COMPUTED_VALUE"""),544.45)</f>
        <v>544.45</v>
      </c>
    </row>
    <row r="38" ht="15.75" customHeight="1">
      <c r="B38" s="3">
        <f>IFERROR(__xludf.DUMMYFUNCTION("""COMPUTED_VALUE"""),38982.645833333336)</f>
        <v>38982.64583</v>
      </c>
      <c r="C38" s="2">
        <f>IFERROR(__xludf.DUMMYFUNCTION("""COMPUTED_VALUE"""),543.5)</f>
        <v>543.5</v>
      </c>
    </row>
    <row r="39" ht="15.75" customHeight="1">
      <c r="B39" s="3">
        <f>IFERROR(__xludf.DUMMYFUNCTION("""COMPUTED_VALUE"""),38989.645833333336)</f>
        <v>38989.64583</v>
      </c>
      <c r="C39" s="2">
        <f>IFERROR(__xludf.DUMMYFUNCTION("""COMPUTED_VALUE"""),547.78)</f>
        <v>547.78</v>
      </c>
    </row>
    <row r="40" ht="15.75" customHeight="1">
      <c r="B40" s="3">
        <f>IFERROR(__xludf.DUMMYFUNCTION("""COMPUTED_VALUE"""),38996.645833333336)</f>
        <v>38996.64583</v>
      </c>
      <c r="C40" s="2">
        <f>IFERROR(__xludf.DUMMYFUNCTION("""COMPUTED_VALUE"""),555.95)</f>
        <v>555.95</v>
      </c>
    </row>
    <row r="41" ht="15.75" customHeight="1">
      <c r="B41" s="3">
        <f>IFERROR(__xludf.DUMMYFUNCTION("""COMPUTED_VALUE"""),39003.645833333336)</f>
        <v>39003.64583</v>
      </c>
      <c r="C41" s="2">
        <f>IFERROR(__xludf.DUMMYFUNCTION("""COMPUTED_VALUE"""),574.5)</f>
        <v>574.5</v>
      </c>
    </row>
    <row r="42" ht="15.75" customHeight="1">
      <c r="B42" s="3">
        <f>IFERROR(__xludf.DUMMYFUNCTION("""COMPUTED_VALUE"""),39017.645833333336)</f>
        <v>39017.64583</v>
      </c>
      <c r="C42" s="2">
        <f>IFERROR(__xludf.DUMMYFUNCTION("""COMPUTED_VALUE"""),627.5)</f>
        <v>627.5</v>
      </c>
    </row>
    <row r="43" ht="15.75" customHeight="1">
      <c r="B43" s="3">
        <f>IFERROR(__xludf.DUMMYFUNCTION("""COMPUTED_VALUE"""),39024.645833333336)</f>
        <v>39024.64583</v>
      </c>
      <c r="C43" s="2">
        <f>IFERROR(__xludf.DUMMYFUNCTION("""COMPUTED_VALUE"""),646.0)</f>
        <v>646</v>
      </c>
    </row>
    <row r="44" ht="15.75" customHeight="1">
      <c r="B44" s="3">
        <f>IFERROR(__xludf.DUMMYFUNCTION("""COMPUTED_VALUE"""),39031.645833333336)</f>
        <v>39031.64583</v>
      </c>
      <c r="C44" s="2">
        <f>IFERROR(__xludf.DUMMYFUNCTION("""COMPUTED_VALUE"""),635.98)</f>
        <v>635.98</v>
      </c>
    </row>
    <row r="45" ht="15.75" customHeight="1">
      <c r="B45" s="3">
        <f>IFERROR(__xludf.DUMMYFUNCTION("""COMPUTED_VALUE"""),39038.645833333336)</f>
        <v>39038.64583</v>
      </c>
      <c r="C45" s="2">
        <f>IFERROR(__xludf.DUMMYFUNCTION("""COMPUTED_VALUE"""),635.0)</f>
        <v>635</v>
      </c>
    </row>
    <row r="46" ht="15.75" customHeight="1">
      <c r="B46" s="3">
        <f>IFERROR(__xludf.DUMMYFUNCTION("""COMPUTED_VALUE"""),39045.645833333336)</f>
        <v>39045.64583</v>
      </c>
      <c r="C46" s="2">
        <f>IFERROR(__xludf.DUMMYFUNCTION("""COMPUTED_VALUE"""),703.5)</f>
        <v>703.5</v>
      </c>
    </row>
    <row r="47" ht="15.75" customHeight="1">
      <c r="B47" s="3">
        <f>IFERROR(__xludf.DUMMYFUNCTION("""COMPUTED_VALUE"""),39052.645833333336)</f>
        <v>39052.64583</v>
      </c>
      <c r="C47" s="2">
        <f>IFERROR(__xludf.DUMMYFUNCTION("""COMPUTED_VALUE"""),595.85)</f>
        <v>595.85</v>
      </c>
    </row>
    <row r="48" ht="15.75" customHeight="1">
      <c r="B48" s="3">
        <f>IFERROR(__xludf.DUMMYFUNCTION("""COMPUTED_VALUE"""),39059.645833333336)</f>
        <v>39059.64583</v>
      </c>
      <c r="C48" s="2">
        <f>IFERROR(__xludf.DUMMYFUNCTION("""COMPUTED_VALUE"""),606.0)</f>
        <v>606</v>
      </c>
    </row>
    <row r="49" ht="15.75" customHeight="1">
      <c r="B49" s="3">
        <f>IFERROR(__xludf.DUMMYFUNCTION("""COMPUTED_VALUE"""),39066.645833333336)</f>
        <v>39066.64583</v>
      </c>
      <c r="C49" s="2">
        <f>IFERROR(__xludf.DUMMYFUNCTION("""COMPUTED_VALUE"""),588.75)</f>
        <v>588.75</v>
      </c>
    </row>
    <row r="50" ht="15.75" customHeight="1">
      <c r="B50" s="3">
        <f>IFERROR(__xludf.DUMMYFUNCTION("""COMPUTED_VALUE"""),39073.645833333336)</f>
        <v>39073.64583</v>
      </c>
      <c r="C50" s="2">
        <f>IFERROR(__xludf.DUMMYFUNCTION("""COMPUTED_VALUE"""),585.0)</f>
        <v>585</v>
      </c>
    </row>
    <row r="51" ht="15.75" customHeight="1">
      <c r="B51" s="3">
        <f>IFERROR(__xludf.DUMMYFUNCTION("""COMPUTED_VALUE"""),39080.645833333336)</f>
        <v>39080.64583</v>
      </c>
      <c r="C51" s="2">
        <f>IFERROR(__xludf.DUMMYFUNCTION("""COMPUTED_VALUE"""),574.0)</f>
        <v>574</v>
      </c>
    </row>
    <row r="52" ht="15.75" customHeight="1"/>
    <row r="53" ht="15.75" customHeight="1"/>
    <row r="54" ht="15.75" customHeight="1"/>
    <row r="55" ht="15.75" customHeight="1"/>
    <row r="56" ht="15.75" customHeight="1">
      <c r="B56" s="2" t="str">
        <f>IFERROR(__xludf.DUMMYFUNCTION("GOOGLEFINANCE(""NSE:SIEMENS"", ""high"",DATE(2007,1,1),DATE(2008,1,1),""weekly"")"),"Date")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IFERROR(__xludf.DUMMYFUNCTION("""COMPUTED_VALUE"""),39087.645833333336)</f>
        <v>39087.64583</v>
      </c>
      <c r="C57" s="2">
        <f>IFERROR(__xludf.DUMMYFUNCTION("""COMPUTED_VALUE"""),578.8)</f>
        <v>578.8</v>
      </c>
    </row>
    <row r="58" ht="15.75" customHeight="1">
      <c r="B58" s="3">
        <f>IFERROR(__xludf.DUMMYFUNCTION("""COMPUTED_VALUE"""),39094.645833333336)</f>
        <v>39094.64583</v>
      </c>
      <c r="C58" s="2">
        <f>IFERROR(__xludf.DUMMYFUNCTION("""COMPUTED_VALUE"""),564.23)</f>
        <v>564.23</v>
      </c>
    </row>
    <row r="59" ht="15.75" customHeight="1">
      <c r="B59" s="3">
        <f>IFERROR(__xludf.DUMMYFUNCTION("""COMPUTED_VALUE"""),39101.645833333336)</f>
        <v>39101.64583</v>
      </c>
      <c r="C59" s="2">
        <f>IFERROR(__xludf.DUMMYFUNCTION("""COMPUTED_VALUE"""),622.5)</f>
        <v>622.5</v>
      </c>
    </row>
    <row r="60" ht="15.75" customHeight="1">
      <c r="B60" s="3">
        <f>IFERROR(__xludf.DUMMYFUNCTION("""COMPUTED_VALUE"""),39107.645833333336)</f>
        <v>39107.64583</v>
      </c>
      <c r="C60" s="2">
        <f>IFERROR(__xludf.DUMMYFUNCTION("""COMPUTED_VALUE"""),593.5)</f>
        <v>593.5</v>
      </c>
    </row>
    <row r="61" ht="15.75" customHeight="1">
      <c r="B61" s="3">
        <f>IFERROR(__xludf.DUMMYFUNCTION("""COMPUTED_VALUE"""),39115.645833333336)</f>
        <v>39115.64583</v>
      </c>
      <c r="C61" s="2">
        <f>IFERROR(__xludf.DUMMYFUNCTION("""COMPUTED_VALUE"""),603.75)</f>
        <v>603.75</v>
      </c>
    </row>
    <row r="62" ht="15.75" customHeight="1">
      <c r="B62" s="3">
        <f>IFERROR(__xludf.DUMMYFUNCTION("""COMPUTED_VALUE"""),39122.645833333336)</f>
        <v>39122.64583</v>
      </c>
      <c r="C62" s="2">
        <f>IFERROR(__xludf.DUMMYFUNCTION("""COMPUTED_VALUE"""),613.0)</f>
        <v>613</v>
      </c>
    </row>
    <row r="63" ht="15.75" customHeight="1">
      <c r="B63" s="3">
        <f>IFERROR(__xludf.DUMMYFUNCTION("""COMPUTED_VALUE"""),39128.645833333336)</f>
        <v>39128.64583</v>
      </c>
      <c r="C63" s="2">
        <f>IFERROR(__xludf.DUMMYFUNCTION("""COMPUTED_VALUE"""),590.75)</f>
        <v>590.75</v>
      </c>
    </row>
    <row r="64" ht="15.75" customHeight="1">
      <c r="B64" s="3">
        <f>IFERROR(__xludf.DUMMYFUNCTION("""COMPUTED_VALUE"""),39136.645833333336)</f>
        <v>39136.64583</v>
      </c>
      <c r="C64" s="2">
        <f>IFERROR(__xludf.DUMMYFUNCTION("""COMPUTED_VALUE"""),607.5)</f>
        <v>607.5</v>
      </c>
    </row>
    <row r="65" ht="15.75" customHeight="1">
      <c r="B65" s="3">
        <f>IFERROR(__xludf.DUMMYFUNCTION("""COMPUTED_VALUE"""),39143.645833333336)</f>
        <v>39143.64583</v>
      </c>
      <c r="C65" s="2">
        <f>IFERROR(__xludf.DUMMYFUNCTION("""COMPUTED_VALUE"""),580.45)</f>
        <v>580.45</v>
      </c>
    </row>
    <row r="66" ht="15.75" customHeight="1">
      <c r="B66" s="3">
        <f>IFERROR(__xludf.DUMMYFUNCTION("""COMPUTED_VALUE"""),39150.645833333336)</f>
        <v>39150.64583</v>
      </c>
      <c r="C66" s="2">
        <f>IFERROR(__xludf.DUMMYFUNCTION("""COMPUTED_VALUE"""),538.78)</f>
        <v>538.78</v>
      </c>
    </row>
    <row r="67" ht="15.75" customHeight="1">
      <c r="B67" s="3">
        <f>IFERROR(__xludf.DUMMYFUNCTION("""COMPUTED_VALUE"""),39157.645833333336)</f>
        <v>39157.64583</v>
      </c>
      <c r="C67" s="2">
        <f>IFERROR(__xludf.DUMMYFUNCTION("""COMPUTED_VALUE"""),533.98)</f>
        <v>533.98</v>
      </c>
    </row>
    <row r="68" ht="15.75" customHeight="1">
      <c r="B68" s="3">
        <f>IFERROR(__xludf.DUMMYFUNCTION("""COMPUTED_VALUE"""),39164.645833333336)</f>
        <v>39164.64583</v>
      </c>
      <c r="C68" s="2">
        <f>IFERROR(__xludf.DUMMYFUNCTION("""COMPUTED_VALUE"""),575.0)</f>
        <v>575</v>
      </c>
    </row>
    <row r="69" ht="15.75" customHeight="1">
      <c r="B69" s="3">
        <f>IFERROR(__xludf.DUMMYFUNCTION("""COMPUTED_VALUE"""),39171.645833333336)</f>
        <v>39171.64583</v>
      </c>
      <c r="C69" s="2">
        <f>IFERROR(__xludf.DUMMYFUNCTION("""COMPUTED_VALUE"""),564.4)</f>
        <v>564.4</v>
      </c>
    </row>
    <row r="70" ht="15.75" customHeight="1">
      <c r="B70" s="3">
        <f>IFERROR(__xludf.DUMMYFUNCTION("""COMPUTED_VALUE"""),39177.645833333336)</f>
        <v>39177.64583</v>
      </c>
      <c r="C70" s="2">
        <f>IFERROR(__xludf.DUMMYFUNCTION("""COMPUTED_VALUE"""),535.0)</f>
        <v>535</v>
      </c>
    </row>
    <row r="71" ht="15.75" customHeight="1">
      <c r="B71" s="3">
        <f>IFERROR(__xludf.DUMMYFUNCTION("""COMPUTED_VALUE"""),39185.645833333336)</f>
        <v>39185.64583</v>
      </c>
      <c r="C71" s="2">
        <f>IFERROR(__xludf.DUMMYFUNCTION("""COMPUTED_VALUE"""),576.05)</f>
        <v>576.05</v>
      </c>
    </row>
    <row r="72" ht="15.75" customHeight="1">
      <c r="B72" s="3">
        <f>IFERROR(__xludf.DUMMYFUNCTION("""COMPUTED_VALUE"""),39192.645833333336)</f>
        <v>39192.64583</v>
      </c>
      <c r="C72" s="2">
        <f>IFERROR(__xludf.DUMMYFUNCTION("""COMPUTED_VALUE"""),584.0)</f>
        <v>584</v>
      </c>
    </row>
    <row r="73" ht="15.75" customHeight="1">
      <c r="B73" s="3">
        <f>IFERROR(__xludf.DUMMYFUNCTION("""COMPUTED_VALUE"""),39199.645833333336)</f>
        <v>39199.64583</v>
      </c>
      <c r="C73" s="2">
        <f>IFERROR(__xludf.DUMMYFUNCTION("""COMPUTED_VALUE"""),597.5)</f>
        <v>597.5</v>
      </c>
    </row>
    <row r="74" ht="15.75" customHeight="1">
      <c r="B74" s="3">
        <f>IFERROR(__xludf.DUMMYFUNCTION("""COMPUTED_VALUE"""),39206.645833333336)</f>
        <v>39206.64583</v>
      </c>
      <c r="C74" s="2">
        <f>IFERROR(__xludf.DUMMYFUNCTION("""COMPUTED_VALUE"""),604.98)</f>
        <v>604.98</v>
      </c>
    </row>
    <row r="75" ht="15.75" customHeight="1">
      <c r="B75" s="3">
        <f>IFERROR(__xludf.DUMMYFUNCTION("""COMPUTED_VALUE"""),39213.645833333336)</f>
        <v>39213.64583</v>
      </c>
      <c r="C75" s="2">
        <f>IFERROR(__xludf.DUMMYFUNCTION("""COMPUTED_VALUE"""),635.0)</f>
        <v>635</v>
      </c>
    </row>
    <row r="76" ht="15.75" customHeight="1">
      <c r="B76" s="3">
        <f>IFERROR(__xludf.DUMMYFUNCTION("""COMPUTED_VALUE"""),39220.645833333336)</f>
        <v>39220.64583</v>
      </c>
      <c r="C76" s="2">
        <f>IFERROR(__xludf.DUMMYFUNCTION("""COMPUTED_VALUE"""),630.0)</f>
        <v>630</v>
      </c>
    </row>
    <row r="77" ht="15.75" customHeight="1">
      <c r="B77" s="3">
        <f>IFERROR(__xludf.DUMMYFUNCTION("""COMPUTED_VALUE"""),39227.645833333336)</f>
        <v>39227.64583</v>
      </c>
      <c r="C77" s="2">
        <f>IFERROR(__xludf.DUMMYFUNCTION("""COMPUTED_VALUE"""),640.0)</f>
        <v>640</v>
      </c>
    </row>
    <row r="78" ht="15.75" customHeight="1">
      <c r="B78" s="3">
        <f>IFERROR(__xludf.DUMMYFUNCTION("""COMPUTED_VALUE"""),39234.645833333336)</f>
        <v>39234.64583</v>
      </c>
      <c r="C78" s="2">
        <f>IFERROR(__xludf.DUMMYFUNCTION("""COMPUTED_VALUE"""),659.0)</f>
        <v>659</v>
      </c>
    </row>
    <row r="79" ht="15.75" customHeight="1">
      <c r="B79" s="3">
        <f>IFERROR(__xludf.DUMMYFUNCTION("""COMPUTED_VALUE"""),39241.645833333336)</f>
        <v>39241.64583</v>
      </c>
      <c r="C79" s="2">
        <f>IFERROR(__xludf.DUMMYFUNCTION("""COMPUTED_VALUE"""),678.73)</f>
        <v>678.73</v>
      </c>
    </row>
    <row r="80" ht="15.75" customHeight="1">
      <c r="B80" s="3">
        <f>IFERROR(__xludf.DUMMYFUNCTION("""COMPUTED_VALUE"""),39248.645833333336)</f>
        <v>39248.64583</v>
      </c>
      <c r="C80" s="2">
        <f>IFERROR(__xludf.DUMMYFUNCTION("""COMPUTED_VALUE"""),660.0)</f>
        <v>660</v>
      </c>
    </row>
    <row r="81" ht="15.75" customHeight="1">
      <c r="B81" s="3">
        <f>IFERROR(__xludf.DUMMYFUNCTION("""COMPUTED_VALUE"""),39255.645833333336)</f>
        <v>39255.64583</v>
      </c>
      <c r="C81" s="2">
        <f>IFERROR(__xludf.DUMMYFUNCTION("""COMPUTED_VALUE"""),680.0)</f>
        <v>680</v>
      </c>
    </row>
    <row r="82" ht="15.75" customHeight="1">
      <c r="B82" s="3">
        <f>IFERROR(__xludf.DUMMYFUNCTION("""COMPUTED_VALUE"""),39262.645833333336)</f>
        <v>39262.64583</v>
      </c>
      <c r="C82" s="2">
        <f>IFERROR(__xludf.DUMMYFUNCTION("""COMPUTED_VALUE"""),710.0)</f>
        <v>710</v>
      </c>
    </row>
    <row r="83" ht="15.75" customHeight="1">
      <c r="B83" s="3">
        <f>IFERROR(__xludf.DUMMYFUNCTION("""COMPUTED_VALUE"""),39269.645833333336)</f>
        <v>39269.64583</v>
      </c>
      <c r="C83" s="2">
        <f>IFERROR(__xludf.DUMMYFUNCTION("""COMPUTED_VALUE"""),719.5)</f>
        <v>719.5</v>
      </c>
    </row>
    <row r="84" ht="15.75" customHeight="1">
      <c r="B84" s="3">
        <f>IFERROR(__xludf.DUMMYFUNCTION("""COMPUTED_VALUE"""),39276.645833333336)</f>
        <v>39276.64583</v>
      </c>
      <c r="C84" s="2">
        <f>IFERROR(__xludf.DUMMYFUNCTION("""COMPUTED_VALUE"""),747.38)</f>
        <v>747.38</v>
      </c>
    </row>
    <row r="85" ht="15.75" customHeight="1">
      <c r="B85" s="3">
        <f>IFERROR(__xludf.DUMMYFUNCTION("""COMPUTED_VALUE"""),39283.645833333336)</f>
        <v>39283.64583</v>
      </c>
      <c r="C85" s="2">
        <f>IFERROR(__xludf.DUMMYFUNCTION("""COMPUTED_VALUE"""),744.35)</f>
        <v>744.35</v>
      </c>
    </row>
    <row r="86" ht="15.75" customHeight="1">
      <c r="B86" s="3">
        <f>IFERROR(__xludf.DUMMYFUNCTION("""COMPUTED_VALUE"""),39290.645833333336)</f>
        <v>39290.64583</v>
      </c>
      <c r="C86" s="2">
        <f>IFERROR(__xludf.DUMMYFUNCTION("""COMPUTED_VALUE"""),690.0)</f>
        <v>690</v>
      </c>
    </row>
    <row r="87" ht="15.75" customHeight="1">
      <c r="B87" s="3">
        <f>IFERROR(__xludf.DUMMYFUNCTION("""COMPUTED_VALUE"""),39297.645833333336)</f>
        <v>39297.64583</v>
      </c>
      <c r="C87" s="2">
        <f>IFERROR(__xludf.DUMMYFUNCTION("""COMPUTED_VALUE"""),654.35)</f>
        <v>654.35</v>
      </c>
    </row>
    <row r="88" ht="15.75" customHeight="1">
      <c r="B88" s="3">
        <f>IFERROR(__xludf.DUMMYFUNCTION("""COMPUTED_VALUE"""),39304.645833333336)</f>
        <v>39304.64583</v>
      </c>
      <c r="C88" s="2">
        <f>IFERROR(__xludf.DUMMYFUNCTION("""COMPUTED_VALUE"""),640.0)</f>
        <v>640</v>
      </c>
    </row>
    <row r="89" ht="15.75" customHeight="1">
      <c r="B89" s="3">
        <f>IFERROR(__xludf.DUMMYFUNCTION("""COMPUTED_VALUE"""),39311.645833333336)</f>
        <v>39311.64583</v>
      </c>
      <c r="C89" s="2">
        <f>IFERROR(__xludf.DUMMYFUNCTION("""COMPUTED_VALUE"""),624.0)</f>
        <v>624</v>
      </c>
    </row>
    <row r="90" ht="15.75" customHeight="1">
      <c r="B90" s="3">
        <f>IFERROR(__xludf.DUMMYFUNCTION("""COMPUTED_VALUE"""),39318.645833333336)</f>
        <v>39318.64583</v>
      </c>
      <c r="C90" s="2">
        <f>IFERROR(__xludf.DUMMYFUNCTION("""COMPUTED_VALUE"""),647.75)</f>
        <v>647.75</v>
      </c>
    </row>
    <row r="91" ht="15.75" customHeight="1">
      <c r="B91" s="3">
        <f>IFERROR(__xludf.DUMMYFUNCTION("""COMPUTED_VALUE"""),39325.645833333336)</f>
        <v>39325.64583</v>
      </c>
      <c r="C91" s="2">
        <f>IFERROR(__xludf.DUMMYFUNCTION("""COMPUTED_VALUE"""),643.0)</f>
        <v>643</v>
      </c>
    </row>
    <row r="92" ht="15.75" customHeight="1">
      <c r="B92" s="3">
        <f>IFERROR(__xludf.DUMMYFUNCTION("""COMPUTED_VALUE"""),39332.645833333336)</f>
        <v>39332.64583</v>
      </c>
      <c r="C92" s="2">
        <f>IFERROR(__xludf.DUMMYFUNCTION("""COMPUTED_VALUE"""),649.73)</f>
        <v>649.73</v>
      </c>
    </row>
    <row r="93" ht="15.75" customHeight="1">
      <c r="B93" s="3">
        <f>IFERROR(__xludf.DUMMYFUNCTION("""COMPUTED_VALUE"""),39339.645833333336)</f>
        <v>39339.64583</v>
      </c>
      <c r="C93" s="2">
        <f>IFERROR(__xludf.DUMMYFUNCTION("""COMPUTED_VALUE"""),647.2)</f>
        <v>647.2</v>
      </c>
    </row>
    <row r="94" ht="15.75" customHeight="1">
      <c r="B94" s="3">
        <f>IFERROR(__xludf.DUMMYFUNCTION("""COMPUTED_VALUE"""),39346.645833333336)</f>
        <v>39346.64583</v>
      </c>
      <c r="C94" s="2">
        <f>IFERROR(__xludf.DUMMYFUNCTION("""COMPUTED_VALUE"""),697.0)</f>
        <v>697</v>
      </c>
    </row>
    <row r="95" ht="15.75" customHeight="1">
      <c r="B95" s="3">
        <f>IFERROR(__xludf.DUMMYFUNCTION("""COMPUTED_VALUE"""),39353.645833333336)</f>
        <v>39353.64583</v>
      </c>
      <c r="C95" s="2">
        <f>IFERROR(__xludf.DUMMYFUNCTION("""COMPUTED_VALUE"""),699.95)</f>
        <v>699.95</v>
      </c>
    </row>
    <row r="96" ht="15.75" customHeight="1">
      <c r="B96" s="3">
        <f>IFERROR(__xludf.DUMMYFUNCTION("""COMPUTED_VALUE"""),39360.645833333336)</f>
        <v>39360.64583</v>
      </c>
      <c r="C96" s="2">
        <f>IFERROR(__xludf.DUMMYFUNCTION("""COMPUTED_VALUE"""),735.0)</f>
        <v>735</v>
      </c>
    </row>
    <row r="97" ht="15.75" customHeight="1">
      <c r="B97" s="3">
        <f>IFERROR(__xludf.DUMMYFUNCTION("""COMPUTED_VALUE"""),39367.645833333336)</f>
        <v>39367.64583</v>
      </c>
      <c r="C97" s="2">
        <f>IFERROR(__xludf.DUMMYFUNCTION("""COMPUTED_VALUE"""),725.0)</f>
        <v>725</v>
      </c>
    </row>
    <row r="98" ht="15.75" customHeight="1">
      <c r="B98" s="3">
        <f>IFERROR(__xludf.DUMMYFUNCTION("""COMPUTED_VALUE"""),39374.645833333336)</f>
        <v>39374.64583</v>
      </c>
      <c r="C98" s="2">
        <f>IFERROR(__xludf.DUMMYFUNCTION("""COMPUTED_VALUE"""),951.5)</f>
        <v>951.5</v>
      </c>
    </row>
    <row r="99" ht="15.75" customHeight="1">
      <c r="B99" s="3">
        <f>IFERROR(__xludf.DUMMYFUNCTION("""COMPUTED_VALUE"""),39381.645833333336)</f>
        <v>39381.64583</v>
      </c>
      <c r="C99" s="2">
        <f>IFERROR(__xludf.DUMMYFUNCTION("""COMPUTED_VALUE"""),886.2)</f>
        <v>886.2</v>
      </c>
    </row>
    <row r="100" ht="15.75" customHeight="1">
      <c r="B100" s="3">
        <f>IFERROR(__xludf.DUMMYFUNCTION("""COMPUTED_VALUE"""),39388.645833333336)</f>
        <v>39388.64583</v>
      </c>
      <c r="C100" s="2">
        <f>IFERROR(__xludf.DUMMYFUNCTION("""COMPUTED_VALUE"""),1024.97)</f>
        <v>1024.97</v>
      </c>
    </row>
    <row r="101" ht="15.75" customHeight="1">
      <c r="B101" s="3">
        <f>IFERROR(__xludf.DUMMYFUNCTION("""COMPUTED_VALUE"""),39402.645833333336)</f>
        <v>39402.64583</v>
      </c>
      <c r="C101" s="2">
        <f>IFERROR(__xludf.DUMMYFUNCTION("""COMPUTED_VALUE"""),999.0)</f>
        <v>999</v>
      </c>
    </row>
    <row r="102" ht="15.75" customHeight="1">
      <c r="B102" s="3">
        <f>IFERROR(__xludf.DUMMYFUNCTION("""COMPUTED_VALUE"""),39409.645833333336)</f>
        <v>39409.64583</v>
      </c>
      <c r="C102" s="2">
        <f>IFERROR(__xludf.DUMMYFUNCTION("""COMPUTED_VALUE"""),1124.0)</f>
        <v>1124</v>
      </c>
    </row>
    <row r="103" ht="15.75" customHeight="1">
      <c r="B103" s="3">
        <f>IFERROR(__xludf.DUMMYFUNCTION("""COMPUTED_VALUE"""),39416.645833333336)</f>
        <v>39416.64583</v>
      </c>
      <c r="C103" s="2">
        <f>IFERROR(__xludf.DUMMYFUNCTION("""COMPUTED_VALUE"""),1017.5)</f>
        <v>1017.5</v>
      </c>
    </row>
    <row r="104" ht="15.75" customHeight="1">
      <c r="B104" s="3">
        <f>IFERROR(__xludf.DUMMYFUNCTION("""COMPUTED_VALUE"""),39423.645833333336)</f>
        <v>39423.64583</v>
      </c>
      <c r="C104" s="2">
        <f>IFERROR(__xludf.DUMMYFUNCTION("""COMPUTED_VALUE"""),986.0)</f>
        <v>986</v>
      </c>
    </row>
    <row r="105" ht="15.75" customHeight="1">
      <c r="B105" s="3">
        <f>IFERROR(__xludf.DUMMYFUNCTION("""COMPUTED_VALUE"""),39430.645833333336)</f>
        <v>39430.64583</v>
      </c>
      <c r="C105" s="2">
        <f>IFERROR(__xludf.DUMMYFUNCTION("""COMPUTED_VALUE"""),989.5)</f>
        <v>989.5</v>
      </c>
    </row>
    <row r="106" ht="15.75" customHeight="1">
      <c r="B106" s="3">
        <f>IFERROR(__xludf.DUMMYFUNCTION("""COMPUTED_VALUE"""),39436.645833333336)</f>
        <v>39436.64583</v>
      </c>
      <c r="C106" s="2">
        <f>IFERROR(__xludf.DUMMYFUNCTION("""COMPUTED_VALUE"""),967.5)</f>
        <v>967.5</v>
      </c>
    </row>
    <row r="107" ht="15.75" customHeight="1">
      <c r="B107" s="3">
        <f>IFERROR(__xludf.DUMMYFUNCTION("""COMPUTED_VALUE"""),39444.645833333336)</f>
        <v>39444.64583</v>
      </c>
      <c r="C107" s="2">
        <f>IFERROR(__xludf.DUMMYFUNCTION("""COMPUTED_VALUE"""),955.0)</f>
        <v>955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IFERROR(__xludf.DUMMYFUNCTION("GOOGLEFINANCE(""NSE:SIEMENS"", ""high"",DATE(2008,1,1),DATE(2009,1,1),""weekly"")"),"Date")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IFERROR(__xludf.DUMMYFUNCTION("""COMPUTED_VALUE"""),39451.645833333336)</f>
        <v>39451.64583</v>
      </c>
      <c r="C112" s="2">
        <f>IFERROR(__xludf.DUMMYFUNCTION("""COMPUTED_VALUE"""),987.25)</f>
        <v>987.25</v>
      </c>
    </row>
    <row r="113" ht="15.75" customHeight="1">
      <c r="B113" s="3">
        <f>IFERROR(__xludf.DUMMYFUNCTION("""COMPUTED_VALUE"""),39458.645833333336)</f>
        <v>39458.64583</v>
      </c>
      <c r="C113" s="2">
        <f>IFERROR(__xludf.DUMMYFUNCTION("""COMPUTED_VALUE"""),1048.0)</f>
        <v>1048</v>
      </c>
    </row>
    <row r="114" ht="15.75" customHeight="1">
      <c r="B114" s="3">
        <f>IFERROR(__xludf.DUMMYFUNCTION("""COMPUTED_VALUE"""),39465.645833333336)</f>
        <v>39465.64583</v>
      </c>
      <c r="C114" s="2">
        <f>IFERROR(__xludf.DUMMYFUNCTION("""COMPUTED_VALUE"""),1024.97)</f>
        <v>1024.97</v>
      </c>
    </row>
    <row r="115" ht="15.75" customHeight="1">
      <c r="B115" s="3">
        <f>IFERROR(__xludf.DUMMYFUNCTION("""COMPUTED_VALUE"""),39472.645833333336)</f>
        <v>39472.64583</v>
      </c>
      <c r="C115" s="2">
        <f>IFERROR(__xludf.DUMMYFUNCTION("""COMPUTED_VALUE"""),980.0)</f>
        <v>980</v>
      </c>
    </row>
    <row r="116" ht="15.75" customHeight="1">
      <c r="B116" s="3">
        <f>IFERROR(__xludf.DUMMYFUNCTION("""COMPUTED_VALUE"""),39479.645833333336)</f>
        <v>39479.64583</v>
      </c>
      <c r="C116" s="2">
        <f>IFERROR(__xludf.DUMMYFUNCTION("""COMPUTED_VALUE"""),913.83)</f>
        <v>913.83</v>
      </c>
    </row>
    <row r="117" ht="15.75" customHeight="1">
      <c r="B117" s="3">
        <f>IFERROR(__xludf.DUMMYFUNCTION("""COMPUTED_VALUE"""),39486.645833333336)</f>
        <v>39486.64583</v>
      </c>
      <c r="C117" s="2">
        <f>IFERROR(__xludf.DUMMYFUNCTION("""COMPUTED_VALUE"""),867.5)</f>
        <v>867.5</v>
      </c>
    </row>
    <row r="118" ht="15.75" customHeight="1">
      <c r="B118" s="3">
        <f>IFERROR(__xludf.DUMMYFUNCTION("""COMPUTED_VALUE"""),39493.645833333336)</f>
        <v>39493.64583</v>
      </c>
      <c r="C118" s="2">
        <f>IFERROR(__xludf.DUMMYFUNCTION("""COMPUTED_VALUE"""),790.0)</f>
        <v>790</v>
      </c>
    </row>
    <row r="119" ht="15.75" customHeight="1">
      <c r="B119" s="3">
        <f>IFERROR(__xludf.DUMMYFUNCTION("""COMPUTED_VALUE"""),39500.645833333336)</f>
        <v>39500.64583</v>
      </c>
      <c r="C119" s="2">
        <f>IFERROR(__xludf.DUMMYFUNCTION("""COMPUTED_VALUE"""),820.0)</f>
        <v>820</v>
      </c>
    </row>
    <row r="120" ht="15.75" customHeight="1">
      <c r="B120" s="3">
        <f>IFERROR(__xludf.DUMMYFUNCTION("""COMPUTED_VALUE"""),39507.645833333336)</f>
        <v>39507.64583</v>
      </c>
      <c r="C120" s="2">
        <f>IFERROR(__xludf.DUMMYFUNCTION("""COMPUTED_VALUE"""),862.68)</f>
        <v>862.68</v>
      </c>
    </row>
    <row r="121" ht="15.75" customHeight="1">
      <c r="B121" s="3">
        <f>IFERROR(__xludf.DUMMYFUNCTION("""COMPUTED_VALUE"""),39514.645833333336)</f>
        <v>39514.64583</v>
      </c>
      <c r="C121" s="2">
        <f>IFERROR(__xludf.DUMMYFUNCTION("""COMPUTED_VALUE"""),817.05)</f>
        <v>817.05</v>
      </c>
    </row>
    <row r="122" ht="15.75" customHeight="1">
      <c r="B122" s="3">
        <f>IFERROR(__xludf.DUMMYFUNCTION("""COMPUTED_VALUE"""),39521.645833333336)</f>
        <v>39521.64583</v>
      </c>
      <c r="C122" s="2">
        <f>IFERROR(__xludf.DUMMYFUNCTION("""COMPUTED_VALUE"""),740.4)</f>
        <v>740.4</v>
      </c>
    </row>
    <row r="123" ht="15.75" customHeight="1">
      <c r="B123" s="3">
        <f>IFERROR(__xludf.DUMMYFUNCTION("""COMPUTED_VALUE"""),39526.645833333336)</f>
        <v>39526.64583</v>
      </c>
      <c r="C123" s="2">
        <f>IFERROR(__xludf.DUMMYFUNCTION("""COMPUTED_VALUE"""),685.0)</f>
        <v>685</v>
      </c>
    </row>
    <row r="124" ht="15.75" customHeight="1">
      <c r="B124" s="3">
        <f>IFERROR(__xludf.DUMMYFUNCTION("""COMPUTED_VALUE"""),39535.645833333336)</f>
        <v>39535.64583</v>
      </c>
      <c r="C124" s="2">
        <f>IFERROR(__xludf.DUMMYFUNCTION("""COMPUTED_VALUE"""),690.0)</f>
        <v>690</v>
      </c>
    </row>
    <row r="125" ht="15.75" customHeight="1">
      <c r="B125" s="3">
        <f>IFERROR(__xludf.DUMMYFUNCTION("""COMPUTED_VALUE"""),39542.645833333336)</f>
        <v>39542.64583</v>
      </c>
      <c r="C125" s="2">
        <f>IFERROR(__xludf.DUMMYFUNCTION("""COMPUTED_VALUE"""),660.0)</f>
        <v>660</v>
      </c>
    </row>
    <row r="126" ht="15.75" customHeight="1">
      <c r="B126" s="3">
        <f>IFERROR(__xludf.DUMMYFUNCTION("""COMPUTED_VALUE"""),39549.645833333336)</f>
        <v>39549.64583</v>
      </c>
      <c r="C126" s="2">
        <f>IFERROR(__xludf.DUMMYFUNCTION("""COMPUTED_VALUE"""),628.0)</f>
        <v>628</v>
      </c>
    </row>
    <row r="127" ht="15.75" customHeight="1">
      <c r="B127" s="3">
        <f>IFERROR(__xludf.DUMMYFUNCTION("""COMPUTED_VALUE"""),39555.645833333336)</f>
        <v>39555.64583</v>
      </c>
      <c r="C127" s="2">
        <f>IFERROR(__xludf.DUMMYFUNCTION("""COMPUTED_VALUE"""),655.0)</f>
        <v>655</v>
      </c>
    </row>
    <row r="128" ht="15.75" customHeight="1">
      <c r="B128" s="3">
        <f>IFERROR(__xludf.DUMMYFUNCTION("""COMPUTED_VALUE"""),39563.645833333336)</f>
        <v>39563.64583</v>
      </c>
      <c r="C128" s="2">
        <f>IFERROR(__xludf.DUMMYFUNCTION("""COMPUTED_VALUE"""),681.0)</f>
        <v>681</v>
      </c>
    </row>
    <row r="129" ht="15.75" customHeight="1">
      <c r="B129" s="3">
        <f>IFERROR(__xludf.DUMMYFUNCTION("""COMPUTED_VALUE"""),39570.645833333336)</f>
        <v>39570.64583</v>
      </c>
      <c r="C129" s="2">
        <f>IFERROR(__xludf.DUMMYFUNCTION("""COMPUTED_VALUE"""),620.0)</f>
        <v>620</v>
      </c>
    </row>
    <row r="130" ht="15.75" customHeight="1">
      <c r="B130" s="3">
        <f>IFERROR(__xludf.DUMMYFUNCTION("""COMPUTED_VALUE"""),39577.645833333336)</f>
        <v>39577.64583</v>
      </c>
      <c r="C130" s="2">
        <f>IFERROR(__xludf.DUMMYFUNCTION("""COMPUTED_VALUE"""),599.9)</f>
        <v>599.9</v>
      </c>
    </row>
    <row r="131" ht="15.75" customHeight="1">
      <c r="B131" s="3">
        <f>IFERROR(__xludf.DUMMYFUNCTION("""COMPUTED_VALUE"""),39584.645833333336)</f>
        <v>39584.64583</v>
      </c>
      <c r="C131" s="2">
        <f>IFERROR(__xludf.DUMMYFUNCTION("""COMPUTED_VALUE"""),599.0)</f>
        <v>599</v>
      </c>
    </row>
    <row r="132" ht="15.75" customHeight="1">
      <c r="B132" s="3">
        <f>IFERROR(__xludf.DUMMYFUNCTION("""COMPUTED_VALUE"""),39591.645833333336)</f>
        <v>39591.64583</v>
      </c>
      <c r="C132" s="2">
        <f>IFERROR(__xludf.DUMMYFUNCTION("""COMPUTED_VALUE"""),594.0)</f>
        <v>594</v>
      </c>
    </row>
    <row r="133" ht="15.75" customHeight="1">
      <c r="B133" s="3">
        <f>IFERROR(__xludf.DUMMYFUNCTION("""COMPUTED_VALUE"""),39598.645833333336)</f>
        <v>39598.64583</v>
      </c>
      <c r="C133" s="2">
        <f>IFERROR(__xludf.DUMMYFUNCTION("""COMPUTED_VALUE"""),588.9)</f>
        <v>588.9</v>
      </c>
    </row>
    <row r="134" ht="15.75" customHeight="1">
      <c r="B134" s="3">
        <f>IFERROR(__xludf.DUMMYFUNCTION("""COMPUTED_VALUE"""),39605.645833333336)</f>
        <v>39605.64583</v>
      </c>
      <c r="C134" s="2">
        <f>IFERROR(__xludf.DUMMYFUNCTION("""COMPUTED_VALUE"""),568.0)</f>
        <v>568</v>
      </c>
    </row>
    <row r="135" ht="15.75" customHeight="1">
      <c r="B135" s="3">
        <f>IFERROR(__xludf.DUMMYFUNCTION("""COMPUTED_VALUE"""),39612.645833333336)</f>
        <v>39612.64583</v>
      </c>
      <c r="C135" s="2">
        <f>IFERROR(__xludf.DUMMYFUNCTION("""COMPUTED_VALUE"""),511.0)</f>
        <v>511</v>
      </c>
    </row>
    <row r="136" ht="15.75" customHeight="1">
      <c r="B136" s="3">
        <f>IFERROR(__xludf.DUMMYFUNCTION("""COMPUTED_VALUE"""),39619.645833333336)</f>
        <v>39619.64583</v>
      </c>
      <c r="C136" s="2">
        <f>IFERROR(__xludf.DUMMYFUNCTION("""COMPUTED_VALUE"""),508.0)</f>
        <v>508</v>
      </c>
    </row>
    <row r="137" ht="15.75" customHeight="1">
      <c r="B137" s="3">
        <f>IFERROR(__xludf.DUMMYFUNCTION("""COMPUTED_VALUE"""),39626.645833333336)</f>
        <v>39626.64583</v>
      </c>
      <c r="C137" s="2">
        <f>IFERROR(__xludf.DUMMYFUNCTION("""COMPUTED_VALUE"""),458.0)</f>
        <v>458</v>
      </c>
    </row>
    <row r="138" ht="15.75" customHeight="1">
      <c r="B138" s="3">
        <f>IFERROR(__xludf.DUMMYFUNCTION("""COMPUTED_VALUE"""),39633.645833333336)</f>
        <v>39633.64583</v>
      </c>
      <c r="C138" s="2">
        <f>IFERROR(__xludf.DUMMYFUNCTION("""COMPUTED_VALUE"""),458.0)</f>
        <v>458</v>
      </c>
    </row>
    <row r="139" ht="15.75" customHeight="1">
      <c r="B139" s="3">
        <f>IFERROR(__xludf.DUMMYFUNCTION("""COMPUTED_VALUE"""),39640.645833333336)</f>
        <v>39640.64583</v>
      </c>
      <c r="C139" s="2">
        <f>IFERROR(__xludf.DUMMYFUNCTION("""COMPUTED_VALUE"""),498.85)</f>
        <v>498.85</v>
      </c>
    </row>
    <row r="140" ht="15.75" customHeight="1">
      <c r="B140" s="3">
        <f>IFERROR(__xludf.DUMMYFUNCTION("""COMPUTED_VALUE"""),39647.645833333336)</f>
        <v>39647.64583</v>
      </c>
      <c r="C140" s="2">
        <f>IFERROR(__xludf.DUMMYFUNCTION("""COMPUTED_VALUE"""),484.5)</f>
        <v>484.5</v>
      </c>
    </row>
    <row r="141" ht="15.75" customHeight="1">
      <c r="B141" s="3">
        <f>IFERROR(__xludf.DUMMYFUNCTION("""COMPUTED_VALUE"""),39654.645833333336)</f>
        <v>39654.64583</v>
      </c>
      <c r="C141" s="2">
        <f>IFERROR(__xludf.DUMMYFUNCTION("""COMPUTED_VALUE"""),566.0)</f>
        <v>566</v>
      </c>
    </row>
    <row r="142" ht="15.75" customHeight="1">
      <c r="B142" s="3">
        <f>IFERROR(__xludf.DUMMYFUNCTION("""COMPUTED_VALUE"""),39661.645833333336)</f>
        <v>39661.64583</v>
      </c>
      <c r="C142" s="2">
        <f>IFERROR(__xludf.DUMMYFUNCTION("""COMPUTED_VALUE"""),582.0)</f>
        <v>582</v>
      </c>
    </row>
    <row r="143" ht="15.75" customHeight="1">
      <c r="B143" s="3">
        <f>IFERROR(__xludf.DUMMYFUNCTION("""COMPUTED_VALUE"""),39668.645833333336)</f>
        <v>39668.64583</v>
      </c>
      <c r="C143" s="2">
        <f>IFERROR(__xludf.DUMMYFUNCTION("""COMPUTED_VALUE"""),600.0)</f>
        <v>600</v>
      </c>
    </row>
    <row r="144" ht="15.75" customHeight="1">
      <c r="B144" s="3">
        <f>IFERROR(__xludf.DUMMYFUNCTION("""COMPUTED_VALUE"""),39674.645833333336)</f>
        <v>39674.64583</v>
      </c>
      <c r="C144" s="2">
        <f>IFERROR(__xludf.DUMMYFUNCTION("""COMPUTED_VALUE"""),581.4)</f>
        <v>581.4</v>
      </c>
    </row>
    <row r="145" ht="15.75" customHeight="1">
      <c r="B145" s="3">
        <f>IFERROR(__xludf.DUMMYFUNCTION("""COMPUTED_VALUE"""),39682.645833333336)</f>
        <v>39682.64583</v>
      </c>
      <c r="C145" s="2">
        <f>IFERROR(__xludf.DUMMYFUNCTION("""COMPUTED_VALUE"""),565.0)</f>
        <v>565</v>
      </c>
    </row>
    <row r="146" ht="15.75" customHeight="1">
      <c r="B146" s="3">
        <f>IFERROR(__xludf.DUMMYFUNCTION("""COMPUTED_VALUE"""),39689.645833333336)</f>
        <v>39689.64583</v>
      </c>
      <c r="C146" s="2">
        <f>IFERROR(__xludf.DUMMYFUNCTION("""COMPUTED_VALUE"""),581.9)</f>
        <v>581.9</v>
      </c>
    </row>
    <row r="147" ht="15.75" customHeight="1">
      <c r="B147" s="3">
        <f>IFERROR(__xludf.DUMMYFUNCTION("""COMPUTED_VALUE"""),39696.645833333336)</f>
        <v>39696.64583</v>
      </c>
      <c r="C147" s="2">
        <f>IFERROR(__xludf.DUMMYFUNCTION("""COMPUTED_VALUE"""),571.5)</f>
        <v>571.5</v>
      </c>
    </row>
    <row r="148" ht="15.75" customHeight="1">
      <c r="B148" s="3">
        <f>IFERROR(__xludf.DUMMYFUNCTION("""COMPUTED_VALUE"""),39703.645833333336)</f>
        <v>39703.64583</v>
      </c>
      <c r="C148" s="2">
        <f>IFERROR(__xludf.DUMMYFUNCTION("""COMPUTED_VALUE"""),591.8)</f>
        <v>591.8</v>
      </c>
    </row>
    <row r="149" ht="15.75" customHeight="1">
      <c r="B149" s="3">
        <f>IFERROR(__xludf.DUMMYFUNCTION("""COMPUTED_VALUE"""),39710.645833333336)</f>
        <v>39710.64583</v>
      </c>
      <c r="C149" s="2">
        <f>IFERROR(__xludf.DUMMYFUNCTION("""COMPUTED_VALUE"""),522.0)</f>
        <v>522</v>
      </c>
    </row>
    <row r="150" ht="15.75" customHeight="1">
      <c r="B150" s="3">
        <f>IFERROR(__xludf.DUMMYFUNCTION("""COMPUTED_VALUE"""),39717.645833333336)</f>
        <v>39717.64583</v>
      </c>
      <c r="C150" s="2">
        <f>IFERROR(__xludf.DUMMYFUNCTION("""COMPUTED_VALUE"""),520.0)</f>
        <v>520</v>
      </c>
    </row>
    <row r="151" ht="15.75" customHeight="1">
      <c r="B151" s="3">
        <f>IFERROR(__xludf.DUMMYFUNCTION("""COMPUTED_VALUE"""),39724.645833333336)</f>
        <v>39724.64583</v>
      </c>
      <c r="C151" s="2">
        <f>IFERROR(__xludf.DUMMYFUNCTION("""COMPUTED_VALUE"""),439.0)</f>
        <v>439</v>
      </c>
    </row>
    <row r="152" ht="15.75" customHeight="1">
      <c r="B152" s="3">
        <f>IFERROR(__xludf.DUMMYFUNCTION("""COMPUTED_VALUE"""),39731.645833333336)</f>
        <v>39731.64583</v>
      </c>
      <c r="C152" s="2">
        <f>IFERROR(__xludf.DUMMYFUNCTION("""COMPUTED_VALUE"""),399.0)</f>
        <v>399</v>
      </c>
    </row>
    <row r="153" ht="15.75" customHeight="1">
      <c r="B153" s="3">
        <f>IFERROR(__xludf.DUMMYFUNCTION("""COMPUTED_VALUE"""),39738.645833333336)</f>
        <v>39738.64583</v>
      </c>
      <c r="C153" s="2">
        <f>IFERROR(__xludf.DUMMYFUNCTION("""COMPUTED_VALUE"""),347.7)</f>
        <v>347.7</v>
      </c>
    </row>
    <row r="154" ht="15.75" customHeight="1">
      <c r="B154" s="3">
        <f>IFERROR(__xludf.DUMMYFUNCTION("""COMPUTED_VALUE"""),39745.645833333336)</f>
        <v>39745.64583</v>
      </c>
      <c r="C154" s="2">
        <f>IFERROR(__xludf.DUMMYFUNCTION("""COMPUTED_VALUE"""),312.0)</f>
        <v>312</v>
      </c>
    </row>
    <row r="155" ht="15.75" customHeight="1">
      <c r="B155" s="3">
        <f>IFERROR(__xludf.DUMMYFUNCTION("""COMPUTED_VALUE"""),39752.645833333336)</f>
        <v>39752.64583</v>
      </c>
      <c r="C155" s="2">
        <f>IFERROR(__xludf.DUMMYFUNCTION("""COMPUTED_VALUE"""),298.95)</f>
        <v>298.95</v>
      </c>
    </row>
    <row r="156" ht="15.75" customHeight="1">
      <c r="B156" s="3">
        <f>IFERROR(__xludf.DUMMYFUNCTION("""COMPUTED_VALUE"""),39759.645833333336)</f>
        <v>39759.64583</v>
      </c>
      <c r="C156" s="2">
        <f>IFERROR(__xludf.DUMMYFUNCTION("""COMPUTED_VALUE"""),337.3)</f>
        <v>337.3</v>
      </c>
    </row>
    <row r="157" ht="15.75" customHeight="1">
      <c r="B157" s="3">
        <f>IFERROR(__xludf.DUMMYFUNCTION("""COMPUTED_VALUE"""),39766.645833333336)</f>
        <v>39766.64583</v>
      </c>
      <c r="C157" s="2">
        <f>IFERROR(__xludf.DUMMYFUNCTION("""COMPUTED_VALUE"""),326.5)</f>
        <v>326.5</v>
      </c>
    </row>
    <row r="158" ht="15.75" customHeight="1">
      <c r="B158" s="3">
        <f>IFERROR(__xludf.DUMMYFUNCTION("""COMPUTED_VALUE"""),39773.645833333336)</f>
        <v>39773.64583</v>
      </c>
      <c r="C158" s="2">
        <f>IFERROR(__xludf.DUMMYFUNCTION("""COMPUTED_VALUE"""),306.0)</f>
        <v>306</v>
      </c>
    </row>
    <row r="159" ht="15.75" customHeight="1">
      <c r="B159" s="3">
        <f>IFERROR(__xludf.DUMMYFUNCTION("""COMPUTED_VALUE"""),39780.645833333336)</f>
        <v>39780.64583</v>
      </c>
      <c r="C159" s="2">
        <f>IFERROR(__xludf.DUMMYFUNCTION("""COMPUTED_VALUE"""),299.0)</f>
        <v>299</v>
      </c>
    </row>
    <row r="160" ht="15.75" customHeight="1">
      <c r="B160" s="3">
        <f>IFERROR(__xludf.DUMMYFUNCTION("""COMPUTED_VALUE"""),39787.645833333336)</f>
        <v>39787.64583</v>
      </c>
      <c r="C160" s="2">
        <f>IFERROR(__xludf.DUMMYFUNCTION("""COMPUTED_VALUE"""),241.0)</f>
        <v>241</v>
      </c>
    </row>
    <row r="161" ht="15.75" customHeight="1">
      <c r="B161" s="3">
        <f>IFERROR(__xludf.DUMMYFUNCTION("""COMPUTED_VALUE"""),39794.645833333336)</f>
        <v>39794.64583</v>
      </c>
      <c r="C161" s="2">
        <f>IFERROR(__xludf.DUMMYFUNCTION("""COMPUTED_VALUE"""),249.75)</f>
        <v>249.75</v>
      </c>
    </row>
    <row r="162" ht="15.75" customHeight="1">
      <c r="B162" s="3">
        <f>IFERROR(__xludf.DUMMYFUNCTION("""COMPUTED_VALUE"""),39801.645833333336)</f>
        <v>39801.64583</v>
      </c>
      <c r="C162" s="2">
        <f>IFERROR(__xludf.DUMMYFUNCTION("""COMPUTED_VALUE"""),289.9)</f>
        <v>289.9</v>
      </c>
    </row>
    <row r="163" ht="15.75" customHeight="1">
      <c r="B163" s="3">
        <f>IFERROR(__xludf.DUMMYFUNCTION("""COMPUTED_VALUE"""),39808.645833333336)</f>
        <v>39808.64583</v>
      </c>
      <c r="C163" s="2">
        <f>IFERROR(__xludf.DUMMYFUNCTION("""COMPUTED_VALUE"""),294.05)</f>
        <v>294.05</v>
      </c>
    </row>
    <row r="164" ht="15.75" customHeight="1"/>
    <row r="165" ht="15.75" customHeight="1"/>
    <row r="166" ht="15.75" customHeight="1">
      <c r="B166" s="2" t="str">
        <f>IFERROR(__xludf.DUMMYFUNCTION("GOOGLEFINANCE(""NSE:SIEMENS"", ""high"",DATE(2009,1,1),DATE(2010,1,1),""weekly"")"),"Date")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IFERROR(__xludf.DUMMYFUNCTION("""COMPUTED_VALUE"""),39815.645833333336)</f>
        <v>39815.64583</v>
      </c>
      <c r="C167" s="2">
        <f>IFERROR(__xludf.DUMMYFUNCTION("""COMPUTED_VALUE"""),307.8)</f>
        <v>307.8</v>
      </c>
    </row>
    <row r="168" ht="15.75" customHeight="1">
      <c r="B168" s="3">
        <f>IFERROR(__xludf.DUMMYFUNCTION("""COMPUTED_VALUE"""),39822.645833333336)</f>
        <v>39822.64583</v>
      </c>
      <c r="C168" s="2">
        <f>IFERROR(__xludf.DUMMYFUNCTION("""COMPUTED_VALUE"""),321.5)</f>
        <v>321.5</v>
      </c>
    </row>
    <row r="169" ht="15.75" customHeight="1">
      <c r="B169" s="3">
        <f>IFERROR(__xludf.DUMMYFUNCTION("""COMPUTED_VALUE"""),39829.645833333336)</f>
        <v>39829.64583</v>
      </c>
      <c r="C169" s="2">
        <f>IFERROR(__xludf.DUMMYFUNCTION("""COMPUTED_VALUE"""),303.6)</f>
        <v>303.6</v>
      </c>
    </row>
    <row r="170" ht="15.75" customHeight="1">
      <c r="B170" s="3">
        <f>IFERROR(__xludf.DUMMYFUNCTION("""COMPUTED_VALUE"""),39836.645833333336)</f>
        <v>39836.64583</v>
      </c>
      <c r="C170" s="2">
        <f>IFERROR(__xludf.DUMMYFUNCTION("""COMPUTED_VALUE"""),223.0)</f>
        <v>223</v>
      </c>
    </row>
    <row r="171" ht="15.75" customHeight="1">
      <c r="B171" s="3">
        <f>IFERROR(__xludf.DUMMYFUNCTION("""COMPUTED_VALUE"""),39843.645833333336)</f>
        <v>39843.64583</v>
      </c>
      <c r="C171" s="2">
        <f>IFERROR(__xludf.DUMMYFUNCTION("""COMPUTED_VALUE"""),215.0)</f>
        <v>215</v>
      </c>
    </row>
    <row r="172" ht="15.75" customHeight="1">
      <c r="B172" s="3">
        <f>IFERROR(__xludf.DUMMYFUNCTION("""COMPUTED_VALUE"""),39850.645833333336)</f>
        <v>39850.64583</v>
      </c>
      <c r="C172" s="2">
        <f>IFERROR(__xludf.DUMMYFUNCTION("""COMPUTED_VALUE"""),208.2)</f>
        <v>208.2</v>
      </c>
    </row>
    <row r="173" ht="15.75" customHeight="1">
      <c r="B173" s="3">
        <f>IFERROR(__xludf.DUMMYFUNCTION("""COMPUTED_VALUE"""),39857.645833333336)</f>
        <v>39857.64583</v>
      </c>
      <c r="C173" s="2">
        <f>IFERROR(__xludf.DUMMYFUNCTION("""COMPUTED_VALUE"""),236.4)</f>
        <v>236.4</v>
      </c>
    </row>
    <row r="174" ht="15.75" customHeight="1">
      <c r="B174" s="3">
        <f>IFERROR(__xludf.DUMMYFUNCTION("""COMPUTED_VALUE"""),39864.645833333336)</f>
        <v>39864.64583</v>
      </c>
      <c r="C174" s="2">
        <f>IFERROR(__xludf.DUMMYFUNCTION("""COMPUTED_VALUE"""),234.0)</f>
        <v>234</v>
      </c>
    </row>
    <row r="175" ht="15.75" customHeight="1">
      <c r="B175" s="3">
        <f>IFERROR(__xludf.DUMMYFUNCTION("""COMPUTED_VALUE"""),39871.645833333336)</f>
        <v>39871.64583</v>
      </c>
      <c r="C175" s="2">
        <f>IFERROR(__xludf.DUMMYFUNCTION("""COMPUTED_VALUE"""),234.6)</f>
        <v>234.6</v>
      </c>
    </row>
    <row r="176" ht="15.75" customHeight="1">
      <c r="B176" s="3">
        <f>IFERROR(__xludf.DUMMYFUNCTION("""COMPUTED_VALUE"""),39878.645833333336)</f>
        <v>39878.64583</v>
      </c>
      <c r="C176" s="2">
        <f>IFERROR(__xludf.DUMMYFUNCTION("""COMPUTED_VALUE"""),220.9)</f>
        <v>220.9</v>
      </c>
    </row>
    <row r="177" ht="15.75" customHeight="1">
      <c r="B177" s="3">
        <f>IFERROR(__xludf.DUMMYFUNCTION("""COMPUTED_VALUE"""),39885.645833333336)</f>
        <v>39885.64583</v>
      </c>
      <c r="C177" s="2">
        <f>IFERROR(__xludf.DUMMYFUNCTION("""COMPUTED_VALUE"""),212.2)</f>
        <v>212.2</v>
      </c>
    </row>
    <row r="178" ht="15.75" customHeight="1">
      <c r="B178" s="3">
        <f>IFERROR(__xludf.DUMMYFUNCTION("""COMPUTED_VALUE"""),39892.645833333336)</f>
        <v>39892.64583</v>
      </c>
      <c r="C178" s="2">
        <f>IFERROR(__xludf.DUMMYFUNCTION("""COMPUTED_VALUE"""),230.95)</f>
        <v>230.95</v>
      </c>
    </row>
    <row r="179" ht="15.75" customHeight="1">
      <c r="B179" s="3">
        <f>IFERROR(__xludf.DUMMYFUNCTION("""COMPUTED_VALUE"""),39899.645833333336)</f>
        <v>39899.64583</v>
      </c>
      <c r="C179" s="2">
        <f>IFERROR(__xludf.DUMMYFUNCTION("""COMPUTED_VALUE"""),266.0)</f>
        <v>266</v>
      </c>
    </row>
    <row r="180" ht="15.75" customHeight="1">
      <c r="B180" s="3">
        <f>IFERROR(__xludf.DUMMYFUNCTION("""COMPUTED_VALUE"""),39905.645833333336)</f>
        <v>39905.64583</v>
      </c>
      <c r="C180" s="2">
        <f>IFERROR(__xludf.DUMMYFUNCTION("""COMPUTED_VALUE"""),277.7)</f>
        <v>277.7</v>
      </c>
    </row>
    <row r="181" ht="15.75" customHeight="1">
      <c r="B181" s="3">
        <f>IFERROR(__xludf.DUMMYFUNCTION("""COMPUTED_VALUE"""),39912.645833333336)</f>
        <v>39912.64583</v>
      </c>
      <c r="C181" s="2">
        <f>IFERROR(__xludf.DUMMYFUNCTION("""COMPUTED_VALUE"""),296.9)</f>
        <v>296.9</v>
      </c>
    </row>
    <row r="182" ht="15.75" customHeight="1">
      <c r="B182" s="3">
        <f>IFERROR(__xludf.DUMMYFUNCTION("""COMPUTED_VALUE"""),39920.645833333336)</f>
        <v>39920.64583</v>
      </c>
      <c r="C182" s="2">
        <f>IFERROR(__xludf.DUMMYFUNCTION("""COMPUTED_VALUE"""),322.7)</f>
        <v>322.7</v>
      </c>
    </row>
    <row r="183" ht="15.75" customHeight="1">
      <c r="B183" s="3">
        <f>IFERROR(__xludf.DUMMYFUNCTION("""COMPUTED_VALUE"""),39927.645833333336)</f>
        <v>39927.64583</v>
      </c>
      <c r="C183" s="2">
        <f>IFERROR(__xludf.DUMMYFUNCTION("""COMPUTED_VALUE"""),330.5)</f>
        <v>330.5</v>
      </c>
    </row>
    <row r="184" ht="15.75" customHeight="1">
      <c r="B184" s="3">
        <f>IFERROR(__xludf.DUMMYFUNCTION("""COMPUTED_VALUE"""),39932.645833333336)</f>
        <v>39932.64583</v>
      </c>
      <c r="C184" s="2">
        <f>IFERROR(__xludf.DUMMYFUNCTION("""COMPUTED_VALUE"""),314.8)</f>
        <v>314.8</v>
      </c>
    </row>
    <row r="185" ht="15.75" customHeight="1">
      <c r="B185" s="3">
        <f>IFERROR(__xludf.DUMMYFUNCTION("""COMPUTED_VALUE"""),39941.645833333336)</f>
        <v>39941.64583</v>
      </c>
      <c r="C185" s="2">
        <f>IFERROR(__xludf.DUMMYFUNCTION("""COMPUTED_VALUE"""),350.8)</f>
        <v>350.8</v>
      </c>
    </row>
    <row r="186" ht="15.75" customHeight="1">
      <c r="B186" s="3">
        <f>IFERROR(__xludf.DUMMYFUNCTION("""COMPUTED_VALUE"""),39948.645833333336)</f>
        <v>39948.64583</v>
      </c>
      <c r="C186" s="2">
        <f>IFERROR(__xludf.DUMMYFUNCTION("""COMPUTED_VALUE"""),373.45)</f>
        <v>373.45</v>
      </c>
    </row>
    <row r="187" ht="15.75" customHeight="1">
      <c r="B187" s="3">
        <f>IFERROR(__xludf.DUMMYFUNCTION("""COMPUTED_VALUE"""),39955.645833333336)</f>
        <v>39955.64583</v>
      </c>
      <c r="C187" s="2">
        <f>IFERROR(__xludf.DUMMYFUNCTION("""COMPUTED_VALUE"""),498.0)</f>
        <v>498</v>
      </c>
    </row>
    <row r="188" ht="15.75" customHeight="1">
      <c r="B188" s="3">
        <f>IFERROR(__xludf.DUMMYFUNCTION("""COMPUTED_VALUE"""),39962.645833333336)</f>
        <v>39962.64583</v>
      </c>
      <c r="C188" s="2">
        <f>IFERROR(__xludf.DUMMYFUNCTION("""COMPUTED_VALUE"""),502.8)</f>
        <v>502.8</v>
      </c>
    </row>
    <row r="189" ht="15.75" customHeight="1">
      <c r="B189" s="3">
        <f>IFERROR(__xludf.DUMMYFUNCTION("""COMPUTED_VALUE"""),39969.645833333336)</f>
        <v>39969.64583</v>
      </c>
      <c r="C189" s="2">
        <f>IFERROR(__xludf.DUMMYFUNCTION("""COMPUTED_VALUE"""),519.2)</f>
        <v>519.2</v>
      </c>
    </row>
    <row r="190" ht="15.75" customHeight="1">
      <c r="B190" s="3">
        <f>IFERROR(__xludf.DUMMYFUNCTION("""COMPUTED_VALUE"""),39976.645833333336)</f>
        <v>39976.64583</v>
      </c>
      <c r="C190" s="2">
        <f>IFERROR(__xludf.DUMMYFUNCTION("""COMPUTED_VALUE"""),538.2)</f>
        <v>538.2</v>
      </c>
    </row>
    <row r="191" ht="15.75" customHeight="1">
      <c r="B191" s="3">
        <f>IFERROR(__xludf.DUMMYFUNCTION("""COMPUTED_VALUE"""),39983.645833333336)</f>
        <v>39983.64583</v>
      </c>
      <c r="C191" s="2">
        <f>IFERROR(__xludf.DUMMYFUNCTION("""COMPUTED_VALUE"""),508.8)</f>
        <v>508.8</v>
      </c>
    </row>
    <row r="192" ht="15.75" customHeight="1">
      <c r="B192" s="3">
        <f>IFERROR(__xludf.DUMMYFUNCTION("""COMPUTED_VALUE"""),39990.645833333336)</f>
        <v>39990.64583</v>
      </c>
      <c r="C192" s="2">
        <f>IFERROR(__xludf.DUMMYFUNCTION("""COMPUTED_VALUE"""),501.9)</f>
        <v>501.9</v>
      </c>
    </row>
    <row r="193" ht="15.75" customHeight="1">
      <c r="B193" s="3">
        <f>IFERROR(__xludf.DUMMYFUNCTION("""COMPUTED_VALUE"""),39997.645833333336)</f>
        <v>39997.64583</v>
      </c>
      <c r="C193" s="2">
        <f>IFERROR(__xludf.DUMMYFUNCTION("""COMPUTED_VALUE"""),557.4)</f>
        <v>557.4</v>
      </c>
    </row>
    <row r="194" ht="15.75" customHeight="1">
      <c r="B194" s="3">
        <f>IFERROR(__xludf.DUMMYFUNCTION("""COMPUTED_VALUE"""),40004.645833333336)</f>
        <v>40004.64583</v>
      </c>
      <c r="C194" s="2">
        <f>IFERROR(__xludf.DUMMYFUNCTION("""COMPUTED_VALUE"""),501.7)</f>
        <v>501.7</v>
      </c>
    </row>
    <row r="195" ht="15.75" customHeight="1">
      <c r="B195" s="3">
        <f>IFERROR(__xludf.DUMMYFUNCTION("""COMPUTED_VALUE"""),40011.645833333336)</f>
        <v>40011.64583</v>
      </c>
      <c r="C195" s="2">
        <f>IFERROR(__xludf.DUMMYFUNCTION("""COMPUTED_VALUE"""),456.0)</f>
        <v>456</v>
      </c>
    </row>
    <row r="196" ht="15.75" customHeight="1">
      <c r="B196" s="3">
        <f>IFERROR(__xludf.DUMMYFUNCTION("""COMPUTED_VALUE"""),40018.645833333336)</f>
        <v>40018.64583</v>
      </c>
      <c r="C196" s="2">
        <f>IFERROR(__xludf.DUMMYFUNCTION("""COMPUTED_VALUE"""),480.0)</f>
        <v>480</v>
      </c>
    </row>
    <row r="197" ht="15.75" customHeight="1">
      <c r="B197" s="3">
        <f>IFERROR(__xludf.DUMMYFUNCTION("""COMPUTED_VALUE"""),40025.645833333336)</f>
        <v>40025.64583</v>
      </c>
      <c r="C197" s="2">
        <f>IFERROR(__xludf.DUMMYFUNCTION("""COMPUTED_VALUE"""),493.4)</f>
        <v>493.4</v>
      </c>
    </row>
    <row r="198" ht="15.75" customHeight="1">
      <c r="B198" s="3">
        <f>IFERROR(__xludf.DUMMYFUNCTION("""COMPUTED_VALUE"""),40032.645833333336)</f>
        <v>40032.64583</v>
      </c>
      <c r="C198" s="2">
        <f>IFERROR(__xludf.DUMMYFUNCTION("""COMPUTED_VALUE"""),502.0)</f>
        <v>502</v>
      </c>
    </row>
    <row r="199" ht="15.75" customHeight="1">
      <c r="B199" s="3">
        <f>IFERROR(__xludf.DUMMYFUNCTION("""COMPUTED_VALUE"""),40039.645833333336)</f>
        <v>40039.64583</v>
      </c>
      <c r="C199" s="2">
        <f>IFERROR(__xludf.DUMMYFUNCTION("""COMPUTED_VALUE"""),464.3)</f>
        <v>464.3</v>
      </c>
    </row>
    <row r="200" ht="15.75" customHeight="1">
      <c r="B200" s="3">
        <f>IFERROR(__xludf.DUMMYFUNCTION("""COMPUTED_VALUE"""),40046.645833333336)</f>
        <v>40046.64583</v>
      </c>
      <c r="C200" s="2">
        <f>IFERROR(__xludf.DUMMYFUNCTION("""COMPUTED_VALUE"""),466.95)</f>
        <v>466.95</v>
      </c>
    </row>
    <row r="201" ht="15.75" customHeight="1">
      <c r="B201" s="3">
        <f>IFERROR(__xludf.DUMMYFUNCTION("""COMPUTED_VALUE"""),40053.645833333336)</f>
        <v>40053.64583</v>
      </c>
      <c r="C201" s="2">
        <f>IFERROR(__xludf.DUMMYFUNCTION("""COMPUTED_VALUE"""),512.5)</f>
        <v>512.5</v>
      </c>
    </row>
    <row r="202" ht="15.75" customHeight="1">
      <c r="B202" s="3">
        <f>IFERROR(__xludf.DUMMYFUNCTION("""COMPUTED_VALUE"""),40060.645833333336)</f>
        <v>40060.64583</v>
      </c>
      <c r="C202" s="2">
        <f>IFERROR(__xludf.DUMMYFUNCTION("""COMPUTED_VALUE"""),528.0)</f>
        <v>528</v>
      </c>
    </row>
    <row r="203" ht="15.75" customHeight="1">
      <c r="B203" s="3">
        <f>IFERROR(__xludf.DUMMYFUNCTION("""COMPUTED_VALUE"""),40067.645833333336)</f>
        <v>40067.64583</v>
      </c>
      <c r="C203" s="2">
        <f>IFERROR(__xludf.DUMMYFUNCTION("""COMPUTED_VALUE"""),540.0)</f>
        <v>540</v>
      </c>
    </row>
    <row r="204" ht="15.75" customHeight="1">
      <c r="B204" s="3">
        <f>IFERROR(__xludf.DUMMYFUNCTION("""COMPUTED_VALUE"""),40074.645833333336)</f>
        <v>40074.64583</v>
      </c>
      <c r="C204" s="2">
        <f>IFERROR(__xludf.DUMMYFUNCTION("""COMPUTED_VALUE"""),579.0)</f>
        <v>579</v>
      </c>
    </row>
    <row r="205" ht="15.75" customHeight="1">
      <c r="B205" s="3">
        <f>IFERROR(__xludf.DUMMYFUNCTION("""COMPUTED_VALUE"""),40081.645833333336)</f>
        <v>40081.64583</v>
      </c>
      <c r="C205" s="2">
        <f>IFERROR(__xludf.DUMMYFUNCTION("""COMPUTED_VALUE"""),571.75)</f>
        <v>571.75</v>
      </c>
    </row>
    <row r="206" ht="15.75" customHeight="1">
      <c r="B206" s="3">
        <f>IFERROR(__xludf.DUMMYFUNCTION("""COMPUTED_VALUE"""),40087.645833333336)</f>
        <v>40087.64583</v>
      </c>
      <c r="C206" s="2">
        <f>IFERROR(__xludf.DUMMYFUNCTION("""COMPUTED_VALUE"""),570.0)</f>
        <v>570</v>
      </c>
    </row>
    <row r="207" ht="15.75" customHeight="1">
      <c r="B207" s="3">
        <f>IFERROR(__xludf.DUMMYFUNCTION("""COMPUTED_VALUE"""),40095.645833333336)</f>
        <v>40095.64583</v>
      </c>
      <c r="C207" s="2">
        <f>IFERROR(__xludf.DUMMYFUNCTION("""COMPUTED_VALUE"""),605.0)</f>
        <v>605</v>
      </c>
    </row>
    <row r="208" ht="15.75" customHeight="1">
      <c r="B208" s="3">
        <f>IFERROR(__xludf.DUMMYFUNCTION("""COMPUTED_VALUE"""),40109.645833333336)</f>
        <v>40109.64583</v>
      </c>
      <c r="C208" s="2">
        <f>IFERROR(__xludf.DUMMYFUNCTION("""COMPUTED_VALUE"""),596.8)</f>
        <v>596.8</v>
      </c>
    </row>
    <row r="209" ht="15.75" customHeight="1">
      <c r="B209" s="3">
        <f>IFERROR(__xludf.DUMMYFUNCTION("""COMPUTED_VALUE"""),40116.645833333336)</f>
        <v>40116.64583</v>
      </c>
      <c r="C209" s="2">
        <f>IFERROR(__xludf.DUMMYFUNCTION("""COMPUTED_VALUE"""),590.9)</f>
        <v>590.9</v>
      </c>
    </row>
    <row r="210" ht="15.75" customHeight="1">
      <c r="B210" s="3">
        <f>IFERROR(__xludf.DUMMYFUNCTION("""COMPUTED_VALUE"""),40123.645833333336)</f>
        <v>40123.64583</v>
      </c>
      <c r="C210" s="2">
        <f>IFERROR(__xludf.DUMMYFUNCTION("""COMPUTED_VALUE"""),534.5)</f>
        <v>534.5</v>
      </c>
    </row>
    <row r="211" ht="15.75" customHeight="1">
      <c r="B211" s="3">
        <f>IFERROR(__xludf.DUMMYFUNCTION("""COMPUTED_VALUE"""),40130.645833333336)</f>
        <v>40130.64583</v>
      </c>
      <c r="C211" s="2">
        <f>IFERROR(__xludf.DUMMYFUNCTION("""COMPUTED_VALUE"""),562.0)</f>
        <v>562</v>
      </c>
    </row>
    <row r="212" ht="15.75" customHeight="1">
      <c r="B212" s="3">
        <f>IFERROR(__xludf.DUMMYFUNCTION("""COMPUTED_VALUE"""),40137.645833333336)</f>
        <v>40137.64583</v>
      </c>
      <c r="C212" s="2">
        <f>IFERROR(__xludf.DUMMYFUNCTION("""COMPUTED_VALUE"""),580.0)</f>
        <v>580</v>
      </c>
    </row>
    <row r="213" ht="15.75" customHeight="1">
      <c r="B213" s="3">
        <f>IFERROR(__xludf.DUMMYFUNCTION("""COMPUTED_VALUE"""),40144.645833333336)</f>
        <v>40144.64583</v>
      </c>
      <c r="C213" s="2">
        <f>IFERROR(__xludf.DUMMYFUNCTION("""COMPUTED_VALUE"""),575.95)</f>
        <v>575.95</v>
      </c>
    </row>
    <row r="214" ht="15.75" customHeight="1">
      <c r="B214" s="3">
        <f>IFERROR(__xludf.DUMMYFUNCTION("""COMPUTED_VALUE"""),40151.645833333336)</f>
        <v>40151.64583</v>
      </c>
      <c r="C214" s="2">
        <f>IFERROR(__xludf.DUMMYFUNCTION("""COMPUTED_VALUE"""),555.0)</f>
        <v>555</v>
      </c>
    </row>
    <row r="215" ht="15.75" customHeight="1">
      <c r="B215" s="3">
        <f>IFERROR(__xludf.DUMMYFUNCTION("""COMPUTED_VALUE"""),40158.645833333336)</f>
        <v>40158.64583</v>
      </c>
      <c r="C215" s="2">
        <f>IFERROR(__xludf.DUMMYFUNCTION("""COMPUTED_VALUE"""),556.0)</f>
        <v>556</v>
      </c>
    </row>
    <row r="216" ht="15.75" customHeight="1">
      <c r="B216" s="3">
        <f>IFERROR(__xludf.DUMMYFUNCTION("""COMPUTED_VALUE"""),40165.645833333336)</f>
        <v>40165.64583</v>
      </c>
      <c r="C216" s="2">
        <f>IFERROR(__xludf.DUMMYFUNCTION("""COMPUTED_VALUE"""),572.65)</f>
        <v>572.65</v>
      </c>
    </row>
    <row r="217" ht="15.75" customHeight="1">
      <c r="B217" s="3">
        <f>IFERROR(__xludf.DUMMYFUNCTION("""COMPUTED_VALUE"""),40171.645833333336)</f>
        <v>40171.64583</v>
      </c>
      <c r="C217" s="2">
        <f>IFERROR(__xludf.DUMMYFUNCTION("""COMPUTED_VALUE"""),582.8)</f>
        <v>582.8</v>
      </c>
    </row>
    <row r="218" ht="15.75" customHeight="1">
      <c r="B218" s="3">
        <f>IFERROR(__xludf.DUMMYFUNCTION("""COMPUTED_VALUE"""),40178.645833333336)</f>
        <v>40178.64583</v>
      </c>
      <c r="C218" s="2">
        <f>IFERROR(__xludf.DUMMYFUNCTION("""COMPUTED_VALUE"""),598.0)</f>
        <v>598</v>
      </c>
    </row>
    <row r="219" ht="15.75" customHeight="1"/>
    <row r="220" ht="15.75" customHeight="1"/>
    <row r="221" ht="15.75" customHeight="1">
      <c r="B221" s="2" t="str">
        <f>IFERROR(__xludf.DUMMYFUNCTION("GOOGLEFINANCE(""NSE:SIEMENS"", ""high"",DATE(2010,1,1),DATE(2011,1,1),""weekly"")"),"Date")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IFERROR(__xludf.DUMMYFUNCTION("""COMPUTED_VALUE"""),40186.645833333336)</f>
        <v>40186.64583</v>
      </c>
      <c r="C222" s="2">
        <f>IFERROR(__xludf.DUMMYFUNCTION("""COMPUTED_VALUE"""),644.95)</f>
        <v>644.95</v>
      </c>
    </row>
    <row r="223" ht="15.75" customHeight="1">
      <c r="B223" s="3">
        <f>IFERROR(__xludf.DUMMYFUNCTION("""COMPUTED_VALUE"""),40193.645833333336)</f>
        <v>40193.64583</v>
      </c>
      <c r="C223" s="2">
        <f>IFERROR(__xludf.DUMMYFUNCTION("""COMPUTED_VALUE"""),669.3)</f>
        <v>669.3</v>
      </c>
    </row>
    <row r="224" ht="15.75" customHeight="1">
      <c r="B224" s="3">
        <f>IFERROR(__xludf.DUMMYFUNCTION("""COMPUTED_VALUE"""),40200.645833333336)</f>
        <v>40200.64583</v>
      </c>
      <c r="C224" s="2">
        <f>IFERROR(__xludf.DUMMYFUNCTION("""COMPUTED_VALUE"""),677.6)</f>
        <v>677.6</v>
      </c>
    </row>
    <row r="225" ht="15.75" customHeight="1">
      <c r="B225" s="3">
        <f>IFERROR(__xludf.DUMMYFUNCTION("""COMPUTED_VALUE"""),40207.645833333336)</f>
        <v>40207.64583</v>
      </c>
      <c r="C225" s="2">
        <f>IFERROR(__xludf.DUMMYFUNCTION("""COMPUTED_VALUE"""),656.9)</f>
        <v>656.9</v>
      </c>
    </row>
    <row r="226" ht="15.75" customHeight="1">
      <c r="B226" s="3">
        <f>IFERROR(__xludf.DUMMYFUNCTION("""COMPUTED_VALUE"""),40220.645833333336)</f>
        <v>40220.64583</v>
      </c>
      <c r="C226" s="2">
        <f>IFERROR(__xludf.DUMMYFUNCTION("""COMPUTED_VALUE"""),656.0)</f>
        <v>656</v>
      </c>
    </row>
    <row r="227" ht="15.75" customHeight="1">
      <c r="B227" s="3">
        <f>IFERROR(__xludf.DUMMYFUNCTION("""COMPUTED_VALUE"""),40228.645833333336)</f>
        <v>40228.64583</v>
      </c>
      <c r="C227" s="2">
        <f>IFERROR(__xludf.DUMMYFUNCTION("""COMPUTED_VALUE"""),690.45)</f>
        <v>690.45</v>
      </c>
    </row>
    <row r="228" ht="15.75" customHeight="1">
      <c r="B228" s="3">
        <f>IFERROR(__xludf.DUMMYFUNCTION("""COMPUTED_VALUE"""),40235.645833333336)</f>
        <v>40235.64583</v>
      </c>
      <c r="C228" s="2">
        <f>IFERROR(__xludf.DUMMYFUNCTION("""COMPUTED_VALUE"""),690.0)</f>
        <v>690</v>
      </c>
    </row>
    <row r="229" ht="15.75" customHeight="1">
      <c r="B229" s="3">
        <f>IFERROR(__xludf.DUMMYFUNCTION("""COMPUTED_VALUE"""),40242.645833333336)</f>
        <v>40242.64583</v>
      </c>
      <c r="C229" s="2">
        <f>IFERROR(__xludf.DUMMYFUNCTION("""COMPUTED_VALUE"""),717.8)</f>
        <v>717.8</v>
      </c>
    </row>
    <row r="230" ht="15.75" customHeight="1">
      <c r="B230" s="3">
        <f>IFERROR(__xludf.DUMMYFUNCTION("""COMPUTED_VALUE"""),40249.645833333336)</f>
        <v>40249.64583</v>
      </c>
      <c r="C230" s="2">
        <f>IFERROR(__xludf.DUMMYFUNCTION("""COMPUTED_VALUE"""),746.8)</f>
        <v>746.8</v>
      </c>
    </row>
    <row r="231" ht="15.75" customHeight="1">
      <c r="B231" s="3">
        <f>IFERROR(__xludf.DUMMYFUNCTION("""COMPUTED_VALUE"""),40256.645833333336)</f>
        <v>40256.64583</v>
      </c>
      <c r="C231" s="2">
        <f>IFERROR(__xludf.DUMMYFUNCTION("""COMPUTED_VALUE"""),742.85)</f>
        <v>742.85</v>
      </c>
    </row>
    <row r="232" ht="15.75" customHeight="1">
      <c r="B232" s="3">
        <f>IFERROR(__xludf.DUMMYFUNCTION("""COMPUTED_VALUE"""),40263.645833333336)</f>
        <v>40263.64583</v>
      </c>
      <c r="C232" s="2">
        <f>IFERROR(__xludf.DUMMYFUNCTION("""COMPUTED_VALUE"""),765.9)</f>
        <v>765.9</v>
      </c>
    </row>
    <row r="233" ht="15.75" customHeight="1">
      <c r="B233" s="3">
        <f>IFERROR(__xludf.DUMMYFUNCTION("""COMPUTED_VALUE"""),40269.645833333336)</f>
        <v>40269.64583</v>
      </c>
      <c r="C233" s="2">
        <f>IFERROR(__xludf.DUMMYFUNCTION("""COMPUTED_VALUE"""),753.1)</f>
        <v>753.1</v>
      </c>
    </row>
    <row r="234" ht="15.75" customHeight="1">
      <c r="B234" s="3">
        <f>IFERROR(__xludf.DUMMYFUNCTION("""COMPUTED_VALUE"""),40277.645833333336)</f>
        <v>40277.64583</v>
      </c>
      <c r="C234" s="2">
        <f>IFERROR(__xludf.DUMMYFUNCTION("""COMPUTED_VALUE"""),756.0)</f>
        <v>756</v>
      </c>
    </row>
    <row r="235" ht="15.75" customHeight="1">
      <c r="B235" s="3">
        <f>IFERROR(__xludf.DUMMYFUNCTION("""COMPUTED_VALUE"""),40284.645833333336)</f>
        <v>40284.64583</v>
      </c>
      <c r="C235" s="2">
        <f>IFERROR(__xludf.DUMMYFUNCTION("""COMPUTED_VALUE"""),762.1)</f>
        <v>762.1</v>
      </c>
    </row>
    <row r="236" ht="15.75" customHeight="1">
      <c r="B236" s="3">
        <f>IFERROR(__xludf.DUMMYFUNCTION("""COMPUTED_VALUE"""),40291.645833333336)</f>
        <v>40291.64583</v>
      </c>
      <c r="C236" s="2">
        <f>IFERROR(__xludf.DUMMYFUNCTION("""COMPUTED_VALUE"""),735.9)</f>
        <v>735.9</v>
      </c>
    </row>
    <row r="237" ht="15.75" customHeight="1">
      <c r="B237" s="3">
        <f>IFERROR(__xludf.DUMMYFUNCTION("""COMPUTED_VALUE"""),40298.645833333336)</f>
        <v>40298.64583</v>
      </c>
      <c r="C237" s="2">
        <f>IFERROR(__xludf.DUMMYFUNCTION("""COMPUTED_VALUE"""),724.8)</f>
        <v>724.8</v>
      </c>
    </row>
    <row r="238" ht="15.75" customHeight="1">
      <c r="B238" s="3">
        <f>IFERROR(__xludf.DUMMYFUNCTION("""COMPUTED_VALUE"""),40305.645833333336)</f>
        <v>40305.64583</v>
      </c>
      <c r="C238" s="2">
        <f>IFERROR(__xludf.DUMMYFUNCTION("""COMPUTED_VALUE"""),710.1)</f>
        <v>710.1</v>
      </c>
    </row>
    <row r="239" ht="15.75" customHeight="1">
      <c r="B239" s="3">
        <f>IFERROR(__xludf.DUMMYFUNCTION("""COMPUTED_VALUE"""),40312.645833333336)</f>
        <v>40312.64583</v>
      </c>
      <c r="C239" s="2">
        <f>IFERROR(__xludf.DUMMYFUNCTION("""COMPUTED_VALUE"""),705.8)</f>
        <v>705.8</v>
      </c>
    </row>
    <row r="240" ht="15.75" customHeight="1">
      <c r="B240" s="3">
        <f>IFERROR(__xludf.DUMMYFUNCTION("""COMPUTED_VALUE"""),40319.645833333336)</f>
        <v>40319.64583</v>
      </c>
      <c r="C240" s="2">
        <f>IFERROR(__xludf.DUMMYFUNCTION("""COMPUTED_VALUE"""),712.95)</f>
        <v>712.95</v>
      </c>
    </row>
    <row r="241" ht="15.75" customHeight="1">
      <c r="B241" s="3">
        <f>IFERROR(__xludf.DUMMYFUNCTION("""COMPUTED_VALUE"""),40326.645833333336)</f>
        <v>40326.64583</v>
      </c>
      <c r="C241" s="2">
        <f>IFERROR(__xludf.DUMMYFUNCTION("""COMPUTED_VALUE"""),717.5)</f>
        <v>717.5</v>
      </c>
    </row>
    <row r="242" ht="15.75" customHeight="1">
      <c r="B242" s="3">
        <f>IFERROR(__xludf.DUMMYFUNCTION("""COMPUTED_VALUE"""),40333.645833333336)</f>
        <v>40333.64583</v>
      </c>
      <c r="C242" s="2">
        <f>IFERROR(__xludf.DUMMYFUNCTION("""COMPUTED_VALUE"""),713.0)</f>
        <v>713</v>
      </c>
    </row>
    <row r="243" ht="15.75" customHeight="1">
      <c r="B243" s="3">
        <f>IFERROR(__xludf.DUMMYFUNCTION("""COMPUTED_VALUE"""),40340.645833333336)</f>
        <v>40340.64583</v>
      </c>
      <c r="C243" s="2">
        <f>IFERROR(__xludf.DUMMYFUNCTION("""COMPUTED_VALUE"""),719.85)</f>
        <v>719.85</v>
      </c>
    </row>
    <row r="244" ht="15.75" customHeight="1">
      <c r="B244" s="3">
        <f>IFERROR(__xludf.DUMMYFUNCTION("""COMPUTED_VALUE"""),40347.645833333336)</f>
        <v>40347.64583</v>
      </c>
      <c r="C244" s="2">
        <f>IFERROR(__xludf.DUMMYFUNCTION("""COMPUTED_VALUE"""),736.9)</f>
        <v>736.9</v>
      </c>
    </row>
    <row r="245" ht="15.75" customHeight="1">
      <c r="B245" s="3">
        <f>IFERROR(__xludf.DUMMYFUNCTION("""COMPUTED_VALUE"""),40354.645833333336)</f>
        <v>40354.64583</v>
      </c>
      <c r="C245" s="2">
        <f>IFERROR(__xludf.DUMMYFUNCTION("""COMPUTED_VALUE"""),746.9)</f>
        <v>746.9</v>
      </c>
    </row>
    <row r="246" ht="15.75" customHeight="1">
      <c r="B246" s="3">
        <f>IFERROR(__xludf.DUMMYFUNCTION("""COMPUTED_VALUE"""),40361.645833333336)</f>
        <v>40361.64583</v>
      </c>
      <c r="C246" s="2">
        <f>IFERROR(__xludf.DUMMYFUNCTION("""COMPUTED_VALUE"""),739.8)</f>
        <v>739.8</v>
      </c>
    </row>
    <row r="247" ht="15.75" customHeight="1">
      <c r="B247" s="3">
        <f>IFERROR(__xludf.DUMMYFUNCTION("""COMPUTED_VALUE"""),40368.645833333336)</f>
        <v>40368.64583</v>
      </c>
      <c r="C247" s="2">
        <f>IFERROR(__xludf.DUMMYFUNCTION("""COMPUTED_VALUE"""),732.8)</f>
        <v>732.8</v>
      </c>
    </row>
    <row r="248" ht="15.75" customHeight="1">
      <c r="B248" s="3">
        <f>IFERROR(__xludf.DUMMYFUNCTION("""COMPUTED_VALUE"""),40375.645833333336)</f>
        <v>40375.64583</v>
      </c>
      <c r="C248" s="2">
        <f>IFERROR(__xludf.DUMMYFUNCTION("""COMPUTED_VALUE"""),750.8)</f>
        <v>750.8</v>
      </c>
    </row>
    <row r="249" ht="15.75" customHeight="1">
      <c r="B249" s="3">
        <f>IFERROR(__xludf.DUMMYFUNCTION("""COMPUTED_VALUE"""),40382.645833333336)</f>
        <v>40382.64583</v>
      </c>
      <c r="C249" s="2">
        <f>IFERROR(__xludf.DUMMYFUNCTION("""COMPUTED_VALUE"""),739.8)</f>
        <v>739.8</v>
      </c>
    </row>
    <row r="250" ht="15.75" customHeight="1">
      <c r="B250" s="3">
        <f>IFERROR(__xludf.DUMMYFUNCTION("""COMPUTED_VALUE"""),40389.645833333336)</f>
        <v>40389.64583</v>
      </c>
      <c r="C250" s="2">
        <f>IFERROR(__xludf.DUMMYFUNCTION("""COMPUTED_VALUE"""),734.5)</f>
        <v>734.5</v>
      </c>
    </row>
    <row r="251" ht="15.75" customHeight="1">
      <c r="B251" s="3">
        <f>IFERROR(__xludf.DUMMYFUNCTION("""COMPUTED_VALUE"""),40396.645833333336)</f>
        <v>40396.64583</v>
      </c>
      <c r="C251" s="2">
        <f>IFERROR(__xludf.DUMMYFUNCTION("""COMPUTED_VALUE"""),721.1)</f>
        <v>721.1</v>
      </c>
    </row>
    <row r="252" ht="15.75" customHeight="1">
      <c r="B252" s="3">
        <f>IFERROR(__xludf.DUMMYFUNCTION("""COMPUTED_VALUE"""),40403.645833333336)</f>
        <v>40403.64583</v>
      </c>
      <c r="C252" s="2">
        <f>IFERROR(__xludf.DUMMYFUNCTION("""COMPUTED_VALUE"""),709.35)</f>
        <v>709.35</v>
      </c>
    </row>
    <row r="253" ht="15.75" customHeight="1">
      <c r="B253" s="3">
        <f>IFERROR(__xludf.DUMMYFUNCTION("""COMPUTED_VALUE"""),40410.645833333336)</f>
        <v>40410.64583</v>
      </c>
      <c r="C253" s="2">
        <f>IFERROR(__xludf.DUMMYFUNCTION("""COMPUTED_VALUE"""),713.9)</f>
        <v>713.9</v>
      </c>
    </row>
    <row r="254" ht="15.75" customHeight="1">
      <c r="B254" s="3">
        <f>IFERROR(__xludf.DUMMYFUNCTION("""COMPUTED_VALUE"""),40417.645833333336)</f>
        <v>40417.64583</v>
      </c>
      <c r="C254" s="2">
        <f>IFERROR(__xludf.DUMMYFUNCTION("""COMPUTED_VALUE"""),726.7)</f>
        <v>726.7</v>
      </c>
    </row>
    <row r="255" ht="15.75" customHeight="1">
      <c r="B255" s="3">
        <f>IFERROR(__xludf.DUMMYFUNCTION("""COMPUTED_VALUE"""),40424.645833333336)</f>
        <v>40424.64583</v>
      </c>
      <c r="C255" s="2">
        <f>IFERROR(__xludf.DUMMYFUNCTION("""COMPUTED_VALUE"""),720.0)</f>
        <v>720</v>
      </c>
    </row>
    <row r="256" ht="15.75" customHeight="1">
      <c r="B256" s="3">
        <f>IFERROR(__xludf.DUMMYFUNCTION("""COMPUTED_VALUE"""),40430.645833333336)</f>
        <v>40430.64583</v>
      </c>
      <c r="C256" s="2">
        <f>IFERROR(__xludf.DUMMYFUNCTION("""COMPUTED_VALUE"""),719.8)</f>
        <v>719.8</v>
      </c>
    </row>
    <row r="257" ht="15.75" customHeight="1">
      <c r="B257" s="3">
        <f>IFERROR(__xludf.DUMMYFUNCTION("""COMPUTED_VALUE"""),40438.645833333336)</f>
        <v>40438.64583</v>
      </c>
      <c r="C257" s="2">
        <f>IFERROR(__xludf.DUMMYFUNCTION("""COMPUTED_VALUE"""),772.45)</f>
        <v>772.45</v>
      </c>
    </row>
    <row r="258" ht="15.75" customHeight="1">
      <c r="B258" s="3">
        <f>IFERROR(__xludf.DUMMYFUNCTION("""COMPUTED_VALUE"""),40445.645833333336)</f>
        <v>40445.64583</v>
      </c>
      <c r="C258" s="2">
        <f>IFERROR(__xludf.DUMMYFUNCTION("""COMPUTED_VALUE"""),799.75)</f>
        <v>799.75</v>
      </c>
    </row>
    <row r="259" ht="15.75" customHeight="1">
      <c r="B259" s="3">
        <f>IFERROR(__xludf.DUMMYFUNCTION("""COMPUTED_VALUE"""),40452.645833333336)</f>
        <v>40452.64583</v>
      </c>
      <c r="C259" s="2">
        <f>IFERROR(__xludf.DUMMYFUNCTION("""COMPUTED_VALUE"""),846.8)</f>
        <v>846.8</v>
      </c>
    </row>
    <row r="260" ht="15.75" customHeight="1">
      <c r="B260" s="3">
        <f>IFERROR(__xludf.DUMMYFUNCTION("""COMPUTED_VALUE"""),40459.645833333336)</f>
        <v>40459.64583</v>
      </c>
      <c r="C260" s="2">
        <f>IFERROR(__xludf.DUMMYFUNCTION("""COMPUTED_VALUE"""),846.75)</f>
        <v>846.75</v>
      </c>
    </row>
    <row r="261" ht="15.75" customHeight="1">
      <c r="B261" s="3">
        <f>IFERROR(__xludf.DUMMYFUNCTION("""COMPUTED_VALUE"""),40466.645833333336)</f>
        <v>40466.64583</v>
      </c>
      <c r="C261" s="2">
        <f>IFERROR(__xludf.DUMMYFUNCTION("""COMPUTED_VALUE"""),843.8)</f>
        <v>843.8</v>
      </c>
    </row>
    <row r="262" ht="15.75" customHeight="1">
      <c r="B262" s="3">
        <f>IFERROR(__xludf.DUMMYFUNCTION("""COMPUTED_VALUE"""),40473.645833333336)</f>
        <v>40473.64583</v>
      </c>
      <c r="C262" s="2">
        <f>IFERROR(__xludf.DUMMYFUNCTION("""COMPUTED_VALUE"""),841.0)</f>
        <v>841</v>
      </c>
    </row>
    <row r="263" ht="15.75" customHeight="1">
      <c r="B263" s="3">
        <f>IFERROR(__xludf.DUMMYFUNCTION("""COMPUTED_VALUE"""),40480.645833333336)</f>
        <v>40480.64583</v>
      </c>
      <c r="C263" s="2">
        <f>IFERROR(__xludf.DUMMYFUNCTION("""COMPUTED_VALUE"""),856.15)</f>
        <v>856.15</v>
      </c>
    </row>
    <row r="264" ht="15.75" customHeight="1">
      <c r="B264" s="3">
        <f>IFERROR(__xludf.DUMMYFUNCTION("""COMPUTED_VALUE"""),40487.645833333336)</f>
        <v>40487.64583</v>
      </c>
      <c r="C264" s="2">
        <f>IFERROR(__xludf.DUMMYFUNCTION("""COMPUTED_VALUE"""),849.85)</f>
        <v>849.85</v>
      </c>
    </row>
    <row r="265" ht="15.75" customHeight="1">
      <c r="B265" s="3">
        <f>IFERROR(__xludf.DUMMYFUNCTION("""COMPUTED_VALUE"""),40494.645833333336)</f>
        <v>40494.64583</v>
      </c>
      <c r="C265" s="2">
        <f>IFERROR(__xludf.DUMMYFUNCTION("""COMPUTED_VALUE"""),844.75)</f>
        <v>844.75</v>
      </c>
    </row>
    <row r="266" ht="15.75" customHeight="1">
      <c r="B266" s="3">
        <f>IFERROR(__xludf.DUMMYFUNCTION("""COMPUTED_VALUE"""),40501.645833333336)</f>
        <v>40501.64583</v>
      </c>
      <c r="C266" s="2">
        <f>IFERROR(__xludf.DUMMYFUNCTION("""COMPUTED_VALUE"""),840.0)</f>
        <v>840</v>
      </c>
    </row>
    <row r="267" ht="15.75" customHeight="1">
      <c r="B267" s="3">
        <f>IFERROR(__xludf.DUMMYFUNCTION("""COMPUTED_VALUE"""),40508.645833333336)</f>
        <v>40508.64583</v>
      </c>
      <c r="C267" s="2">
        <f>IFERROR(__xludf.DUMMYFUNCTION("""COMPUTED_VALUE"""),805.0)</f>
        <v>805</v>
      </c>
    </row>
    <row r="268" ht="15.75" customHeight="1">
      <c r="B268" s="3">
        <f>IFERROR(__xludf.DUMMYFUNCTION("""COMPUTED_VALUE"""),40515.645833333336)</f>
        <v>40515.64583</v>
      </c>
      <c r="C268" s="2">
        <f>IFERROR(__xludf.DUMMYFUNCTION("""COMPUTED_VALUE"""),795.8)</f>
        <v>795.8</v>
      </c>
    </row>
    <row r="269" ht="15.75" customHeight="1">
      <c r="B269" s="3">
        <f>IFERROR(__xludf.DUMMYFUNCTION("""COMPUTED_VALUE"""),40522.645833333336)</f>
        <v>40522.64583</v>
      </c>
      <c r="C269" s="2">
        <f>IFERROR(__xludf.DUMMYFUNCTION("""COMPUTED_VALUE"""),799.0)</f>
        <v>799</v>
      </c>
    </row>
    <row r="270" ht="15.75" customHeight="1">
      <c r="B270" s="3">
        <f>IFERROR(__xludf.DUMMYFUNCTION("""COMPUTED_VALUE"""),40528.645833333336)</f>
        <v>40528.64583</v>
      </c>
      <c r="C270" s="2">
        <f>IFERROR(__xludf.DUMMYFUNCTION("""COMPUTED_VALUE"""),791.9)</f>
        <v>791.9</v>
      </c>
    </row>
    <row r="271" ht="15.75" customHeight="1">
      <c r="B271" s="3">
        <f>IFERROR(__xludf.DUMMYFUNCTION("""COMPUTED_VALUE"""),40536.645833333336)</f>
        <v>40536.64583</v>
      </c>
      <c r="C271" s="2">
        <f>IFERROR(__xludf.DUMMYFUNCTION("""COMPUTED_VALUE"""),814.8)</f>
        <v>814.8</v>
      </c>
    </row>
    <row r="272" ht="15.75" customHeight="1">
      <c r="B272" s="3">
        <f>IFERROR(__xludf.DUMMYFUNCTION("""COMPUTED_VALUE"""),40543.645833333336)</f>
        <v>40543.64583</v>
      </c>
      <c r="C272" s="2">
        <f>IFERROR(__xludf.DUMMYFUNCTION("""COMPUTED_VALUE"""),828.4)</f>
        <v>828.4</v>
      </c>
    </row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IFERROR(__xludf.DUMMYFUNCTION("GOOGLEFINANCE(""NSE:SIEMENS"", ""high"",DATE(2011,1,1),DATE(2012,1,1),""weekly"")"),"Date")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IFERROR(__xludf.DUMMYFUNCTION("""COMPUTED_VALUE"""),40550.645833333336)</f>
        <v>40550.64583</v>
      </c>
      <c r="C277" s="2">
        <f>IFERROR(__xludf.DUMMYFUNCTION("""COMPUTED_VALUE"""),834.4)</f>
        <v>834.4</v>
      </c>
    </row>
    <row r="278" ht="15.75" customHeight="1">
      <c r="B278" s="3">
        <f>IFERROR(__xludf.DUMMYFUNCTION("""COMPUTED_VALUE"""),40557.645833333336)</f>
        <v>40557.64583</v>
      </c>
      <c r="C278" s="2">
        <f>IFERROR(__xludf.DUMMYFUNCTION("""COMPUTED_VALUE"""),804.0)</f>
        <v>804</v>
      </c>
    </row>
    <row r="279" ht="15.75" customHeight="1">
      <c r="B279" s="3">
        <f>IFERROR(__xludf.DUMMYFUNCTION("""COMPUTED_VALUE"""),40564.645833333336)</f>
        <v>40564.64583</v>
      </c>
      <c r="C279" s="2">
        <f>IFERROR(__xludf.DUMMYFUNCTION("""COMPUTED_VALUE"""),759.0)</f>
        <v>759</v>
      </c>
    </row>
    <row r="280" ht="15.75" customHeight="1">
      <c r="B280" s="3">
        <f>IFERROR(__xludf.DUMMYFUNCTION("""COMPUTED_VALUE"""),40571.645833333336)</f>
        <v>40571.64583</v>
      </c>
      <c r="C280" s="2">
        <f>IFERROR(__xludf.DUMMYFUNCTION("""COMPUTED_VALUE"""),766.9)</f>
        <v>766.9</v>
      </c>
    </row>
    <row r="281" ht="15.75" customHeight="1">
      <c r="B281" s="3">
        <f>IFERROR(__xludf.DUMMYFUNCTION("""COMPUTED_VALUE"""),40578.645833333336)</f>
        <v>40578.64583</v>
      </c>
      <c r="C281" s="2">
        <f>IFERROR(__xludf.DUMMYFUNCTION("""COMPUTED_VALUE"""),884.6)</f>
        <v>884.6</v>
      </c>
    </row>
    <row r="282" ht="15.75" customHeight="1">
      <c r="B282" s="3">
        <f>IFERROR(__xludf.DUMMYFUNCTION("""COMPUTED_VALUE"""),40585.645833333336)</f>
        <v>40585.64583</v>
      </c>
      <c r="C282" s="2">
        <f>IFERROR(__xludf.DUMMYFUNCTION("""COMPUTED_VALUE"""),856.0)</f>
        <v>856</v>
      </c>
    </row>
    <row r="283" ht="15.75" customHeight="1">
      <c r="B283" s="3">
        <f>IFERROR(__xludf.DUMMYFUNCTION("""COMPUTED_VALUE"""),40592.645833333336)</f>
        <v>40592.64583</v>
      </c>
      <c r="C283" s="2">
        <f>IFERROR(__xludf.DUMMYFUNCTION("""COMPUTED_VALUE"""),849.8)</f>
        <v>849.8</v>
      </c>
    </row>
    <row r="284" ht="15.75" customHeight="1">
      <c r="B284" s="3">
        <f>IFERROR(__xludf.DUMMYFUNCTION("""COMPUTED_VALUE"""),40599.645833333336)</f>
        <v>40599.64583</v>
      </c>
      <c r="C284" s="2">
        <f>IFERROR(__xludf.DUMMYFUNCTION("""COMPUTED_VALUE"""),849.0)</f>
        <v>849</v>
      </c>
    </row>
    <row r="285" ht="15.75" customHeight="1">
      <c r="B285" s="3">
        <f>IFERROR(__xludf.DUMMYFUNCTION("""COMPUTED_VALUE"""),40606.645833333336)</f>
        <v>40606.64583</v>
      </c>
      <c r="C285" s="2">
        <f>IFERROR(__xludf.DUMMYFUNCTION("""COMPUTED_VALUE"""),859.0)</f>
        <v>859</v>
      </c>
    </row>
    <row r="286" ht="15.75" customHeight="1">
      <c r="B286" s="3">
        <f>IFERROR(__xludf.DUMMYFUNCTION("""COMPUTED_VALUE"""),40613.645833333336)</f>
        <v>40613.64583</v>
      </c>
      <c r="C286" s="2">
        <f>IFERROR(__xludf.DUMMYFUNCTION("""COMPUTED_VALUE"""),864.0)</f>
        <v>864</v>
      </c>
    </row>
    <row r="287" ht="15.75" customHeight="1">
      <c r="B287" s="3">
        <f>IFERROR(__xludf.DUMMYFUNCTION("""COMPUTED_VALUE"""),40620.645833333336)</f>
        <v>40620.64583</v>
      </c>
      <c r="C287" s="2">
        <f>IFERROR(__xludf.DUMMYFUNCTION("""COMPUTED_VALUE"""),881.0)</f>
        <v>881</v>
      </c>
    </row>
    <row r="288" ht="15.75" customHeight="1">
      <c r="B288" s="3">
        <f>IFERROR(__xludf.DUMMYFUNCTION("""COMPUTED_VALUE"""),40627.645833333336)</f>
        <v>40627.64583</v>
      </c>
      <c r="C288" s="2">
        <f>IFERROR(__xludf.DUMMYFUNCTION("""COMPUTED_VALUE"""),880.0)</f>
        <v>880</v>
      </c>
    </row>
    <row r="289" ht="15.75" customHeight="1">
      <c r="B289" s="3">
        <f>IFERROR(__xludf.DUMMYFUNCTION("""COMPUTED_VALUE"""),40634.645833333336)</f>
        <v>40634.64583</v>
      </c>
      <c r="C289" s="2">
        <f>IFERROR(__xludf.DUMMYFUNCTION("""COMPUTED_VALUE"""),887.0)</f>
        <v>887</v>
      </c>
    </row>
    <row r="290" ht="15.75" customHeight="1">
      <c r="B290" s="3">
        <f>IFERROR(__xludf.DUMMYFUNCTION("""COMPUTED_VALUE"""),40641.645833333336)</f>
        <v>40641.64583</v>
      </c>
      <c r="C290" s="2">
        <f>IFERROR(__xludf.DUMMYFUNCTION("""COMPUTED_VALUE"""),900.05)</f>
        <v>900.05</v>
      </c>
    </row>
    <row r="291" ht="15.75" customHeight="1">
      <c r="B291" s="3">
        <f>IFERROR(__xludf.DUMMYFUNCTION("""COMPUTED_VALUE"""),40648.645833333336)</f>
        <v>40648.64583</v>
      </c>
      <c r="C291" s="2">
        <f>IFERROR(__xludf.DUMMYFUNCTION("""COMPUTED_VALUE"""),897.0)</f>
        <v>897</v>
      </c>
    </row>
    <row r="292" ht="15.75" customHeight="1">
      <c r="B292" s="3">
        <f>IFERROR(__xludf.DUMMYFUNCTION("""COMPUTED_VALUE"""),40654.645833333336)</f>
        <v>40654.64583</v>
      </c>
      <c r="C292" s="2">
        <f>IFERROR(__xludf.DUMMYFUNCTION("""COMPUTED_VALUE"""),863.55)</f>
        <v>863.55</v>
      </c>
    </row>
    <row r="293" ht="15.75" customHeight="1">
      <c r="B293" s="3">
        <f>IFERROR(__xludf.DUMMYFUNCTION("""COMPUTED_VALUE"""),40662.645833333336)</f>
        <v>40662.64583</v>
      </c>
      <c r="C293" s="2">
        <f>IFERROR(__xludf.DUMMYFUNCTION("""COMPUTED_VALUE"""),889.95)</f>
        <v>889.95</v>
      </c>
    </row>
    <row r="294" ht="15.75" customHeight="1">
      <c r="B294" s="3">
        <f>IFERROR(__xludf.DUMMYFUNCTION("""COMPUTED_VALUE"""),40669.645833333336)</f>
        <v>40669.64583</v>
      </c>
      <c r="C294" s="2">
        <f>IFERROR(__xludf.DUMMYFUNCTION("""COMPUTED_VALUE"""),876.95)</f>
        <v>876.95</v>
      </c>
    </row>
    <row r="295" ht="15.75" customHeight="1">
      <c r="B295" s="3">
        <f>IFERROR(__xludf.DUMMYFUNCTION("""COMPUTED_VALUE"""),40676.645833333336)</f>
        <v>40676.64583</v>
      </c>
      <c r="C295" s="2">
        <f>IFERROR(__xludf.DUMMYFUNCTION("""COMPUTED_VALUE"""),887.0)</f>
        <v>887</v>
      </c>
    </row>
    <row r="296" ht="15.75" customHeight="1">
      <c r="B296" s="3">
        <f>IFERROR(__xludf.DUMMYFUNCTION("""COMPUTED_VALUE"""),40683.645833333336)</f>
        <v>40683.64583</v>
      </c>
      <c r="C296" s="2">
        <f>IFERROR(__xludf.DUMMYFUNCTION("""COMPUTED_VALUE"""),878.9)</f>
        <v>878.9</v>
      </c>
    </row>
    <row r="297" ht="15.75" customHeight="1">
      <c r="B297" s="3">
        <f>IFERROR(__xludf.DUMMYFUNCTION("""COMPUTED_VALUE"""),40690.645833333336)</f>
        <v>40690.64583</v>
      </c>
      <c r="C297" s="2">
        <f>IFERROR(__xludf.DUMMYFUNCTION("""COMPUTED_VALUE"""),879.0)</f>
        <v>879</v>
      </c>
    </row>
    <row r="298" ht="15.75" customHeight="1">
      <c r="B298" s="3">
        <f>IFERROR(__xludf.DUMMYFUNCTION("""COMPUTED_VALUE"""),40697.645833333336)</f>
        <v>40697.64583</v>
      </c>
      <c r="C298" s="2">
        <f>IFERROR(__xludf.DUMMYFUNCTION("""COMPUTED_VALUE"""),904.7)</f>
        <v>904.7</v>
      </c>
    </row>
    <row r="299" ht="15.75" customHeight="1">
      <c r="B299" s="3">
        <f>IFERROR(__xludf.DUMMYFUNCTION("""COMPUTED_VALUE"""),40704.645833333336)</f>
        <v>40704.64583</v>
      </c>
      <c r="C299" s="2">
        <f>IFERROR(__xludf.DUMMYFUNCTION("""COMPUTED_VALUE"""),900.0)</f>
        <v>900</v>
      </c>
    </row>
    <row r="300" ht="15.75" customHeight="1">
      <c r="B300" s="3">
        <f>IFERROR(__xludf.DUMMYFUNCTION("""COMPUTED_VALUE"""),40711.645833333336)</f>
        <v>40711.64583</v>
      </c>
      <c r="C300" s="2">
        <f>IFERROR(__xludf.DUMMYFUNCTION("""COMPUTED_VALUE"""),894.0)</f>
        <v>894</v>
      </c>
    </row>
    <row r="301" ht="15.75" customHeight="1">
      <c r="B301" s="3">
        <f>IFERROR(__xludf.DUMMYFUNCTION("""COMPUTED_VALUE"""),40718.645833333336)</f>
        <v>40718.64583</v>
      </c>
      <c r="C301" s="2">
        <f>IFERROR(__xludf.DUMMYFUNCTION("""COMPUTED_VALUE"""),884.0)</f>
        <v>884</v>
      </c>
    </row>
    <row r="302" ht="15.75" customHeight="1">
      <c r="B302" s="3">
        <f>IFERROR(__xludf.DUMMYFUNCTION("""COMPUTED_VALUE"""),40725.645833333336)</f>
        <v>40725.64583</v>
      </c>
      <c r="C302" s="2">
        <f>IFERROR(__xludf.DUMMYFUNCTION("""COMPUTED_VALUE"""),897.9)</f>
        <v>897.9</v>
      </c>
    </row>
    <row r="303" ht="15.75" customHeight="1">
      <c r="B303" s="3">
        <f>IFERROR(__xludf.DUMMYFUNCTION("""COMPUTED_VALUE"""),40732.645833333336)</f>
        <v>40732.64583</v>
      </c>
      <c r="C303" s="2">
        <f>IFERROR(__xludf.DUMMYFUNCTION("""COMPUTED_VALUE"""),928.0)</f>
        <v>928</v>
      </c>
    </row>
    <row r="304" ht="15.75" customHeight="1">
      <c r="B304" s="3">
        <f>IFERROR(__xludf.DUMMYFUNCTION("""COMPUTED_VALUE"""),40739.645833333336)</f>
        <v>40739.64583</v>
      </c>
      <c r="C304" s="2">
        <f>IFERROR(__xludf.DUMMYFUNCTION("""COMPUTED_VALUE"""),930.0)</f>
        <v>930</v>
      </c>
    </row>
    <row r="305" ht="15.75" customHeight="1">
      <c r="B305" s="3">
        <f>IFERROR(__xludf.DUMMYFUNCTION("""COMPUTED_VALUE"""),40746.645833333336)</f>
        <v>40746.64583</v>
      </c>
      <c r="C305" s="2">
        <f>IFERROR(__xludf.DUMMYFUNCTION("""COMPUTED_VALUE"""),939.0)</f>
        <v>939</v>
      </c>
    </row>
    <row r="306" ht="15.75" customHeight="1">
      <c r="B306" s="3">
        <f>IFERROR(__xludf.DUMMYFUNCTION("""COMPUTED_VALUE"""),40753.645833333336)</f>
        <v>40753.64583</v>
      </c>
      <c r="C306" s="2">
        <f>IFERROR(__xludf.DUMMYFUNCTION("""COMPUTED_VALUE"""),950.0)</f>
        <v>950</v>
      </c>
    </row>
    <row r="307" ht="15.75" customHeight="1">
      <c r="B307" s="3">
        <f>IFERROR(__xludf.DUMMYFUNCTION("""COMPUTED_VALUE"""),40760.645833333336)</f>
        <v>40760.64583</v>
      </c>
      <c r="C307" s="2">
        <f>IFERROR(__xludf.DUMMYFUNCTION("""COMPUTED_VALUE"""),929.5)</f>
        <v>929.5</v>
      </c>
    </row>
    <row r="308" ht="15.75" customHeight="1">
      <c r="B308" s="3">
        <f>IFERROR(__xludf.DUMMYFUNCTION("""COMPUTED_VALUE"""),40767.645833333336)</f>
        <v>40767.64583</v>
      </c>
      <c r="C308" s="2">
        <f>IFERROR(__xludf.DUMMYFUNCTION("""COMPUTED_VALUE"""),899.0)</f>
        <v>899</v>
      </c>
    </row>
    <row r="309" ht="15.75" customHeight="1">
      <c r="B309" s="3">
        <f>IFERROR(__xludf.DUMMYFUNCTION("""COMPUTED_VALUE"""),40774.645833333336)</f>
        <v>40774.64583</v>
      </c>
      <c r="C309" s="2">
        <f>IFERROR(__xludf.DUMMYFUNCTION("""COMPUTED_VALUE"""),894.0)</f>
        <v>894</v>
      </c>
    </row>
    <row r="310" ht="15.75" customHeight="1">
      <c r="B310" s="3">
        <f>IFERROR(__xludf.DUMMYFUNCTION("""COMPUTED_VALUE"""),40781.645833333336)</f>
        <v>40781.64583</v>
      </c>
      <c r="C310" s="2">
        <f>IFERROR(__xludf.DUMMYFUNCTION("""COMPUTED_VALUE"""),887.3)</f>
        <v>887.3</v>
      </c>
    </row>
    <row r="311" ht="15.75" customHeight="1">
      <c r="B311" s="3">
        <f>IFERROR(__xludf.DUMMYFUNCTION("""COMPUTED_VALUE"""),40788.645833333336)</f>
        <v>40788.64583</v>
      </c>
      <c r="C311" s="2">
        <f>IFERROR(__xludf.DUMMYFUNCTION("""COMPUTED_VALUE"""),900.0)</f>
        <v>900</v>
      </c>
    </row>
    <row r="312" ht="15.75" customHeight="1">
      <c r="B312" s="3">
        <f>IFERROR(__xludf.DUMMYFUNCTION("""COMPUTED_VALUE"""),40795.645833333336)</f>
        <v>40795.64583</v>
      </c>
      <c r="C312" s="2">
        <f>IFERROR(__xludf.DUMMYFUNCTION("""COMPUTED_VALUE"""),880.95)</f>
        <v>880.95</v>
      </c>
    </row>
    <row r="313" ht="15.75" customHeight="1">
      <c r="B313" s="3">
        <f>IFERROR(__xludf.DUMMYFUNCTION("""COMPUTED_VALUE"""),40802.645833333336)</f>
        <v>40802.64583</v>
      </c>
      <c r="C313" s="2">
        <f>IFERROR(__xludf.DUMMYFUNCTION("""COMPUTED_VALUE"""),871.9)</f>
        <v>871.9</v>
      </c>
    </row>
    <row r="314" ht="15.75" customHeight="1">
      <c r="B314" s="3">
        <f>IFERROR(__xludf.DUMMYFUNCTION("""COMPUTED_VALUE"""),40809.645833333336)</f>
        <v>40809.64583</v>
      </c>
      <c r="C314" s="2">
        <f>IFERROR(__xludf.DUMMYFUNCTION("""COMPUTED_VALUE"""),900.0)</f>
        <v>900</v>
      </c>
    </row>
    <row r="315" ht="15.75" customHeight="1">
      <c r="B315" s="3">
        <f>IFERROR(__xludf.DUMMYFUNCTION("""COMPUTED_VALUE"""),40816.645833333336)</f>
        <v>40816.64583</v>
      </c>
      <c r="C315" s="2">
        <f>IFERROR(__xludf.DUMMYFUNCTION("""COMPUTED_VALUE"""),867.0)</f>
        <v>867</v>
      </c>
    </row>
    <row r="316" ht="15.75" customHeight="1">
      <c r="B316" s="3">
        <f>IFERROR(__xludf.DUMMYFUNCTION("""COMPUTED_VALUE"""),40823.645833333336)</f>
        <v>40823.64583</v>
      </c>
      <c r="C316" s="2">
        <f>IFERROR(__xludf.DUMMYFUNCTION("""COMPUTED_VALUE"""),856.7)</f>
        <v>856.7</v>
      </c>
    </row>
    <row r="317" ht="15.75" customHeight="1">
      <c r="B317" s="3">
        <f>IFERROR(__xludf.DUMMYFUNCTION("""COMPUTED_VALUE"""),40830.645833333336)</f>
        <v>40830.64583</v>
      </c>
      <c r="C317" s="2">
        <f>IFERROR(__xludf.DUMMYFUNCTION("""COMPUTED_VALUE"""),900.0)</f>
        <v>900</v>
      </c>
    </row>
    <row r="318" ht="15.75" customHeight="1">
      <c r="B318" s="3">
        <f>IFERROR(__xludf.DUMMYFUNCTION("""COMPUTED_VALUE"""),40837.645833333336)</f>
        <v>40837.64583</v>
      </c>
      <c r="C318" s="2">
        <f>IFERROR(__xludf.DUMMYFUNCTION("""COMPUTED_VALUE"""),847.7)</f>
        <v>847.7</v>
      </c>
    </row>
    <row r="319" ht="15.75" customHeight="1">
      <c r="B319" s="3">
        <f>IFERROR(__xludf.DUMMYFUNCTION("""COMPUTED_VALUE"""),40844.645833333336)</f>
        <v>40844.64583</v>
      </c>
      <c r="C319" s="2">
        <f>IFERROR(__xludf.DUMMYFUNCTION("""COMPUTED_VALUE"""),877.4)</f>
        <v>877.4</v>
      </c>
    </row>
    <row r="320" ht="15.75" customHeight="1">
      <c r="B320" s="3">
        <f>IFERROR(__xludf.DUMMYFUNCTION("""COMPUTED_VALUE"""),40851.645833333336)</f>
        <v>40851.64583</v>
      </c>
      <c r="C320" s="2">
        <f>IFERROR(__xludf.DUMMYFUNCTION("""COMPUTED_VALUE"""),872.3)</f>
        <v>872.3</v>
      </c>
    </row>
    <row r="321" ht="15.75" customHeight="1">
      <c r="B321" s="3">
        <f>IFERROR(__xludf.DUMMYFUNCTION("""COMPUTED_VALUE"""),40858.645833333336)</f>
        <v>40858.64583</v>
      </c>
      <c r="C321" s="2">
        <f>IFERROR(__xludf.DUMMYFUNCTION("""COMPUTED_VALUE"""),864.65)</f>
        <v>864.65</v>
      </c>
    </row>
    <row r="322" ht="15.75" customHeight="1">
      <c r="B322" s="3">
        <f>IFERROR(__xludf.DUMMYFUNCTION("""COMPUTED_VALUE"""),40865.645833333336)</f>
        <v>40865.64583</v>
      </c>
      <c r="C322" s="2">
        <f>IFERROR(__xludf.DUMMYFUNCTION("""COMPUTED_VALUE"""),839.0)</f>
        <v>839</v>
      </c>
    </row>
    <row r="323" ht="15.75" customHeight="1">
      <c r="B323" s="3">
        <f>IFERROR(__xludf.DUMMYFUNCTION("""COMPUTED_VALUE"""),40872.645833333336)</f>
        <v>40872.64583</v>
      </c>
      <c r="C323" s="2">
        <f>IFERROR(__xludf.DUMMYFUNCTION("""COMPUTED_VALUE"""),739.95)</f>
        <v>739.95</v>
      </c>
    </row>
    <row r="324" ht="15.75" customHeight="1">
      <c r="B324" s="3">
        <f>IFERROR(__xludf.DUMMYFUNCTION("""COMPUTED_VALUE"""),40879.645833333336)</f>
        <v>40879.64583</v>
      </c>
      <c r="C324" s="2">
        <f>IFERROR(__xludf.DUMMYFUNCTION("""COMPUTED_VALUE"""),730.0)</f>
        <v>730</v>
      </c>
    </row>
    <row r="325" ht="15.75" customHeight="1">
      <c r="B325" s="3">
        <f>IFERROR(__xludf.DUMMYFUNCTION("""COMPUTED_VALUE"""),40886.645833333336)</f>
        <v>40886.64583</v>
      </c>
      <c r="C325" s="2">
        <f>IFERROR(__xludf.DUMMYFUNCTION("""COMPUTED_VALUE"""),735.0)</f>
        <v>735</v>
      </c>
    </row>
    <row r="326" ht="15.75" customHeight="1">
      <c r="B326" s="3">
        <f>IFERROR(__xludf.DUMMYFUNCTION("""COMPUTED_VALUE"""),40893.645833333336)</f>
        <v>40893.64583</v>
      </c>
      <c r="C326" s="2">
        <f>IFERROR(__xludf.DUMMYFUNCTION("""COMPUTED_VALUE"""),700.0)</f>
        <v>700</v>
      </c>
    </row>
    <row r="327" ht="15.75" customHeight="1">
      <c r="B327" s="3">
        <f>IFERROR(__xludf.DUMMYFUNCTION("""COMPUTED_VALUE"""),40900.645833333336)</f>
        <v>40900.64583</v>
      </c>
      <c r="C327" s="2">
        <f>IFERROR(__xludf.DUMMYFUNCTION("""COMPUTED_VALUE"""),665.0)</f>
        <v>665</v>
      </c>
    </row>
    <row r="328" ht="15.75" customHeight="1">
      <c r="B328" s="3">
        <f>IFERROR(__xludf.DUMMYFUNCTION("""COMPUTED_VALUE"""),40907.645833333336)</f>
        <v>40907.64583</v>
      </c>
      <c r="C328" s="2">
        <f>IFERROR(__xludf.DUMMYFUNCTION("""COMPUTED_VALUE"""),675.0)</f>
        <v>675</v>
      </c>
    </row>
    <row r="329" ht="15.75" customHeight="1"/>
    <row r="330" ht="15.75" customHeight="1"/>
    <row r="331" ht="15.75" customHeight="1">
      <c r="B331" s="2" t="str">
        <f>IFERROR(__xludf.DUMMYFUNCTION("GOOGLEFINANCE(""NSE:SIEMENS"", ""high"",DATE(2012,1,1),DATE(2013,1,1),""weekly"")"),"Date")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IFERROR(__xludf.DUMMYFUNCTION("""COMPUTED_VALUE"""),40921.645833333336)</f>
        <v>40921.64583</v>
      </c>
      <c r="C332" s="2">
        <f>IFERROR(__xludf.DUMMYFUNCTION("""COMPUTED_VALUE"""),739.6)</f>
        <v>739.6</v>
      </c>
    </row>
    <row r="333" ht="15.75" customHeight="1">
      <c r="B333" s="3">
        <f>IFERROR(__xludf.DUMMYFUNCTION("""COMPUTED_VALUE"""),40928.645833333336)</f>
        <v>40928.64583</v>
      </c>
      <c r="C333" s="2">
        <f>IFERROR(__xludf.DUMMYFUNCTION("""COMPUTED_VALUE"""),761.6)</f>
        <v>761.6</v>
      </c>
    </row>
    <row r="334" ht="15.75" customHeight="1">
      <c r="B334" s="3">
        <f>IFERROR(__xludf.DUMMYFUNCTION("""COMPUTED_VALUE"""),40935.645833333336)</f>
        <v>40935.64583</v>
      </c>
      <c r="C334" s="2">
        <f>IFERROR(__xludf.DUMMYFUNCTION("""COMPUTED_VALUE"""),770.0)</f>
        <v>770</v>
      </c>
    </row>
    <row r="335" ht="15.75" customHeight="1">
      <c r="B335" s="3">
        <f>IFERROR(__xludf.DUMMYFUNCTION("""COMPUTED_VALUE"""),40942.645833333336)</f>
        <v>40942.64583</v>
      </c>
      <c r="C335" s="2">
        <f>IFERROR(__xludf.DUMMYFUNCTION("""COMPUTED_VALUE"""),755.9)</f>
        <v>755.9</v>
      </c>
    </row>
    <row r="336" ht="15.75" customHeight="1">
      <c r="B336" s="3">
        <f>IFERROR(__xludf.DUMMYFUNCTION("""COMPUTED_VALUE"""),40949.645833333336)</f>
        <v>40949.64583</v>
      </c>
      <c r="C336" s="2">
        <f>IFERROR(__xludf.DUMMYFUNCTION("""COMPUTED_VALUE"""),803.3)</f>
        <v>803.3</v>
      </c>
    </row>
    <row r="337" ht="15.75" customHeight="1">
      <c r="B337" s="3">
        <f>IFERROR(__xludf.DUMMYFUNCTION("""COMPUTED_VALUE"""),40956.645833333336)</f>
        <v>40956.64583</v>
      </c>
      <c r="C337" s="2">
        <f>IFERROR(__xludf.DUMMYFUNCTION("""COMPUTED_VALUE"""),839.8)</f>
        <v>839.8</v>
      </c>
    </row>
    <row r="338" ht="15.75" customHeight="1">
      <c r="B338" s="3">
        <f>IFERROR(__xludf.DUMMYFUNCTION("""COMPUTED_VALUE"""),40963.645833333336)</f>
        <v>40963.64583</v>
      </c>
      <c r="C338" s="2">
        <f>IFERROR(__xludf.DUMMYFUNCTION("""COMPUTED_VALUE"""),839.0)</f>
        <v>839</v>
      </c>
    </row>
    <row r="339" ht="15.75" customHeight="1">
      <c r="B339" s="3">
        <f>IFERROR(__xludf.DUMMYFUNCTION("""COMPUTED_VALUE"""),40977.645833333336)</f>
        <v>40977.64583</v>
      </c>
      <c r="C339" s="2">
        <f>IFERROR(__xludf.DUMMYFUNCTION("""COMPUTED_VALUE"""),807.7)</f>
        <v>807.7</v>
      </c>
    </row>
    <row r="340" ht="15.75" customHeight="1">
      <c r="B340" s="3">
        <f>IFERROR(__xludf.DUMMYFUNCTION("""COMPUTED_VALUE"""),40984.645833333336)</f>
        <v>40984.64583</v>
      </c>
      <c r="C340" s="2">
        <f>IFERROR(__xludf.DUMMYFUNCTION("""COMPUTED_VALUE"""),819.4)</f>
        <v>819.4</v>
      </c>
    </row>
    <row r="341" ht="15.75" customHeight="1">
      <c r="B341" s="3">
        <f>IFERROR(__xludf.DUMMYFUNCTION("""COMPUTED_VALUE"""),40991.645833333336)</f>
        <v>40991.64583</v>
      </c>
      <c r="C341" s="2">
        <f>IFERROR(__xludf.DUMMYFUNCTION("""COMPUTED_VALUE"""),814.0)</f>
        <v>814</v>
      </c>
    </row>
    <row r="342" ht="15.75" customHeight="1">
      <c r="B342" s="3">
        <f>IFERROR(__xludf.DUMMYFUNCTION("""COMPUTED_VALUE"""),40998.645833333336)</f>
        <v>40998.64583</v>
      </c>
      <c r="C342" s="2">
        <f>IFERROR(__xludf.DUMMYFUNCTION("""COMPUTED_VALUE"""),784.95)</f>
        <v>784.95</v>
      </c>
    </row>
    <row r="343" ht="15.75" customHeight="1">
      <c r="B343" s="3">
        <f>IFERROR(__xludf.DUMMYFUNCTION("""COMPUTED_VALUE"""),41003.645833333336)</f>
        <v>41003.64583</v>
      </c>
      <c r="C343" s="2">
        <f>IFERROR(__xludf.DUMMYFUNCTION("""COMPUTED_VALUE"""),793.8)</f>
        <v>793.8</v>
      </c>
    </row>
    <row r="344" ht="15.75" customHeight="1">
      <c r="B344" s="3">
        <f>IFERROR(__xludf.DUMMYFUNCTION("""COMPUTED_VALUE"""),41012.645833333336)</f>
        <v>41012.64583</v>
      </c>
      <c r="C344" s="2">
        <f>IFERROR(__xludf.DUMMYFUNCTION("""COMPUTED_VALUE"""),817.0)</f>
        <v>817</v>
      </c>
    </row>
    <row r="345" ht="15.75" customHeight="1">
      <c r="B345" s="3">
        <f>IFERROR(__xludf.DUMMYFUNCTION("""COMPUTED_VALUE"""),41019.645833333336)</f>
        <v>41019.64583</v>
      </c>
      <c r="C345" s="2">
        <f>IFERROR(__xludf.DUMMYFUNCTION("""COMPUTED_VALUE"""),840.0)</f>
        <v>840</v>
      </c>
    </row>
    <row r="346" ht="15.75" customHeight="1">
      <c r="B346" s="3">
        <f>IFERROR(__xludf.DUMMYFUNCTION("""COMPUTED_VALUE"""),41033.645833333336)</f>
        <v>41033.64583</v>
      </c>
      <c r="C346" s="2">
        <f>IFERROR(__xludf.DUMMYFUNCTION("""COMPUTED_VALUE"""),785.0)</f>
        <v>785</v>
      </c>
    </row>
    <row r="347" ht="15.75" customHeight="1">
      <c r="B347" s="3">
        <f>IFERROR(__xludf.DUMMYFUNCTION("""COMPUTED_VALUE"""),41040.645833333336)</f>
        <v>41040.64583</v>
      </c>
      <c r="C347" s="2">
        <f>IFERROR(__xludf.DUMMYFUNCTION("""COMPUTED_VALUE"""),775.0)</f>
        <v>775</v>
      </c>
    </row>
    <row r="348" ht="15.75" customHeight="1">
      <c r="B348" s="3">
        <f>IFERROR(__xludf.DUMMYFUNCTION("""COMPUTED_VALUE"""),41047.645833333336)</f>
        <v>41047.64583</v>
      </c>
      <c r="C348" s="2">
        <f>IFERROR(__xludf.DUMMYFUNCTION("""COMPUTED_VALUE"""),730.0)</f>
        <v>730</v>
      </c>
    </row>
    <row r="349" ht="15.75" customHeight="1">
      <c r="B349" s="3">
        <f>IFERROR(__xludf.DUMMYFUNCTION("""COMPUTED_VALUE"""),41054.645833333336)</f>
        <v>41054.64583</v>
      </c>
      <c r="C349" s="2">
        <f>IFERROR(__xludf.DUMMYFUNCTION("""COMPUTED_VALUE"""),703.95)</f>
        <v>703.95</v>
      </c>
    </row>
    <row r="350" ht="15.75" customHeight="1">
      <c r="B350" s="3">
        <f>IFERROR(__xludf.DUMMYFUNCTION("""COMPUTED_VALUE"""),41061.645833333336)</f>
        <v>41061.64583</v>
      </c>
      <c r="C350" s="2">
        <f>IFERROR(__xludf.DUMMYFUNCTION("""COMPUTED_VALUE"""),702.6)</f>
        <v>702.6</v>
      </c>
    </row>
    <row r="351" ht="15.75" customHeight="1">
      <c r="B351" s="3">
        <f>IFERROR(__xludf.DUMMYFUNCTION("""COMPUTED_VALUE"""),41068.645833333336)</f>
        <v>41068.64583</v>
      </c>
      <c r="C351" s="2">
        <f>IFERROR(__xludf.DUMMYFUNCTION("""COMPUTED_VALUE"""),681.95)</f>
        <v>681.95</v>
      </c>
    </row>
    <row r="352" ht="15.75" customHeight="1">
      <c r="B352" s="3">
        <f>IFERROR(__xludf.DUMMYFUNCTION("""COMPUTED_VALUE"""),41075.645833333336)</f>
        <v>41075.64583</v>
      </c>
      <c r="C352" s="2">
        <f>IFERROR(__xludf.DUMMYFUNCTION("""COMPUTED_VALUE"""),707.2)</f>
        <v>707.2</v>
      </c>
    </row>
    <row r="353" ht="15.75" customHeight="1">
      <c r="B353" s="3">
        <f>IFERROR(__xludf.DUMMYFUNCTION("""COMPUTED_VALUE"""),41082.645833333336)</f>
        <v>41082.64583</v>
      </c>
      <c r="C353" s="2">
        <f>IFERROR(__xludf.DUMMYFUNCTION("""COMPUTED_VALUE"""),724.0)</f>
        <v>724</v>
      </c>
    </row>
    <row r="354" ht="15.75" customHeight="1">
      <c r="B354" s="3">
        <f>IFERROR(__xludf.DUMMYFUNCTION("""COMPUTED_VALUE"""),41089.645833333336)</f>
        <v>41089.64583</v>
      </c>
      <c r="C354" s="2">
        <f>IFERROR(__xludf.DUMMYFUNCTION("""COMPUTED_VALUE"""),740.0)</f>
        <v>740</v>
      </c>
    </row>
    <row r="355" ht="15.75" customHeight="1">
      <c r="B355" s="3">
        <f>IFERROR(__xludf.DUMMYFUNCTION("""COMPUTED_VALUE"""),41096.645833333336)</f>
        <v>41096.64583</v>
      </c>
      <c r="C355" s="2">
        <f>IFERROR(__xludf.DUMMYFUNCTION("""COMPUTED_VALUE"""),743.95)</f>
        <v>743.95</v>
      </c>
    </row>
    <row r="356" ht="15.75" customHeight="1">
      <c r="B356" s="3">
        <f>IFERROR(__xludf.DUMMYFUNCTION("""COMPUTED_VALUE"""),41103.645833333336)</f>
        <v>41103.64583</v>
      </c>
      <c r="C356" s="2">
        <f>IFERROR(__xludf.DUMMYFUNCTION("""COMPUTED_VALUE"""),737.8)</f>
        <v>737.8</v>
      </c>
    </row>
    <row r="357" ht="15.75" customHeight="1">
      <c r="B357" s="3">
        <f>IFERROR(__xludf.DUMMYFUNCTION("""COMPUTED_VALUE"""),41110.645833333336)</f>
        <v>41110.64583</v>
      </c>
      <c r="C357" s="2">
        <f>IFERROR(__xludf.DUMMYFUNCTION("""COMPUTED_VALUE"""),706.85)</f>
        <v>706.85</v>
      </c>
    </row>
    <row r="358" ht="15.75" customHeight="1">
      <c r="B358" s="3">
        <f>IFERROR(__xludf.DUMMYFUNCTION("""COMPUTED_VALUE"""),41117.645833333336)</f>
        <v>41117.64583</v>
      </c>
      <c r="C358" s="2">
        <f>IFERROR(__xludf.DUMMYFUNCTION("""COMPUTED_VALUE"""),686.25)</f>
        <v>686.25</v>
      </c>
    </row>
    <row r="359" ht="15.75" customHeight="1">
      <c r="B359" s="3">
        <f>IFERROR(__xludf.DUMMYFUNCTION("""COMPUTED_VALUE"""),41124.645833333336)</f>
        <v>41124.64583</v>
      </c>
      <c r="C359" s="2">
        <f>IFERROR(__xludf.DUMMYFUNCTION("""COMPUTED_VALUE"""),685.85)</f>
        <v>685.85</v>
      </c>
    </row>
    <row r="360" ht="15.75" customHeight="1">
      <c r="B360" s="3">
        <f>IFERROR(__xludf.DUMMYFUNCTION("""COMPUTED_VALUE"""),41131.645833333336)</f>
        <v>41131.64583</v>
      </c>
      <c r="C360" s="2">
        <f>IFERROR(__xludf.DUMMYFUNCTION("""COMPUTED_VALUE"""),682.65)</f>
        <v>682.65</v>
      </c>
    </row>
    <row r="361" ht="15.75" customHeight="1">
      <c r="B361" s="3">
        <f>IFERROR(__xludf.DUMMYFUNCTION("""COMPUTED_VALUE"""),41138.645833333336)</f>
        <v>41138.64583</v>
      </c>
      <c r="C361" s="2">
        <f>IFERROR(__xludf.DUMMYFUNCTION("""COMPUTED_VALUE"""),675.0)</f>
        <v>675</v>
      </c>
    </row>
    <row r="362" ht="15.75" customHeight="1">
      <c r="B362" s="3">
        <f>IFERROR(__xludf.DUMMYFUNCTION("""COMPUTED_VALUE"""),41145.645833333336)</f>
        <v>41145.64583</v>
      </c>
      <c r="C362" s="2">
        <f>IFERROR(__xludf.DUMMYFUNCTION("""COMPUTED_VALUE"""),674.0)</f>
        <v>674</v>
      </c>
    </row>
    <row r="363" ht="15.75" customHeight="1">
      <c r="B363" s="3">
        <f>IFERROR(__xludf.DUMMYFUNCTION("""COMPUTED_VALUE"""),41152.645833333336)</f>
        <v>41152.64583</v>
      </c>
      <c r="C363" s="2">
        <f>IFERROR(__xludf.DUMMYFUNCTION("""COMPUTED_VALUE"""),689.0)</f>
        <v>689</v>
      </c>
    </row>
    <row r="364" ht="15.75" customHeight="1">
      <c r="B364" s="3">
        <f>IFERROR(__xludf.DUMMYFUNCTION("""COMPUTED_VALUE"""),41166.645833333336)</f>
        <v>41166.64583</v>
      </c>
      <c r="C364" s="2">
        <f>IFERROR(__xludf.DUMMYFUNCTION("""COMPUTED_VALUE"""),700.7)</f>
        <v>700.7</v>
      </c>
    </row>
    <row r="365" ht="15.75" customHeight="1">
      <c r="B365" s="3">
        <f>IFERROR(__xludf.DUMMYFUNCTION("""COMPUTED_VALUE"""),41173.645833333336)</f>
        <v>41173.64583</v>
      </c>
      <c r="C365" s="2">
        <f>IFERROR(__xludf.DUMMYFUNCTION("""COMPUTED_VALUE"""),697.0)</f>
        <v>697</v>
      </c>
    </row>
    <row r="366" ht="15.75" customHeight="1">
      <c r="B366" s="3">
        <f>IFERROR(__xludf.DUMMYFUNCTION("""COMPUTED_VALUE"""),41180.645833333336)</f>
        <v>41180.64583</v>
      </c>
      <c r="C366" s="2">
        <f>IFERROR(__xludf.DUMMYFUNCTION("""COMPUTED_VALUE"""),719.8)</f>
        <v>719.8</v>
      </c>
    </row>
    <row r="367" ht="15.75" customHeight="1">
      <c r="B367" s="3">
        <f>IFERROR(__xludf.DUMMYFUNCTION("""COMPUTED_VALUE"""),41187.645833333336)</f>
        <v>41187.64583</v>
      </c>
      <c r="C367" s="2">
        <f>IFERROR(__xludf.DUMMYFUNCTION("""COMPUTED_VALUE"""),750.0)</f>
        <v>750</v>
      </c>
    </row>
    <row r="368" ht="15.75" customHeight="1">
      <c r="B368" s="3">
        <f>IFERROR(__xludf.DUMMYFUNCTION("""COMPUTED_VALUE"""),41194.645833333336)</f>
        <v>41194.64583</v>
      </c>
      <c r="C368" s="2">
        <f>IFERROR(__xludf.DUMMYFUNCTION("""COMPUTED_VALUE"""),747.5)</f>
        <v>747.5</v>
      </c>
    </row>
    <row r="369" ht="15.75" customHeight="1">
      <c r="B369" s="3">
        <f>IFERROR(__xludf.DUMMYFUNCTION("""COMPUTED_VALUE"""),41201.645833333336)</f>
        <v>41201.64583</v>
      </c>
      <c r="C369" s="2">
        <f>IFERROR(__xludf.DUMMYFUNCTION("""COMPUTED_VALUE"""),707.9)</f>
        <v>707.9</v>
      </c>
    </row>
    <row r="370" ht="15.75" customHeight="1">
      <c r="B370" s="3">
        <f>IFERROR(__xludf.DUMMYFUNCTION("""COMPUTED_VALUE"""),41208.645833333336)</f>
        <v>41208.64583</v>
      </c>
      <c r="C370" s="2">
        <f>IFERROR(__xludf.DUMMYFUNCTION("""COMPUTED_VALUE"""),702.45)</f>
        <v>702.45</v>
      </c>
    </row>
    <row r="371" ht="15.75" customHeight="1">
      <c r="B371" s="3">
        <f>IFERROR(__xludf.DUMMYFUNCTION("""COMPUTED_VALUE"""),41215.645833333336)</f>
        <v>41215.64583</v>
      </c>
      <c r="C371" s="2">
        <f>IFERROR(__xludf.DUMMYFUNCTION("""COMPUTED_VALUE"""),705.4)</f>
        <v>705.4</v>
      </c>
    </row>
    <row r="372" ht="15.75" customHeight="1">
      <c r="B372" s="3">
        <f>IFERROR(__xludf.DUMMYFUNCTION("""COMPUTED_VALUE"""),41222.645833333336)</f>
        <v>41222.64583</v>
      </c>
      <c r="C372" s="2">
        <f>IFERROR(__xludf.DUMMYFUNCTION("""COMPUTED_VALUE"""),712.95)</f>
        <v>712.95</v>
      </c>
    </row>
    <row r="373" ht="15.75" customHeight="1">
      <c r="B373" s="3">
        <f>IFERROR(__xludf.DUMMYFUNCTION("""COMPUTED_VALUE"""),41229.645833333336)</f>
        <v>41229.64583</v>
      </c>
      <c r="C373" s="2">
        <f>IFERROR(__xludf.DUMMYFUNCTION("""COMPUTED_VALUE"""),692.2)</f>
        <v>692.2</v>
      </c>
    </row>
    <row r="374" ht="15.75" customHeight="1">
      <c r="B374" s="3">
        <f>IFERROR(__xludf.DUMMYFUNCTION("""COMPUTED_VALUE"""),41236.645833333336)</f>
        <v>41236.64583</v>
      </c>
      <c r="C374" s="2">
        <f>IFERROR(__xludf.DUMMYFUNCTION("""COMPUTED_VALUE"""),675.0)</f>
        <v>675</v>
      </c>
    </row>
    <row r="375" ht="15.75" customHeight="1">
      <c r="B375" s="3">
        <f>IFERROR(__xludf.DUMMYFUNCTION("""COMPUTED_VALUE"""),41243.645833333336)</f>
        <v>41243.64583</v>
      </c>
      <c r="C375" s="2">
        <f>IFERROR(__xludf.DUMMYFUNCTION("""COMPUTED_VALUE"""),684.0)</f>
        <v>684</v>
      </c>
    </row>
    <row r="376" ht="15.75" customHeight="1">
      <c r="B376" s="3">
        <f>IFERROR(__xludf.DUMMYFUNCTION("""COMPUTED_VALUE"""),41250.645833333336)</f>
        <v>41250.64583</v>
      </c>
      <c r="C376" s="2">
        <f>IFERROR(__xludf.DUMMYFUNCTION("""COMPUTED_VALUE"""),690.0)</f>
        <v>690</v>
      </c>
    </row>
    <row r="377" ht="15.75" customHeight="1">
      <c r="B377" s="3">
        <f>IFERROR(__xludf.DUMMYFUNCTION("""COMPUTED_VALUE"""),41257.645833333336)</f>
        <v>41257.64583</v>
      </c>
      <c r="C377" s="2">
        <f>IFERROR(__xludf.DUMMYFUNCTION("""COMPUTED_VALUE"""),698.5)</f>
        <v>698.5</v>
      </c>
    </row>
    <row r="378" ht="15.75" customHeight="1">
      <c r="B378" s="3">
        <f>IFERROR(__xludf.DUMMYFUNCTION("""COMPUTED_VALUE"""),41264.645833333336)</f>
        <v>41264.64583</v>
      </c>
      <c r="C378" s="2">
        <f>IFERROR(__xludf.DUMMYFUNCTION("""COMPUTED_VALUE"""),683.4)</f>
        <v>683.4</v>
      </c>
    </row>
    <row r="379" ht="15.75" customHeight="1">
      <c r="B379" s="3">
        <f>IFERROR(__xludf.DUMMYFUNCTION("""COMPUTED_VALUE"""),41271.645833333336)</f>
        <v>41271.64583</v>
      </c>
      <c r="C379" s="2">
        <f>IFERROR(__xludf.DUMMYFUNCTION("""COMPUTED_VALUE"""),674.0)</f>
        <v>674</v>
      </c>
    </row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IFERROR(__xludf.DUMMYFUNCTION("GOOGLEFINANCE(""NSE:INDHOTEL"",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IFERROR(__xludf.DUMMYFUNCTION("""COMPUTED_VALUE"""),13.96)</f>
        <v>13.96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IFERROR(__xludf.DUMMYFUNCTION("""COMPUTED_VALUE"""),14.11)</f>
        <v>14.11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IFERROR(__xludf.DUMMYFUNCTION("""COMPUTED_VALUE"""),14.09)</f>
        <v>14.09</v>
      </c>
    </row>
    <row r="5">
      <c r="B5" s="3">
        <f>IFERROR(__xludf.DUMMYFUNCTION("""COMPUTED_VALUE"""),37281.645833333336)</f>
        <v>37281.64583</v>
      </c>
      <c r="C5" s="2">
        <f>IFERROR(__xludf.DUMMYFUNCTION("""COMPUTED_VALUE"""),14.03)</f>
        <v>14.03</v>
      </c>
    </row>
    <row r="6">
      <c r="B6" s="3">
        <f>IFERROR(__xludf.DUMMYFUNCTION("""COMPUTED_VALUE"""),37288.645833333336)</f>
        <v>37288.64583</v>
      </c>
      <c r="C6" s="2">
        <f>IFERROR(__xludf.DUMMYFUNCTION("""COMPUTED_VALUE"""),12.78)</f>
        <v>12.78</v>
      </c>
    </row>
    <row r="7">
      <c r="B7" s="3">
        <f>IFERROR(__xludf.DUMMYFUNCTION("""COMPUTED_VALUE"""),37295.645833333336)</f>
        <v>37295.64583</v>
      </c>
      <c r="C7" s="2">
        <f>IFERROR(__xludf.DUMMYFUNCTION("""COMPUTED_VALUE"""),13.49)</f>
        <v>13.49</v>
      </c>
    </row>
    <row r="8">
      <c r="B8" s="3">
        <f>IFERROR(__xludf.DUMMYFUNCTION("""COMPUTED_VALUE"""),37302.645833333336)</f>
        <v>37302.64583</v>
      </c>
      <c r="C8" s="2">
        <f>IFERROR(__xludf.DUMMYFUNCTION("""COMPUTED_VALUE"""),13.87)</f>
        <v>13.87</v>
      </c>
    </row>
    <row r="9">
      <c r="B9" s="3">
        <f>IFERROR(__xludf.DUMMYFUNCTION("""COMPUTED_VALUE"""),37309.645833333336)</f>
        <v>37309.64583</v>
      </c>
      <c r="C9" s="2">
        <f>IFERROR(__xludf.DUMMYFUNCTION("""COMPUTED_VALUE"""),13.87)</f>
        <v>13.87</v>
      </c>
    </row>
    <row r="10">
      <c r="B10" s="3">
        <f>IFERROR(__xludf.DUMMYFUNCTION("""COMPUTED_VALUE"""),37316.645833333336)</f>
        <v>37316.64583</v>
      </c>
      <c r="C10" s="2">
        <f>IFERROR(__xludf.DUMMYFUNCTION("""COMPUTED_VALUE"""),15.6)</f>
        <v>15.6</v>
      </c>
    </row>
    <row r="11">
      <c r="B11" s="3">
        <f>IFERROR(__xludf.DUMMYFUNCTION("""COMPUTED_VALUE"""),37323.645833333336)</f>
        <v>37323.64583</v>
      </c>
      <c r="C11" s="2">
        <f>IFERROR(__xludf.DUMMYFUNCTION("""COMPUTED_VALUE"""),15.17)</f>
        <v>15.17</v>
      </c>
    </row>
    <row r="12">
      <c r="B12" s="3">
        <f>IFERROR(__xludf.DUMMYFUNCTION("""COMPUTED_VALUE"""),37330.645833333336)</f>
        <v>37330.64583</v>
      </c>
      <c r="C12" s="2">
        <f>IFERROR(__xludf.DUMMYFUNCTION("""COMPUTED_VALUE"""),16.04)</f>
        <v>16.04</v>
      </c>
    </row>
    <row r="13">
      <c r="B13" s="3">
        <f>IFERROR(__xludf.DUMMYFUNCTION("""COMPUTED_VALUE"""),37337.645833333336)</f>
        <v>37337.64583</v>
      </c>
      <c r="C13" s="2">
        <f>IFERROR(__xludf.DUMMYFUNCTION("""COMPUTED_VALUE"""),15.94)</f>
        <v>15.94</v>
      </c>
    </row>
    <row r="14">
      <c r="B14" s="3">
        <f>IFERROR(__xludf.DUMMYFUNCTION("""COMPUTED_VALUE"""),37343.645833333336)</f>
        <v>37343.64583</v>
      </c>
      <c r="C14" s="2">
        <f>IFERROR(__xludf.DUMMYFUNCTION("""COMPUTED_VALUE"""),15.25)</f>
        <v>15.25</v>
      </c>
    </row>
    <row r="15">
      <c r="B15" s="3">
        <f>IFERROR(__xludf.DUMMYFUNCTION("""COMPUTED_VALUE"""),37351.645833333336)</f>
        <v>37351.64583</v>
      </c>
      <c r="C15" s="2">
        <f>IFERROR(__xludf.DUMMYFUNCTION("""COMPUTED_VALUE"""),15.35)</f>
        <v>15.35</v>
      </c>
    </row>
    <row r="16">
      <c r="B16" s="3">
        <f>IFERROR(__xludf.DUMMYFUNCTION("""COMPUTED_VALUE"""),37358.645833333336)</f>
        <v>37358.64583</v>
      </c>
      <c r="C16" s="2">
        <f>IFERROR(__xludf.DUMMYFUNCTION("""COMPUTED_VALUE"""),16.0)</f>
        <v>16</v>
      </c>
    </row>
    <row r="17">
      <c r="B17" s="3">
        <f>IFERROR(__xludf.DUMMYFUNCTION("""COMPUTED_VALUE"""),37365.645833333336)</f>
        <v>37365.64583</v>
      </c>
      <c r="C17" s="2">
        <f>IFERROR(__xludf.DUMMYFUNCTION("""COMPUTED_VALUE"""),16.12)</f>
        <v>16.12</v>
      </c>
    </row>
    <row r="18">
      <c r="B18" s="3">
        <f>IFERROR(__xludf.DUMMYFUNCTION("""COMPUTED_VALUE"""),37372.645833333336)</f>
        <v>37372.64583</v>
      </c>
      <c r="C18" s="2">
        <f>IFERROR(__xludf.DUMMYFUNCTION("""COMPUTED_VALUE"""),15.87)</f>
        <v>15.87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IFERROR(__xludf.DUMMYFUNCTION("""COMPUTED_VALUE"""),16.2)</f>
        <v>16.2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IFERROR(__xludf.DUMMYFUNCTION("""COMPUTED_VALUE"""),16.39)</f>
        <v>16.39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IFERROR(__xludf.DUMMYFUNCTION("""COMPUTED_VALUE"""),16.22)</f>
        <v>16.22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IFERROR(__xludf.DUMMYFUNCTION("""COMPUTED_VALUE"""),15.95)</f>
        <v>15.95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IFERROR(__xludf.DUMMYFUNCTION("""COMPUTED_VALUE"""),15.94)</f>
        <v>15.94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IFERROR(__xludf.DUMMYFUNCTION("""COMPUTED_VALUE"""),14.99)</f>
        <v>14.99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IFERROR(__xludf.DUMMYFUNCTION("""COMPUTED_VALUE"""),14.47)</f>
        <v>14.47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IFERROR(__xludf.DUMMYFUNCTION("""COMPUTED_VALUE"""),14.89)</f>
        <v>14.89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IFERROR(__xludf.DUMMYFUNCTION("""COMPUTED_VALUE"""),15.09)</f>
        <v>15.09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IFERROR(__xludf.DUMMYFUNCTION("""COMPUTED_VALUE"""),14.74)</f>
        <v>14.74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IFERROR(__xludf.DUMMYFUNCTION("""COMPUTED_VALUE"""),14.6)</f>
        <v>14.6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IFERROR(__xludf.DUMMYFUNCTION("""COMPUTED_VALUE"""),14.99)</f>
        <v>14.99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IFERROR(__xludf.DUMMYFUNCTION("""COMPUTED_VALUE"""),14.48)</f>
        <v>14.48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IFERROR(__xludf.DUMMYFUNCTION("""COMPUTED_VALUE"""),15.17)</f>
        <v>15.17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IFERROR(__xludf.DUMMYFUNCTION("""COMPUTED_VALUE"""),13.85)</f>
        <v>13.85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IFERROR(__xludf.DUMMYFUNCTION("""COMPUTED_VALUE"""),13.39)</f>
        <v>13.39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IFERROR(__xludf.DUMMYFUNCTION("""COMPUTED_VALUE"""),13.87)</f>
        <v>13.87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IFERROR(__xludf.DUMMYFUNCTION("""COMPUTED_VALUE"""),13.44)</f>
        <v>13.44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IFERROR(__xludf.DUMMYFUNCTION("""COMPUTED_VALUE"""),13.85)</f>
        <v>13.85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IFERROR(__xludf.DUMMYFUNCTION("""COMPUTED_VALUE"""),13.42)</f>
        <v>13.42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IFERROR(__xludf.DUMMYFUNCTION("""COMPUTED_VALUE"""),13.42)</f>
        <v>13.42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IFERROR(__xludf.DUMMYFUNCTION("""COMPUTED_VALUE"""),13.35)</f>
        <v>13.35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IFERROR(__xludf.DUMMYFUNCTION("""COMPUTED_VALUE"""),13.78)</f>
        <v>13.78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IFERROR(__xludf.DUMMYFUNCTION("""COMPUTED_VALUE"""),13.57)</f>
        <v>13.57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IFERROR(__xludf.DUMMYFUNCTION("""COMPUTED_VALUE"""),13.43)</f>
        <v>13.43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IFERROR(__xludf.DUMMYFUNCTION("""COMPUTED_VALUE"""),13.26)</f>
        <v>13.26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IFERROR(__xludf.DUMMYFUNCTION("""COMPUTED_VALUE"""),13.17)</f>
        <v>13.17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IFERROR(__xludf.DUMMYFUNCTION("""COMPUTED_VALUE"""),13.0)</f>
        <v>13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IFERROR(__xludf.DUMMYFUNCTION("""COMPUTED_VALUE"""),12.73)</f>
        <v>12.73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IFERROR(__xludf.DUMMYFUNCTION("""COMPUTED_VALUE"""),14.04)</f>
        <v>14.04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IFERROR(__xludf.DUMMYFUNCTION("""COMPUTED_VALUE"""),15.09)</f>
        <v>15.09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IFERROR(__xludf.DUMMYFUNCTION("""COMPUTED_VALUE"""),15.45)</f>
        <v>15.45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IFERROR(__xludf.DUMMYFUNCTION("""COMPUTED_VALUE"""),16.45)</f>
        <v>16.45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IFERROR(__xludf.DUMMYFUNCTION("""COMPUTED_VALUE"""),17.33)</f>
        <v>17.33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IFERROR(__xludf.DUMMYFUNCTION("""COMPUTED_VALUE"""),16.73)</f>
        <v>16.73</v>
      </c>
    </row>
    <row r="54" ht="15.75" customHeight="1"/>
    <row r="55" ht="15.75" customHeight="1"/>
    <row r="56" ht="15.75" customHeight="1">
      <c r="B56" s="2" t="str">
        <f>IFERROR(__xludf.DUMMYFUNCTION("GOOGLEFINANCE(""NSE:INDHOTEL"",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IFERROR(__xludf.DUMMYFUNCTION("""COMPUTED_VALUE"""),16.56)</f>
        <v>16.56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IFERROR(__xludf.DUMMYFUNCTION("""COMPUTED_VALUE"""),16.56)</f>
        <v>16.56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IFERROR(__xludf.DUMMYFUNCTION("""COMPUTED_VALUE"""),16.46)</f>
        <v>16.46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IFERROR(__xludf.DUMMYFUNCTION("""COMPUTED_VALUE"""),16.47)</f>
        <v>16.47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IFERROR(__xludf.DUMMYFUNCTION("""COMPUTED_VALUE"""),16.29)</f>
        <v>16.29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IFERROR(__xludf.DUMMYFUNCTION("""COMPUTED_VALUE"""),15.77)</f>
        <v>15.77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IFERROR(__xludf.DUMMYFUNCTION("""COMPUTED_VALUE"""),15.68)</f>
        <v>15.68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IFERROR(__xludf.DUMMYFUNCTION("""COMPUTED_VALUE"""),16.21)</f>
        <v>16.21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IFERROR(__xludf.DUMMYFUNCTION("""COMPUTED_VALUE"""),18.15)</f>
        <v>18.15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IFERROR(__xludf.DUMMYFUNCTION("""COMPUTED_VALUE"""),19.63)</f>
        <v>19.63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IFERROR(__xludf.DUMMYFUNCTION("""COMPUTED_VALUE"""),17.34)</f>
        <v>17.34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IFERROR(__xludf.DUMMYFUNCTION("""COMPUTED_VALUE"""),17.2)</f>
        <v>17.2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IFERROR(__xludf.DUMMYFUNCTION("""COMPUTED_VALUE"""),17.34)</f>
        <v>17.34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IFERROR(__xludf.DUMMYFUNCTION("""COMPUTED_VALUE"""),16.64)</f>
        <v>16.64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IFERROR(__xludf.DUMMYFUNCTION("""COMPUTED_VALUE"""),17.16)</f>
        <v>17.16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IFERROR(__xludf.DUMMYFUNCTION("""COMPUTED_VALUE"""),15.76)</f>
        <v>15.76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IFERROR(__xludf.DUMMYFUNCTION("""COMPUTED_VALUE"""),16.0)</f>
        <v>16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IFERROR(__xludf.DUMMYFUNCTION("""COMPUTED_VALUE"""),16.69)</f>
        <v>16.69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IFERROR(__xludf.DUMMYFUNCTION("""COMPUTED_VALUE"""),17.77)</f>
        <v>17.77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IFERROR(__xludf.DUMMYFUNCTION("""COMPUTED_VALUE"""),17.25)</f>
        <v>17.25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IFERROR(__xludf.DUMMYFUNCTION("""COMPUTED_VALUE"""),16.98)</f>
        <v>16.98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IFERROR(__xludf.DUMMYFUNCTION("""COMPUTED_VALUE"""),18.02)</f>
        <v>18.02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IFERROR(__xludf.DUMMYFUNCTION("""COMPUTED_VALUE"""),19.51)</f>
        <v>19.51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IFERROR(__xludf.DUMMYFUNCTION("""COMPUTED_VALUE"""),22.46)</f>
        <v>22.46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IFERROR(__xludf.DUMMYFUNCTION("""COMPUTED_VALUE"""),22.08)</f>
        <v>22.08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IFERROR(__xludf.DUMMYFUNCTION("""COMPUTED_VALUE"""),23.76)</f>
        <v>23.76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IFERROR(__xludf.DUMMYFUNCTION("""COMPUTED_VALUE"""),24.08)</f>
        <v>24.08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IFERROR(__xludf.DUMMYFUNCTION("""COMPUTED_VALUE"""),22.98)</f>
        <v>22.98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IFERROR(__xludf.DUMMYFUNCTION("""COMPUTED_VALUE"""),22.54)</f>
        <v>22.54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IFERROR(__xludf.DUMMYFUNCTION("""COMPUTED_VALUE"""),23.31)</f>
        <v>23.31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IFERROR(__xludf.DUMMYFUNCTION("""COMPUTED_VALUE"""),24.02)</f>
        <v>24.02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IFERROR(__xludf.DUMMYFUNCTION("""COMPUTED_VALUE"""),24.28)</f>
        <v>24.28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IFERROR(__xludf.DUMMYFUNCTION("""COMPUTED_VALUE"""),24.02)</f>
        <v>24.02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IFERROR(__xludf.DUMMYFUNCTION("""COMPUTED_VALUE"""),23.66)</f>
        <v>23.66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IFERROR(__xludf.DUMMYFUNCTION("""COMPUTED_VALUE"""),24.1)</f>
        <v>24.1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IFERROR(__xludf.DUMMYFUNCTION("""COMPUTED_VALUE"""),23.32)</f>
        <v>23.32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IFERROR(__xludf.DUMMYFUNCTION("""COMPUTED_VALUE"""),23.41)</f>
        <v>23.41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IFERROR(__xludf.DUMMYFUNCTION("""COMPUTED_VALUE"""),22.71)</f>
        <v>22.71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IFERROR(__xludf.DUMMYFUNCTION("""COMPUTED_VALUE"""),23.95)</f>
        <v>23.95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IFERROR(__xludf.DUMMYFUNCTION("""COMPUTED_VALUE"""),27.05)</f>
        <v>27.05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IFERROR(__xludf.DUMMYFUNCTION("""COMPUTED_VALUE"""),30.34)</f>
        <v>30.34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IFERROR(__xludf.DUMMYFUNCTION("""COMPUTED_VALUE"""),30.81)</f>
        <v>30.81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IFERROR(__xludf.DUMMYFUNCTION("""COMPUTED_VALUE"""),32.43)</f>
        <v>32.43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IFERROR(__xludf.DUMMYFUNCTION("""COMPUTED_VALUE"""),34.51)</f>
        <v>34.51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IFERROR(__xludf.DUMMYFUNCTION("""COMPUTED_VALUE"""),33.28)</f>
        <v>33.28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IFERROR(__xludf.DUMMYFUNCTION("""COMPUTED_VALUE"""),34.58)</f>
        <v>34.58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IFERROR(__xludf.DUMMYFUNCTION("""COMPUTED_VALUE"""),38.41)</f>
        <v>38.41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IFERROR(__xludf.DUMMYFUNCTION("""COMPUTED_VALUE"""),37.28)</f>
        <v>37.28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IFERROR(__xludf.DUMMYFUNCTION("""COMPUTED_VALUE"""),40.32)</f>
        <v>40.32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IFERROR(__xludf.DUMMYFUNCTION("GOOGLEFINANCE(""NSE:INDHOTEL"",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IFERROR(__xludf.DUMMYFUNCTION("""COMPUTED_VALUE"""),41.79)</f>
        <v>41.79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IFERROR(__xludf.DUMMYFUNCTION("""COMPUTED_VALUE"""),42.45)</f>
        <v>42.45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IFERROR(__xludf.DUMMYFUNCTION("""COMPUTED_VALUE"""),42.66)</f>
        <v>42.66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IFERROR(__xludf.DUMMYFUNCTION("""COMPUTED_VALUE"""),40.75)</f>
        <v>40.75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IFERROR(__xludf.DUMMYFUNCTION("""COMPUTED_VALUE"""),41.18)</f>
        <v>41.18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IFERROR(__xludf.DUMMYFUNCTION("""COMPUTED_VALUE"""),39.01)</f>
        <v>39.01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IFERROR(__xludf.DUMMYFUNCTION("""COMPUTED_VALUE"""),39.01)</f>
        <v>39.01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IFERROR(__xludf.DUMMYFUNCTION("""COMPUTED_VALUE"""),38.9)</f>
        <v>38.9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IFERROR(__xludf.DUMMYFUNCTION("""COMPUTED_VALUE"""),39.36)</f>
        <v>39.36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IFERROR(__xludf.DUMMYFUNCTION("""COMPUTED_VALUE"""),38.93)</f>
        <v>38.93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IFERROR(__xludf.DUMMYFUNCTION("""COMPUTED_VALUE"""),39.69)</f>
        <v>39.69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IFERROR(__xludf.DUMMYFUNCTION("""COMPUTED_VALUE"""),36.97)</f>
        <v>36.97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IFERROR(__xludf.DUMMYFUNCTION("""COMPUTED_VALUE"""),34.68)</f>
        <v>34.68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IFERROR(__xludf.DUMMYFUNCTION("""COMPUTED_VALUE"""),37.45)</f>
        <v>37.45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IFERROR(__xludf.DUMMYFUNCTION("""COMPUTED_VALUE"""),36.5)</f>
        <v>36.5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IFERROR(__xludf.DUMMYFUNCTION("""COMPUTED_VALUE"""),36.77)</f>
        <v>36.77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IFERROR(__xludf.DUMMYFUNCTION("""COMPUTED_VALUE"""),36.93)</f>
        <v>36.93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IFERROR(__xludf.DUMMYFUNCTION("""COMPUTED_VALUE"""),35.37)</f>
        <v>35.37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IFERROR(__xludf.DUMMYFUNCTION("""COMPUTED_VALUE"""),36.76)</f>
        <v>36.76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IFERROR(__xludf.DUMMYFUNCTION("""COMPUTED_VALUE"""),32.69)</f>
        <v>32.69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IFERROR(__xludf.DUMMYFUNCTION("""COMPUTED_VALUE"""),32.95)</f>
        <v>32.95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IFERROR(__xludf.DUMMYFUNCTION("""COMPUTED_VALUE"""),31.73)</f>
        <v>31.73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IFERROR(__xludf.DUMMYFUNCTION("""COMPUTED_VALUE"""),34.49)</f>
        <v>34.49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IFERROR(__xludf.DUMMYFUNCTION("""COMPUTED_VALUE"""),30.34)</f>
        <v>30.34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IFERROR(__xludf.DUMMYFUNCTION("""COMPUTED_VALUE"""),31.79)</f>
        <v>31.79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IFERROR(__xludf.DUMMYFUNCTION("""COMPUTED_VALUE"""),30.78)</f>
        <v>30.78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IFERROR(__xludf.DUMMYFUNCTION("""COMPUTED_VALUE"""),32.25)</f>
        <v>32.25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IFERROR(__xludf.DUMMYFUNCTION("""COMPUTED_VALUE"""),32.29)</f>
        <v>32.29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IFERROR(__xludf.DUMMYFUNCTION("""COMPUTED_VALUE"""),32.07)</f>
        <v>32.07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IFERROR(__xludf.DUMMYFUNCTION("""COMPUTED_VALUE"""),31.82)</f>
        <v>31.82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IFERROR(__xludf.DUMMYFUNCTION("""COMPUTED_VALUE"""),31.16)</f>
        <v>31.16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IFERROR(__xludf.DUMMYFUNCTION("""COMPUTED_VALUE"""),32.5)</f>
        <v>32.5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IFERROR(__xludf.DUMMYFUNCTION("""COMPUTED_VALUE"""),31.12)</f>
        <v>31.12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IFERROR(__xludf.DUMMYFUNCTION("""COMPUTED_VALUE"""),31.47)</f>
        <v>31.47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IFERROR(__xludf.DUMMYFUNCTION("""COMPUTED_VALUE"""),33.64)</f>
        <v>33.64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IFERROR(__xludf.DUMMYFUNCTION("""COMPUTED_VALUE"""),35.11)</f>
        <v>35.11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IFERROR(__xludf.DUMMYFUNCTION("""COMPUTED_VALUE"""),37.11)</f>
        <v>37.11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IFERROR(__xludf.DUMMYFUNCTION("""COMPUTED_VALUE"""),39.01)</f>
        <v>39.01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IFERROR(__xludf.DUMMYFUNCTION("""COMPUTED_VALUE"""),39.26)</f>
        <v>39.26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IFERROR(__xludf.DUMMYFUNCTION("""COMPUTED_VALUE"""),38.93)</f>
        <v>38.93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IFERROR(__xludf.DUMMYFUNCTION("""COMPUTED_VALUE"""),40.49)</f>
        <v>40.49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IFERROR(__xludf.DUMMYFUNCTION("""COMPUTED_VALUE"""),41.12)</f>
        <v>41.12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IFERROR(__xludf.DUMMYFUNCTION("""COMPUTED_VALUE"""),43.52)</f>
        <v>43.52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IFERROR(__xludf.DUMMYFUNCTION("""COMPUTED_VALUE"""),43.65)</f>
        <v>43.65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IFERROR(__xludf.DUMMYFUNCTION("""COMPUTED_VALUE"""),43.78)</f>
        <v>43.78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IFERROR(__xludf.DUMMYFUNCTION("""COMPUTED_VALUE"""),44.13)</f>
        <v>44.13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IFERROR(__xludf.DUMMYFUNCTION("""COMPUTED_VALUE"""),44.21)</f>
        <v>44.21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IFERROR(__xludf.DUMMYFUNCTION("""COMPUTED_VALUE"""),46.38)</f>
        <v>46.38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IFERROR(__xludf.DUMMYFUNCTION("""COMPUTED_VALUE"""),49.85)</f>
        <v>49.85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IFERROR(__xludf.DUMMYFUNCTION("""COMPUTED_VALUE"""),49.81)</f>
        <v>49.81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IFERROR(__xludf.DUMMYFUNCTION("""COMPUTED_VALUE"""),48.72)</f>
        <v>48.72</v>
      </c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IFERROR(__xludf.DUMMYFUNCTION("GOOGLEFINANCE(""NSE:SUZLON"", ""high"",DATE(2006,1,1),DATE(2007,1,1),""weekly"")"),"Date")</f>
        <v>Date</v>
      </c>
      <c r="C1" s="2" t="str">
        <f>IFERROR(__xludf.DUMMYFUNCTION("""COMPUTED_VALUE"""),"High")</f>
        <v>High</v>
      </c>
    </row>
    <row r="2">
      <c r="A2" s="2" t="s">
        <v>5</v>
      </c>
      <c r="B2" s="3">
        <f>IFERROR(__xludf.DUMMYFUNCTION("""COMPUTED_VALUE"""),38723.645833333336)</f>
        <v>38723.64583</v>
      </c>
      <c r="C2" s="2">
        <f>IFERROR(__xludf.DUMMYFUNCTION("""COMPUTED_VALUE"""),183.09)</f>
        <v>183.09</v>
      </c>
    </row>
    <row r="3">
      <c r="A3" s="2" t="s">
        <v>6</v>
      </c>
      <c r="B3" s="3">
        <f>IFERROR(__xludf.DUMMYFUNCTION("""COMPUTED_VALUE"""),38730.645833333336)</f>
        <v>38730.64583</v>
      </c>
      <c r="C3" s="2">
        <f>IFERROR(__xludf.DUMMYFUNCTION("""COMPUTED_VALUE"""),181.2)</f>
        <v>181.2</v>
      </c>
    </row>
    <row r="4">
      <c r="A4" s="2" t="s">
        <v>7</v>
      </c>
      <c r="B4" s="3">
        <f>IFERROR(__xludf.DUMMYFUNCTION("""COMPUTED_VALUE"""),38737.645833333336)</f>
        <v>38737.64583</v>
      </c>
      <c r="C4" s="2">
        <f>IFERROR(__xludf.DUMMYFUNCTION("""COMPUTED_VALUE"""),185.0)</f>
        <v>185</v>
      </c>
    </row>
    <row r="5">
      <c r="A5" s="2" t="s">
        <v>8</v>
      </c>
      <c r="B5" s="3">
        <f>IFERROR(__xludf.DUMMYFUNCTION("""COMPUTED_VALUE"""),38744.645833333336)</f>
        <v>38744.64583</v>
      </c>
      <c r="C5" s="2">
        <f>IFERROR(__xludf.DUMMYFUNCTION("""COMPUTED_VALUE"""),229.6)</f>
        <v>229.6</v>
      </c>
    </row>
    <row r="6">
      <c r="A6" s="2" t="s">
        <v>9</v>
      </c>
      <c r="B6" s="3">
        <f>IFERROR(__xludf.DUMMYFUNCTION("""COMPUTED_VALUE"""),38751.645833333336)</f>
        <v>38751.64583</v>
      </c>
      <c r="C6" s="2">
        <f>IFERROR(__xludf.DUMMYFUNCTION("""COMPUTED_VALUE"""),238.4)</f>
        <v>238.4</v>
      </c>
    </row>
    <row r="7">
      <c r="B7" s="3">
        <f>IFERROR(__xludf.DUMMYFUNCTION("""COMPUTED_VALUE"""),38758.645833333336)</f>
        <v>38758.64583</v>
      </c>
      <c r="C7" s="2">
        <f>IFERROR(__xludf.DUMMYFUNCTION("""COMPUTED_VALUE"""),221.8)</f>
        <v>221.8</v>
      </c>
    </row>
    <row r="8">
      <c r="B8" s="3">
        <f>IFERROR(__xludf.DUMMYFUNCTION("""COMPUTED_VALUE"""),38765.645833333336)</f>
        <v>38765.64583</v>
      </c>
      <c r="C8" s="2">
        <f>IFERROR(__xludf.DUMMYFUNCTION("""COMPUTED_VALUE"""),225.94)</f>
        <v>225.94</v>
      </c>
    </row>
    <row r="9">
      <c r="B9" s="3">
        <f>IFERROR(__xludf.DUMMYFUNCTION("""COMPUTED_VALUE"""),38772.645833333336)</f>
        <v>38772.64583</v>
      </c>
      <c r="C9" s="2">
        <f>IFERROR(__xludf.DUMMYFUNCTION("""COMPUTED_VALUE"""),214.8)</f>
        <v>214.8</v>
      </c>
    </row>
    <row r="10">
      <c r="B10" s="3">
        <f>IFERROR(__xludf.DUMMYFUNCTION("""COMPUTED_VALUE"""),38779.645833333336)</f>
        <v>38779.64583</v>
      </c>
      <c r="C10" s="2">
        <f>IFERROR(__xludf.DUMMYFUNCTION("""COMPUTED_VALUE"""),242.4)</f>
        <v>242.4</v>
      </c>
    </row>
    <row r="11">
      <c r="B11" s="3">
        <f>IFERROR(__xludf.DUMMYFUNCTION("""COMPUTED_VALUE"""),38786.645833333336)</f>
        <v>38786.64583</v>
      </c>
      <c r="C11" s="2">
        <f>IFERROR(__xludf.DUMMYFUNCTION("""COMPUTED_VALUE"""),260.4)</f>
        <v>260.4</v>
      </c>
    </row>
    <row r="12">
      <c r="B12" s="3">
        <f>IFERROR(__xludf.DUMMYFUNCTION("""COMPUTED_VALUE"""),38793.645833333336)</f>
        <v>38793.64583</v>
      </c>
      <c r="C12" s="2">
        <f>IFERROR(__xludf.DUMMYFUNCTION("""COMPUTED_VALUE"""),268.78)</f>
        <v>268.78</v>
      </c>
    </row>
    <row r="13">
      <c r="B13" s="3">
        <f>IFERROR(__xludf.DUMMYFUNCTION("""COMPUTED_VALUE"""),38800.645833333336)</f>
        <v>38800.64583</v>
      </c>
      <c r="C13" s="2">
        <f>IFERROR(__xludf.DUMMYFUNCTION("""COMPUTED_VALUE"""),274.98)</f>
        <v>274.98</v>
      </c>
    </row>
    <row r="14">
      <c r="B14" s="3">
        <f>IFERROR(__xludf.DUMMYFUNCTION("""COMPUTED_VALUE"""),38807.645833333336)</f>
        <v>38807.64583</v>
      </c>
      <c r="C14" s="2">
        <f>IFERROR(__xludf.DUMMYFUNCTION("""COMPUTED_VALUE"""),273.0)</f>
        <v>273</v>
      </c>
    </row>
    <row r="15">
      <c r="B15" s="3">
        <f>IFERROR(__xludf.DUMMYFUNCTION("""COMPUTED_VALUE"""),38814.645833333336)</f>
        <v>38814.64583</v>
      </c>
      <c r="C15" s="2">
        <f>IFERROR(__xludf.DUMMYFUNCTION("""COMPUTED_VALUE"""),285.8)</f>
        <v>285.8</v>
      </c>
    </row>
    <row r="16">
      <c r="B16" s="3">
        <f>IFERROR(__xludf.DUMMYFUNCTION("""COMPUTED_VALUE"""),38820.645833333336)</f>
        <v>38820.64583</v>
      </c>
      <c r="C16" s="2">
        <f>IFERROR(__xludf.DUMMYFUNCTION("""COMPUTED_VALUE"""),273.0)</f>
        <v>273</v>
      </c>
    </row>
    <row r="17">
      <c r="B17" s="3">
        <f>IFERROR(__xludf.DUMMYFUNCTION("""COMPUTED_VALUE"""),38828.645833333336)</f>
        <v>38828.64583</v>
      </c>
      <c r="C17" s="2">
        <f>IFERROR(__xludf.DUMMYFUNCTION("""COMPUTED_VALUE"""),266.44)</f>
        <v>266.44</v>
      </c>
    </row>
    <row r="18">
      <c r="B18" s="3">
        <f>IFERROR(__xludf.DUMMYFUNCTION("""COMPUTED_VALUE"""),38842.645833333336)</f>
        <v>38842.64583</v>
      </c>
      <c r="C18" s="2">
        <f>IFERROR(__xludf.DUMMYFUNCTION("""COMPUTED_VALUE"""),274.86)</f>
        <v>274.86</v>
      </c>
    </row>
    <row r="19">
      <c r="B19" s="3">
        <f>IFERROR(__xludf.DUMMYFUNCTION("""COMPUTED_VALUE"""),38849.645833333336)</f>
        <v>38849.64583</v>
      </c>
      <c r="C19" s="2">
        <f>IFERROR(__xludf.DUMMYFUNCTION("""COMPUTED_VALUE"""),278.0)</f>
        <v>278</v>
      </c>
    </row>
    <row r="20">
      <c r="B20" s="3">
        <f>IFERROR(__xludf.DUMMYFUNCTION("""COMPUTED_VALUE"""),38856.645833333336)</f>
        <v>38856.64583</v>
      </c>
      <c r="C20" s="2">
        <f>IFERROR(__xludf.DUMMYFUNCTION("""COMPUTED_VALUE"""),273.8)</f>
        <v>273.8</v>
      </c>
    </row>
    <row r="21" ht="15.75" customHeight="1">
      <c r="B21" s="3">
        <f>IFERROR(__xludf.DUMMYFUNCTION("""COMPUTED_VALUE"""),38863.645833333336)</f>
        <v>38863.64583</v>
      </c>
      <c r="C21" s="2">
        <f>IFERROR(__xludf.DUMMYFUNCTION("""COMPUTED_VALUE"""),217.0)</f>
        <v>217</v>
      </c>
    </row>
    <row r="22" ht="15.75" customHeight="1">
      <c r="B22" s="3">
        <f>IFERROR(__xludf.DUMMYFUNCTION("""COMPUTED_VALUE"""),38870.645833333336)</f>
        <v>38870.64583</v>
      </c>
      <c r="C22" s="2">
        <f>IFERROR(__xludf.DUMMYFUNCTION("""COMPUTED_VALUE"""),209.79)</f>
        <v>209.79</v>
      </c>
    </row>
    <row r="23" ht="15.75" customHeight="1">
      <c r="B23" s="3">
        <f>IFERROR(__xludf.DUMMYFUNCTION("""COMPUTED_VALUE"""),38877.645833333336)</f>
        <v>38877.64583</v>
      </c>
      <c r="C23" s="2">
        <f>IFERROR(__xludf.DUMMYFUNCTION("""COMPUTED_VALUE"""),189.7)</f>
        <v>189.7</v>
      </c>
    </row>
    <row r="24" ht="15.75" customHeight="1">
      <c r="B24" s="3">
        <f>IFERROR(__xludf.DUMMYFUNCTION("""COMPUTED_VALUE"""),38884.645833333336)</f>
        <v>38884.64583</v>
      </c>
      <c r="C24" s="2">
        <f>IFERROR(__xludf.DUMMYFUNCTION("""COMPUTED_VALUE"""),186.9)</f>
        <v>186.9</v>
      </c>
    </row>
    <row r="25" ht="15.75" customHeight="1">
      <c r="B25" s="3">
        <f>IFERROR(__xludf.DUMMYFUNCTION("""COMPUTED_VALUE"""),38891.645833333336)</f>
        <v>38891.64583</v>
      </c>
      <c r="C25" s="2">
        <f>IFERROR(__xludf.DUMMYFUNCTION("""COMPUTED_VALUE"""),189.8)</f>
        <v>189.8</v>
      </c>
    </row>
    <row r="26" ht="15.75" customHeight="1">
      <c r="B26" s="3">
        <f>IFERROR(__xludf.DUMMYFUNCTION("""COMPUTED_VALUE"""),38898.645833333336)</f>
        <v>38898.64583</v>
      </c>
      <c r="C26" s="2">
        <f>IFERROR(__xludf.DUMMYFUNCTION("""COMPUTED_VALUE"""),209.98)</f>
        <v>209.98</v>
      </c>
    </row>
    <row r="27" ht="15.75" customHeight="1">
      <c r="B27" s="3">
        <f>IFERROR(__xludf.DUMMYFUNCTION("""COMPUTED_VALUE"""),38905.645833333336)</f>
        <v>38905.64583</v>
      </c>
      <c r="C27" s="2">
        <f>IFERROR(__xludf.DUMMYFUNCTION("""COMPUTED_VALUE"""),228.8)</f>
        <v>228.8</v>
      </c>
    </row>
    <row r="28" ht="15.75" customHeight="1">
      <c r="B28" s="3">
        <f>IFERROR(__xludf.DUMMYFUNCTION("""COMPUTED_VALUE"""),38912.645833333336)</f>
        <v>38912.64583</v>
      </c>
      <c r="C28" s="2">
        <f>IFERROR(__xludf.DUMMYFUNCTION("""COMPUTED_VALUE"""),215.0)</f>
        <v>215</v>
      </c>
    </row>
    <row r="29" ht="15.75" customHeight="1">
      <c r="B29" s="3">
        <f>IFERROR(__xludf.DUMMYFUNCTION("""COMPUTED_VALUE"""),38919.645833333336)</f>
        <v>38919.64583</v>
      </c>
      <c r="C29" s="2">
        <f>IFERROR(__xludf.DUMMYFUNCTION("""COMPUTED_VALUE"""),204.8)</f>
        <v>204.8</v>
      </c>
    </row>
    <row r="30" ht="15.75" customHeight="1">
      <c r="B30" s="3">
        <f>IFERROR(__xludf.DUMMYFUNCTION("""COMPUTED_VALUE"""),38926.645833333336)</f>
        <v>38926.64583</v>
      </c>
      <c r="C30" s="2">
        <f>IFERROR(__xludf.DUMMYFUNCTION("""COMPUTED_VALUE"""),217.8)</f>
        <v>217.8</v>
      </c>
    </row>
    <row r="31" ht="15.75" customHeight="1">
      <c r="B31" s="3">
        <f>IFERROR(__xludf.DUMMYFUNCTION("""COMPUTED_VALUE"""),38933.645833333336)</f>
        <v>38933.64583</v>
      </c>
      <c r="C31" s="2">
        <f>IFERROR(__xludf.DUMMYFUNCTION("""COMPUTED_VALUE"""),225.98)</f>
        <v>225.98</v>
      </c>
    </row>
    <row r="32" ht="15.75" customHeight="1">
      <c r="B32" s="3">
        <f>IFERROR(__xludf.DUMMYFUNCTION("""COMPUTED_VALUE"""),38940.645833333336)</f>
        <v>38940.64583</v>
      </c>
      <c r="C32" s="2">
        <f>IFERROR(__xludf.DUMMYFUNCTION("""COMPUTED_VALUE"""),252.19)</f>
        <v>252.19</v>
      </c>
    </row>
    <row r="33" ht="15.75" customHeight="1">
      <c r="B33" s="3">
        <f>IFERROR(__xludf.DUMMYFUNCTION("""COMPUTED_VALUE"""),38947.645833333336)</f>
        <v>38947.64583</v>
      </c>
      <c r="C33" s="2">
        <f>IFERROR(__xludf.DUMMYFUNCTION("""COMPUTED_VALUE"""),251.94)</f>
        <v>251.94</v>
      </c>
    </row>
    <row r="34" ht="15.75" customHeight="1">
      <c r="B34" s="3">
        <f>IFERROR(__xludf.DUMMYFUNCTION("""COMPUTED_VALUE"""),38954.645833333336)</f>
        <v>38954.64583</v>
      </c>
      <c r="C34" s="2">
        <f>IFERROR(__xludf.DUMMYFUNCTION("""COMPUTED_VALUE"""),253.59)</f>
        <v>253.59</v>
      </c>
    </row>
    <row r="35" ht="15.75" customHeight="1">
      <c r="B35" s="3">
        <f>IFERROR(__xludf.DUMMYFUNCTION("""COMPUTED_VALUE"""),38961.645833333336)</f>
        <v>38961.64583</v>
      </c>
      <c r="C35" s="2">
        <f>IFERROR(__xludf.DUMMYFUNCTION("""COMPUTED_VALUE"""),251.0)</f>
        <v>251</v>
      </c>
    </row>
    <row r="36" ht="15.75" customHeight="1">
      <c r="B36" s="3">
        <f>IFERROR(__xludf.DUMMYFUNCTION("""COMPUTED_VALUE"""),38968.645833333336)</f>
        <v>38968.64583</v>
      </c>
      <c r="C36" s="2">
        <f>IFERROR(__xludf.DUMMYFUNCTION("""COMPUTED_VALUE"""),253.4)</f>
        <v>253.4</v>
      </c>
    </row>
    <row r="37" ht="15.75" customHeight="1">
      <c r="B37" s="3">
        <f>IFERROR(__xludf.DUMMYFUNCTION("""COMPUTED_VALUE"""),38975.645833333336)</f>
        <v>38975.64583</v>
      </c>
      <c r="C37" s="2">
        <f>IFERROR(__xludf.DUMMYFUNCTION("""COMPUTED_VALUE"""),243.6)</f>
        <v>243.6</v>
      </c>
    </row>
    <row r="38" ht="15.75" customHeight="1">
      <c r="B38" s="3">
        <f>IFERROR(__xludf.DUMMYFUNCTION("""COMPUTED_VALUE"""),38982.645833333336)</f>
        <v>38982.64583</v>
      </c>
      <c r="C38" s="2">
        <f>IFERROR(__xludf.DUMMYFUNCTION("""COMPUTED_VALUE"""),250.19)</f>
        <v>250.19</v>
      </c>
    </row>
    <row r="39" ht="15.75" customHeight="1">
      <c r="B39" s="3">
        <f>IFERROR(__xludf.DUMMYFUNCTION("""COMPUTED_VALUE"""),38989.645833333336)</f>
        <v>38989.64583</v>
      </c>
      <c r="C39" s="2">
        <f>IFERROR(__xludf.DUMMYFUNCTION("""COMPUTED_VALUE"""),256.0)</f>
        <v>256</v>
      </c>
    </row>
    <row r="40" ht="15.75" customHeight="1">
      <c r="B40" s="3">
        <f>IFERROR(__xludf.DUMMYFUNCTION("""COMPUTED_VALUE"""),38996.645833333336)</f>
        <v>38996.64583</v>
      </c>
      <c r="C40" s="2">
        <f>IFERROR(__xludf.DUMMYFUNCTION("""COMPUTED_VALUE"""),261.03)</f>
        <v>261.03</v>
      </c>
    </row>
    <row r="41" ht="15.75" customHeight="1">
      <c r="B41" s="3">
        <f>IFERROR(__xludf.DUMMYFUNCTION("""COMPUTED_VALUE"""),39003.645833333336)</f>
        <v>39003.64583</v>
      </c>
      <c r="C41" s="2">
        <f>IFERROR(__xludf.DUMMYFUNCTION("""COMPUTED_VALUE"""),278.0)</f>
        <v>278</v>
      </c>
    </row>
    <row r="42" ht="15.75" customHeight="1">
      <c r="B42" s="3">
        <f>IFERROR(__xludf.DUMMYFUNCTION("""COMPUTED_VALUE"""),39017.645833333336)</f>
        <v>39017.64583</v>
      </c>
      <c r="C42" s="2">
        <f>IFERROR(__xludf.DUMMYFUNCTION("""COMPUTED_VALUE"""),275.8)</f>
        <v>275.8</v>
      </c>
    </row>
    <row r="43" ht="15.75" customHeight="1">
      <c r="B43" s="3">
        <f>IFERROR(__xludf.DUMMYFUNCTION("""COMPUTED_VALUE"""),39024.645833333336)</f>
        <v>39024.64583</v>
      </c>
      <c r="C43" s="2">
        <f>IFERROR(__xludf.DUMMYFUNCTION("""COMPUTED_VALUE"""),266.38)</f>
        <v>266.38</v>
      </c>
    </row>
    <row r="44" ht="15.75" customHeight="1">
      <c r="B44" s="3">
        <f>IFERROR(__xludf.DUMMYFUNCTION("""COMPUTED_VALUE"""),39031.645833333336)</f>
        <v>39031.64583</v>
      </c>
      <c r="C44" s="2">
        <f>IFERROR(__xludf.DUMMYFUNCTION("""COMPUTED_VALUE"""),287.36)</f>
        <v>287.36</v>
      </c>
    </row>
    <row r="45" ht="15.75" customHeight="1">
      <c r="B45" s="3">
        <f>IFERROR(__xludf.DUMMYFUNCTION("""COMPUTED_VALUE"""),39038.645833333336)</f>
        <v>39038.64583</v>
      </c>
      <c r="C45" s="2">
        <f>IFERROR(__xludf.DUMMYFUNCTION("""COMPUTED_VALUE"""),295.98)</f>
        <v>295.98</v>
      </c>
    </row>
    <row r="46" ht="15.75" customHeight="1">
      <c r="B46" s="3">
        <f>IFERROR(__xludf.DUMMYFUNCTION("""COMPUTED_VALUE"""),39045.645833333336)</f>
        <v>39045.64583</v>
      </c>
      <c r="C46" s="2">
        <f>IFERROR(__xludf.DUMMYFUNCTION("""COMPUTED_VALUE"""),302.18)</f>
        <v>302.18</v>
      </c>
    </row>
    <row r="47" ht="15.75" customHeight="1">
      <c r="B47" s="3">
        <f>IFERROR(__xludf.DUMMYFUNCTION("""COMPUTED_VALUE"""),39052.645833333336)</f>
        <v>39052.64583</v>
      </c>
      <c r="C47" s="2">
        <f>IFERROR(__xludf.DUMMYFUNCTION("""COMPUTED_VALUE"""),298.76)</f>
        <v>298.76</v>
      </c>
    </row>
    <row r="48" ht="15.75" customHeight="1">
      <c r="B48" s="3">
        <f>IFERROR(__xludf.DUMMYFUNCTION("""COMPUTED_VALUE"""),39059.645833333336)</f>
        <v>39059.64583</v>
      </c>
      <c r="C48" s="2">
        <f>IFERROR(__xludf.DUMMYFUNCTION("""COMPUTED_VALUE"""),299.08)</f>
        <v>299.08</v>
      </c>
    </row>
    <row r="49" ht="15.75" customHeight="1">
      <c r="B49" s="3">
        <f>IFERROR(__xludf.DUMMYFUNCTION("""COMPUTED_VALUE"""),39066.645833333336)</f>
        <v>39066.64583</v>
      </c>
      <c r="C49" s="2">
        <f>IFERROR(__xludf.DUMMYFUNCTION("""COMPUTED_VALUE"""),271.2)</f>
        <v>271.2</v>
      </c>
    </row>
    <row r="50" ht="15.75" customHeight="1">
      <c r="B50" s="3">
        <f>IFERROR(__xludf.DUMMYFUNCTION("""COMPUTED_VALUE"""),39073.645833333336)</f>
        <v>39073.64583</v>
      </c>
      <c r="C50" s="2">
        <f>IFERROR(__xludf.DUMMYFUNCTION("""COMPUTED_VALUE"""),265.98)</f>
        <v>265.98</v>
      </c>
    </row>
    <row r="51" ht="15.75" customHeight="1">
      <c r="B51" s="3">
        <f>IFERROR(__xludf.DUMMYFUNCTION("""COMPUTED_VALUE"""),39080.645833333336)</f>
        <v>39080.64583</v>
      </c>
      <c r="C51" s="2">
        <f>IFERROR(__xludf.DUMMYFUNCTION("""COMPUTED_VALUE"""),265.94)</f>
        <v>265.94</v>
      </c>
    </row>
    <row r="52" ht="15.75" customHeight="1"/>
    <row r="53" ht="15.75" customHeight="1"/>
    <row r="54" ht="15.75" customHeight="1"/>
    <row r="55" ht="15.75" customHeight="1"/>
    <row r="56" ht="15.75" customHeight="1">
      <c r="B56" s="2" t="str">
        <f>IFERROR(__xludf.DUMMYFUNCTION("GOOGLEFINANCE(""NSE:SUZLON"", ""high"",DATE(2007,1,1),DATE(2008,1,1),""weekly"")"),"Date")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IFERROR(__xludf.DUMMYFUNCTION("""COMPUTED_VALUE"""),39087.645833333336)</f>
        <v>39087.64583</v>
      </c>
      <c r="C57" s="2">
        <f>IFERROR(__xludf.DUMMYFUNCTION("""COMPUTED_VALUE"""),262.4)</f>
        <v>262.4</v>
      </c>
    </row>
    <row r="58" ht="15.75" customHeight="1">
      <c r="B58" s="3">
        <f>IFERROR(__xludf.DUMMYFUNCTION("""COMPUTED_VALUE"""),39094.645833333336)</f>
        <v>39094.64583</v>
      </c>
      <c r="C58" s="2">
        <f>IFERROR(__xludf.DUMMYFUNCTION("""COMPUTED_VALUE"""),259.8)</f>
        <v>259.8</v>
      </c>
    </row>
    <row r="59" ht="15.75" customHeight="1">
      <c r="B59" s="3">
        <f>IFERROR(__xludf.DUMMYFUNCTION("""COMPUTED_VALUE"""),39101.645833333336)</f>
        <v>39101.64583</v>
      </c>
      <c r="C59" s="2">
        <f>IFERROR(__xludf.DUMMYFUNCTION("""COMPUTED_VALUE"""),267.6)</f>
        <v>267.6</v>
      </c>
    </row>
    <row r="60" ht="15.75" customHeight="1">
      <c r="B60" s="3">
        <f>IFERROR(__xludf.DUMMYFUNCTION("""COMPUTED_VALUE"""),39107.645833333336)</f>
        <v>39107.64583</v>
      </c>
      <c r="C60" s="2">
        <f>IFERROR(__xludf.DUMMYFUNCTION("""COMPUTED_VALUE"""),259.96)</f>
        <v>259.96</v>
      </c>
    </row>
    <row r="61" ht="15.75" customHeight="1">
      <c r="B61" s="3">
        <f>IFERROR(__xludf.DUMMYFUNCTION("""COMPUTED_VALUE"""),39115.645833333336)</f>
        <v>39115.64583</v>
      </c>
      <c r="C61" s="2">
        <f>IFERROR(__xludf.DUMMYFUNCTION("""COMPUTED_VALUE"""),261.6)</f>
        <v>261.6</v>
      </c>
    </row>
    <row r="62" ht="15.75" customHeight="1">
      <c r="B62" s="3">
        <f>IFERROR(__xludf.DUMMYFUNCTION("""COMPUTED_VALUE"""),39122.645833333336)</f>
        <v>39122.64583</v>
      </c>
      <c r="C62" s="2">
        <f>IFERROR(__xludf.DUMMYFUNCTION("""COMPUTED_VALUE"""),259.8)</f>
        <v>259.8</v>
      </c>
    </row>
    <row r="63" ht="15.75" customHeight="1">
      <c r="B63" s="3">
        <f>IFERROR(__xludf.DUMMYFUNCTION("""COMPUTED_VALUE"""),39128.645833333336)</f>
        <v>39128.64583</v>
      </c>
      <c r="C63" s="2">
        <f>IFERROR(__xludf.DUMMYFUNCTION("""COMPUTED_VALUE"""),249.0)</f>
        <v>249</v>
      </c>
    </row>
    <row r="64" ht="15.75" customHeight="1">
      <c r="B64" s="3">
        <f>IFERROR(__xludf.DUMMYFUNCTION("""COMPUTED_VALUE"""),39136.645833333336)</f>
        <v>39136.64583</v>
      </c>
      <c r="C64" s="2">
        <f>IFERROR(__xludf.DUMMYFUNCTION("""COMPUTED_VALUE"""),213.31)</f>
        <v>213.31</v>
      </c>
    </row>
    <row r="65" ht="15.75" customHeight="1">
      <c r="B65" s="3">
        <f>IFERROR(__xludf.DUMMYFUNCTION("""COMPUTED_VALUE"""),39143.645833333336)</f>
        <v>39143.64583</v>
      </c>
      <c r="C65" s="2">
        <f>IFERROR(__xludf.DUMMYFUNCTION("""COMPUTED_VALUE"""),219.1)</f>
        <v>219.1</v>
      </c>
    </row>
    <row r="66" ht="15.75" customHeight="1">
      <c r="B66" s="3">
        <f>IFERROR(__xludf.DUMMYFUNCTION("""COMPUTED_VALUE"""),39150.645833333336)</f>
        <v>39150.64583</v>
      </c>
      <c r="C66" s="2">
        <f>IFERROR(__xludf.DUMMYFUNCTION("""COMPUTED_VALUE"""),212.8)</f>
        <v>212.8</v>
      </c>
    </row>
    <row r="67" ht="15.75" customHeight="1">
      <c r="B67" s="3">
        <f>IFERROR(__xludf.DUMMYFUNCTION("""COMPUTED_VALUE"""),39157.645833333336)</f>
        <v>39157.64583</v>
      </c>
      <c r="C67" s="2">
        <f>IFERROR(__xludf.DUMMYFUNCTION("""COMPUTED_VALUE"""),220.0)</f>
        <v>220</v>
      </c>
    </row>
    <row r="68" ht="15.75" customHeight="1">
      <c r="B68" s="3">
        <f>IFERROR(__xludf.DUMMYFUNCTION("""COMPUTED_VALUE"""),39164.645833333336)</f>
        <v>39164.64583</v>
      </c>
      <c r="C68" s="2">
        <f>IFERROR(__xludf.DUMMYFUNCTION("""COMPUTED_VALUE"""),205.0)</f>
        <v>205</v>
      </c>
    </row>
    <row r="69" ht="15.75" customHeight="1">
      <c r="B69" s="3">
        <f>IFERROR(__xludf.DUMMYFUNCTION("""COMPUTED_VALUE"""),39171.645833333336)</f>
        <v>39171.64583</v>
      </c>
      <c r="C69" s="2">
        <f>IFERROR(__xludf.DUMMYFUNCTION("""COMPUTED_VALUE"""),205.0)</f>
        <v>205</v>
      </c>
    </row>
    <row r="70" ht="15.75" customHeight="1">
      <c r="B70" s="3">
        <f>IFERROR(__xludf.DUMMYFUNCTION("""COMPUTED_VALUE"""),39177.645833333336)</f>
        <v>39177.64583</v>
      </c>
      <c r="C70" s="2">
        <f>IFERROR(__xludf.DUMMYFUNCTION("""COMPUTED_VALUE"""),198.0)</f>
        <v>198</v>
      </c>
    </row>
    <row r="71" ht="15.75" customHeight="1">
      <c r="B71" s="3">
        <f>IFERROR(__xludf.DUMMYFUNCTION("""COMPUTED_VALUE"""),39185.645833333336)</f>
        <v>39185.64583</v>
      </c>
      <c r="C71" s="2">
        <f>IFERROR(__xludf.DUMMYFUNCTION("""COMPUTED_VALUE"""),222.8)</f>
        <v>222.8</v>
      </c>
    </row>
    <row r="72" ht="15.75" customHeight="1">
      <c r="B72" s="3">
        <f>IFERROR(__xludf.DUMMYFUNCTION("""COMPUTED_VALUE"""),39192.645833333336)</f>
        <v>39192.64583</v>
      </c>
      <c r="C72" s="2">
        <f>IFERROR(__xludf.DUMMYFUNCTION("""COMPUTED_VALUE"""),243.94)</f>
        <v>243.94</v>
      </c>
    </row>
    <row r="73" ht="15.75" customHeight="1">
      <c r="B73" s="3">
        <f>IFERROR(__xludf.DUMMYFUNCTION("""COMPUTED_VALUE"""),39199.645833333336)</f>
        <v>39199.64583</v>
      </c>
      <c r="C73" s="2">
        <f>IFERROR(__xludf.DUMMYFUNCTION("""COMPUTED_VALUE"""),247.0)</f>
        <v>247</v>
      </c>
    </row>
    <row r="74" ht="15.75" customHeight="1">
      <c r="B74" s="3">
        <f>IFERROR(__xludf.DUMMYFUNCTION("""COMPUTED_VALUE"""),39206.645833333336)</f>
        <v>39206.64583</v>
      </c>
      <c r="C74" s="2">
        <f>IFERROR(__xludf.DUMMYFUNCTION("""COMPUTED_VALUE"""),245.24)</f>
        <v>245.24</v>
      </c>
    </row>
    <row r="75" ht="15.75" customHeight="1">
      <c r="B75" s="3">
        <f>IFERROR(__xludf.DUMMYFUNCTION("""COMPUTED_VALUE"""),39213.645833333336)</f>
        <v>39213.64583</v>
      </c>
      <c r="C75" s="2">
        <f>IFERROR(__xludf.DUMMYFUNCTION("""COMPUTED_VALUE"""),256.6)</f>
        <v>256.6</v>
      </c>
    </row>
    <row r="76" ht="15.75" customHeight="1">
      <c r="B76" s="3">
        <f>IFERROR(__xludf.DUMMYFUNCTION("""COMPUTED_VALUE"""),39220.645833333336)</f>
        <v>39220.64583</v>
      </c>
      <c r="C76" s="2">
        <f>IFERROR(__xludf.DUMMYFUNCTION("""COMPUTED_VALUE"""),251.78)</f>
        <v>251.78</v>
      </c>
    </row>
    <row r="77" ht="15.75" customHeight="1">
      <c r="B77" s="3">
        <f>IFERROR(__xludf.DUMMYFUNCTION("""COMPUTED_VALUE"""),39227.645833333336)</f>
        <v>39227.64583</v>
      </c>
      <c r="C77" s="2">
        <f>IFERROR(__xludf.DUMMYFUNCTION("""COMPUTED_VALUE"""),283.74)</f>
        <v>283.74</v>
      </c>
    </row>
    <row r="78" ht="15.75" customHeight="1">
      <c r="B78" s="3">
        <f>IFERROR(__xludf.DUMMYFUNCTION("""COMPUTED_VALUE"""),39234.645833333336)</f>
        <v>39234.64583</v>
      </c>
      <c r="C78" s="2">
        <f>IFERROR(__xludf.DUMMYFUNCTION("""COMPUTED_VALUE"""),279.54)</f>
        <v>279.54</v>
      </c>
    </row>
    <row r="79" ht="15.75" customHeight="1">
      <c r="B79" s="3">
        <f>IFERROR(__xludf.DUMMYFUNCTION("""COMPUTED_VALUE"""),39241.645833333336)</f>
        <v>39241.64583</v>
      </c>
      <c r="C79" s="2">
        <f>IFERROR(__xludf.DUMMYFUNCTION("""COMPUTED_VALUE"""),279.99)</f>
        <v>279.99</v>
      </c>
    </row>
    <row r="80" ht="15.75" customHeight="1">
      <c r="B80" s="3">
        <f>IFERROR(__xludf.DUMMYFUNCTION("""COMPUTED_VALUE"""),39248.645833333336)</f>
        <v>39248.64583</v>
      </c>
      <c r="C80" s="2">
        <f>IFERROR(__xludf.DUMMYFUNCTION("""COMPUTED_VALUE"""),280.76)</f>
        <v>280.76</v>
      </c>
    </row>
    <row r="81" ht="15.75" customHeight="1">
      <c r="B81" s="3">
        <f>IFERROR(__xludf.DUMMYFUNCTION("""COMPUTED_VALUE"""),39255.645833333336)</f>
        <v>39255.64583</v>
      </c>
      <c r="C81" s="2">
        <f>IFERROR(__xludf.DUMMYFUNCTION("""COMPUTED_VALUE"""),286.0)</f>
        <v>286</v>
      </c>
    </row>
    <row r="82" ht="15.75" customHeight="1">
      <c r="B82" s="3">
        <f>IFERROR(__xludf.DUMMYFUNCTION("""COMPUTED_VALUE"""),39262.645833333336)</f>
        <v>39262.64583</v>
      </c>
      <c r="C82" s="2">
        <f>IFERROR(__xludf.DUMMYFUNCTION("""COMPUTED_VALUE"""),311.0)</f>
        <v>311</v>
      </c>
    </row>
    <row r="83" ht="15.75" customHeight="1">
      <c r="B83" s="3">
        <f>IFERROR(__xludf.DUMMYFUNCTION("""COMPUTED_VALUE"""),39269.645833333336)</f>
        <v>39269.64583</v>
      </c>
      <c r="C83" s="2">
        <f>IFERROR(__xludf.DUMMYFUNCTION("""COMPUTED_VALUE"""),304.4)</f>
        <v>304.4</v>
      </c>
    </row>
    <row r="84" ht="15.75" customHeight="1">
      <c r="B84" s="3">
        <f>IFERROR(__xludf.DUMMYFUNCTION("""COMPUTED_VALUE"""),39276.645833333336)</f>
        <v>39276.64583</v>
      </c>
      <c r="C84" s="2">
        <f>IFERROR(__xludf.DUMMYFUNCTION("""COMPUTED_VALUE"""),304.0)</f>
        <v>304</v>
      </c>
    </row>
    <row r="85" ht="15.75" customHeight="1">
      <c r="B85" s="3">
        <f>IFERROR(__xludf.DUMMYFUNCTION("""COMPUTED_VALUE"""),39283.645833333336)</f>
        <v>39283.64583</v>
      </c>
      <c r="C85" s="2">
        <f>IFERROR(__xludf.DUMMYFUNCTION("""COMPUTED_VALUE"""),302.76)</f>
        <v>302.76</v>
      </c>
    </row>
    <row r="86" ht="15.75" customHeight="1">
      <c r="B86" s="3">
        <f>IFERROR(__xludf.DUMMYFUNCTION("""COMPUTED_VALUE"""),39290.645833333336)</f>
        <v>39290.64583</v>
      </c>
      <c r="C86" s="2">
        <f>IFERROR(__xludf.DUMMYFUNCTION("""COMPUTED_VALUE"""),313.76)</f>
        <v>313.76</v>
      </c>
    </row>
    <row r="87" ht="15.75" customHeight="1">
      <c r="B87" s="3">
        <f>IFERROR(__xludf.DUMMYFUNCTION("""COMPUTED_VALUE"""),39297.645833333336)</f>
        <v>39297.64583</v>
      </c>
      <c r="C87" s="2">
        <f>IFERROR(__xludf.DUMMYFUNCTION("""COMPUTED_VALUE"""),261.6)</f>
        <v>261.6</v>
      </c>
    </row>
    <row r="88" ht="15.75" customHeight="1">
      <c r="B88" s="3">
        <f>IFERROR(__xludf.DUMMYFUNCTION("""COMPUTED_VALUE"""),39304.645833333336)</f>
        <v>39304.64583</v>
      </c>
      <c r="C88" s="2">
        <f>IFERROR(__xludf.DUMMYFUNCTION("""COMPUTED_VALUE"""),266.39)</f>
        <v>266.39</v>
      </c>
    </row>
    <row r="89" ht="15.75" customHeight="1">
      <c r="B89" s="3">
        <f>IFERROR(__xludf.DUMMYFUNCTION("""COMPUTED_VALUE"""),39311.645833333336)</f>
        <v>39311.64583</v>
      </c>
      <c r="C89" s="2">
        <f>IFERROR(__xludf.DUMMYFUNCTION("""COMPUTED_VALUE"""),264.58)</f>
        <v>264.58</v>
      </c>
    </row>
    <row r="90" ht="15.75" customHeight="1">
      <c r="B90" s="3">
        <f>IFERROR(__xludf.DUMMYFUNCTION("""COMPUTED_VALUE"""),39318.645833333336)</f>
        <v>39318.64583</v>
      </c>
      <c r="C90" s="2">
        <f>IFERROR(__xludf.DUMMYFUNCTION("""COMPUTED_VALUE"""),268.0)</f>
        <v>268</v>
      </c>
    </row>
    <row r="91" ht="15.75" customHeight="1">
      <c r="B91" s="3">
        <f>IFERROR(__xludf.DUMMYFUNCTION("""COMPUTED_VALUE"""),39325.645833333336)</f>
        <v>39325.64583</v>
      </c>
      <c r="C91" s="2">
        <f>IFERROR(__xludf.DUMMYFUNCTION("""COMPUTED_VALUE"""),257.0)</f>
        <v>257</v>
      </c>
    </row>
    <row r="92" ht="15.75" customHeight="1">
      <c r="B92" s="3">
        <f>IFERROR(__xludf.DUMMYFUNCTION("""COMPUTED_VALUE"""),39332.645833333336)</f>
        <v>39332.64583</v>
      </c>
      <c r="C92" s="2">
        <f>IFERROR(__xludf.DUMMYFUNCTION("""COMPUTED_VALUE"""),264.0)</f>
        <v>264</v>
      </c>
    </row>
    <row r="93" ht="15.75" customHeight="1">
      <c r="B93" s="3">
        <f>IFERROR(__xludf.DUMMYFUNCTION("""COMPUTED_VALUE"""),39339.645833333336)</f>
        <v>39339.64583</v>
      </c>
      <c r="C93" s="2">
        <f>IFERROR(__xludf.DUMMYFUNCTION("""COMPUTED_VALUE"""),280.99)</f>
        <v>280.99</v>
      </c>
    </row>
    <row r="94" ht="15.75" customHeight="1">
      <c r="B94" s="3">
        <f>IFERROR(__xludf.DUMMYFUNCTION("""COMPUTED_VALUE"""),39346.645833333336)</f>
        <v>39346.64583</v>
      </c>
      <c r="C94" s="2">
        <f>IFERROR(__xludf.DUMMYFUNCTION("""COMPUTED_VALUE"""),303.0)</f>
        <v>303</v>
      </c>
    </row>
    <row r="95" ht="15.75" customHeight="1">
      <c r="B95" s="3">
        <f>IFERROR(__xludf.DUMMYFUNCTION("""COMPUTED_VALUE"""),39353.645833333336)</f>
        <v>39353.64583</v>
      </c>
      <c r="C95" s="2">
        <f>IFERROR(__xludf.DUMMYFUNCTION("""COMPUTED_VALUE"""),295.95)</f>
        <v>295.95</v>
      </c>
    </row>
    <row r="96" ht="15.75" customHeight="1">
      <c r="B96" s="3">
        <f>IFERROR(__xludf.DUMMYFUNCTION("""COMPUTED_VALUE"""),39360.645833333336)</f>
        <v>39360.64583</v>
      </c>
      <c r="C96" s="2">
        <f>IFERROR(__xludf.DUMMYFUNCTION("""COMPUTED_VALUE"""),333.39)</f>
        <v>333.39</v>
      </c>
    </row>
    <row r="97" ht="15.75" customHeight="1">
      <c r="B97" s="3">
        <f>IFERROR(__xludf.DUMMYFUNCTION("""COMPUTED_VALUE"""),39367.645833333336)</f>
        <v>39367.64583</v>
      </c>
      <c r="C97" s="2">
        <f>IFERROR(__xludf.DUMMYFUNCTION("""COMPUTED_VALUE"""),362.2)</f>
        <v>362.2</v>
      </c>
    </row>
    <row r="98" ht="15.75" customHeight="1">
      <c r="B98" s="3">
        <f>IFERROR(__xludf.DUMMYFUNCTION("""COMPUTED_VALUE"""),39374.645833333336)</f>
        <v>39374.64583</v>
      </c>
      <c r="C98" s="2">
        <f>IFERROR(__xludf.DUMMYFUNCTION("""COMPUTED_VALUE"""),365.0)</f>
        <v>365</v>
      </c>
    </row>
    <row r="99" ht="15.75" customHeight="1">
      <c r="B99" s="3">
        <f>IFERROR(__xludf.DUMMYFUNCTION("""COMPUTED_VALUE"""),39381.645833333336)</f>
        <v>39381.64583</v>
      </c>
      <c r="C99" s="2">
        <f>IFERROR(__xludf.DUMMYFUNCTION("""COMPUTED_VALUE"""),403.2)</f>
        <v>403.2</v>
      </c>
    </row>
    <row r="100" ht="15.75" customHeight="1">
      <c r="B100" s="3">
        <f>IFERROR(__xludf.DUMMYFUNCTION("""COMPUTED_VALUE"""),39388.645833333336)</f>
        <v>39388.64583</v>
      </c>
      <c r="C100" s="2">
        <f>IFERROR(__xludf.DUMMYFUNCTION("""COMPUTED_VALUE"""),405.4)</f>
        <v>405.4</v>
      </c>
    </row>
    <row r="101" ht="15.75" customHeight="1">
      <c r="B101" s="3">
        <f>IFERROR(__xludf.DUMMYFUNCTION("""COMPUTED_VALUE"""),39402.645833333336)</f>
        <v>39402.64583</v>
      </c>
      <c r="C101" s="2">
        <f>IFERROR(__xludf.DUMMYFUNCTION("""COMPUTED_VALUE"""),423.6)</f>
        <v>423.6</v>
      </c>
    </row>
    <row r="102" ht="15.75" customHeight="1">
      <c r="B102" s="3">
        <f>IFERROR(__xludf.DUMMYFUNCTION("""COMPUTED_VALUE"""),39409.645833333336)</f>
        <v>39409.64583</v>
      </c>
      <c r="C102" s="2">
        <f>IFERROR(__xludf.DUMMYFUNCTION("""COMPUTED_VALUE"""),431.95)</f>
        <v>431.95</v>
      </c>
    </row>
    <row r="103" ht="15.75" customHeight="1">
      <c r="B103" s="3">
        <f>IFERROR(__xludf.DUMMYFUNCTION("""COMPUTED_VALUE"""),39416.645833333336)</f>
        <v>39416.64583</v>
      </c>
      <c r="C103" s="2">
        <f>IFERROR(__xludf.DUMMYFUNCTION("""COMPUTED_VALUE"""),392.9)</f>
        <v>392.9</v>
      </c>
    </row>
    <row r="104" ht="15.75" customHeight="1">
      <c r="B104" s="3">
        <f>IFERROR(__xludf.DUMMYFUNCTION("""COMPUTED_VALUE"""),39423.645833333336)</f>
        <v>39423.64583</v>
      </c>
      <c r="C104" s="2">
        <f>IFERROR(__xludf.DUMMYFUNCTION("""COMPUTED_VALUE"""),398.6)</f>
        <v>398.6</v>
      </c>
    </row>
    <row r="105" ht="15.75" customHeight="1">
      <c r="B105" s="3">
        <f>IFERROR(__xludf.DUMMYFUNCTION("""COMPUTED_VALUE"""),39430.645833333336)</f>
        <v>39430.64583</v>
      </c>
      <c r="C105" s="2">
        <f>IFERROR(__xludf.DUMMYFUNCTION("""COMPUTED_VALUE"""),411.38)</f>
        <v>411.38</v>
      </c>
    </row>
    <row r="106" ht="15.75" customHeight="1">
      <c r="B106" s="3">
        <f>IFERROR(__xludf.DUMMYFUNCTION("""COMPUTED_VALUE"""),39436.645833333336)</f>
        <v>39436.64583</v>
      </c>
      <c r="C106" s="2">
        <f>IFERROR(__xludf.DUMMYFUNCTION("""COMPUTED_VALUE"""),392.0)</f>
        <v>392</v>
      </c>
    </row>
    <row r="107" ht="15.75" customHeight="1">
      <c r="B107" s="3">
        <f>IFERROR(__xludf.DUMMYFUNCTION("""COMPUTED_VALUE"""),39444.645833333336)</f>
        <v>39444.64583</v>
      </c>
      <c r="C107" s="2">
        <f>IFERROR(__xludf.DUMMYFUNCTION("""COMPUTED_VALUE"""),391.0)</f>
        <v>391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IFERROR(__xludf.DUMMYFUNCTION("GOOGLEFINANCE(""NSE:SUZLON"", ""high"",DATE(2008,1,1),DATE(2009,1,1),""weekly"")"),"Date")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IFERROR(__xludf.DUMMYFUNCTION("""COMPUTED_VALUE"""),39451.645833333336)</f>
        <v>39451.64583</v>
      </c>
      <c r="C112" s="2">
        <f>IFERROR(__xludf.DUMMYFUNCTION("""COMPUTED_VALUE"""),410.2)</f>
        <v>410.2</v>
      </c>
    </row>
    <row r="113" ht="15.75" customHeight="1">
      <c r="B113" s="3">
        <f>IFERROR(__xludf.DUMMYFUNCTION("""COMPUTED_VALUE"""),39458.645833333336)</f>
        <v>39458.64583</v>
      </c>
      <c r="C113" s="2">
        <f>IFERROR(__xludf.DUMMYFUNCTION("""COMPUTED_VALUE"""),459.8)</f>
        <v>459.8</v>
      </c>
    </row>
    <row r="114" ht="15.75" customHeight="1">
      <c r="B114" s="3">
        <f>IFERROR(__xludf.DUMMYFUNCTION("""COMPUTED_VALUE"""),39465.645833333336)</f>
        <v>39465.64583</v>
      </c>
      <c r="C114" s="2">
        <f>IFERROR(__xludf.DUMMYFUNCTION("""COMPUTED_VALUE"""),438.0)</f>
        <v>438</v>
      </c>
    </row>
    <row r="115" ht="15.75" customHeight="1">
      <c r="B115" s="3">
        <f>IFERROR(__xludf.DUMMYFUNCTION("""COMPUTED_VALUE"""),39472.645833333336)</f>
        <v>39472.64583</v>
      </c>
      <c r="C115" s="2">
        <f>IFERROR(__xludf.DUMMYFUNCTION("""COMPUTED_VALUE"""),424.4)</f>
        <v>424.4</v>
      </c>
    </row>
    <row r="116" ht="15.75" customHeight="1">
      <c r="B116" s="3">
        <f>IFERROR(__xludf.DUMMYFUNCTION("""COMPUTED_VALUE"""),39479.645833333336)</f>
        <v>39479.64583</v>
      </c>
      <c r="C116" s="2">
        <f>IFERROR(__xludf.DUMMYFUNCTION("""COMPUTED_VALUE"""),353.0)</f>
        <v>353</v>
      </c>
    </row>
    <row r="117" ht="15.75" customHeight="1">
      <c r="B117" s="3">
        <f>IFERROR(__xludf.DUMMYFUNCTION("""COMPUTED_VALUE"""),39486.645833333336)</f>
        <v>39486.64583</v>
      </c>
      <c r="C117" s="2">
        <f>IFERROR(__xludf.DUMMYFUNCTION("""COMPUTED_VALUE"""),345.0)</f>
        <v>345</v>
      </c>
    </row>
    <row r="118" ht="15.75" customHeight="1">
      <c r="B118" s="3">
        <f>IFERROR(__xludf.DUMMYFUNCTION("""COMPUTED_VALUE"""),39493.645833333336)</f>
        <v>39493.64583</v>
      </c>
      <c r="C118" s="2">
        <f>IFERROR(__xludf.DUMMYFUNCTION("""COMPUTED_VALUE"""),340.0)</f>
        <v>340</v>
      </c>
    </row>
    <row r="119" ht="15.75" customHeight="1">
      <c r="B119" s="3">
        <f>IFERROR(__xludf.DUMMYFUNCTION("""COMPUTED_VALUE"""),39500.645833333336)</f>
        <v>39500.64583</v>
      </c>
      <c r="C119" s="2">
        <f>IFERROR(__xludf.DUMMYFUNCTION("""COMPUTED_VALUE"""),338.0)</f>
        <v>338</v>
      </c>
    </row>
    <row r="120" ht="15.75" customHeight="1">
      <c r="B120" s="3">
        <f>IFERROR(__xludf.DUMMYFUNCTION("""COMPUTED_VALUE"""),39507.645833333336)</f>
        <v>39507.64583</v>
      </c>
      <c r="C120" s="2">
        <f>IFERROR(__xludf.DUMMYFUNCTION("""COMPUTED_VALUE"""),320.85)</f>
        <v>320.85</v>
      </c>
    </row>
    <row r="121" ht="15.75" customHeight="1">
      <c r="B121" s="3">
        <f>IFERROR(__xludf.DUMMYFUNCTION("""COMPUTED_VALUE"""),39514.645833333336)</f>
        <v>39514.64583</v>
      </c>
      <c r="C121" s="2">
        <f>IFERROR(__xludf.DUMMYFUNCTION("""COMPUTED_VALUE"""),280.0)</f>
        <v>280</v>
      </c>
    </row>
    <row r="122" ht="15.75" customHeight="1">
      <c r="B122" s="3">
        <f>IFERROR(__xludf.DUMMYFUNCTION("""COMPUTED_VALUE"""),39521.645833333336)</f>
        <v>39521.64583</v>
      </c>
      <c r="C122" s="2">
        <f>IFERROR(__xludf.DUMMYFUNCTION("""COMPUTED_VALUE"""),273.45)</f>
        <v>273.45</v>
      </c>
    </row>
    <row r="123" ht="15.75" customHeight="1">
      <c r="B123" s="3">
        <f>IFERROR(__xludf.DUMMYFUNCTION("""COMPUTED_VALUE"""),39526.645833333336)</f>
        <v>39526.64583</v>
      </c>
      <c r="C123" s="2">
        <f>IFERROR(__xludf.DUMMYFUNCTION("""COMPUTED_VALUE"""),279.9)</f>
        <v>279.9</v>
      </c>
    </row>
    <row r="124" ht="15.75" customHeight="1">
      <c r="B124" s="3">
        <f>IFERROR(__xludf.DUMMYFUNCTION("""COMPUTED_VALUE"""),39535.645833333336)</f>
        <v>39535.64583</v>
      </c>
      <c r="C124" s="2">
        <f>IFERROR(__xludf.DUMMYFUNCTION("""COMPUTED_VALUE"""),273.45)</f>
        <v>273.45</v>
      </c>
    </row>
    <row r="125" ht="15.75" customHeight="1">
      <c r="B125" s="3">
        <f>IFERROR(__xludf.DUMMYFUNCTION("""COMPUTED_VALUE"""),39542.645833333336)</f>
        <v>39542.64583</v>
      </c>
      <c r="C125" s="2">
        <f>IFERROR(__xludf.DUMMYFUNCTION("""COMPUTED_VALUE"""),295.9)</f>
        <v>295.9</v>
      </c>
    </row>
    <row r="126" ht="15.75" customHeight="1">
      <c r="B126" s="3">
        <f>IFERROR(__xludf.DUMMYFUNCTION("""COMPUTED_VALUE"""),39549.645833333336)</f>
        <v>39549.64583</v>
      </c>
      <c r="C126" s="2">
        <f>IFERROR(__xludf.DUMMYFUNCTION("""COMPUTED_VALUE"""),304.85)</f>
        <v>304.85</v>
      </c>
    </row>
    <row r="127" ht="15.75" customHeight="1">
      <c r="B127" s="3">
        <f>IFERROR(__xludf.DUMMYFUNCTION("""COMPUTED_VALUE"""),39555.645833333336)</f>
        <v>39555.64583</v>
      </c>
      <c r="C127" s="2">
        <f>IFERROR(__xludf.DUMMYFUNCTION("""COMPUTED_VALUE"""),302.95)</f>
        <v>302.95</v>
      </c>
    </row>
    <row r="128" ht="15.75" customHeight="1">
      <c r="B128" s="3">
        <f>IFERROR(__xludf.DUMMYFUNCTION("""COMPUTED_VALUE"""),39563.645833333336)</f>
        <v>39563.64583</v>
      </c>
      <c r="C128" s="2">
        <f>IFERROR(__xludf.DUMMYFUNCTION("""COMPUTED_VALUE"""),316.9)</f>
        <v>316.9</v>
      </c>
    </row>
    <row r="129" ht="15.75" customHeight="1">
      <c r="B129" s="3">
        <f>IFERROR(__xludf.DUMMYFUNCTION("""COMPUTED_VALUE"""),39570.645833333336)</f>
        <v>39570.64583</v>
      </c>
      <c r="C129" s="2">
        <f>IFERROR(__xludf.DUMMYFUNCTION("""COMPUTED_VALUE"""),293.4)</f>
        <v>293.4</v>
      </c>
    </row>
    <row r="130" ht="15.75" customHeight="1">
      <c r="B130" s="3">
        <f>IFERROR(__xludf.DUMMYFUNCTION("""COMPUTED_VALUE"""),39577.645833333336)</f>
        <v>39577.64583</v>
      </c>
      <c r="C130" s="2">
        <f>IFERROR(__xludf.DUMMYFUNCTION("""COMPUTED_VALUE"""),296.4)</f>
        <v>296.4</v>
      </c>
    </row>
    <row r="131" ht="15.75" customHeight="1">
      <c r="B131" s="3">
        <f>IFERROR(__xludf.DUMMYFUNCTION("""COMPUTED_VALUE"""),39584.645833333336)</f>
        <v>39584.64583</v>
      </c>
      <c r="C131" s="2">
        <f>IFERROR(__xludf.DUMMYFUNCTION("""COMPUTED_VALUE"""),309.8)</f>
        <v>309.8</v>
      </c>
    </row>
    <row r="132" ht="15.75" customHeight="1">
      <c r="B132" s="3">
        <f>IFERROR(__xludf.DUMMYFUNCTION("""COMPUTED_VALUE"""),39591.645833333336)</f>
        <v>39591.64583</v>
      </c>
      <c r="C132" s="2">
        <f>IFERROR(__xludf.DUMMYFUNCTION("""COMPUTED_VALUE"""),320.85)</f>
        <v>320.85</v>
      </c>
    </row>
    <row r="133" ht="15.75" customHeight="1">
      <c r="B133" s="3">
        <f>IFERROR(__xludf.DUMMYFUNCTION("""COMPUTED_VALUE"""),39598.645833333336)</f>
        <v>39598.64583</v>
      </c>
      <c r="C133" s="2">
        <f>IFERROR(__xludf.DUMMYFUNCTION("""COMPUTED_VALUE"""),310.5)</f>
        <v>310.5</v>
      </c>
    </row>
    <row r="134" ht="15.75" customHeight="1">
      <c r="B134" s="3">
        <f>IFERROR(__xludf.DUMMYFUNCTION("""COMPUTED_VALUE"""),39605.645833333336)</f>
        <v>39605.64583</v>
      </c>
      <c r="C134" s="2">
        <f>IFERROR(__xludf.DUMMYFUNCTION("""COMPUTED_VALUE"""),287.75)</f>
        <v>287.75</v>
      </c>
    </row>
    <row r="135" ht="15.75" customHeight="1">
      <c r="B135" s="3">
        <f>IFERROR(__xludf.DUMMYFUNCTION("""COMPUTED_VALUE"""),39612.645833333336)</f>
        <v>39612.64583</v>
      </c>
      <c r="C135" s="2">
        <f>IFERROR(__xludf.DUMMYFUNCTION("""COMPUTED_VALUE"""),279.95)</f>
        <v>279.95</v>
      </c>
    </row>
    <row r="136" ht="15.75" customHeight="1">
      <c r="B136" s="3">
        <f>IFERROR(__xludf.DUMMYFUNCTION("""COMPUTED_VALUE"""),39619.645833333336)</f>
        <v>39619.64583</v>
      </c>
      <c r="C136" s="2">
        <f>IFERROR(__xludf.DUMMYFUNCTION("""COMPUTED_VALUE"""),255.9)</f>
        <v>255.9</v>
      </c>
    </row>
    <row r="137" ht="15.75" customHeight="1">
      <c r="B137" s="3">
        <f>IFERROR(__xludf.DUMMYFUNCTION("""COMPUTED_VALUE"""),39626.645833333336)</f>
        <v>39626.64583</v>
      </c>
      <c r="C137" s="2">
        <f>IFERROR(__xludf.DUMMYFUNCTION("""COMPUTED_VALUE"""),249.0)</f>
        <v>249</v>
      </c>
    </row>
    <row r="138" ht="15.75" customHeight="1">
      <c r="B138" s="3">
        <f>IFERROR(__xludf.DUMMYFUNCTION("""COMPUTED_VALUE"""),39633.645833333336)</f>
        <v>39633.64583</v>
      </c>
      <c r="C138" s="2">
        <f>IFERROR(__xludf.DUMMYFUNCTION("""COMPUTED_VALUE"""),237.0)</f>
        <v>237</v>
      </c>
    </row>
    <row r="139" ht="15.75" customHeight="1">
      <c r="B139" s="3">
        <f>IFERROR(__xludf.DUMMYFUNCTION("""COMPUTED_VALUE"""),39640.645833333336)</f>
        <v>39640.64583</v>
      </c>
      <c r="C139" s="2">
        <f>IFERROR(__xludf.DUMMYFUNCTION("""COMPUTED_VALUE"""),211.0)</f>
        <v>211</v>
      </c>
    </row>
    <row r="140" ht="15.75" customHeight="1">
      <c r="B140" s="3">
        <f>IFERROR(__xludf.DUMMYFUNCTION("""COMPUTED_VALUE"""),39647.645833333336)</f>
        <v>39647.64583</v>
      </c>
      <c r="C140" s="2">
        <f>IFERROR(__xludf.DUMMYFUNCTION("""COMPUTED_VALUE"""),207.0)</f>
        <v>207</v>
      </c>
    </row>
    <row r="141" ht="15.75" customHeight="1">
      <c r="B141" s="3">
        <f>IFERROR(__xludf.DUMMYFUNCTION("""COMPUTED_VALUE"""),39654.645833333336)</f>
        <v>39654.64583</v>
      </c>
      <c r="C141" s="2">
        <f>IFERROR(__xludf.DUMMYFUNCTION("""COMPUTED_VALUE"""),228.8)</f>
        <v>228.8</v>
      </c>
    </row>
    <row r="142" ht="15.75" customHeight="1">
      <c r="B142" s="3">
        <f>IFERROR(__xludf.DUMMYFUNCTION("""COMPUTED_VALUE"""),39661.645833333336)</f>
        <v>39661.64583</v>
      </c>
      <c r="C142" s="2">
        <f>IFERROR(__xludf.DUMMYFUNCTION("""COMPUTED_VALUE"""),240.8)</f>
        <v>240.8</v>
      </c>
    </row>
    <row r="143" ht="15.75" customHeight="1">
      <c r="B143" s="3">
        <f>IFERROR(__xludf.DUMMYFUNCTION("""COMPUTED_VALUE"""),39668.645833333336)</f>
        <v>39668.64583</v>
      </c>
      <c r="C143" s="2">
        <f>IFERROR(__xludf.DUMMYFUNCTION("""COMPUTED_VALUE"""),250.8)</f>
        <v>250.8</v>
      </c>
    </row>
    <row r="144" ht="15.75" customHeight="1">
      <c r="B144" s="3">
        <f>IFERROR(__xludf.DUMMYFUNCTION("""COMPUTED_VALUE"""),39674.645833333336)</f>
        <v>39674.64583</v>
      </c>
      <c r="C144" s="2">
        <f>IFERROR(__xludf.DUMMYFUNCTION("""COMPUTED_VALUE"""),253.85)</f>
        <v>253.85</v>
      </c>
    </row>
    <row r="145" ht="15.75" customHeight="1">
      <c r="B145" s="3">
        <f>IFERROR(__xludf.DUMMYFUNCTION("""COMPUTED_VALUE"""),39682.645833333336)</f>
        <v>39682.64583</v>
      </c>
      <c r="C145" s="2">
        <f>IFERROR(__xludf.DUMMYFUNCTION("""COMPUTED_VALUE"""),242.0)</f>
        <v>242</v>
      </c>
    </row>
    <row r="146" ht="15.75" customHeight="1">
      <c r="B146" s="3">
        <f>IFERROR(__xludf.DUMMYFUNCTION("""COMPUTED_VALUE"""),39689.645833333336)</f>
        <v>39689.64583</v>
      </c>
      <c r="C146" s="2">
        <f>IFERROR(__xludf.DUMMYFUNCTION("""COMPUTED_VALUE"""),234.0)</f>
        <v>234</v>
      </c>
    </row>
    <row r="147" ht="15.75" customHeight="1">
      <c r="B147" s="3">
        <f>IFERROR(__xludf.DUMMYFUNCTION("""COMPUTED_VALUE"""),39696.645833333336)</f>
        <v>39696.64583</v>
      </c>
      <c r="C147" s="2">
        <f>IFERROR(__xludf.DUMMYFUNCTION("""COMPUTED_VALUE"""),233.65)</f>
        <v>233.65</v>
      </c>
    </row>
    <row r="148" ht="15.75" customHeight="1">
      <c r="B148" s="3">
        <f>IFERROR(__xludf.DUMMYFUNCTION("""COMPUTED_VALUE"""),39703.645833333336)</f>
        <v>39703.64583</v>
      </c>
      <c r="C148" s="2">
        <f>IFERROR(__xludf.DUMMYFUNCTION("""COMPUTED_VALUE"""),245.8)</f>
        <v>245.8</v>
      </c>
    </row>
    <row r="149" ht="15.75" customHeight="1">
      <c r="B149" s="3">
        <f>IFERROR(__xludf.DUMMYFUNCTION("""COMPUTED_VALUE"""),39710.645833333336)</f>
        <v>39710.64583</v>
      </c>
      <c r="C149" s="2">
        <f>IFERROR(__xludf.DUMMYFUNCTION("""COMPUTED_VALUE"""),234.0)</f>
        <v>234</v>
      </c>
    </row>
    <row r="150" ht="15.75" customHeight="1">
      <c r="B150" s="3">
        <f>IFERROR(__xludf.DUMMYFUNCTION("""COMPUTED_VALUE"""),39717.645833333336)</f>
        <v>39717.64583</v>
      </c>
      <c r="C150" s="2">
        <f>IFERROR(__xludf.DUMMYFUNCTION("""COMPUTED_VALUE"""),217.8)</f>
        <v>217.8</v>
      </c>
    </row>
    <row r="151" ht="15.75" customHeight="1">
      <c r="B151" s="3">
        <f>IFERROR(__xludf.DUMMYFUNCTION("""COMPUTED_VALUE"""),39724.645833333336)</f>
        <v>39724.64583</v>
      </c>
      <c r="C151" s="2">
        <f>IFERROR(__xludf.DUMMYFUNCTION("""COMPUTED_VALUE"""),178.9)</f>
        <v>178.9</v>
      </c>
    </row>
    <row r="152" ht="15.75" customHeight="1">
      <c r="B152" s="3">
        <f>IFERROR(__xludf.DUMMYFUNCTION("""COMPUTED_VALUE"""),39731.645833333336)</f>
        <v>39731.64583</v>
      </c>
      <c r="C152" s="2">
        <f>IFERROR(__xludf.DUMMYFUNCTION("""COMPUTED_VALUE"""),144.8)</f>
        <v>144.8</v>
      </c>
    </row>
    <row r="153" ht="15.75" customHeight="1">
      <c r="B153" s="3">
        <f>IFERROR(__xludf.DUMMYFUNCTION("""COMPUTED_VALUE"""),39738.645833333336)</f>
        <v>39738.64583</v>
      </c>
      <c r="C153" s="2">
        <f>IFERROR(__xludf.DUMMYFUNCTION("""COMPUTED_VALUE"""),118.75)</f>
        <v>118.75</v>
      </c>
    </row>
    <row r="154" ht="15.75" customHeight="1">
      <c r="B154" s="3">
        <f>IFERROR(__xludf.DUMMYFUNCTION("""COMPUTED_VALUE"""),39745.645833333336)</f>
        <v>39745.64583</v>
      </c>
      <c r="C154" s="2">
        <f>IFERROR(__xludf.DUMMYFUNCTION("""COMPUTED_VALUE"""),94.25)</f>
        <v>94.25</v>
      </c>
    </row>
    <row r="155" ht="15.75" customHeight="1">
      <c r="B155" s="3">
        <f>IFERROR(__xludf.DUMMYFUNCTION("""COMPUTED_VALUE"""),39752.645833333336)</f>
        <v>39752.64583</v>
      </c>
      <c r="C155" s="2">
        <f>IFERROR(__xludf.DUMMYFUNCTION("""COMPUTED_VALUE"""),55.4)</f>
        <v>55.4</v>
      </c>
    </row>
    <row r="156" ht="15.75" customHeight="1">
      <c r="B156" s="3">
        <f>IFERROR(__xludf.DUMMYFUNCTION("""COMPUTED_VALUE"""),39759.645833333336)</f>
        <v>39759.64583</v>
      </c>
      <c r="C156" s="2">
        <f>IFERROR(__xludf.DUMMYFUNCTION("""COMPUTED_VALUE"""),71.85)</f>
        <v>71.85</v>
      </c>
    </row>
    <row r="157" ht="15.75" customHeight="1">
      <c r="B157" s="3">
        <f>IFERROR(__xludf.DUMMYFUNCTION("""COMPUTED_VALUE"""),39766.645833333336)</f>
        <v>39766.64583</v>
      </c>
      <c r="C157" s="2">
        <f>IFERROR(__xludf.DUMMYFUNCTION("""COMPUTED_VALUE"""),75.4)</f>
        <v>75.4</v>
      </c>
    </row>
    <row r="158" ht="15.75" customHeight="1">
      <c r="B158" s="3">
        <f>IFERROR(__xludf.DUMMYFUNCTION("""COMPUTED_VALUE"""),39773.645833333336)</f>
        <v>39773.64583</v>
      </c>
      <c r="C158" s="2">
        <f>IFERROR(__xludf.DUMMYFUNCTION("""COMPUTED_VALUE"""),55.7)</f>
        <v>55.7</v>
      </c>
    </row>
    <row r="159" ht="15.75" customHeight="1">
      <c r="B159" s="3">
        <f>IFERROR(__xludf.DUMMYFUNCTION("""COMPUTED_VALUE"""),39780.645833333336)</f>
        <v>39780.64583</v>
      </c>
      <c r="C159" s="2">
        <f>IFERROR(__xludf.DUMMYFUNCTION("""COMPUTED_VALUE"""),50.45)</f>
        <v>50.45</v>
      </c>
    </row>
    <row r="160" ht="15.75" customHeight="1">
      <c r="B160" s="3">
        <f>IFERROR(__xludf.DUMMYFUNCTION("""COMPUTED_VALUE"""),39787.645833333336)</f>
        <v>39787.64583</v>
      </c>
      <c r="C160" s="2">
        <f>IFERROR(__xludf.DUMMYFUNCTION("""COMPUTED_VALUE"""),45.15)</f>
        <v>45.15</v>
      </c>
    </row>
    <row r="161" ht="15.75" customHeight="1">
      <c r="B161" s="3">
        <f>IFERROR(__xludf.DUMMYFUNCTION("""COMPUTED_VALUE"""),39794.645833333336)</f>
        <v>39794.64583</v>
      </c>
      <c r="C161" s="2">
        <f>IFERROR(__xludf.DUMMYFUNCTION("""COMPUTED_VALUE"""),54.1)</f>
        <v>54.1</v>
      </c>
    </row>
    <row r="162" ht="15.75" customHeight="1">
      <c r="B162" s="3">
        <f>IFERROR(__xludf.DUMMYFUNCTION("""COMPUTED_VALUE"""),39801.645833333336)</f>
        <v>39801.64583</v>
      </c>
      <c r="C162" s="2">
        <f>IFERROR(__xludf.DUMMYFUNCTION("""COMPUTED_VALUE"""),62.25)</f>
        <v>62.25</v>
      </c>
    </row>
    <row r="163" ht="15.75" customHeight="1">
      <c r="B163" s="3">
        <f>IFERROR(__xludf.DUMMYFUNCTION("""COMPUTED_VALUE"""),39808.645833333336)</f>
        <v>39808.64583</v>
      </c>
      <c r="C163" s="2">
        <f>IFERROR(__xludf.DUMMYFUNCTION("""COMPUTED_VALUE"""),62.75)</f>
        <v>62.75</v>
      </c>
    </row>
    <row r="164" ht="15.75" customHeight="1"/>
    <row r="165" ht="15.75" customHeight="1"/>
    <row r="166" ht="15.75" customHeight="1">
      <c r="B166" s="2" t="str">
        <f>IFERROR(__xludf.DUMMYFUNCTION("GOOGLEFINANCE(""NSE:SUZLON"", ""high"",DATE(2009,1,1),DATE(2010,1,1),""weekly"")"),"Date")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IFERROR(__xludf.DUMMYFUNCTION("""COMPUTED_VALUE"""),39815.645833333336)</f>
        <v>39815.64583</v>
      </c>
      <c r="C167" s="2">
        <f>IFERROR(__xludf.DUMMYFUNCTION("""COMPUTED_VALUE"""),72.8)</f>
        <v>72.8</v>
      </c>
    </row>
    <row r="168" ht="15.75" customHeight="1">
      <c r="B168" s="3">
        <f>IFERROR(__xludf.DUMMYFUNCTION("""COMPUTED_VALUE"""),39822.645833333336)</f>
        <v>39822.64583</v>
      </c>
      <c r="C168" s="2">
        <f>IFERROR(__xludf.DUMMYFUNCTION("""COMPUTED_VALUE"""),70.15)</f>
        <v>70.15</v>
      </c>
    </row>
    <row r="169" ht="15.75" customHeight="1">
      <c r="B169" s="3">
        <f>IFERROR(__xludf.DUMMYFUNCTION("""COMPUTED_VALUE"""),39829.645833333336)</f>
        <v>39829.64583</v>
      </c>
      <c r="C169" s="2">
        <f>IFERROR(__xludf.DUMMYFUNCTION("""COMPUTED_VALUE"""),54.2)</f>
        <v>54.2</v>
      </c>
    </row>
    <row r="170" ht="15.75" customHeight="1">
      <c r="B170" s="3">
        <f>IFERROR(__xludf.DUMMYFUNCTION("""COMPUTED_VALUE"""),39836.645833333336)</f>
        <v>39836.64583</v>
      </c>
      <c r="C170" s="2">
        <f>IFERROR(__xludf.DUMMYFUNCTION("""COMPUTED_VALUE"""),55.2)</f>
        <v>55.2</v>
      </c>
    </row>
    <row r="171" ht="15.75" customHeight="1">
      <c r="B171" s="3">
        <f>IFERROR(__xludf.DUMMYFUNCTION("""COMPUTED_VALUE"""),39843.645833333336)</f>
        <v>39843.64583</v>
      </c>
      <c r="C171" s="2">
        <f>IFERROR(__xludf.DUMMYFUNCTION("""COMPUTED_VALUE"""),50.8)</f>
        <v>50.8</v>
      </c>
    </row>
    <row r="172" ht="15.75" customHeight="1">
      <c r="B172" s="3">
        <f>IFERROR(__xludf.DUMMYFUNCTION("""COMPUTED_VALUE"""),39850.645833333336)</f>
        <v>39850.64583</v>
      </c>
      <c r="C172" s="2">
        <f>IFERROR(__xludf.DUMMYFUNCTION("""COMPUTED_VALUE"""),47.9)</f>
        <v>47.9</v>
      </c>
    </row>
    <row r="173" ht="15.75" customHeight="1">
      <c r="B173" s="3">
        <f>IFERROR(__xludf.DUMMYFUNCTION("""COMPUTED_VALUE"""),39857.645833333336)</f>
        <v>39857.64583</v>
      </c>
      <c r="C173" s="2">
        <f>IFERROR(__xludf.DUMMYFUNCTION("""COMPUTED_VALUE"""),47.6)</f>
        <v>47.6</v>
      </c>
    </row>
    <row r="174" ht="15.75" customHeight="1">
      <c r="B174" s="3">
        <f>IFERROR(__xludf.DUMMYFUNCTION("""COMPUTED_VALUE"""),39864.645833333336)</f>
        <v>39864.64583</v>
      </c>
      <c r="C174" s="2">
        <f>IFERROR(__xludf.DUMMYFUNCTION("""COMPUTED_VALUE"""),47.45)</f>
        <v>47.45</v>
      </c>
    </row>
    <row r="175" ht="15.75" customHeight="1">
      <c r="B175" s="3">
        <f>IFERROR(__xludf.DUMMYFUNCTION("""COMPUTED_VALUE"""),39871.645833333336)</f>
        <v>39871.64583</v>
      </c>
      <c r="C175" s="2">
        <f>IFERROR(__xludf.DUMMYFUNCTION("""COMPUTED_VALUE"""),42.6)</f>
        <v>42.6</v>
      </c>
    </row>
    <row r="176" ht="15.75" customHeight="1">
      <c r="B176" s="3">
        <f>IFERROR(__xludf.DUMMYFUNCTION("""COMPUTED_VALUE"""),39878.645833333336)</f>
        <v>39878.64583</v>
      </c>
      <c r="C176" s="2">
        <f>IFERROR(__xludf.DUMMYFUNCTION("""COMPUTED_VALUE"""),40.15)</f>
        <v>40.15</v>
      </c>
    </row>
    <row r="177" ht="15.75" customHeight="1">
      <c r="B177" s="3">
        <f>IFERROR(__xludf.DUMMYFUNCTION("""COMPUTED_VALUE"""),39885.645833333336)</f>
        <v>39885.64583</v>
      </c>
      <c r="C177" s="2">
        <f>IFERROR(__xludf.DUMMYFUNCTION("""COMPUTED_VALUE"""),36.25)</f>
        <v>36.25</v>
      </c>
    </row>
    <row r="178" ht="15.75" customHeight="1">
      <c r="B178" s="3">
        <f>IFERROR(__xludf.DUMMYFUNCTION("""COMPUTED_VALUE"""),39892.645833333336)</f>
        <v>39892.64583</v>
      </c>
      <c r="C178" s="2">
        <f>IFERROR(__xludf.DUMMYFUNCTION("""COMPUTED_VALUE"""),39.65)</f>
        <v>39.65</v>
      </c>
    </row>
    <row r="179" ht="15.75" customHeight="1">
      <c r="B179" s="3">
        <f>IFERROR(__xludf.DUMMYFUNCTION("""COMPUTED_VALUE"""),39899.645833333336)</f>
        <v>39899.64583</v>
      </c>
      <c r="C179" s="2">
        <f>IFERROR(__xludf.DUMMYFUNCTION("""COMPUTED_VALUE"""),46.5)</f>
        <v>46.5</v>
      </c>
    </row>
    <row r="180" ht="15.75" customHeight="1">
      <c r="B180" s="3">
        <f>IFERROR(__xludf.DUMMYFUNCTION("""COMPUTED_VALUE"""),39905.645833333336)</f>
        <v>39905.64583</v>
      </c>
      <c r="C180" s="2">
        <f>IFERROR(__xludf.DUMMYFUNCTION("""COMPUTED_VALUE"""),52.15)</f>
        <v>52.15</v>
      </c>
    </row>
    <row r="181" ht="15.75" customHeight="1">
      <c r="B181" s="3">
        <f>IFERROR(__xludf.DUMMYFUNCTION("""COMPUTED_VALUE"""),39912.645833333336)</f>
        <v>39912.64583</v>
      </c>
      <c r="C181" s="2">
        <f>IFERROR(__xludf.DUMMYFUNCTION("""COMPUTED_VALUE"""),60.3)</f>
        <v>60.3</v>
      </c>
    </row>
    <row r="182" ht="15.75" customHeight="1">
      <c r="B182" s="3">
        <f>IFERROR(__xludf.DUMMYFUNCTION("""COMPUTED_VALUE"""),39920.645833333336)</f>
        <v>39920.64583</v>
      </c>
      <c r="C182" s="2">
        <f>IFERROR(__xludf.DUMMYFUNCTION("""COMPUTED_VALUE"""),73.15)</f>
        <v>73.15</v>
      </c>
    </row>
    <row r="183" ht="15.75" customHeight="1">
      <c r="B183" s="3">
        <f>IFERROR(__xludf.DUMMYFUNCTION("""COMPUTED_VALUE"""),39927.645833333336)</f>
        <v>39927.64583</v>
      </c>
      <c r="C183" s="2">
        <f>IFERROR(__xludf.DUMMYFUNCTION("""COMPUTED_VALUE"""),66.4)</f>
        <v>66.4</v>
      </c>
    </row>
    <row r="184" ht="15.75" customHeight="1">
      <c r="B184" s="3">
        <f>IFERROR(__xludf.DUMMYFUNCTION("""COMPUTED_VALUE"""),39932.645833333336)</f>
        <v>39932.64583</v>
      </c>
      <c r="C184" s="2">
        <f>IFERROR(__xludf.DUMMYFUNCTION("""COMPUTED_VALUE"""),67.2)</f>
        <v>67.2</v>
      </c>
    </row>
    <row r="185" ht="15.75" customHeight="1">
      <c r="B185" s="3">
        <f>IFERROR(__xludf.DUMMYFUNCTION("""COMPUTED_VALUE"""),39941.645833333336)</f>
        <v>39941.64583</v>
      </c>
      <c r="C185" s="2">
        <f>IFERROR(__xludf.DUMMYFUNCTION("""COMPUTED_VALUE"""),79.2)</f>
        <v>79.2</v>
      </c>
    </row>
    <row r="186" ht="15.75" customHeight="1">
      <c r="B186" s="3">
        <f>IFERROR(__xludf.DUMMYFUNCTION("""COMPUTED_VALUE"""),39948.645833333336)</f>
        <v>39948.64583</v>
      </c>
      <c r="C186" s="2">
        <f>IFERROR(__xludf.DUMMYFUNCTION("""COMPUTED_VALUE"""),82.75)</f>
        <v>82.75</v>
      </c>
    </row>
    <row r="187" ht="15.75" customHeight="1">
      <c r="B187" s="3">
        <f>IFERROR(__xludf.DUMMYFUNCTION("""COMPUTED_VALUE"""),39955.645833333336)</f>
        <v>39955.64583</v>
      </c>
      <c r="C187" s="2">
        <f>IFERROR(__xludf.DUMMYFUNCTION("""COMPUTED_VALUE"""),99.9)</f>
        <v>99.9</v>
      </c>
    </row>
    <row r="188" ht="15.75" customHeight="1">
      <c r="B188" s="3">
        <f>IFERROR(__xludf.DUMMYFUNCTION("""COMPUTED_VALUE"""),39962.645833333336)</f>
        <v>39962.64583</v>
      </c>
      <c r="C188" s="2">
        <f>IFERROR(__xludf.DUMMYFUNCTION("""COMPUTED_VALUE"""),99.3)</f>
        <v>99.3</v>
      </c>
    </row>
    <row r="189" ht="15.75" customHeight="1">
      <c r="B189" s="3">
        <f>IFERROR(__xludf.DUMMYFUNCTION("""COMPUTED_VALUE"""),39969.645833333336)</f>
        <v>39969.64583</v>
      </c>
      <c r="C189" s="2">
        <f>IFERROR(__xludf.DUMMYFUNCTION("""COMPUTED_VALUE"""),145.7)</f>
        <v>145.7</v>
      </c>
    </row>
    <row r="190" ht="15.75" customHeight="1">
      <c r="B190" s="3">
        <f>IFERROR(__xludf.DUMMYFUNCTION("""COMPUTED_VALUE"""),39976.645833333336)</f>
        <v>39976.64583</v>
      </c>
      <c r="C190" s="2">
        <f>IFERROR(__xludf.DUMMYFUNCTION("""COMPUTED_VALUE"""),138.75)</f>
        <v>138.75</v>
      </c>
    </row>
    <row r="191" ht="15.75" customHeight="1">
      <c r="B191" s="3">
        <f>IFERROR(__xludf.DUMMYFUNCTION("""COMPUTED_VALUE"""),39983.645833333336)</f>
        <v>39983.64583</v>
      </c>
      <c r="C191" s="2">
        <f>IFERROR(__xludf.DUMMYFUNCTION("""COMPUTED_VALUE"""),124.5)</f>
        <v>124.5</v>
      </c>
    </row>
    <row r="192" ht="15.75" customHeight="1">
      <c r="B192" s="3">
        <f>IFERROR(__xludf.DUMMYFUNCTION("""COMPUTED_VALUE"""),39990.645833333336)</f>
        <v>39990.64583</v>
      </c>
      <c r="C192" s="2">
        <f>IFERROR(__xludf.DUMMYFUNCTION("""COMPUTED_VALUE"""),124.5)</f>
        <v>124.5</v>
      </c>
    </row>
    <row r="193" ht="15.75" customHeight="1">
      <c r="B193" s="3">
        <f>IFERROR(__xludf.DUMMYFUNCTION("""COMPUTED_VALUE"""),39997.645833333336)</f>
        <v>39997.64583</v>
      </c>
      <c r="C193" s="2">
        <f>IFERROR(__xludf.DUMMYFUNCTION("""COMPUTED_VALUE"""),124.0)</f>
        <v>124</v>
      </c>
    </row>
    <row r="194" ht="15.75" customHeight="1">
      <c r="B194" s="3">
        <f>IFERROR(__xludf.DUMMYFUNCTION("""COMPUTED_VALUE"""),40004.645833333336)</f>
        <v>40004.64583</v>
      </c>
      <c r="C194" s="2">
        <f>IFERROR(__xludf.DUMMYFUNCTION("""COMPUTED_VALUE"""),110.55)</f>
        <v>110.55</v>
      </c>
    </row>
    <row r="195" ht="15.75" customHeight="1">
      <c r="B195" s="3">
        <f>IFERROR(__xludf.DUMMYFUNCTION("""COMPUTED_VALUE"""),40011.645833333336)</f>
        <v>40011.64583</v>
      </c>
      <c r="C195" s="2">
        <f>IFERROR(__xludf.DUMMYFUNCTION("""COMPUTED_VALUE"""),98.45)</f>
        <v>98.45</v>
      </c>
    </row>
    <row r="196" ht="15.75" customHeight="1">
      <c r="B196" s="3">
        <f>IFERROR(__xludf.DUMMYFUNCTION("""COMPUTED_VALUE"""),40018.645833333336)</f>
        <v>40018.64583</v>
      </c>
      <c r="C196" s="2">
        <f>IFERROR(__xludf.DUMMYFUNCTION("""COMPUTED_VALUE"""),104.5)</f>
        <v>104.5</v>
      </c>
    </row>
    <row r="197" ht="15.75" customHeight="1">
      <c r="B197" s="3">
        <f>IFERROR(__xludf.DUMMYFUNCTION("""COMPUTED_VALUE"""),40025.645833333336)</f>
        <v>40025.64583</v>
      </c>
      <c r="C197" s="2">
        <f>IFERROR(__xludf.DUMMYFUNCTION("""COMPUTED_VALUE"""),109.0)</f>
        <v>109</v>
      </c>
    </row>
    <row r="198" ht="15.75" customHeight="1">
      <c r="B198" s="3">
        <f>IFERROR(__xludf.DUMMYFUNCTION("""COMPUTED_VALUE"""),40032.645833333336)</f>
        <v>40032.64583</v>
      </c>
      <c r="C198" s="2">
        <f>IFERROR(__xludf.DUMMYFUNCTION("""COMPUTED_VALUE"""),98.7)</f>
        <v>98.7</v>
      </c>
    </row>
    <row r="199" ht="15.75" customHeight="1">
      <c r="B199" s="3">
        <f>IFERROR(__xludf.DUMMYFUNCTION("""COMPUTED_VALUE"""),40039.645833333336)</f>
        <v>40039.64583</v>
      </c>
      <c r="C199" s="2">
        <f>IFERROR(__xludf.DUMMYFUNCTION("""COMPUTED_VALUE"""),91.65)</f>
        <v>91.65</v>
      </c>
    </row>
    <row r="200" ht="15.75" customHeight="1">
      <c r="B200" s="3">
        <f>IFERROR(__xludf.DUMMYFUNCTION("""COMPUTED_VALUE"""),40046.645833333336)</f>
        <v>40046.64583</v>
      </c>
      <c r="C200" s="2">
        <f>IFERROR(__xludf.DUMMYFUNCTION("""COMPUTED_VALUE"""),89.9)</f>
        <v>89.9</v>
      </c>
    </row>
    <row r="201" ht="15.75" customHeight="1">
      <c r="B201" s="3">
        <f>IFERROR(__xludf.DUMMYFUNCTION("""COMPUTED_VALUE"""),40053.645833333336)</f>
        <v>40053.64583</v>
      </c>
      <c r="C201" s="2">
        <f>IFERROR(__xludf.DUMMYFUNCTION("""COMPUTED_VALUE"""),95.0)</f>
        <v>95</v>
      </c>
    </row>
    <row r="202" ht="15.75" customHeight="1">
      <c r="B202" s="3">
        <f>IFERROR(__xludf.DUMMYFUNCTION("""COMPUTED_VALUE"""),40060.645833333336)</f>
        <v>40060.64583</v>
      </c>
      <c r="C202" s="2">
        <f>IFERROR(__xludf.DUMMYFUNCTION("""COMPUTED_VALUE"""),102.45)</f>
        <v>102.45</v>
      </c>
    </row>
    <row r="203" ht="15.75" customHeight="1">
      <c r="B203" s="3">
        <f>IFERROR(__xludf.DUMMYFUNCTION("""COMPUTED_VALUE"""),40067.645833333336)</f>
        <v>40067.64583</v>
      </c>
      <c r="C203" s="2">
        <f>IFERROR(__xludf.DUMMYFUNCTION("""COMPUTED_VALUE"""),105.0)</f>
        <v>105</v>
      </c>
    </row>
    <row r="204" ht="15.75" customHeight="1">
      <c r="B204" s="3">
        <f>IFERROR(__xludf.DUMMYFUNCTION("""COMPUTED_VALUE"""),40074.645833333336)</f>
        <v>40074.64583</v>
      </c>
      <c r="C204" s="2">
        <f>IFERROR(__xludf.DUMMYFUNCTION("""COMPUTED_VALUE"""),100.5)</f>
        <v>100.5</v>
      </c>
    </row>
    <row r="205" ht="15.75" customHeight="1">
      <c r="B205" s="3">
        <f>IFERROR(__xludf.DUMMYFUNCTION("""COMPUTED_VALUE"""),40081.645833333336)</f>
        <v>40081.64583</v>
      </c>
      <c r="C205" s="2">
        <f>IFERROR(__xludf.DUMMYFUNCTION("""COMPUTED_VALUE"""),101.95)</f>
        <v>101.95</v>
      </c>
    </row>
    <row r="206" ht="15.75" customHeight="1">
      <c r="B206" s="3">
        <f>IFERROR(__xludf.DUMMYFUNCTION("""COMPUTED_VALUE"""),40087.645833333336)</f>
        <v>40087.64583</v>
      </c>
      <c r="C206" s="2">
        <f>IFERROR(__xludf.DUMMYFUNCTION("""COMPUTED_VALUE"""),93.7)</f>
        <v>93.7</v>
      </c>
    </row>
    <row r="207" ht="15.75" customHeight="1">
      <c r="B207" s="3">
        <f>IFERROR(__xludf.DUMMYFUNCTION("""COMPUTED_VALUE"""),40095.645833333336)</f>
        <v>40095.64583</v>
      </c>
      <c r="C207" s="2">
        <f>IFERROR(__xludf.DUMMYFUNCTION("""COMPUTED_VALUE"""),91.9)</f>
        <v>91.9</v>
      </c>
    </row>
    <row r="208" ht="15.75" customHeight="1">
      <c r="B208" s="3">
        <f>IFERROR(__xludf.DUMMYFUNCTION("""COMPUTED_VALUE"""),40109.645833333336)</f>
        <v>40109.64583</v>
      </c>
      <c r="C208" s="2">
        <f>IFERROR(__xludf.DUMMYFUNCTION("""COMPUTED_VALUE"""),90.35)</f>
        <v>90.35</v>
      </c>
    </row>
    <row r="209" ht="15.75" customHeight="1">
      <c r="B209" s="3">
        <f>IFERROR(__xludf.DUMMYFUNCTION("""COMPUTED_VALUE"""),40116.645833333336)</f>
        <v>40116.64583</v>
      </c>
      <c r="C209" s="2">
        <f>IFERROR(__xludf.DUMMYFUNCTION("""COMPUTED_VALUE"""),84.95)</f>
        <v>84.95</v>
      </c>
    </row>
    <row r="210" ht="15.75" customHeight="1">
      <c r="B210" s="3">
        <f>IFERROR(__xludf.DUMMYFUNCTION("""COMPUTED_VALUE"""),40123.645833333336)</f>
        <v>40123.64583</v>
      </c>
      <c r="C210" s="2">
        <f>IFERROR(__xludf.DUMMYFUNCTION("""COMPUTED_VALUE"""),68.3)</f>
        <v>68.3</v>
      </c>
    </row>
    <row r="211" ht="15.75" customHeight="1">
      <c r="B211" s="3">
        <f>IFERROR(__xludf.DUMMYFUNCTION("""COMPUTED_VALUE"""),40130.645833333336)</f>
        <v>40130.64583</v>
      </c>
      <c r="C211" s="2">
        <f>IFERROR(__xludf.DUMMYFUNCTION("""COMPUTED_VALUE"""),71.25)</f>
        <v>71.25</v>
      </c>
    </row>
    <row r="212" ht="15.75" customHeight="1">
      <c r="B212" s="3">
        <f>IFERROR(__xludf.DUMMYFUNCTION("""COMPUTED_VALUE"""),40137.645833333336)</f>
        <v>40137.64583</v>
      </c>
      <c r="C212" s="2">
        <f>IFERROR(__xludf.DUMMYFUNCTION("""COMPUTED_VALUE"""),79.9)</f>
        <v>79.9</v>
      </c>
    </row>
    <row r="213" ht="15.75" customHeight="1">
      <c r="B213" s="3">
        <f>IFERROR(__xludf.DUMMYFUNCTION("""COMPUTED_VALUE"""),40144.645833333336)</f>
        <v>40144.64583</v>
      </c>
      <c r="C213" s="2">
        <f>IFERROR(__xludf.DUMMYFUNCTION("""COMPUTED_VALUE"""),74.95)</f>
        <v>74.95</v>
      </c>
    </row>
    <row r="214" ht="15.75" customHeight="1">
      <c r="B214" s="3">
        <f>IFERROR(__xludf.DUMMYFUNCTION("""COMPUTED_VALUE"""),40151.645833333336)</f>
        <v>40151.64583</v>
      </c>
      <c r="C214" s="2">
        <f>IFERROR(__xludf.DUMMYFUNCTION("""COMPUTED_VALUE"""),87.6)</f>
        <v>87.6</v>
      </c>
    </row>
    <row r="215" ht="15.75" customHeight="1">
      <c r="B215" s="3">
        <f>IFERROR(__xludf.DUMMYFUNCTION("""COMPUTED_VALUE"""),40158.645833333336)</f>
        <v>40158.64583</v>
      </c>
      <c r="C215" s="2">
        <f>IFERROR(__xludf.DUMMYFUNCTION("""COMPUTED_VALUE"""),86.5)</f>
        <v>86.5</v>
      </c>
    </row>
    <row r="216" ht="15.75" customHeight="1">
      <c r="B216" s="3">
        <f>IFERROR(__xludf.DUMMYFUNCTION("""COMPUTED_VALUE"""),40165.645833333336)</f>
        <v>40165.64583</v>
      </c>
      <c r="C216" s="2">
        <f>IFERROR(__xludf.DUMMYFUNCTION("""COMPUTED_VALUE"""),84.4)</f>
        <v>84.4</v>
      </c>
    </row>
    <row r="217" ht="15.75" customHeight="1">
      <c r="B217" s="3">
        <f>IFERROR(__xludf.DUMMYFUNCTION("""COMPUTED_VALUE"""),40171.645833333336)</f>
        <v>40171.64583</v>
      </c>
      <c r="C217" s="2">
        <f>IFERROR(__xludf.DUMMYFUNCTION("""COMPUTED_VALUE"""),89.5)</f>
        <v>89.5</v>
      </c>
    </row>
    <row r="218" ht="15.75" customHeight="1">
      <c r="B218" s="3">
        <f>IFERROR(__xludf.DUMMYFUNCTION("""COMPUTED_VALUE"""),40178.645833333336)</f>
        <v>40178.64583</v>
      </c>
      <c r="C218" s="2">
        <f>IFERROR(__xludf.DUMMYFUNCTION("""COMPUTED_VALUE"""),91.7)</f>
        <v>91.7</v>
      </c>
    </row>
    <row r="219" ht="15.75" customHeight="1"/>
    <row r="220" ht="15.75" customHeight="1"/>
    <row r="221" ht="15.75" customHeight="1">
      <c r="B221" s="2" t="str">
        <f>IFERROR(__xludf.DUMMYFUNCTION("GOOGLEFINANCE(""NSE:SUZLON"", ""high"",DATE(2010,1,1),DATE(2011,1,1),""weekly"")"),"Date")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IFERROR(__xludf.DUMMYFUNCTION("""COMPUTED_VALUE"""),40186.645833333336)</f>
        <v>40186.64583</v>
      </c>
      <c r="C222" s="2">
        <f>IFERROR(__xludf.DUMMYFUNCTION("""COMPUTED_VALUE"""),94.3)</f>
        <v>94.3</v>
      </c>
    </row>
    <row r="223" ht="15.75" customHeight="1">
      <c r="B223" s="3">
        <f>IFERROR(__xludf.DUMMYFUNCTION("""COMPUTED_VALUE"""),40193.645833333336)</f>
        <v>40193.64583</v>
      </c>
      <c r="C223" s="2">
        <f>IFERROR(__xludf.DUMMYFUNCTION("""COMPUTED_VALUE"""),95.4)</f>
        <v>95.4</v>
      </c>
    </row>
    <row r="224" ht="15.75" customHeight="1">
      <c r="B224" s="3">
        <f>IFERROR(__xludf.DUMMYFUNCTION("""COMPUTED_VALUE"""),40200.645833333336)</f>
        <v>40200.64583</v>
      </c>
      <c r="C224" s="2">
        <f>IFERROR(__xludf.DUMMYFUNCTION("""COMPUTED_VALUE"""),91.25)</f>
        <v>91.25</v>
      </c>
    </row>
    <row r="225" ht="15.75" customHeight="1">
      <c r="B225" s="3">
        <f>IFERROR(__xludf.DUMMYFUNCTION("""COMPUTED_VALUE"""),40207.645833333336)</f>
        <v>40207.64583</v>
      </c>
      <c r="C225" s="2">
        <f>IFERROR(__xludf.DUMMYFUNCTION("""COMPUTED_VALUE"""),80.0)</f>
        <v>80</v>
      </c>
    </row>
    <row r="226" ht="15.75" customHeight="1">
      <c r="B226" s="3">
        <f>IFERROR(__xludf.DUMMYFUNCTION("""COMPUTED_VALUE"""),40220.645833333336)</f>
        <v>40220.64583</v>
      </c>
      <c r="C226" s="2">
        <f>IFERROR(__xludf.DUMMYFUNCTION("""COMPUTED_VALUE"""),75.75)</f>
        <v>75.75</v>
      </c>
    </row>
    <row r="227" ht="15.75" customHeight="1">
      <c r="B227" s="3">
        <f>IFERROR(__xludf.DUMMYFUNCTION("""COMPUTED_VALUE"""),40228.645833333336)</f>
        <v>40228.64583</v>
      </c>
      <c r="C227" s="2">
        <f>IFERROR(__xludf.DUMMYFUNCTION("""COMPUTED_VALUE"""),75.65)</f>
        <v>75.65</v>
      </c>
    </row>
    <row r="228" ht="15.75" customHeight="1">
      <c r="B228" s="3">
        <f>IFERROR(__xludf.DUMMYFUNCTION("""COMPUTED_VALUE"""),40235.645833333336)</f>
        <v>40235.64583</v>
      </c>
      <c r="C228" s="2">
        <f>IFERROR(__xludf.DUMMYFUNCTION("""COMPUTED_VALUE"""),72.75)</f>
        <v>72.75</v>
      </c>
    </row>
    <row r="229" ht="15.75" customHeight="1">
      <c r="B229" s="3">
        <f>IFERROR(__xludf.DUMMYFUNCTION("""COMPUTED_VALUE"""),40242.645833333336)</f>
        <v>40242.64583</v>
      </c>
      <c r="C229" s="2">
        <f>IFERROR(__xludf.DUMMYFUNCTION("""COMPUTED_VALUE"""),81.3)</f>
        <v>81.3</v>
      </c>
    </row>
    <row r="230" ht="15.75" customHeight="1">
      <c r="B230" s="3">
        <f>IFERROR(__xludf.DUMMYFUNCTION("""COMPUTED_VALUE"""),40249.645833333336)</f>
        <v>40249.64583</v>
      </c>
      <c r="C230" s="2">
        <f>IFERROR(__xludf.DUMMYFUNCTION("""COMPUTED_VALUE"""),82.7)</f>
        <v>82.7</v>
      </c>
    </row>
    <row r="231" ht="15.75" customHeight="1">
      <c r="B231" s="3">
        <f>IFERROR(__xludf.DUMMYFUNCTION("""COMPUTED_VALUE"""),40256.645833333336)</f>
        <v>40256.64583</v>
      </c>
      <c r="C231" s="2">
        <f>IFERROR(__xludf.DUMMYFUNCTION("""COMPUTED_VALUE"""),76.75)</f>
        <v>76.75</v>
      </c>
    </row>
    <row r="232" ht="15.75" customHeight="1">
      <c r="B232" s="3">
        <f>IFERROR(__xludf.DUMMYFUNCTION("""COMPUTED_VALUE"""),40263.645833333336)</f>
        <v>40263.64583</v>
      </c>
      <c r="C232" s="2">
        <f>IFERROR(__xludf.DUMMYFUNCTION("""COMPUTED_VALUE"""),75.0)</f>
        <v>75</v>
      </c>
    </row>
    <row r="233" ht="15.75" customHeight="1">
      <c r="B233" s="3">
        <f>IFERROR(__xludf.DUMMYFUNCTION("""COMPUTED_VALUE"""),40269.645833333336)</f>
        <v>40269.64583</v>
      </c>
      <c r="C233" s="2">
        <f>IFERROR(__xludf.DUMMYFUNCTION("""COMPUTED_VALUE"""),74.25)</f>
        <v>74.25</v>
      </c>
    </row>
    <row r="234" ht="15.75" customHeight="1">
      <c r="B234" s="3">
        <f>IFERROR(__xludf.DUMMYFUNCTION("""COMPUTED_VALUE"""),40277.645833333336)</f>
        <v>40277.64583</v>
      </c>
      <c r="C234" s="2">
        <f>IFERROR(__xludf.DUMMYFUNCTION("""COMPUTED_VALUE"""),76.2)</f>
        <v>76.2</v>
      </c>
    </row>
    <row r="235" ht="15.75" customHeight="1">
      <c r="B235" s="3">
        <f>IFERROR(__xludf.DUMMYFUNCTION("""COMPUTED_VALUE"""),40284.645833333336)</f>
        <v>40284.64583</v>
      </c>
      <c r="C235" s="2">
        <f>IFERROR(__xludf.DUMMYFUNCTION("""COMPUTED_VALUE"""),75.85)</f>
        <v>75.85</v>
      </c>
    </row>
    <row r="236" ht="15.75" customHeight="1">
      <c r="B236" s="3">
        <f>IFERROR(__xludf.DUMMYFUNCTION("""COMPUTED_VALUE"""),40291.645833333336)</f>
        <v>40291.64583</v>
      </c>
      <c r="C236" s="2">
        <f>IFERROR(__xludf.DUMMYFUNCTION("""COMPUTED_VALUE"""),73.25)</f>
        <v>73.25</v>
      </c>
    </row>
    <row r="237" ht="15.75" customHeight="1">
      <c r="B237" s="3">
        <f>IFERROR(__xludf.DUMMYFUNCTION("""COMPUTED_VALUE"""),40298.645833333336)</f>
        <v>40298.64583</v>
      </c>
      <c r="C237" s="2">
        <f>IFERROR(__xludf.DUMMYFUNCTION("""COMPUTED_VALUE"""),72.4)</f>
        <v>72.4</v>
      </c>
    </row>
    <row r="238" ht="15.75" customHeight="1">
      <c r="B238" s="3">
        <f>IFERROR(__xludf.DUMMYFUNCTION("""COMPUTED_VALUE"""),40305.645833333336)</f>
        <v>40305.64583</v>
      </c>
      <c r="C238" s="2">
        <f>IFERROR(__xludf.DUMMYFUNCTION("""COMPUTED_VALUE"""),71.75)</f>
        <v>71.75</v>
      </c>
    </row>
    <row r="239" ht="15.75" customHeight="1">
      <c r="B239" s="3">
        <f>IFERROR(__xludf.DUMMYFUNCTION("""COMPUTED_VALUE"""),40312.645833333336)</f>
        <v>40312.64583</v>
      </c>
      <c r="C239" s="2">
        <f>IFERROR(__xludf.DUMMYFUNCTION("""COMPUTED_VALUE"""),70.7)</f>
        <v>70.7</v>
      </c>
    </row>
    <row r="240" ht="15.75" customHeight="1">
      <c r="B240" s="3">
        <f>IFERROR(__xludf.DUMMYFUNCTION("""COMPUTED_VALUE"""),40319.645833333336)</f>
        <v>40319.64583</v>
      </c>
      <c r="C240" s="2">
        <f>IFERROR(__xludf.DUMMYFUNCTION("""COMPUTED_VALUE"""),65.6)</f>
        <v>65.6</v>
      </c>
    </row>
    <row r="241" ht="15.75" customHeight="1">
      <c r="B241" s="3">
        <f>IFERROR(__xludf.DUMMYFUNCTION("""COMPUTED_VALUE"""),40326.645833333336)</f>
        <v>40326.64583</v>
      </c>
      <c r="C241" s="2">
        <f>IFERROR(__xludf.DUMMYFUNCTION("""COMPUTED_VALUE"""),61.5)</f>
        <v>61.5</v>
      </c>
    </row>
    <row r="242" ht="15.75" customHeight="1">
      <c r="B242" s="3">
        <f>IFERROR(__xludf.DUMMYFUNCTION("""COMPUTED_VALUE"""),40333.645833333336)</f>
        <v>40333.64583</v>
      </c>
      <c r="C242" s="2">
        <f>IFERROR(__xludf.DUMMYFUNCTION("""COMPUTED_VALUE"""),61.45)</f>
        <v>61.45</v>
      </c>
    </row>
    <row r="243" ht="15.75" customHeight="1">
      <c r="B243" s="3">
        <f>IFERROR(__xludf.DUMMYFUNCTION("""COMPUTED_VALUE"""),40340.645833333336)</f>
        <v>40340.64583</v>
      </c>
      <c r="C243" s="2">
        <f>IFERROR(__xludf.DUMMYFUNCTION("""COMPUTED_VALUE"""),55.2)</f>
        <v>55.2</v>
      </c>
    </row>
    <row r="244" ht="15.75" customHeight="1">
      <c r="B244" s="3">
        <f>IFERROR(__xludf.DUMMYFUNCTION("""COMPUTED_VALUE"""),40347.645833333336)</f>
        <v>40347.64583</v>
      </c>
      <c r="C244" s="2">
        <f>IFERROR(__xludf.DUMMYFUNCTION("""COMPUTED_VALUE"""),58.55)</f>
        <v>58.55</v>
      </c>
    </row>
    <row r="245" ht="15.75" customHeight="1">
      <c r="B245" s="3">
        <f>IFERROR(__xludf.DUMMYFUNCTION("""COMPUTED_VALUE"""),40354.645833333336)</f>
        <v>40354.64583</v>
      </c>
      <c r="C245" s="2">
        <f>IFERROR(__xludf.DUMMYFUNCTION("""COMPUTED_VALUE"""),59.1)</f>
        <v>59.1</v>
      </c>
    </row>
    <row r="246" ht="15.75" customHeight="1">
      <c r="B246" s="3">
        <f>IFERROR(__xludf.DUMMYFUNCTION("""COMPUTED_VALUE"""),40361.645833333336)</f>
        <v>40361.64583</v>
      </c>
      <c r="C246" s="2">
        <f>IFERROR(__xludf.DUMMYFUNCTION("""COMPUTED_VALUE"""),59.75)</f>
        <v>59.75</v>
      </c>
    </row>
    <row r="247" ht="15.75" customHeight="1">
      <c r="B247" s="3">
        <f>IFERROR(__xludf.DUMMYFUNCTION("""COMPUTED_VALUE"""),40368.645833333336)</f>
        <v>40368.64583</v>
      </c>
      <c r="C247" s="2">
        <f>IFERROR(__xludf.DUMMYFUNCTION("""COMPUTED_VALUE"""),59.3)</f>
        <v>59.3</v>
      </c>
    </row>
    <row r="248" ht="15.75" customHeight="1">
      <c r="B248" s="3">
        <f>IFERROR(__xludf.DUMMYFUNCTION("""COMPUTED_VALUE"""),40375.645833333336)</f>
        <v>40375.64583</v>
      </c>
      <c r="C248" s="2">
        <f>IFERROR(__xludf.DUMMYFUNCTION("""COMPUTED_VALUE"""),62.45)</f>
        <v>62.45</v>
      </c>
    </row>
    <row r="249" ht="15.75" customHeight="1">
      <c r="B249" s="3">
        <f>IFERROR(__xludf.DUMMYFUNCTION("""COMPUTED_VALUE"""),40382.645833333336)</f>
        <v>40382.64583</v>
      </c>
      <c r="C249" s="2">
        <f>IFERROR(__xludf.DUMMYFUNCTION("""COMPUTED_VALUE"""),60.7)</f>
        <v>60.7</v>
      </c>
    </row>
    <row r="250" ht="15.75" customHeight="1">
      <c r="B250" s="3">
        <f>IFERROR(__xludf.DUMMYFUNCTION("""COMPUTED_VALUE"""),40389.645833333336)</f>
        <v>40389.64583</v>
      </c>
      <c r="C250" s="2">
        <f>IFERROR(__xludf.DUMMYFUNCTION("""COMPUTED_VALUE"""),60.35)</f>
        <v>60.35</v>
      </c>
    </row>
    <row r="251" ht="15.75" customHeight="1">
      <c r="B251" s="3">
        <f>IFERROR(__xludf.DUMMYFUNCTION("""COMPUTED_VALUE"""),40396.645833333336)</f>
        <v>40396.64583</v>
      </c>
      <c r="C251" s="2">
        <f>IFERROR(__xludf.DUMMYFUNCTION("""COMPUTED_VALUE"""),57.6)</f>
        <v>57.6</v>
      </c>
    </row>
    <row r="252" ht="15.75" customHeight="1">
      <c r="B252" s="3">
        <f>IFERROR(__xludf.DUMMYFUNCTION("""COMPUTED_VALUE"""),40403.645833333336)</f>
        <v>40403.64583</v>
      </c>
      <c r="C252" s="2">
        <f>IFERROR(__xludf.DUMMYFUNCTION("""COMPUTED_VALUE"""),59.0)</f>
        <v>59</v>
      </c>
    </row>
    <row r="253" ht="15.75" customHeight="1">
      <c r="B253" s="3">
        <f>IFERROR(__xludf.DUMMYFUNCTION("""COMPUTED_VALUE"""),40410.645833333336)</f>
        <v>40410.64583</v>
      </c>
      <c r="C253" s="2">
        <f>IFERROR(__xludf.DUMMYFUNCTION("""COMPUTED_VALUE"""),55.35)</f>
        <v>55.35</v>
      </c>
    </row>
    <row r="254" ht="15.75" customHeight="1">
      <c r="B254" s="3">
        <f>IFERROR(__xludf.DUMMYFUNCTION("""COMPUTED_VALUE"""),40417.645833333336)</f>
        <v>40417.64583</v>
      </c>
      <c r="C254" s="2">
        <f>IFERROR(__xludf.DUMMYFUNCTION("""COMPUTED_VALUE"""),51.65)</f>
        <v>51.65</v>
      </c>
    </row>
    <row r="255" ht="15.75" customHeight="1">
      <c r="B255" s="3">
        <f>IFERROR(__xludf.DUMMYFUNCTION("""COMPUTED_VALUE"""),40424.645833333336)</f>
        <v>40424.64583</v>
      </c>
      <c r="C255" s="2">
        <f>IFERROR(__xludf.DUMMYFUNCTION("""COMPUTED_VALUE"""),53.1)</f>
        <v>53.1</v>
      </c>
    </row>
    <row r="256" ht="15.75" customHeight="1">
      <c r="B256" s="3">
        <f>IFERROR(__xludf.DUMMYFUNCTION("""COMPUTED_VALUE"""),40430.645833333336)</f>
        <v>40430.64583</v>
      </c>
      <c r="C256" s="2">
        <f>IFERROR(__xludf.DUMMYFUNCTION("""COMPUTED_VALUE"""),52.5)</f>
        <v>52.5</v>
      </c>
    </row>
    <row r="257" ht="15.75" customHeight="1">
      <c r="B257" s="3">
        <f>IFERROR(__xludf.DUMMYFUNCTION("""COMPUTED_VALUE"""),40438.645833333336)</f>
        <v>40438.64583</v>
      </c>
      <c r="C257" s="2">
        <f>IFERROR(__xludf.DUMMYFUNCTION("""COMPUTED_VALUE"""),59.0)</f>
        <v>59</v>
      </c>
    </row>
    <row r="258" ht="15.75" customHeight="1">
      <c r="B258" s="3">
        <f>IFERROR(__xludf.DUMMYFUNCTION("""COMPUTED_VALUE"""),40445.645833333336)</f>
        <v>40445.64583</v>
      </c>
      <c r="C258" s="2">
        <f>IFERROR(__xludf.DUMMYFUNCTION("""COMPUTED_VALUE"""),57.9)</f>
        <v>57.9</v>
      </c>
    </row>
    <row r="259" ht="15.75" customHeight="1">
      <c r="B259" s="3">
        <f>IFERROR(__xludf.DUMMYFUNCTION("""COMPUTED_VALUE"""),40452.645833333336)</f>
        <v>40452.64583</v>
      </c>
      <c r="C259" s="2">
        <f>IFERROR(__xludf.DUMMYFUNCTION("""COMPUTED_VALUE"""),55.1)</f>
        <v>55.1</v>
      </c>
    </row>
    <row r="260" ht="15.75" customHeight="1">
      <c r="B260" s="3">
        <f>IFERROR(__xludf.DUMMYFUNCTION("""COMPUTED_VALUE"""),40459.645833333336)</f>
        <v>40459.64583</v>
      </c>
      <c r="C260" s="2">
        <f>IFERROR(__xludf.DUMMYFUNCTION("""COMPUTED_VALUE"""),60.5)</f>
        <v>60.5</v>
      </c>
    </row>
    <row r="261" ht="15.75" customHeight="1">
      <c r="B261" s="3">
        <f>IFERROR(__xludf.DUMMYFUNCTION("""COMPUTED_VALUE"""),40466.645833333336)</f>
        <v>40466.64583</v>
      </c>
      <c r="C261" s="2">
        <f>IFERROR(__xludf.DUMMYFUNCTION("""COMPUTED_VALUE"""),60.3)</f>
        <v>60.3</v>
      </c>
    </row>
    <row r="262" ht="15.75" customHeight="1">
      <c r="B262" s="3">
        <f>IFERROR(__xludf.DUMMYFUNCTION("""COMPUTED_VALUE"""),40473.645833333336)</f>
        <v>40473.64583</v>
      </c>
      <c r="C262" s="2">
        <f>IFERROR(__xludf.DUMMYFUNCTION("""COMPUTED_VALUE"""),60.9)</f>
        <v>60.9</v>
      </c>
    </row>
    <row r="263" ht="15.75" customHeight="1">
      <c r="B263" s="3">
        <f>IFERROR(__xludf.DUMMYFUNCTION("""COMPUTED_VALUE"""),40480.645833333336)</f>
        <v>40480.64583</v>
      </c>
      <c r="C263" s="2">
        <f>IFERROR(__xludf.DUMMYFUNCTION("""COMPUTED_VALUE"""),60.2)</f>
        <v>60.2</v>
      </c>
    </row>
    <row r="264" ht="15.75" customHeight="1">
      <c r="B264" s="3">
        <f>IFERROR(__xludf.DUMMYFUNCTION("""COMPUTED_VALUE"""),40487.645833333336)</f>
        <v>40487.64583</v>
      </c>
      <c r="C264" s="2">
        <f>IFERROR(__xludf.DUMMYFUNCTION("""COMPUTED_VALUE"""),58.9)</f>
        <v>58.9</v>
      </c>
    </row>
    <row r="265" ht="15.75" customHeight="1">
      <c r="B265" s="3">
        <f>IFERROR(__xludf.DUMMYFUNCTION("""COMPUTED_VALUE"""),40494.645833333336)</f>
        <v>40494.64583</v>
      </c>
      <c r="C265" s="2">
        <f>IFERROR(__xludf.DUMMYFUNCTION("""COMPUTED_VALUE"""),58.7)</f>
        <v>58.7</v>
      </c>
    </row>
    <row r="266" ht="15.75" customHeight="1">
      <c r="B266" s="3">
        <f>IFERROR(__xludf.DUMMYFUNCTION("""COMPUTED_VALUE"""),40501.645833333336)</f>
        <v>40501.64583</v>
      </c>
      <c r="C266" s="2">
        <f>IFERROR(__xludf.DUMMYFUNCTION("""COMPUTED_VALUE"""),55.25)</f>
        <v>55.25</v>
      </c>
    </row>
    <row r="267" ht="15.75" customHeight="1">
      <c r="B267" s="3">
        <f>IFERROR(__xludf.DUMMYFUNCTION("""COMPUTED_VALUE"""),40508.645833333336)</f>
        <v>40508.64583</v>
      </c>
      <c r="C267" s="2">
        <f>IFERROR(__xludf.DUMMYFUNCTION("""COMPUTED_VALUE"""),53.05)</f>
        <v>53.05</v>
      </c>
    </row>
    <row r="268" ht="15.75" customHeight="1">
      <c r="B268" s="3">
        <f>IFERROR(__xludf.DUMMYFUNCTION("""COMPUTED_VALUE"""),40515.645833333336)</f>
        <v>40515.64583</v>
      </c>
      <c r="C268" s="2">
        <f>IFERROR(__xludf.DUMMYFUNCTION("""COMPUTED_VALUE"""),53.95)</f>
        <v>53.95</v>
      </c>
    </row>
    <row r="269" ht="15.75" customHeight="1">
      <c r="B269" s="3">
        <f>IFERROR(__xludf.DUMMYFUNCTION("""COMPUTED_VALUE"""),40522.645833333336)</f>
        <v>40522.64583</v>
      </c>
      <c r="C269" s="2">
        <f>IFERROR(__xludf.DUMMYFUNCTION("""COMPUTED_VALUE"""),54.4)</f>
        <v>54.4</v>
      </c>
    </row>
    <row r="270" ht="15.75" customHeight="1">
      <c r="B270" s="3">
        <f>IFERROR(__xludf.DUMMYFUNCTION("""COMPUTED_VALUE"""),40528.645833333336)</f>
        <v>40528.64583</v>
      </c>
      <c r="C270" s="2">
        <f>IFERROR(__xludf.DUMMYFUNCTION("""COMPUTED_VALUE"""),51.5)</f>
        <v>51.5</v>
      </c>
    </row>
    <row r="271" ht="15.75" customHeight="1">
      <c r="B271" s="3">
        <f>IFERROR(__xludf.DUMMYFUNCTION("""COMPUTED_VALUE"""),40536.645833333336)</f>
        <v>40536.64583</v>
      </c>
      <c r="C271" s="2">
        <f>IFERROR(__xludf.DUMMYFUNCTION("""COMPUTED_VALUE"""),51.95)</f>
        <v>51.95</v>
      </c>
    </row>
    <row r="272" ht="15.75" customHeight="1">
      <c r="B272" s="3">
        <f>IFERROR(__xludf.DUMMYFUNCTION("""COMPUTED_VALUE"""),40543.645833333336)</f>
        <v>40543.64583</v>
      </c>
      <c r="C272" s="2">
        <f>IFERROR(__xludf.DUMMYFUNCTION("""COMPUTED_VALUE"""),55.35)</f>
        <v>55.35</v>
      </c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IFERROR(__xludf.DUMMYFUNCTION("GOOGLEFINANCE(""NSE:RCOM"", ""high"",DATE(2007,1,1),DATE(2008,1,1),""weekly"")"),"Date")</f>
        <v>Date</v>
      </c>
      <c r="C1" s="2" t="str">
        <f>IFERROR(__xludf.DUMMYFUNCTION("""COMPUTED_VALUE"""),"High")</f>
        <v>High</v>
      </c>
    </row>
    <row r="2">
      <c r="A2" s="2" t="s">
        <v>6</v>
      </c>
      <c r="B2" s="3">
        <f>IFERROR(__xludf.DUMMYFUNCTION("""COMPUTED_VALUE"""),39087.645833333336)</f>
        <v>39087.64583</v>
      </c>
      <c r="C2" s="2">
        <f>IFERROR(__xludf.DUMMYFUNCTION("""COMPUTED_VALUE"""),479.9)</f>
        <v>479.9</v>
      </c>
    </row>
    <row r="3">
      <c r="A3" s="2" t="s">
        <v>7</v>
      </c>
      <c r="B3" s="3">
        <f>IFERROR(__xludf.DUMMYFUNCTION("""COMPUTED_VALUE"""),39094.645833333336)</f>
        <v>39094.64583</v>
      </c>
      <c r="C3" s="2">
        <f>IFERROR(__xludf.DUMMYFUNCTION("""COMPUTED_VALUE"""),445.0)</f>
        <v>445</v>
      </c>
    </row>
    <row r="4">
      <c r="A4" s="2" t="s">
        <v>8</v>
      </c>
      <c r="B4" s="3">
        <f>IFERROR(__xludf.DUMMYFUNCTION("""COMPUTED_VALUE"""),39101.645833333336)</f>
        <v>39101.64583</v>
      </c>
      <c r="C4" s="2">
        <f>IFERROR(__xludf.DUMMYFUNCTION("""COMPUTED_VALUE"""),451.0)</f>
        <v>451</v>
      </c>
    </row>
    <row r="5">
      <c r="A5" s="2" t="s">
        <v>9</v>
      </c>
      <c r="B5" s="3">
        <f>IFERROR(__xludf.DUMMYFUNCTION("""COMPUTED_VALUE"""),39107.645833333336)</f>
        <v>39107.64583</v>
      </c>
      <c r="C5" s="2">
        <f>IFERROR(__xludf.DUMMYFUNCTION("""COMPUTED_VALUE"""),454.7)</f>
        <v>454.7</v>
      </c>
    </row>
    <row r="6">
      <c r="A6" s="2" t="s">
        <v>10</v>
      </c>
      <c r="B6" s="3">
        <f>IFERROR(__xludf.DUMMYFUNCTION("""COMPUTED_VALUE"""),39115.645833333336)</f>
        <v>39115.64583</v>
      </c>
      <c r="C6" s="2">
        <f>IFERROR(__xludf.DUMMYFUNCTION("""COMPUTED_VALUE"""),496.5)</f>
        <v>496.5</v>
      </c>
    </row>
    <row r="7">
      <c r="B7" s="3">
        <f>IFERROR(__xludf.DUMMYFUNCTION("""COMPUTED_VALUE"""),39122.645833333336)</f>
        <v>39122.64583</v>
      </c>
      <c r="C7" s="2">
        <f>IFERROR(__xludf.DUMMYFUNCTION("""COMPUTED_VALUE"""),518.85)</f>
        <v>518.85</v>
      </c>
    </row>
    <row r="8">
      <c r="B8" s="3">
        <f>IFERROR(__xludf.DUMMYFUNCTION("""COMPUTED_VALUE"""),39128.645833333336)</f>
        <v>39128.64583</v>
      </c>
      <c r="C8" s="2">
        <f>IFERROR(__xludf.DUMMYFUNCTION("""COMPUTED_VALUE"""),481.5)</f>
        <v>481.5</v>
      </c>
    </row>
    <row r="9">
      <c r="B9" s="3">
        <f>IFERROR(__xludf.DUMMYFUNCTION("""COMPUTED_VALUE"""),39136.645833333336)</f>
        <v>39136.64583</v>
      </c>
      <c r="C9" s="2">
        <f>IFERROR(__xludf.DUMMYFUNCTION("""COMPUTED_VALUE"""),472.5)</f>
        <v>472.5</v>
      </c>
    </row>
    <row r="10">
      <c r="B10" s="3">
        <f>IFERROR(__xludf.DUMMYFUNCTION("""COMPUTED_VALUE"""),39143.645833333336)</f>
        <v>39143.64583</v>
      </c>
      <c r="C10" s="2">
        <f>IFERROR(__xludf.DUMMYFUNCTION("""COMPUTED_VALUE"""),436.75)</f>
        <v>436.75</v>
      </c>
    </row>
    <row r="11">
      <c r="B11" s="3">
        <f>IFERROR(__xludf.DUMMYFUNCTION("""COMPUTED_VALUE"""),39150.645833333336)</f>
        <v>39150.64583</v>
      </c>
      <c r="C11" s="2">
        <f>IFERROR(__xludf.DUMMYFUNCTION("""COMPUTED_VALUE"""),438.4)</f>
        <v>438.4</v>
      </c>
    </row>
    <row r="12">
      <c r="B12" s="3">
        <f>IFERROR(__xludf.DUMMYFUNCTION("""COMPUTED_VALUE"""),39157.645833333336)</f>
        <v>39157.64583</v>
      </c>
      <c r="C12" s="2">
        <f>IFERROR(__xludf.DUMMYFUNCTION("""COMPUTED_VALUE"""),448.7)</f>
        <v>448.7</v>
      </c>
    </row>
    <row r="13">
      <c r="B13" s="3">
        <f>IFERROR(__xludf.DUMMYFUNCTION("""COMPUTED_VALUE"""),39164.645833333336)</f>
        <v>39164.64583</v>
      </c>
      <c r="C13" s="2">
        <f>IFERROR(__xludf.DUMMYFUNCTION("""COMPUTED_VALUE"""),432.85)</f>
        <v>432.85</v>
      </c>
    </row>
    <row r="14">
      <c r="B14" s="3">
        <f>IFERROR(__xludf.DUMMYFUNCTION("""COMPUTED_VALUE"""),39171.645833333336)</f>
        <v>39171.64583</v>
      </c>
      <c r="C14" s="2">
        <f>IFERROR(__xludf.DUMMYFUNCTION("""COMPUTED_VALUE"""),431.85)</f>
        <v>431.85</v>
      </c>
    </row>
    <row r="15">
      <c r="B15" s="3">
        <f>IFERROR(__xludf.DUMMYFUNCTION("""COMPUTED_VALUE"""),39177.645833333336)</f>
        <v>39177.64583</v>
      </c>
      <c r="C15" s="2">
        <f>IFERROR(__xludf.DUMMYFUNCTION("""COMPUTED_VALUE"""),410.9)</f>
        <v>410.9</v>
      </c>
    </row>
    <row r="16">
      <c r="B16" s="3">
        <f>IFERROR(__xludf.DUMMYFUNCTION("""COMPUTED_VALUE"""),39185.645833333336)</f>
        <v>39185.64583</v>
      </c>
      <c r="C16" s="2">
        <f>IFERROR(__xludf.DUMMYFUNCTION("""COMPUTED_VALUE"""),423.45)</f>
        <v>423.45</v>
      </c>
    </row>
    <row r="17">
      <c r="B17" s="3">
        <f>IFERROR(__xludf.DUMMYFUNCTION("""COMPUTED_VALUE"""),39192.645833333336)</f>
        <v>39192.64583</v>
      </c>
      <c r="C17" s="2">
        <f>IFERROR(__xludf.DUMMYFUNCTION("""COMPUTED_VALUE"""),458.45)</f>
        <v>458.45</v>
      </c>
    </row>
    <row r="18">
      <c r="B18" s="3">
        <f>IFERROR(__xludf.DUMMYFUNCTION("""COMPUTED_VALUE"""),39199.645833333336)</f>
        <v>39199.64583</v>
      </c>
      <c r="C18" s="2">
        <f>IFERROR(__xludf.DUMMYFUNCTION("""COMPUTED_VALUE"""),482.9)</f>
        <v>482.9</v>
      </c>
    </row>
    <row r="19">
      <c r="B19" s="3">
        <f>IFERROR(__xludf.DUMMYFUNCTION("""COMPUTED_VALUE"""),39206.645833333336)</f>
        <v>39206.64583</v>
      </c>
      <c r="C19" s="2">
        <f>IFERROR(__xludf.DUMMYFUNCTION("""COMPUTED_VALUE"""),489.0)</f>
        <v>489</v>
      </c>
    </row>
    <row r="20">
      <c r="B20" s="3">
        <f>IFERROR(__xludf.DUMMYFUNCTION("""COMPUTED_VALUE"""),39213.645833333336)</f>
        <v>39213.64583</v>
      </c>
      <c r="C20" s="2">
        <f>IFERROR(__xludf.DUMMYFUNCTION("""COMPUTED_VALUE"""),480.8)</f>
        <v>480.8</v>
      </c>
    </row>
    <row r="21" ht="15.75" customHeight="1">
      <c r="B21" s="3">
        <f>IFERROR(__xludf.DUMMYFUNCTION("""COMPUTED_VALUE"""),39220.645833333336)</f>
        <v>39220.64583</v>
      </c>
      <c r="C21" s="2">
        <f>IFERROR(__xludf.DUMMYFUNCTION("""COMPUTED_VALUE"""),501.5)</f>
        <v>501.5</v>
      </c>
    </row>
    <row r="22" ht="15.75" customHeight="1">
      <c r="B22" s="3">
        <f>IFERROR(__xludf.DUMMYFUNCTION("""COMPUTED_VALUE"""),39227.645833333336)</f>
        <v>39227.64583</v>
      </c>
      <c r="C22" s="2">
        <f>IFERROR(__xludf.DUMMYFUNCTION("""COMPUTED_VALUE"""),530.75)</f>
        <v>530.75</v>
      </c>
    </row>
    <row r="23" ht="15.75" customHeight="1">
      <c r="B23" s="3">
        <f>IFERROR(__xludf.DUMMYFUNCTION("""COMPUTED_VALUE"""),39234.645833333336)</f>
        <v>39234.64583</v>
      </c>
      <c r="C23" s="2">
        <f>IFERROR(__xludf.DUMMYFUNCTION("""COMPUTED_VALUE"""),523.0)</f>
        <v>523</v>
      </c>
    </row>
    <row r="24" ht="15.75" customHeight="1">
      <c r="B24" s="3">
        <f>IFERROR(__xludf.DUMMYFUNCTION("""COMPUTED_VALUE"""),39241.645833333336)</f>
        <v>39241.64583</v>
      </c>
      <c r="C24" s="2">
        <f>IFERROR(__xludf.DUMMYFUNCTION("""COMPUTED_VALUE"""),531.95)</f>
        <v>531.95</v>
      </c>
    </row>
    <row r="25" ht="15.75" customHeight="1">
      <c r="B25" s="3">
        <f>IFERROR(__xludf.DUMMYFUNCTION("""COMPUTED_VALUE"""),39248.645833333336)</f>
        <v>39248.64583</v>
      </c>
      <c r="C25" s="2">
        <f>IFERROR(__xludf.DUMMYFUNCTION("""COMPUTED_VALUE"""),531.25)</f>
        <v>531.25</v>
      </c>
    </row>
    <row r="26" ht="15.75" customHeight="1">
      <c r="B26" s="3">
        <f>IFERROR(__xludf.DUMMYFUNCTION("""COMPUTED_VALUE"""),39255.645833333336)</f>
        <v>39255.64583</v>
      </c>
      <c r="C26" s="2">
        <f>IFERROR(__xludf.DUMMYFUNCTION("""COMPUTED_VALUE"""),523.7)</f>
        <v>523.7</v>
      </c>
    </row>
    <row r="27" ht="15.75" customHeight="1">
      <c r="B27" s="3">
        <f>IFERROR(__xludf.DUMMYFUNCTION("""COMPUTED_VALUE"""),39262.645833333336)</f>
        <v>39262.64583</v>
      </c>
      <c r="C27" s="2">
        <f>IFERROR(__xludf.DUMMYFUNCTION("""COMPUTED_VALUE"""),528.9)</f>
        <v>528.9</v>
      </c>
    </row>
    <row r="28" ht="15.75" customHeight="1">
      <c r="B28" s="3">
        <f>IFERROR(__xludf.DUMMYFUNCTION("""COMPUTED_VALUE"""),39269.645833333336)</f>
        <v>39269.64583</v>
      </c>
      <c r="C28" s="2">
        <f>IFERROR(__xludf.DUMMYFUNCTION("""COMPUTED_VALUE"""),567.0)</f>
        <v>567</v>
      </c>
    </row>
    <row r="29" ht="15.75" customHeight="1">
      <c r="B29" s="3">
        <f>IFERROR(__xludf.DUMMYFUNCTION("""COMPUTED_VALUE"""),39276.645833333336)</f>
        <v>39276.64583</v>
      </c>
      <c r="C29" s="2">
        <f>IFERROR(__xludf.DUMMYFUNCTION("""COMPUTED_VALUE"""),570.0)</f>
        <v>570</v>
      </c>
    </row>
    <row r="30" ht="15.75" customHeight="1">
      <c r="B30" s="3">
        <f>IFERROR(__xludf.DUMMYFUNCTION("""COMPUTED_VALUE"""),39283.645833333336)</f>
        <v>39283.64583</v>
      </c>
      <c r="C30" s="2">
        <f>IFERROR(__xludf.DUMMYFUNCTION("""COMPUTED_VALUE"""),591.95)</f>
        <v>591.95</v>
      </c>
    </row>
    <row r="31" ht="15.75" customHeight="1">
      <c r="B31" s="3">
        <f>IFERROR(__xludf.DUMMYFUNCTION("""COMPUTED_VALUE"""),39290.645833333336)</f>
        <v>39290.64583</v>
      </c>
      <c r="C31" s="2">
        <f>IFERROR(__xludf.DUMMYFUNCTION("""COMPUTED_VALUE"""),588.1)</f>
        <v>588.1</v>
      </c>
    </row>
    <row r="32" ht="15.75" customHeight="1">
      <c r="B32" s="3">
        <f>IFERROR(__xludf.DUMMYFUNCTION("""COMPUTED_VALUE"""),39297.645833333336)</f>
        <v>39297.64583</v>
      </c>
      <c r="C32" s="2">
        <f>IFERROR(__xludf.DUMMYFUNCTION("""COMPUTED_VALUE"""),562.5)</f>
        <v>562.5</v>
      </c>
    </row>
    <row r="33" ht="15.75" customHeight="1">
      <c r="B33" s="3">
        <f>IFERROR(__xludf.DUMMYFUNCTION("""COMPUTED_VALUE"""),39304.645833333336)</f>
        <v>39304.64583</v>
      </c>
      <c r="C33" s="2">
        <f>IFERROR(__xludf.DUMMYFUNCTION("""COMPUTED_VALUE"""),554.9)</f>
        <v>554.9</v>
      </c>
    </row>
    <row r="34" ht="15.75" customHeight="1">
      <c r="B34" s="3">
        <f>IFERROR(__xludf.DUMMYFUNCTION("""COMPUTED_VALUE"""),39311.645833333336)</f>
        <v>39311.64583</v>
      </c>
      <c r="C34" s="2">
        <f>IFERROR(__xludf.DUMMYFUNCTION("""COMPUTED_VALUE"""),531.4)</f>
        <v>531.4</v>
      </c>
    </row>
    <row r="35" ht="15.75" customHeight="1">
      <c r="B35" s="3">
        <f>IFERROR(__xludf.DUMMYFUNCTION("""COMPUTED_VALUE"""),39318.645833333336)</f>
        <v>39318.64583</v>
      </c>
      <c r="C35" s="2">
        <f>IFERROR(__xludf.DUMMYFUNCTION("""COMPUTED_VALUE"""),515.4)</f>
        <v>515.4</v>
      </c>
    </row>
    <row r="36" ht="15.75" customHeight="1">
      <c r="B36" s="3">
        <f>IFERROR(__xludf.DUMMYFUNCTION("""COMPUTED_VALUE"""),39325.645833333336)</f>
        <v>39325.64583</v>
      </c>
      <c r="C36" s="2">
        <f>IFERROR(__xludf.DUMMYFUNCTION("""COMPUTED_VALUE"""),545.0)</f>
        <v>545</v>
      </c>
    </row>
    <row r="37" ht="15.75" customHeight="1">
      <c r="B37" s="3">
        <f>IFERROR(__xludf.DUMMYFUNCTION("""COMPUTED_VALUE"""),39332.645833333336)</f>
        <v>39332.64583</v>
      </c>
      <c r="C37" s="2">
        <f>IFERROR(__xludf.DUMMYFUNCTION("""COMPUTED_VALUE"""),550.8)</f>
        <v>550.8</v>
      </c>
    </row>
    <row r="38" ht="15.75" customHeight="1">
      <c r="B38" s="3">
        <f>IFERROR(__xludf.DUMMYFUNCTION("""COMPUTED_VALUE"""),39339.645833333336)</f>
        <v>39339.64583</v>
      </c>
      <c r="C38" s="2">
        <f>IFERROR(__xludf.DUMMYFUNCTION("""COMPUTED_VALUE"""),559.7)</f>
        <v>559.7</v>
      </c>
    </row>
    <row r="39" ht="15.75" customHeight="1">
      <c r="B39" s="3">
        <f>IFERROR(__xludf.DUMMYFUNCTION("""COMPUTED_VALUE"""),39346.645833333336)</f>
        <v>39346.64583</v>
      </c>
      <c r="C39" s="2">
        <f>IFERROR(__xludf.DUMMYFUNCTION("""COMPUTED_VALUE"""),585.5)</f>
        <v>585.5</v>
      </c>
    </row>
    <row r="40" ht="15.75" customHeight="1">
      <c r="B40" s="3">
        <f>IFERROR(__xludf.DUMMYFUNCTION("""COMPUTED_VALUE"""),39353.645833333336)</f>
        <v>39353.64583</v>
      </c>
      <c r="C40" s="2">
        <f>IFERROR(__xludf.DUMMYFUNCTION("""COMPUTED_VALUE"""),612.0)</f>
        <v>612</v>
      </c>
    </row>
    <row r="41" ht="15.75" customHeight="1">
      <c r="B41" s="3">
        <f>IFERROR(__xludf.DUMMYFUNCTION("""COMPUTED_VALUE"""),39360.645833333336)</f>
        <v>39360.64583</v>
      </c>
      <c r="C41" s="2">
        <f>IFERROR(__xludf.DUMMYFUNCTION("""COMPUTED_VALUE"""),664.0)</f>
        <v>664</v>
      </c>
    </row>
    <row r="42" ht="15.75" customHeight="1">
      <c r="B42" s="3">
        <f>IFERROR(__xludf.DUMMYFUNCTION("""COMPUTED_VALUE"""),39367.645833333336)</f>
        <v>39367.64583</v>
      </c>
      <c r="C42" s="2">
        <f>IFERROR(__xludf.DUMMYFUNCTION("""COMPUTED_VALUE"""),751.0)</f>
        <v>751</v>
      </c>
    </row>
    <row r="43" ht="15.75" customHeight="1">
      <c r="B43" s="3">
        <f>IFERROR(__xludf.DUMMYFUNCTION("""COMPUTED_VALUE"""),39374.645833333336)</f>
        <v>39374.64583</v>
      </c>
      <c r="C43" s="2">
        <f>IFERROR(__xludf.DUMMYFUNCTION("""COMPUTED_VALUE"""),797.7)</f>
        <v>797.7</v>
      </c>
    </row>
    <row r="44" ht="15.75" customHeight="1">
      <c r="B44" s="3">
        <f>IFERROR(__xludf.DUMMYFUNCTION("""COMPUTED_VALUE"""),39381.645833333336)</f>
        <v>39381.64583</v>
      </c>
      <c r="C44" s="2">
        <f>IFERROR(__xludf.DUMMYFUNCTION("""COMPUTED_VALUE"""),775.0)</f>
        <v>775</v>
      </c>
    </row>
    <row r="45" ht="15.75" customHeight="1">
      <c r="B45" s="3">
        <f>IFERROR(__xludf.DUMMYFUNCTION("""COMPUTED_VALUE"""),39388.645833333336)</f>
        <v>39388.64583</v>
      </c>
      <c r="C45" s="2">
        <f>IFERROR(__xludf.DUMMYFUNCTION("""COMPUTED_VALUE"""),814.7)</f>
        <v>814.7</v>
      </c>
    </row>
    <row r="46" ht="15.75" customHeight="1">
      <c r="B46" s="3">
        <f>IFERROR(__xludf.DUMMYFUNCTION("""COMPUTED_VALUE"""),39402.645833333336)</f>
        <v>39402.64583</v>
      </c>
      <c r="C46" s="2">
        <f>IFERROR(__xludf.DUMMYFUNCTION("""COMPUTED_VALUE"""),740.0)</f>
        <v>740</v>
      </c>
    </row>
    <row r="47" ht="15.75" customHeight="1">
      <c r="B47" s="3">
        <f>IFERROR(__xludf.DUMMYFUNCTION("""COMPUTED_VALUE"""),39409.645833333336)</f>
        <v>39409.64583</v>
      </c>
      <c r="C47" s="2">
        <f>IFERROR(__xludf.DUMMYFUNCTION("""COMPUTED_VALUE"""),725.5)</f>
        <v>725.5</v>
      </c>
    </row>
    <row r="48" ht="15.75" customHeight="1">
      <c r="B48" s="3">
        <f>IFERROR(__xludf.DUMMYFUNCTION("""COMPUTED_VALUE"""),39416.645833333336)</f>
        <v>39416.64583</v>
      </c>
      <c r="C48" s="2">
        <f>IFERROR(__xludf.DUMMYFUNCTION("""COMPUTED_VALUE"""),700.6)</f>
        <v>700.6</v>
      </c>
    </row>
    <row r="49" ht="15.75" customHeight="1">
      <c r="B49" s="3">
        <f>IFERROR(__xludf.DUMMYFUNCTION("""COMPUTED_VALUE"""),39423.645833333336)</f>
        <v>39423.64583</v>
      </c>
      <c r="C49" s="2">
        <f>IFERROR(__xludf.DUMMYFUNCTION("""COMPUTED_VALUE"""),754.8)</f>
        <v>754.8</v>
      </c>
    </row>
    <row r="50" ht="15.75" customHeight="1">
      <c r="B50" s="3">
        <f>IFERROR(__xludf.DUMMYFUNCTION("""COMPUTED_VALUE"""),39430.645833333336)</f>
        <v>39430.64583</v>
      </c>
      <c r="C50" s="2">
        <f>IFERROR(__xludf.DUMMYFUNCTION("""COMPUTED_VALUE"""),776.8)</f>
        <v>776.8</v>
      </c>
    </row>
    <row r="51" ht="15.75" customHeight="1">
      <c r="B51" s="3">
        <f>IFERROR(__xludf.DUMMYFUNCTION("""COMPUTED_VALUE"""),39436.645833333336)</f>
        <v>39436.64583</v>
      </c>
      <c r="C51" s="2">
        <f>IFERROR(__xludf.DUMMYFUNCTION("""COMPUTED_VALUE"""),770.55)</f>
        <v>770.55</v>
      </c>
    </row>
    <row r="52" ht="15.75" customHeight="1">
      <c r="B52" s="3">
        <f>IFERROR(__xludf.DUMMYFUNCTION("""COMPUTED_VALUE"""),39444.645833333336)</f>
        <v>39444.64583</v>
      </c>
      <c r="C52" s="2">
        <f>IFERROR(__xludf.DUMMYFUNCTION("""COMPUTED_VALUE"""),748.9)</f>
        <v>748.9</v>
      </c>
    </row>
    <row r="53" ht="15.75" customHeight="1"/>
    <row r="54" ht="15.75" customHeight="1"/>
    <row r="55" ht="15.75" customHeight="1"/>
    <row r="56" ht="15.75" customHeight="1">
      <c r="B56" s="2" t="str">
        <f>IFERROR(__xludf.DUMMYFUNCTION("GOOGLEFINANCE(""NSE:RCOM"", ""high"",DATE(2008,1,1),DATE(2009,1,1),""weekly"")"),"Date")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IFERROR(__xludf.DUMMYFUNCTION("""COMPUTED_VALUE"""),39451.645833333336)</f>
        <v>39451.64583</v>
      </c>
      <c r="C57" s="2">
        <f>IFERROR(__xludf.DUMMYFUNCTION("""COMPUTED_VALUE"""),768.15)</f>
        <v>768.15</v>
      </c>
    </row>
    <row r="58" ht="15.75" customHeight="1">
      <c r="B58" s="3">
        <f>IFERROR(__xludf.DUMMYFUNCTION("""COMPUTED_VALUE"""),39458.645833333336)</f>
        <v>39458.64583</v>
      </c>
      <c r="C58" s="2">
        <f>IFERROR(__xludf.DUMMYFUNCTION("""COMPUTED_VALUE"""),844.7)</f>
        <v>844.7</v>
      </c>
    </row>
    <row r="59" ht="15.75" customHeight="1">
      <c r="B59" s="3">
        <f>IFERROR(__xludf.DUMMYFUNCTION("""COMPUTED_VALUE"""),39465.645833333336)</f>
        <v>39465.64583</v>
      </c>
      <c r="C59" s="2">
        <f>IFERROR(__xludf.DUMMYFUNCTION("""COMPUTED_VALUE"""),816.4)</f>
        <v>816.4</v>
      </c>
    </row>
    <row r="60" ht="15.75" customHeight="1">
      <c r="B60" s="3">
        <f>IFERROR(__xludf.DUMMYFUNCTION("""COMPUTED_VALUE"""),39472.645833333336)</f>
        <v>39472.64583</v>
      </c>
      <c r="C60" s="2">
        <f>IFERROR(__xludf.DUMMYFUNCTION("""COMPUTED_VALUE"""),704.7)</f>
        <v>704.7</v>
      </c>
    </row>
    <row r="61" ht="15.75" customHeight="1">
      <c r="B61" s="3">
        <f>IFERROR(__xludf.DUMMYFUNCTION("""COMPUTED_VALUE"""),39479.645833333336)</f>
        <v>39479.64583</v>
      </c>
      <c r="C61" s="2">
        <f>IFERROR(__xludf.DUMMYFUNCTION("""COMPUTED_VALUE"""),659.7)</f>
        <v>659.7</v>
      </c>
    </row>
    <row r="62" ht="15.75" customHeight="1">
      <c r="B62" s="3">
        <f>IFERROR(__xludf.DUMMYFUNCTION("""COMPUTED_VALUE"""),39486.645833333336)</f>
        <v>39486.64583</v>
      </c>
      <c r="C62" s="2">
        <f>IFERROR(__xludf.DUMMYFUNCTION("""COMPUTED_VALUE"""),704.9)</f>
        <v>704.9</v>
      </c>
    </row>
    <row r="63" ht="15.75" customHeight="1">
      <c r="B63" s="3">
        <f>IFERROR(__xludf.DUMMYFUNCTION("""COMPUTED_VALUE"""),39493.645833333336)</f>
        <v>39493.64583</v>
      </c>
      <c r="C63" s="2">
        <f>IFERROR(__xludf.DUMMYFUNCTION("""COMPUTED_VALUE"""),667.0)</f>
        <v>667</v>
      </c>
    </row>
    <row r="64" ht="15.75" customHeight="1">
      <c r="B64" s="3">
        <f>IFERROR(__xludf.DUMMYFUNCTION("""COMPUTED_VALUE"""),39500.645833333336)</f>
        <v>39500.64583</v>
      </c>
      <c r="C64" s="2">
        <f>IFERROR(__xludf.DUMMYFUNCTION("""COMPUTED_VALUE"""),632.4)</f>
        <v>632.4</v>
      </c>
    </row>
    <row r="65" ht="15.75" customHeight="1">
      <c r="B65" s="3">
        <f>IFERROR(__xludf.DUMMYFUNCTION("""COMPUTED_VALUE"""),39507.645833333336)</f>
        <v>39507.64583</v>
      </c>
      <c r="C65" s="2">
        <f>IFERROR(__xludf.DUMMYFUNCTION("""COMPUTED_VALUE"""),606.9)</f>
        <v>606.9</v>
      </c>
    </row>
    <row r="66" ht="15.75" customHeight="1">
      <c r="B66" s="3">
        <f>IFERROR(__xludf.DUMMYFUNCTION("""COMPUTED_VALUE"""),39514.645833333336)</f>
        <v>39514.64583</v>
      </c>
      <c r="C66" s="2">
        <f>IFERROR(__xludf.DUMMYFUNCTION("""COMPUTED_VALUE"""),568.0)</f>
        <v>568</v>
      </c>
    </row>
    <row r="67" ht="15.75" customHeight="1">
      <c r="B67" s="3">
        <f>IFERROR(__xludf.DUMMYFUNCTION("""COMPUTED_VALUE"""),39521.645833333336)</f>
        <v>39521.64583</v>
      </c>
      <c r="C67" s="2">
        <f>IFERROR(__xludf.DUMMYFUNCTION("""COMPUTED_VALUE"""),573.4)</f>
        <v>573.4</v>
      </c>
    </row>
    <row r="68" ht="15.75" customHeight="1">
      <c r="B68" s="3">
        <f>IFERROR(__xludf.DUMMYFUNCTION("""COMPUTED_VALUE"""),39526.645833333336)</f>
        <v>39526.64583</v>
      </c>
      <c r="C68" s="2">
        <f>IFERROR(__xludf.DUMMYFUNCTION("""COMPUTED_VALUE"""),520.0)</f>
        <v>520</v>
      </c>
    </row>
    <row r="69" ht="15.75" customHeight="1">
      <c r="B69" s="3">
        <f>IFERROR(__xludf.DUMMYFUNCTION("""COMPUTED_VALUE"""),39535.645833333336)</f>
        <v>39535.64583</v>
      </c>
      <c r="C69" s="2">
        <f>IFERROR(__xludf.DUMMYFUNCTION("""COMPUTED_VALUE"""),546.45)</f>
        <v>546.45</v>
      </c>
    </row>
    <row r="70" ht="15.75" customHeight="1">
      <c r="B70" s="3">
        <f>IFERROR(__xludf.DUMMYFUNCTION("""COMPUTED_VALUE"""),39542.645833333336)</f>
        <v>39542.64583</v>
      </c>
      <c r="C70" s="2">
        <f>IFERROR(__xludf.DUMMYFUNCTION("""COMPUTED_VALUE"""),540.0)</f>
        <v>540</v>
      </c>
    </row>
    <row r="71" ht="15.75" customHeight="1">
      <c r="B71" s="3">
        <f>IFERROR(__xludf.DUMMYFUNCTION("""COMPUTED_VALUE"""),39549.645833333336)</f>
        <v>39549.64583</v>
      </c>
      <c r="C71" s="2">
        <f>IFERROR(__xludf.DUMMYFUNCTION("""COMPUTED_VALUE"""),515.0)</f>
        <v>515</v>
      </c>
    </row>
    <row r="72" ht="15.75" customHeight="1">
      <c r="B72" s="3">
        <f>IFERROR(__xludf.DUMMYFUNCTION("""COMPUTED_VALUE"""),39555.645833333336)</f>
        <v>39555.64583</v>
      </c>
      <c r="C72" s="2">
        <f>IFERROR(__xludf.DUMMYFUNCTION("""COMPUTED_VALUE"""),538.75)</f>
        <v>538.75</v>
      </c>
    </row>
    <row r="73" ht="15.75" customHeight="1">
      <c r="B73" s="3">
        <f>IFERROR(__xludf.DUMMYFUNCTION("""COMPUTED_VALUE"""),39563.645833333336)</f>
        <v>39563.64583</v>
      </c>
      <c r="C73" s="2">
        <f>IFERROR(__xludf.DUMMYFUNCTION("""COMPUTED_VALUE"""),579.5)</f>
        <v>579.5</v>
      </c>
    </row>
    <row r="74" ht="15.75" customHeight="1">
      <c r="B74" s="3">
        <f>IFERROR(__xludf.DUMMYFUNCTION("""COMPUTED_VALUE"""),39570.645833333336)</f>
        <v>39570.64583</v>
      </c>
      <c r="C74" s="2">
        <f>IFERROR(__xludf.DUMMYFUNCTION("""COMPUTED_VALUE"""),598.8)</f>
        <v>598.8</v>
      </c>
    </row>
    <row r="75" ht="15.75" customHeight="1">
      <c r="B75" s="3">
        <f>IFERROR(__xludf.DUMMYFUNCTION("""COMPUTED_VALUE"""),39577.645833333336)</f>
        <v>39577.64583</v>
      </c>
      <c r="C75" s="2">
        <f>IFERROR(__xludf.DUMMYFUNCTION("""COMPUTED_VALUE"""),571.5)</f>
        <v>571.5</v>
      </c>
    </row>
    <row r="76" ht="15.75" customHeight="1">
      <c r="B76" s="3">
        <f>IFERROR(__xludf.DUMMYFUNCTION("""COMPUTED_VALUE"""),39584.645833333336)</f>
        <v>39584.64583</v>
      </c>
      <c r="C76" s="2">
        <f>IFERROR(__xludf.DUMMYFUNCTION("""COMPUTED_VALUE"""),607.25)</f>
        <v>607.25</v>
      </c>
    </row>
    <row r="77" ht="15.75" customHeight="1">
      <c r="B77" s="3">
        <f>IFERROR(__xludf.DUMMYFUNCTION("""COMPUTED_VALUE"""),39591.645833333336)</f>
        <v>39591.64583</v>
      </c>
      <c r="C77" s="2">
        <f>IFERROR(__xludf.DUMMYFUNCTION("""COMPUTED_VALUE"""),610.1)</f>
        <v>610.1</v>
      </c>
    </row>
    <row r="78" ht="15.75" customHeight="1">
      <c r="B78" s="3">
        <f>IFERROR(__xludf.DUMMYFUNCTION("""COMPUTED_VALUE"""),39598.645833333336)</f>
        <v>39598.64583</v>
      </c>
      <c r="C78" s="2">
        <f>IFERROR(__xludf.DUMMYFUNCTION("""COMPUTED_VALUE"""),587.25)</f>
        <v>587.25</v>
      </c>
    </row>
    <row r="79" ht="15.75" customHeight="1">
      <c r="B79" s="3">
        <f>IFERROR(__xludf.DUMMYFUNCTION("""COMPUTED_VALUE"""),39605.645833333336)</f>
        <v>39605.64583</v>
      </c>
      <c r="C79" s="2">
        <f>IFERROR(__xludf.DUMMYFUNCTION("""COMPUTED_VALUE"""),581.75)</f>
        <v>581.75</v>
      </c>
    </row>
    <row r="80" ht="15.75" customHeight="1">
      <c r="B80" s="3">
        <f>IFERROR(__xludf.DUMMYFUNCTION("""COMPUTED_VALUE"""),39612.645833333336)</f>
        <v>39612.64583</v>
      </c>
      <c r="C80" s="2">
        <f>IFERROR(__xludf.DUMMYFUNCTION("""COMPUTED_VALUE"""),564.7)</f>
        <v>564.7</v>
      </c>
    </row>
    <row r="81" ht="15.75" customHeight="1">
      <c r="B81" s="3">
        <f>IFERROR(__xludf.DUMMYFUNCTION("""COMPUTED_VALUE"""),39619.645833333336)</f>
        <v>39619.64583</v>
      </c>
      <c r="C81" s="2">
        <f>IFERROR(__xludf.DUMMYFUNCTION("""COMPUTED_VALUE"""),555.0)</f>
        <v>555</v>
      </c>
    </row>
    <row r="82" ht="15.75" customHeight="1">
      <c r="B82" s="3">
        <f>IFERROR(__xludf.DUMMYFUNCTION("""COMPUTED_VALUE"""),39626.645833333336)</f>
        <v>39626.64583</v>
      </c>
      <c r="C82" s="2">
        <f>IFERROR(__xludf.DUMMYFUNCTION("""COMPUTED_VALUE"""),522.0)</f>
        <v>522</v>
      </c>
    </row>
    <row r="83" ht="15.75" customHeight="1">
      <c r="B83" s="3">
        <f>IFERROR(__xludf.DUMMYFUNCTION("""COMPUTED_VALUE"""),39633.645833333336)</f>
        <v>39633.64583</v>
      </c>
      <c r="C83" s="2">
        <f>IFERROR(__xludf.DUMMYFUNCTION("""COMPUTED_VALUE"""),479.6)</f>
        <v>479.6</v>
      </c>
    </row>
    <row r="84" ht="15.75" customHeight="1">
      <c r="B84" s="3">
        <f>IFERROR(__xludf.DUMMYFUNCTION("""COMPUTED_VALUE"""),39640.645833333336)</f>
        <v>39640.64583</v>
      </c>
      <c r="C84" s="2">
        <f>IFERROR(__xludf.DUMMYFUNCTION("""COMPUTED_VALUE"""),458.75)</f>
        <v>458.75</v>
      </c>
    </row>
    <row r="85" ht="15.75" customHeight="1">
      <c r="B85" s="3">
        <f>IFERROR(__xludf.DUMMYFUNCTION("""COMPUTED_VALUE"""),39647.645833333336)</f>
        <v>39647.64583</v>
      </c>
      <c r="C85" s="2">
        <f>IFERROR(__xludf.DUMMYFUNCTION("""COMPUTED_VALUE"""),448.7)</f>
        <v>448.7</v>
      </c>
    </row>
    <row r="86" ht="15.75" customHeight="1">
      <c r="B86" s="3">
        <f>IFERROR(__xludf.DUMMYFUNCTION("""COMPUTED_VALUE"""),39654.645833333336)</f>
        <v>39654.64583</v>
      </c>
      <c r="C86" s="2">
        <f>IFERROR(__xludf.DUMMYFUNCTION("""COMPUTED_VALUE"""),541.4)</f>
        <v>541.4</v>
      </c>
    </row>
    <row r="87" ht="15.75" customHeight="1">
      <c r="B87" s="3">
        <f>IFERROR(__xludf.DUMMYFUNCTION("""COMPUTED_VALUE"""),39661.645833333336)</f>
        <v>39661.64583</v>
      </c>
      <c r="C87" s="2">
        <f>IFERROR(__xludf.DUMMYFUNCTION("""COMPUTED_VALUE"""),518.0)</f>
        <v>518</v>
      </c>
    </row>
    <row r="88" ht="15.75" customHeight="1">
      <c r="B88" s="3">
        <f>IFERROR(__xludf.DUMMYFUNCTION("""COMPUTED_VALUE"""),39668.645833333336)</f>
        <v>39668.64583</v>
      </c>
      <c r="C88" s="2">
        <f>IFERROR(__xludf.DUMMYFUNCTION("""COMPUTED_VALUE"""),455.0)</f>
        <v>455</v>
      </c>
    </row>
    <row r="89" ht="15.75" customHeight="1">
      <c r="B89" s="3">
        <f>IFERROR(__xludf.DUMMYFUNCTION("""COMPUTED_VALUE"""),39674.645833333336)</f>
        <v>39674.64583</v>
      </c>
      <c r="C89" s="2">
        <f>IFERROR(__xludf.DUMMYFUNCTION("""COMPUTED_VALUE"""),463.2)</f>
        <v>463.2</v>
      </c>
    </row>
    <row r="90" ht="15.75" customHeight="1">
      <c r="B90" s="3">
        <f>IFERROR(__xludf.DUMMYFUNCTION("""COMPUTED_VALUE"""),39682.645833333336)</f>
        <v>39682.64583</v>
      </c>
      <c r="C90" s="2">
        <f>IFERROR(__xludf.DUMMYFUNCTION("""COMPUTED_VALUE"""),425.95)</f>
        <v>425.95</v>
      </c>
    </row>
    <row r="91" ht="15.75" customHeight="1">
      <c r="B91" s="3">
        <f>IFERROR(__xludf.DUMMYFUNCTION("""COMPUTED_VALUE"""),39689.645833333336)</f>
        <v>39689.64583</v>
      </c>
      <c r="C91" s="2">
        <f>IFERROR(__xludf.DUMMYFUNCTION("""COMPUTED_VALUE"""),417.5)</f>
        <v>417.5</v>
      </c>
    </row>
    <row r="92" ht="15.75" customHeight="1">
      <c r="B92" s="3">
        <f>IFERROR(__xludf.DUMMYFUNCTION("""COMPUTED_VALUE"""),39696.645833333336)</f>
        <v>39696.64583</v>
      </c>
      <c r="C92" s="2">
        <f>IFERROR(__xludf.DUMMYFUNCTION("""COMPUTED_VALUE"""),408.4)</f>
        <v>408.4</v>
      </c>
    </row>
    <row r="93" ht="15.75" customHeight="1">
      <c r="B93" s="3">
        <f>IFERROR(__xludf.DUMMYFUNCTION("""COMPUTED_VALUE"""),39703.645833333336)</f>
        <v>39703.64583</v>
      </c>
      <c r="C93" s="2">
        <f>IFERROR(__xludf.DUMMYFUNCTION("""COMPUTED_VALUE"""),413.4)</f>
        <v>413.4</v>
      </c>
    </row>
    <row r="94" ht="15.75" customHeight="1">
      <c r="B94" s="3">
        <f>IFERROR(__xludf.DUMMYFUNCTION("""COMPUTED_VALUE"""),39710.645833333336)</f>
        <v>39710.64583</v>
      </c>
      <c r="C94" s="2">
        <f>IFERROR(__xludf.DUMMYFUNCTION("""COMPUTED_VALUE"""),383.9)</f>
        <v>383.9</v>
      </c>
    </row>
    <row r="95" ht="15.75" customHeight="1">
      <c r="B95" s="3">
        <f>IFERROR(__xludf.DUMMYFUNCTION("""COMPUTED_VALUE"""),39717.645833333336)</f>
        <v>39717.64583</v>
      </c>
      <c r="C95" s="2">
        <f>IFERROR(__xludf.DUMMYFUNCTION("""COMPUTED_VALUE"""),381.45)</f>
        <v>381.45</v>
      </c>
    </row>
    <row r="96" ht="15.75" customHeight="1">
      <c r="B96" s="3">
        <f>IFERROR(__xludf.DUMMYFUNCTION("""COMPUTED_VALUE"""),39724.645833333336)</f>
        <v>39724.64583</v>
      </c>
      <c r="C96" s="2">
        <f>IFERROR(__xludf.DUMMYFUNCTION("""COMPUTED_VALUE"""),356.2)</f>
        <v>356.2</v>
      </c>
    </row>
    <row r="97" ht="15.75" customHeight="1">
      <c r="B97" s="3">
        <f>IFERROR(__xludf.DUMMYFUNCTION("""COMPUTED_VALUE"""),39731.645833333336)</f>
        <v>39731.64583</v>
      </c>
      <c r="C97" s="2">
        <f>IFERROR(__xludf.DUMMYFUNCTION("""COMPUTED_VALUE"""),329.0)</f>
        <v>329</v>
      </c>
    </row>
    <row r="98" ht="15.75" customHeight="1">
      <c r="B98" s="3">
        <f>IFERROR(__xludf.DUMMYFUNCTION("""COMPUTED_VALUE"""),39738.645833333336)</f>
        <v>39738.64583</v>
      </c>
      <c r="C98" s="2">
        <f>IFERROR(__xludf.DUMMYFUNCTION("""COMPUTED_VALUE"""),303.4)</f>
        <v>303.4</v>
      </c>
    </row>
    <row r="99" ht="15.75" customHeight="1">
      <c r="B99" s="3">
        <f>IFERROR(__xludf.DUMMYFUNCTION("""COMPUTED_VALUE"""),39745.645833333336)</f>
        <v>39745.64583</v>
      </c>
      <c r="C99" s="2">
        <f>IFERROR(__xludf.DUMMYFUNCTION("""COMPUTED_VALUE"""),262.8)</f>
        <v>262.8</v>
      </c>
    </row>
    <row r="100" ht="15.75" customHeight="1">
      <c r="B100" s="3">
        <f>IFERROR(__xludf.DUMMYFUNCTION("""COMPUTED_VALUE"""),39752.645833333336)</f>
        <v>39752.64583</v>
      </c>
      <c r="C100" s="2">
        <f>IFERROR(__xludf.DUMMYFUNCTION("""COMPUTED_VALUE"""),234.45)</f>
        <v>234.45</v>
      </c>
    </row>
    <row r="101" ht="15.75" customHeight="1">
      <c r="B101" s="3">
        <f>IFERROR(__xludf.DUMMYFUNCTION("""COMPUTED_VALUE"""),39759.645833333336)</f>
        <v>39759.64583</v>
      </c>
      <c r="C101" s="2">
        <f>IFERROR(__xludf.DUMMYFUNCTION("""COMPUTED_VALUE"""),262.0)</f>
        <v>262</v>
      </c>
    </row>
    <row r="102" ht="15.75" customHeight="1">
      <c r="B102" s="3">
        <f>IFERROR(__xludf.DUMMYFUNCTION("""COMPUTED_VALUE"""),39766.645833333336)</f>
        <v>39766.64583</v>
      </c>
      <c r="C102" s="2">
        <f>IFERROR(__xludf.DUMMYFUNCTION("""COMPUTED_VALUE"""),245.3)</f>
        <v>245.3</v>
      </c>
    </row>
    <row r="103" ht="15.75" customHeight="1">
      <c r="B103" s="3">
        <f>IFERROR(__xludf.DUMMYFUNCTION("""COMPUTED_VALUE"""),39773.645833333336)</f>
        <v>39773.64583</v>
      </c>
      <c r="C103" s="2">
        <f>IFERROR(__xludf.DUMMYFUNCTION("""COMPUTED_VALUE"""),223.0)</f>
        <v>223</v>
      </c>
    </row>
    <row r="104" ht="15.75" customHeight="1">
      <c r="B104" s="3">
        <f>IFERROR(__xludf.DUMMYFUNCTION("""COMPUTED_VALUE"""),39780.645833333336)</f>
        <v>39780.64583</v>
      </c>
      <c r="C104" s="2">
        <f>IFERROR(__xludf.DUMMYFUNCTION("""COMPUTED_VALUE"""),213.7)</f>
        <v>213.7</v>
      </c>
    </row>
    <row r="105" ht="15.75" customHeight="1">
      <c r="B105" s="3">
        <f>IFERROR(__xludf.DUMMYFUNCTION("""COMPUTED_VALUE"""),39787.645833333336)</f>
        <v>39787.64583</v>
      </c>
      <c r="C105" s="2">
        <f>IFERROR(__xludf.DUMMYFUNCTION("""COMPUTED_VALUE"""),208.85)</f>
        <v>208.85</v>
      </c>
    </row>
    <row r="106" ht="15.75" customHeight="1">
      <c r="B106" s="3">
        <f>IFERROR(__xludf.DUMMYFUNCTION("""COMPUTED_VALUE"""),39794.645833333336)</f>
        <v>39794.64583</v>
      </c>
      <c r="C106" s="2">
        <f>IFERROR(__xludf.DUMMYFUNCTION("""COMPUTED_VALUE"""),254.4)</f>
        <v>254.4</v>
      </c>
    </row>
    <row r="107" ht="15.75" customHeight="1">
      <c r="B107" s="3">
        <f>IFERROR(__xludf.DUMMYFUNCTION("""COMPUTED_VALUE"""),39801.645833333336)</f>
        <v>39801.64583</v>
      </c>
      <c r="C107" s="2">
        <f>IFERROR(__xludf.DUMMYFUNCTION("""COMPUTED_VALUE"""),255.0)</f>
        <v>255</v>
      </c>
    </row>
    <row r="108" ht="15.75" customHeight="1">
      <c r="B108" s="3">
        <f>IFERROR(__xludf.DUMMYFUNCTION("""COMPUTED_VALUE"""),39808.645833333336)</f>
        <v>39808.64583</v>
      </c>
      <c r="C108" s="2">
        <f>IFERROR(__xludf.DUMMYFUNCTION("""COMPUTED_VALUE"""),224.45)</f>
        <v>224.45</v>
      </c>
    </row>
    <row r="109" ht="15.75" customHeight="1"/>
    <row r="110" ht="15.75" customHeight="1"/>
    <row r="111" ht="15.75" customHeight="1">
      <c r="B111" s="2" t="str">
        <f>IFERROR(__xludf.DUMMYFUNCTION("GOOGLEFINANCE(""NSE:RCOM"", ""high"",DATE(2009,1,1),DATE(2010,1,1),""weekly"")"),"Date")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IFERROR(__xludf.DUMMYFUNCTION("""COMPUTED_VALUE"""),39815.645833333336)</f>
        <v>39815.64583</v>
      </c>
      <c r="C112" s="2">
        <f>IFERROR(__xludf.DUMMYFUNCTION("""COMPUTED_VALUE"""),254.95)</f>
        <v>254.95</v>
      </c>
    </row>
    <row r="113" ht="15.75" customHeight="1">
      <c r="B113" s="3">
        <f>IFERROR(__xludf.DUMMYFUNCTION("""COMPUTED_VALUE"""),39822.645833333336)</f>
        <v>39822.64583</v>
      </c>
      <c r="C113" s="2">
        <f>IFERROR(__xludf.DUMMYFUNCTION("""COMPUTED_VALUE"""),265.7)</f>
        <v>265.7</v>
      </c>
    </row>
    <row r="114" ht="15.75" customHeight="1">
      <c r="B114" s="3">
        <f>IFERROR(__xludf.DUMMYFUNCTION("""COMPUTED_VALUE"""),39829.645833333336)</f>
        <v>39829.64583</v>
      </c>
      <c r="C114" s="2">
        <f>IFERROR(__xludf.DUMMYFUNCTION("""COMPUTED_VALUE"""),195.5)</f>
        <v>195.5</v>
      </c>
    </row>
    <row r="115" ht="15.75" customHeight="1">
      <c r="B115" s="3">
        <f>IFERROR(__xludf.DUMMYFUNCTION("""COMPUTED_VALUE"""),39836.645833333336)</f>
        <v>39836.64583</v>
      </c>
      <c r="C115" s="2">
        <f>IFERROR(__xludf.DUMMYFUNCTION("""COMPUTED_VALUE"""),188.35)</f>
        <v>188.35</v>
      </c>
    </row>
    <row r="116" ht="15.75" customHeight="1">
      <c r="B116" s="3">
        <f>IFERROR(__xludf.DUMMYFUNCTION("""COMPUTED_VALUE"""),39843.645833333336)</f>
        <v>39843.64583</v>
      </c>
      <c r="C116" s="2">
        <f>IFERROR(__xludf.DUMMYFUNCTION("""COMPUTED_VALUE"""),176.3)</f>
        <v>176.3</v>
      </c>
    </row>
    <row r="117" ht="15.75" customHeight="1">
      <c r="B117" s="3">
        <f>IFERROR(__xludf.DUMMYFUNCTION("""COMPUTED_VALUE"""),39850.645833333336)</f>
        <v>39850.64583</v>
      </c>
      <c r="C117" s="2">
        <f>IFERROR(__xludf.DUMMYFUNCTION("""COMPUTED_VALUE"""),169.8)</f>
        <v>169.8</v>
      </c>
    </row>
    <row r="118" ht="15.75" customHeight="1">
      <c r="B118" s="3">
        <f>IFERROR(__xludf.DUMMYFUNCTION("""COMPUTED_VALUE"""),39857.645833333336)</f>
        <v>39857.64583</v>
      </c>
      <c r="C118" s="2">
        <f>IFERROR(__xludf.DUMMYFUNCTION("""COMPUTED_VALUE"""),183.8)</f>
        <v>183.8</v>
      </c>
    </row>
    <row r="119" ht="15.75" customHeight="1">
      <c r="B119" s="3">
        <f>IFERROR(__xludf.DUMMYFUNCTION("""COMPUTED_VALUE"""),39864.645833333336)</f>
        <v>39864.64583</v>
      </c>
      <c r="C119" s="2">
        <f>IFERROR(__xludf.DUMMYFUNCTION("""COMPUTED_VALUE"""),182.45)</f>
        <v>182.45</v>
      </c>
    </row>
    <row r="120" ht="15.75" customHeight="1">
      <c r="B120" s="3">
        <f>IFERROR(__xludf.DUMMYFUNCTION("""COMPUTED_VALUE"""),39871.645833333336)</f>
        <v>39871.64583</v>
      </c>
      <c r="C120" s="2">
        <f>IFERROR(__xludf.DUMMYFUNCTION("""COMPUTED_VALUE"""),161.85)</f>
        <v>161.85</v>
      </c>
    </row>
    <row r="121" ht="15.75" customHeight="1">
      <c r="B121" s="3">
        <f>IFERROR(__xludf.DUMMYFUNCTION("""COMPUTED_VALUE"""),39878.645833333336)</f>
        <v>39878.64583</v>
      </c>
      <c r="C121" s="2">
        <f>IFERROR(__xludf.DUMMYFUNCTION("""COMPUTED_VALUE"""),153.5)</f>
        <v>153.5</v>
      </c>
    </row>
    <row r="122" ht="15.75" customHeight="1">
      <c r="B122" s="3">
        <f>IFERROR(__xludf.DUMMYFUNCTION("""COMPUTED_VALUE"""),39885.645833333336)</f>
        <v>39885.64583</v>
      </c>
      <c r="C122" s="2">
        <f>IFERROR(__xludf.DUMMYFUNCTION("""COMPUTED_VALUE"""),147.9)</f>
        <v>147.9</v>
      </c>
    </row>
    <row r="123" ht="15.75" customHeight="1">
      <c r="B123" s="3">
        <f>IFERROR(__xludf.DUMMYFUNCTION("""COMPUTED_VALUE"""),39892.645833333336)</f>
        <v>39892.64583</v>
      </c>
      <c r="C123" s="2">
        <f>IFERROR(__xludf.DUMMYFUNCTION("""COMPUTED_VALUE"""),166.5)</f>
        <v>166.5</v>
      </c>
    </row>
    <row r="124" ht="15.75" customHeight="1">
      <c r="B124" s="3">
        <f>IFERROR(__xludf.DUMMYFUNCTION("""COMPUTED_VALUE"""),39899.645833333336)</f>
        <v>39899.64583</v>
      </c>
      <c r="C124" s="2">
        <f>IFERROR(__xludf.DUMMYFUNCTION("""COMPUTED_VALUE"""),187.9)</f>
        <v>187.9</v>
      </c>
    </row>
    <row r="125" ht="15.75" customHeight="1">
      <c r="B125" s="3">
        <f>IFERROR(__xludf.DUMMYFUNCTION("""COMPUTED_VALUE"""),39905.645833333336)</f>
        <v>39905.64583</v>
      </c>
      <c r="C125" s="2">
        <f>IFERROR(__xludf.DUMMYFUNCTION("""COMPUTED_VALUE"""),201.1)</f>
        <v>201.1</v>
      </c>
    </row>
    <row r="126" ht="15.75" customHeight="1">
      <c r="B126" s="3">
        <f>IFERROR(__xludf.DUMMYFUNCTION("""COMPUTED_VALUE"""),39912.645833333336)</f>
        <v>39912.64583</v>
      </c>
      <c r="C126" s="2">
        <f>IFERROR(__xludf.DUMMYFUNCTION("""COMPUTED_VALUE"""),223.0)</f>
        <v>223</v>
      </c>
    </row>
    <row r="127" ht="15.75" customHeight="1">
      <c r="B127" s="3">
        <f>IFERROR(__xludf.DUMMYFUNCTION("""COMPUTED_VALUE"""),39920.645833333336)</f>
        <v>39920.64583</v>
      </c>
      <c r="C127" s="2">
        <f>IFERROR(__xludf.DUMMYFUNCTION("""COMPUTED_VALUE"""),240.8)</f>
        <v>240.8</v>
      </c>
    </row>
    <row r="128" ht="15.75" customHeight="1">
      <c r="B128" s="3">
        <f>IFERROR(__xludf.DUMMYFUNCTION("""COMPUTED_VALUE"""),39927.645833333336)</f>
        <v>39927.64583</v>
      </c>
      <c r="C128" s="2">
        <f>IFERROR(__xludf.DUMMYFUNCTION("""COMPUTED_VALUE"""),235.0)</f>
        <v>235</v>
      </c>
    </row>
    <row r="129" ht="15.75" customHeight="1">
      <c r="B129" s="3">
        <f>IFERROR(__xludf.DUMMYFUNCTION("""COMPUTED_VALUE"""),39932.645833333336)</f>
        <v>39932.64583</v>
      </c>
      <c r="C129" s="2">
        <f>IFERROR(__xludf.DUMMYFUNCTION("""COMPUTED_VALUE"""),235.8)</f>
        <v>235.8</v>
      </c>
    </row>
    <row r="130" ht="15.75" customHeight="1">
      <c r="B130" s="3">
        <f>IFERROR(__xludf.DUMMYFUNCTION("""COMPUTED_VALUE"""),39941.645833333336)</f>
        <v>39941.64583</v>
      </c>
      <c r="C130" s="2">
        <f>IFERROR(__xludf.DUMMYFUNCTION("""COMPUTED_VALUE"""),255.0)</f>
        <v>255</v>
      </c>
    </row>
    <row r="131" ht="15.75" customHeight="1">
      <c r="B131" s="3">
        <f>IFERROR(__xludf.DUMMYFUNCTION("""COMPUTED_VALUE"""),39948.645833333336)</f>
        <v>39948.64583</v>
      </c>
      <c r="C131" s="2">
        <f>IFERROR(__xludf.DUMMYFUNCTION("""COMPUTED_VALUE"""),235.0)</f>
        <v>235</v>
      </c>
    </row>
    <row r="132" ht="15.75" customHeight="1">
      <c r="B132" s="3">
        <f>IFERROR(__xludf.DUMMYFUNCTION("""COMPUTED_VALUE"""),39955.645833333336)</f>
        <v>39955.64583</v>
      </c>
      <c r="C132" s="2">
        <f>IFERROR(__xludf.DUMMYFUNCTION("""COMPUTED_VALUE"""),347.4)</f>
        <v>347.4</v>
      </c>
    </row>
    <row r="133" ht="15.75" customHeight="1">
      <c r="B133" s="3">
        <f>IFERROR(__xludf.DUMMYFUNCTION("""COMPUTED_VALUE"""),39962.645833333336)</f>
        <v>39962.64583</v>
      </c>
      <c r="C133" s="2">
        <f>IFERROR(__xludf.DUMMYFUNCTION("""COMPUTED_VALUE"""),329.0)</f>
        <v>329</v>
      </c>
    </row>
    <row r="134" ht="15.75" customHeight="1">
      <c r="B134" s="3">
        <f>IFERROR(__xludf.DUMMYFUNCTION("""COMPUTED_VALUE"""),39969.645833333336)</f>
        <v>39969.64583</v>
      </c>
      <c r="C134" s="2">
        <f>IFERROR(__xludf.DUMMYFUNCTION("""COMPUTED_VALUE"""),352.7)</f>
        <v>352.7</v>
      </c>
    </row>
    <row r="135" ht="15.75" customHeight="1">
      <c r="B135" s="3">
        <f>IFERROR(__xludf.DUMMYFUNCTION("""COMPUTED_VALUE"""),39976.645833333336)</f>
        <v>39976.64583</v>
      </c>
      <c r="C135" s="2">
        <f>IFERROR(__xludf.DUMMYFUNCTION("""COMPUTED_VALUE"""),362.0)</f>
        <v>362</v>
      </c>
    </row>
    <row r="136" ht="15.75" customHeight="1">
      <c r="B136" s="3">
        <f>IFERROR(__xludf.DUMMYFUNCTION("""COMPUTED_VALUE"""),39983.645833333336)</f>
        <v>39983.64583</v>
      </c>
      <c r="C136" s="2">
        <f>IFERROR(__xludf.DUMMYFUNCTION("""COMPUTED_VALUE"""),343.7)</f>
        <v>343.7</v>
      </c>
    </row>
    <row r="137" ht="15.75" customHeight="1">
      <c r="B137" s="3">
        <f>IFERROR(__xludf.DUMMYFUNCTION("""COMPUTED_VALUE"""),39990.645833333336)</f>
        <v>39990.64583</v>
      </c>
      <c r="C137" s="2">
        <f>IFERROR(__xludf.DUMMYFUNCTION("""COMPUTED_VALUE"""),316.15)</f>
        <v>316.15</v>
      </c>
    </row>
    <row r="138" ht="15.75" customHeight="1">
      <c r="B138" s="3">
        <f>IFERROR(__xludf.DUMMYFUNCTION("""COMPUTED_VALUE"""),39997.645833333336)</f>
        <v>39997.64583</v>
      </c>
      <c r="C138" s="2">
        <f>IFERROR(__xludf.DUMMYFUNCTION("""COMPUTED_VALUE"""),318.0)</f>
        <v>318</v>
      </c>
    </row>
    <row r="139" ht="15.75" customHeight="1">
      <c r="B139" s="3">
        <f>IFERROR(__xludf.DUMMYFUNCTION("""COMPUTED_VALUE"""),40004.645833333336)</f>
        <v>40004.64583</v>
      </c>
      <c r="C139" s="2">
        <f>IFERROR(__xludf.DUMMYFUNCTION("""COMPUTED_VALUE"""),297.85)</f>
        <v>297.85</v>
      </c>
    </row>
    <row r="140" ht="15.75" customHeight="1">
      <c r="B140" s="3">
        <f>IFERROR(__xludf.DUMMYFUNCTION("""COMPUTED_VALUE"""),40011.645833333336)</f>
        <v>40011.64583</v>
      </c>
      <c r="C140" s="2">
        <f>IFERROR(__xludf.DUMMYFUNCTION("""COMPUTED_VALUE"""),276.0)</f>
        <v>276</v>
      </c>
    </row>
    <row r="141" ht="15.75" customHeight="1">
      <c r="B141" s="3">
        <f>IFERROR(__xludf.DUMMYFUNCTION("""COMPUTED_VALUE"""),40018.645833333336)</f>
        <v>40018.64583</v>
      </c>
      <c r="C141" s="2">
        <f>IFERROR(__xludf.DUMMYFUNCTION("""COMPUTED_VALUE"""),280.5)</f>
        <v>280.5</v>
      </c>
    </row>
    <row r="142" ht="15.75" customHeight="1">
      <c r="B142" s="3">
        <f>IFERROR(__xludf.DUMMYFUNCTION("""COMPUTED_VALUE"""),40025.645833333336)</f>
        <v>40025.64583</v>
      </c>
      <c r="C142" s="2">
        <f>IFERROR(__xludf.DUMMYFUNCTION("""COMPUTED_VALUE"""),294.9)</f>
        <v>294.9</v>
      </c>
    </row>
    <row r="143" ht="15.75" customHeight="1">
      <c r="B143" s="3">
        <f>IFERROR(__xludf.DUMMYFUNCTION("""COMPUTED_VALUE"""),40032.645833333336)</f>
        <v>40032.64583</v>
      </c>
      <c r="C143" s="2">
        <f>IFERROR(__xludf.DUMMYFUNCTION("""COMPUTED_VALUE"""),293.25)</f>
        <v>293.25</v>
      </c>
    </row>
    <row r="144" ht="15.75" customHeight="1">
      <c r="B144" s="3">
        <f>IFERROR(__xludf.DUMMYFUNCTION("""COMPUTED_VALUE"""),40039.645833333336)</f>
        <v>40039.64583</v>
      </c>
      <c r="C144" s="2">
        <f>IFERROR(__xludf.DUMMYFUNCTION("""COMPUTED_VALUE"""),265.9)</f>
        <v>265.9</v>
      </c>
    </row>
    <row r="145" ht="15.75" customHeight="1">
      <c r="B145" s="3">
        <f>IFERROR(__xludf.DUMMYFUNCTION("""COMPUTED_VALUE"""),40046.645833333336)</f>
        <v>40046.64583</v>
      </c>
      <c r="C145" s="2">
        <f>IFERROR(__xludf.DUMMYFUNCTION("""COMPUTED_VALUE"""),255.0)</f>
        <v>255</v>
      </c>
    </row>
    <row r="146" ht="15.75" customHeight="1">
      <c r="B146" s="3">
        <f>IFERROR(__xludf.DUMMYFUNCTION("""COMPUTED_VALUE"""),40053.645833333336)</f>
        <v>40053.64583</v>
      </c>
      <c r="C146" s="2">
        <f>IFERROR(__xludf.DUMMYFUNCTION("""COMPUTED_VALUE"""),268.9)</f>
        <v>268.9</v>
      </c>
    </row>
    <row r="147" ht="15.75" customHeight="1">
      <c r="B147" s="3">
        <f>IFERROR(__xludf.DUMMYFUNCTION("""COMPUTED_VALUE"""),40060.645833333336)</f>
        <v>40060.64583</v>
      </c>
      <c r="C147" s="2">
        <f>IFERROR(__xludf.DUMMYFUNCTION("""COMPUTED_VALUE"""),295.4)</f>
        <v>295.4</v>
      </c>
    </row>
    <row r="148" ht="15.75" customHeight="1">
      <c r="B148" s="3">
        <f>IFERROR(__xludf.DUMMYFUNCTION("""COMPUTED_VALUE"""),40067.645833333336)</f>
        <v>40067.64583</v>
      </c>
      <c r="C148" s="2">
        <f>IFERROR(__xludf.DUMMYFUNCTION("""COMPUTED_VALUE"""),317.25)</f>
        <v>317.25</v>
      </c>
    </row>
    <row r="149" ht="15.75" customHeight="1">
      <c r="B149" s="3">
        <f>IFERROR(__xludf.DUMMYFUNCTION("""COMPUTED_VALUE"""),40074.645833333336)</f>
        <v>40074.64583</v>
      </c>
      <c r="C149" s="2">
        <f>IFERROR(__xludf.DUMMYFUNCTION("""COMPUTED_VALUE"""),321.0)</f>
        <v>321</v>
      </c>
    </row>
    <row r="150" ht="15.75" customHeight="1">
      <c r="B150" s="3">
        <f>IFERROR(__xludf.DUMMYFUNCTION("""COMPUTED_VALUE"""),40081.645833333336)</f>
        <v>40081.64583</v>
      </c>
      <c r="C150" s="2">
        <f>IFERROR(__xludf.DUMMYFUNCTION("""COMPUTED_VALUE"""),310.8)</f>
        <v>310.8</v>
      </c>
    </row>
    <row r="151" ht="15.75" customHeight="1">
      <c r="B151" s="3">
        <f>IFERROR(__xludf.DUMMYFUNCTION("""COMPUTED_VALUE"""),40087.645833333336)</f>
        <v>40087.64583</v>
      </c>
      <c r="C151" s="2">
        <f>IFERROR(__xludf.DUMMYFUNCTION("""COMPUTED_VALUE"""),319.85)</f>
        <v>319.85</v>
      </c>
    </row>
    <row r="152" ht="15.75" customHeight="1">
      <c r="B152" s="3">
        <f>IFERROR(__xludf.DUMMYFUNCTION("""COMPUTED_VALUE"""),40095.645833333336)</f>
        <v>40095.64583</v>
      </c>
      <c r="C152" s="2">
        <f>IFERROR(__xludf.DUMMYFUNCTION("""COMPUTED_VALUE"""),319.35)</f>
        <v>319.35</v>
      </c>
    </row>
    <row r="153" ht="15.75" customHeight="1">
      <c r="B153" s="3">
        <f>IFERROR(__xludf.DUMMYFUNCTION("""COMPUTED_VALUE"""),40109.645833333336)</f>
        <v>40109.64583</v>
      </c>
      <c r="C153" s="2">
        <f>IFERROR(__xludf.DUMMYFUNCTION("""COMPUTED_VALUE"""),243.7)</f>
        <v>243.7</v>
      </c>
    </row>
    <row r="154" ht="15.75" customHeight="1">
      <c r="B154" s="3">
        <f>IFERROR(__xludf.DUMMYFUNCTION("""COMPUTED_VALUE"""),40116.645833333336)</f>
        <v>40116.64583</v>
      </c>
      <c r="C154" s="2">
        <f>IFERROR(__xludf.DUMMYFUNCTION("""COMPUTED_VALUE"""),233.0)</f>
        <v>233</v>
      </c>
    </row>
    <row r="155" ht="15.75" customHeight="1">
      <c r="B155" s="3">
        <f>IFERROR(__xludf.DUMMYFUNCTION("""COMPUTED_VALUE"""),40123.645833333336)</f>
        <v>40123.64583</v>
      </c>
      <c r="C155" s="2">
        <f>IFERROR(__xludf.DUMMYFUNCTION("""COMPUTED_VALUE"""),183.35)</f>
        <v>183.35</v>
      </c>
    </row>
    <row r="156" ht="15.75" customHeight="1">
      <c r="B156" s="3">
        <f>IFERROR(__xludf.DUMMYFUNCTION("""COMPUTED_VALUE"""),40130.645833333336)</f>
        <v>40130.64583</v>
      </c>
      <c r="C156" s="2">
        <f>IFERROR(__xludf.DUMMYFUNCTION("""COMPUTED_VALUE"""),179.8)</f>
        <v>179.8</v>
      </c>
    </row>
    <row r="157" ht="15.75" customHeight="1">
      <c r="B157" s="3">
        <f>IFERROR(__xludf.DUMMYFUNCTION("""COMPUTED_VALUE"""),40137.645833333336)</f>
        <v>40137.64583</v>
      </c>
      <c r="C157" s="2">
        <f>IFERROR(__xludf.DUMMYFUNCTION("""COMPUTED_VALUE"""),182.7)</f>
        <v>182.7</v>
      </c>
    </row>
    <row r="158" ht="15.75" customHeight="1">
      <c r="B158" s="3">
        <f>IFERROR(__xludf.DUMMYFUNCTION("""COMPUTED_VALUE"""),40144.645833333336)</f>
        <v>40144.64583</v>
      </c>
      <c r="C158" s="2">
        <f>IFERROR(__xludf.DUMMYFUNCTION("""COMPUTED_VALUE"""),178.4)</f>
        <v>178.4</v>
      </c>
    </row>
    <row r="159" ht="15.75" customHeight="1">
      <c r="B159" s="3">
        <f>IFERROR(__xludf.DUMMYFUNCTION("""COMPUTED_VALUE"""),40151.645833333336)</f>
        <v>40151.64583</v>
      </c>
      <c r="C159" s="2">
        <f>IFERROR(__xludf.DUMMYFUNCTION("""COMPUTED_VALUE"""),182.25)</f>
        <v>182.25</v>
      </c>
    </row>
    <row r="160" ht="15.75" customHeight="1">
      <c r="B160" s="3">
        <f>IFERROR(__xludf.DUMMYFUNCTION("""COMPUTED_VALUE"""),40158.645833333336)</f>
        <v>40158.64583</v>
      </c>
      <c r="C160" s="2">
        <f>IFERROR(__xludf.DUMMYFUNCTION("""COMPUTED_VALUE"""),190.0)</f>
        <v>190</v>
      </c>
    </row>
    <row r="161" ht="15.75" customHeight="1">
      <c r="B161" s="3">
        <f>IFERROR(__xludf.DUMMYFUNCTION("""COMPUTED_VALUE"""),40165.645833333336)</f>
        <v>40165.64583</v>
      </c>
      <c r="C161" s="2">
        <f>IFERROR(__xludf.DUMMYFUNCTION("""COMPUTED_VALUE"""),186.5)</f>
        <v>186.5</v>
      </c>
    </row>
    <row r="162" ht="15.75" customHeight="1">
      <c r="B162" s="3">
        <f>IFERROR(__xludf.DUMMYFUNCTION("""COMPUTED_VALUE"""),40171.645833333336)</f>
        <v>40171.64583</v>
      </c>
      <c r="C162" s="2">
        <f>IFERROR(__xludf.DUMMYFUNCTION("""COMPUTED_VALUE"""),177.55)</f>
        <v>177.55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IFERROR(__xludf.DUMMYFUNCTION("GOOGLEFINANCE(""NSE:RCOM"", ""high"",DATE(2010,1,1),DATE(2011,1,1),""weekly"")"),"Date")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IFERROR(__xludf.DUMMYFUNCTION("""COMPUTED_VALUE"""),40186.645833333336)</f>
        <v>40186.64583</v>
      </c>
      <c r="C167" s="2">
        <f>IFERROR(__xludf.DUMMYFUNCTION("""COMPUTED_VALUE"""),185.3)</f>
        <v>185.3</v>
      </c>
    </row>
    <row r="168" ht="15.75" customHeight="1">
      <c r="B168" s="3">
        <f>IFERROR(__xludf.DUMMYFUNCTION("""COMPUTED_VALUE"""),40193.645833333336)</f>
        <v>40193.64583</v>
      </c>
      <c r="C168" s="2">
        <f>IFERROR(__xludf.DUMMYFUNCTION("""COMPUTED_VALUE"""),193.4)</f>
        <v>193.4</v>
      </c>
    </row>
    <row r="169" ht="15.75" customHeight="1">
      <c r="B169" s="3">
        <f>IFERROR(__xludf.DUMMYFUNCTION("""COMPUTED_VALUE"""),40200.645833333336)</f>
        <v>40200.64583</v>
      </c>
      <c r="C169" s="2">
        <f>IFERROR(__xludf.DUMMYFUNCTION("""COMPUTED_VALUE"""),193.8)</f>
        <v>193.8</v>
      </c>
    </row>
    <row r="170" ht="15.75" customHeight="1">
      <c r="B170" s="3">
        <f>IFERROR(__xludf.DUMMYFUNCTION("""COMPUTED_VALUE"""),40207.645833333336)</f>
        <v>40207.64583</v>
      </c>
      <c r="C170" s="2">
        <f>IFERROR(__xludf.DUMMYFUNCTION("""COMPUTED_VALUE"""),183.2)</f>
        <v>183.2</v>
      </c>
    </row>
    <row r="171" ht="15.75" customHeight="1">
      <c r="B171" s="3">
        <f>IFERROR(__xludf.DUMMYFUNCTION("""COMPUTED_VALUE"""),40220.645833333336)</f>
        <v>40220.64583</v>
      </c>
      <c r="C171" s="2">
        <f>IFERROR(__xludf.DUMMYFUNCTION("""COMPUTED_VALUE"""),171.0)</f>
        <v>171</v>
      </c>
    </row>
    <row r="172" ht="15.75" customHeight="1">
      <c r="B172" s="3">
        <f>IFERROR(__xludf.DUMMYFUNCTION("""COMPUTED_VALUE"""),40228.645833333336)</f>
        <v>40228.64583</v>
      </c>
      <c r="C172" s="2">
        <f>IFERROR(__xludf.DUMMYFUNCTION("""COMPUTED_VALUE"""),172.4)</f>
        <v>172.4</v>
      </c>
    </row>
    <row r="173" ht="15.75" customHeight="1">
      <c r="B173" s="3">
        <f>IFERROR(__xludf.DUMMYFUNCTION("""COMPUTED_VALUE"""),40235.645833333336)</f>
        <v>40235.64583</v>
      </c>
      <c r="C173" s="2">
        <f>IFERROR(__xludf.DUMMYFUNCTION("""COMPUTED_VALUE"""),165.05)</f>
        <v>165.05</v>
      </c>
    </row>
    <row r="174" ht="15.75" customHeight="1">
      <c r="B174" s="3">
        <f>IFERROR(__xludf.DUMMYFUNCTION("""COMPUTED_VALUE"""),40242.645833333336)</f>
        <v>40242.64583</v>
      </c>
      <c r="C174" s="2">
        <f>IFERROR(__xludf.DUMMYFUNCTION("""COMPUTED_VALUE"""),167.4)</f>
        <v>167.4</v>
      </c>
    </row>
    <row r="175" ht="15.75" customHeight="1">
      <c r="B175" s="3">
        <f>IFERROR(__xludf.DUMMYFUNCTION("""COMPUTED_VALUE"""),40249.645833333336)</f>
        <v>40249.64583</v>
      </c>
      <c r="C175" s="2">
        <f>IFERROR(__xludf.DUMMYFUNCTION("""COMPUTED_VALUE"""),167.3)</f>
        <v>167.3</v>
      </c>
    </row>
    <row r="176" ht="15.75" customHeight="1">
      <c r="B176" s="3">
        <f>IFERROR(__xludf.DUMMYFUNCTION("""COMPUTED_VALUE"""),40256.645833333336)</f>
        <v>40256.64583</v>
      </c>
      <c r="C176" s="2">
        <f>IFERROR(__xludf.DUMMYFUNCTION("""COMPUTED_VALUE"""),168.45)</f>
        <v>168.45</v>
      </c>
    </row>
    <row r="177" ht="15.75" customHeight="1">
      <c r="B177" s="3">
        <f>IFERROR(__xludf.DUMMYFUNCTION("""COMPUTED_VALUE"""),40263.645833333336)</f>
        <v>40263.64583</v>
      </c>
      <c r="C177" s="2">
        <f>IFERROR(__xludf.DUMMYFUNCTION("""COMPUTED_VALUE"""),173.8)</f>
        <v>173.8</v>
      </c>
    </row>
    <row r="178" ht="15.75" customHeight="1">
      <c r="B178" s="3">
        <f>IFERROR(__xludf.DUMMYFUNCTION("""COMPUTED_VALUE"""),40269.645833333336)</f>
        <v>40269.64583</v>
      </c>
      <c r="C178" s="2">
        <f>IFERROR(__xludf.DUMMYFUNCTION("""COMPUTED_VALUE"""),173.95)</f>
        <v>173.95</v>
      </c>
    </row>
    <row r="179" ht="15.75" customHeight="1">
      <c r="B179" s="3">
        <f>IFERROR(__xludf.DUMMYFUNCTION("""COMPUTED_VALUE"""),40277.645833333336)</f>
        <v>40277.64583</v>
      </c>
      <c r="C179" s="2">
        <f>IFERROR(__xludf.DUMMYFUNCTION("""COMPUTED_VALUE"""),181.45)</f>
        <v>181.45</v>
      </c>
    </row>
    <row r="180" ht="15.75" customHeight="1">
      <c r="B180" s="3">
        <f>IFERROR(__xludf.DUMMYFUNCTION("""COMPUTED_VALUE"""),40284.645833333336)</f>
        <v>40284.64583</v>
      </c>
      <c r="C180" s="2">
        <f>IFERROR(__xludf.DUMMYFUNCTION("""COMPUTED_VALUE"""),180.3)</f>
        <v>180.3</v>
      </c>
    </row>
    <row r="181" ht="15.75" customHeight="1">
      <c r="B181" s="3">
        <f>IFERROR(__xludf.DUMMYFUNCTION("""COMPUTED_VALUE"""),40291.645833333336)</f>
        <v>40291.64583</v>
      </c>
      <c r="C181" s="2">
        <f>IFERROR(__xludf.DUMMYFUNCTION("""COMPUTED_VALUE"""),171.25)</f>
        <v>171.25</v>
      </c>
    </row>
    <row r="182" ht="15.75" customHeight="1">
      <c r="B182" s="3">
        <f>IFERROR(__xludf.DUMMYFUNCTION("""COMPUTED_VALUE"""),40298.645833333336)</f>
        <v>40298.64583</v>
      </c>
      <c r="C182" s="2">
        <f>IFERROR(__xludf.DUMMYFUNCTION("""COMPUTED_VALUE"""),170.6)</f>
        <v>170.6</v>
      </c>
    </row>
    <row r="183" ht="15.75" customHeight="1">
      <c r="B183" s="3">
        <f>IFERROR(__xludf.DUMMYFUNCTION("""COMPUTED_VALUE"""),40305.645833333336)</f>
        <v>40305.64583</v>
      </c>
      <c r="C183" s="2">
        <f>IFERROR(__xludf.DUMMYFUNCTION("""COMPUTED_VALUE"""),166.45)</f>
        <v>166.45</v>
      </c>
    </row>
    <row r="184" ht="15.75" customHeight="1">
      <c r="B184" s="3">
        <f>IFERROR(__xludf.DUMMYFUNCTION("""COMPUTED_VALUE"""),40312.645833333336)</f>
        <v>40312.64583</v>
      </c>
      <c r="C184" s="2">
        <f>IFERROR(__xludf.DUMMYFUNCTION("""COMPUTED_VALUE"""),156.7)</f>
        <v>156.7</v>
      </c>
    </row>
    <row r="185" ht="15.75" customHeight="1">
      <c r="B185" s="3">
        <f>IFERROR(__xludf.DUMMYFUNCTION("""COMPUTED_VALUE"""),40319.645833333336)</f>
        <v>40319.64583</v>
      </c>
      <c r="C185" s="2">
        <f>IFERROR(__xludf.DUMMYFUNCTION("""COMPUTED_VALUE"""),146.0)</f>
        <v>146</v>
      </c>
    </row>
    <row r="186" ht="15.75" customHeight="1">
      <c r="B186" s="3">
        <f>IFERROR(__xludf.DUMMYFUNCTION("""COMPUTED_VALUE"""),40326.645833333336)</f>
        <v>40326.64583</v>
      </c>
      <c r="C186" s="2">
        <f>IFERROR(__xludf.DUMMYFUNCTION("""COMPUTED_VALUE"""),150.85)</f>
        <v>150.85</v>
      </c>
    </row>
    <row r="187" ht="15.75" customHeight="1">
      <c r="B187" s="3">
        <f>IFERROR(__xludf.DUMMYFUNCTION("""COMPUTED_VALUE"""),40333.645833333336)</f>
        <v>40333.64583</v>
      </c>
      <c r="C187" s="2">
        <f>IFERROR(__xludf.DUMMYFUNCTION("""COMPUTED_VALUE"""),169.7)</f>
        <v>169.7</v>
      </c>
    </row>
    <row r="188" ht="15.75" customHeight="1">
      <c r="B188" s="3">
        <f>IFERROR(__xludf.DUMMYFUNCTION("""COMPUTED_VALUE"""),40340.645833333336)</f>
        <v>40340.64583</v>
      </c>
      <c r="C188" s="2">
        <f>IFERROR(__xludf.DUMMYFUNCTION("""COMPUTED_VALUE"""),179.0)</f>
        <v>179</v>
      </c>
    </row>
    <row r="189" ht="15.75" customHeight="1">
      <c r="B189" s="3">
        <f>IFERROR(__xludf.DUMMYFUNCTION("""COMPUTED_VALUE"""),40347.645833333336)</f>
        <v>40347.64583</v>
      </c>
      <c r="C189" s="2">
        <f>IFERROR(__xludf.DUMMYFUNCTION("""COMPUTED_VALUE"""),196.35)</f>
        <v>196.35</v>
      </c>
    </row>
    <row r="190" ht="15.75" customHeight="1">
      <c r="B190" s="3">
        <f>IFERROR(__xludf.DUMMYFUNCTION("""COMPUTED_VALUE"""),40354.645833333336)</f>
        <v>40354.64583</v>
      </c>
      <c r="C190" s="2">
        <f>IFERROR(__xludf.DUMMYFUNCTION("""COMPUTED_VALUE"""),195.0)</f>
        <v>195</v>
      </c>
    </row>
    <row r="191" ht="15.75" customHeight="1">
      <c r="B191" s="3">
        <f>IFERROR(__xludf.DUMMYFUNCTION("""COMPUTED_VALUE"""),40361.645833333336)</f>
        <v>40361.64583</v>
      </c>
      <c r="C191" s="2">
        <f>IFERROR(__xludf.DUMMYFUNCTION("""COMPUTED_VALUE"""),207.8)</f>
        <v>207.8</v>
      </c>
    </row>
    <row r="192" ht="15.75" customHeight="1">
      <c r="B192" s="3">
        <f>IFERROR(__xludf.DUMMYFUNCTION("""COMPUTED_VALUE"""),40368.645833333336)</f>
        <v>40368.64583</v>
      </c>
      <c r="C192" s="2">
        <f>IFERROR(__xludf.DUMMYFUNCTION("""COMPUTED_VALUE"""),195.25)</f>
        <v>195.25</v>
      </c>
    </row>
    <row r="193" ht="15.75" customHeight="1">
      <c r="B193" s="3">
        <f>IFERROR(__xludf.DUMMYFUNCTION("""COMPUTED_VALUE"""),40375.645833333336)</f>
        <v>40375.64583</v>
      </c>
      <c r="C193" s="2">
        <f>IFERROR(__xludf.DUMMYFUNCTION("""COMPUTED_VALUE"""),195.0)</f>
        <v>195</v>
      </c>
    </row>
    <row r="194" ht="15.75" customHeight="1">
      <c r="B194" s="3">
        <f>IFERROR(__xludf.DUMMYFUNCTION("""COMPUTED_VALUE"""),40382.645833333336)</f>
        <v>40382.64583</v>
      </c>
      <c r="C194" s="2">
        <f>IFERROR(__xludf.DUMMYFUNCTION("""COMPUTED_VALUE"""),194.45)</f>
        <v>194.45</v>
      </c>
    </row>
    <row r="195" ht="15.75" customHeight="1">
      <c r="B195" s="3">
        <f>IFERROR(__xludf.DUMMYFUNCTION("""COMPUTED_VALUE"""),40389.645833333336)</f>
        <v>40389.64583</v>
      </c>
      <c r="C195" s="2">
        <f>IFERROR(__xludf.DUMMYFUNCTION("""COMPUTED_VALUE"""),190.45)</f>
        <v>190.45</v>
      </c>
    </row>
    <row r="196" ht="15.75" customHeight="1">
      <c r="B196" s="3">
        <f>IFERROR(__xludf.DUMMYFUNCTION("""COMPUTED_VALUE"""),40396.645833333336)</f>
        <v>40396.64583</v>
      </c>
      <c r="C196" s="2">
        <f>IFERROR(__xludf.DUMMYFUNCTION("""COMPUTED_VALUE"""),181.4)</f>
        <v>181.4</v>
      </c>
    </row>
    <row r="197" ht="15.75" customHeight="1">
      <c r="B197" s="3">
        <f>IFERROR(__xludf.DUMMYFUNCTION("""COMPUTED_VALUE"""),40403.645833333336)</f>
        <v>40403.64583</v>
      </c>
      <c r="C197" s="2">
        <f>IFERROR(__xludf.DUMMYFUNCTION("""COMPUTED_VALUE"""),178.75)</f>
        <v>178.75</v>
      </c>
    </row>
    <row r="198" ht="15.75" customHeight="1">
      <c r="B198" s="3">
        <f>IFERROR(__xludf.DUMMYFUNCTION("""COMPUTED_VALUE"""),40410.645833333336)</f>
        <v>40410.64583</v>
      </c>
      <c r="C198" s="2">
        <f>IFERROR(__xludf.DUMMYFUNCTION("""COMPUTED_VALUE"""),167.1)</f>
        <v>167.1</v>
      </c>
    </row>
    <row r="199" ht="15.75" customHeight="1">
      <c r="B199" s="3">
        <f>IFERROR(__xludf.DUMMYFUNCTION("""COMPUTED_VALUE"""),40417.645833333336)</f>
        <v>40417.64583</v>
      </c>
      <c r="C199" s="2">
        <f>IFERROR(__xludf.DUMMYFUNCTION("""COMPUTED_VALUE"""),167.85)</f>
        <v>167.85</v>
      </c>
    </row>
    <row r="200" ht="15.75" customHeight="1">
      <c r="B200" s="3">
        <f>IFERROR(__xludf.DUMMYFUNCTION("""COMPUTED_VALUE"""),40424.645833333336)</f>
        <v>40424.64583</v>
      </c>
      <c r="C200" s="2">
        <f>IFERROR(__xludf.DUMMYFUNCTION("""COMPUTED_VALUE"""),166.7)</f>
        <v>166.7</v>
      </c>
    </row>
    <row r="201" ht="15.75" customHeight="1">
      <c r="B201" s="3">
        <f>IFERROR(__xludf.DUMMYFUNCTION("""COMPUTED_VALUE"""),40430.645833333336)</f>
        <v>40430.64583</v>
      </c>
      <c r="C201" s="2">
        <f>IFERROR(__xludf.DUMMYFUNCTION("""COMPUTED_VALUE"""),167.4)</f>
        <v>167.4</v>
      </c>
    </row>
    <row r="202" ht="15.75" customHeight="1">
      <c r="B202" s="3">
        <f>IFERROR(__xludf.DUMMYFUNCTION("""COMPUTED_VALUE"""),40438.645833333336)</f>
        <v>40438.64583</v>
      </c>
      <c r="C202" s="2">
        <f>IFERROR(__xludf.DUMMYFUNCTION("""COMPUTED_VALUE"""),168.9)</f>
        <v>168.9</v>
      </c>
    </row>
    <row r="203" ht="15.75" customHeight="1">
      <c r="B203" s="3">
        <f>IFERROR(__xludf.DUMMYFUNCTION("""COMPUTED_VALUE"""),40445.645833333336)</f>
        <v>40445.64583</v>
      </c>
      <c r="C203" s="2">
        <f>IFERROR(__xludf.DUMMYFUNCTION("""COMPUTED_VALUE"""),176.75)</f>
        <v>176.75</v>
      </c>
    </row>
    <row r="204" ht="15.75" customHeight="1">
      <c r="B204" s="3">
        <f>IFERROR(__xludf.DUMMYFUNCTION("""COMPUTED_VALUE"""),40452.645833333336)</f>
        <v>40452.64583</v>
      </c>
      <c r="C204" s="2">
        <f>IFERROR(__xludf.DUMMYFUNCTION("""COMPUTED_VALUE"""),175.0)</f>
        <v>175</v>
      </c>
    </row>
    <row r="205" ht="15.75" customHeight="1">
      <c r="B205" s="3">
        <f>IFERROR(__xludf.DUMMYFUNCTION("""COMPUTED_VALUE"""),40459.645833333336)</f>
        <v>40459.64583</v>
      </c>
      <c r="C205" s="2">
        <f>IFERROR(__xludf.DUMMYFUNCTION("""COMPUTED_VALUE"""),184.75)</f>
        <v>184.75</v>
      </c>
    </row>
    <row r="206" ht="15.75" customHeight="1">
      <c r="B206" s="3">
        <f>IFERROR(__xludf.DUMMYFUNCTION("""COMPUTED_VALUE"""),40466.645833333336)</f>
        <v>40466.64583</v>
      </c>
      <c r="C206" s="2">
        <f>IFERROR(__xludf.DUMMYFUNCTION("""COMPUTED_VALUE"""),188.0)</f>
        <v>188</v>
      </c>
    </row>
    <row r="207" ht="15.75" customHeight="1">
      <c r="B207" s="3">
        <f>IFERROR(__xludf.DUMMYFUNCTION("""COMPUTED_VALUE"""),40473.645833333336)</f>
        <v>40473.64583</v>
      </c>
      <c r="C207" s="2">
        <f>IFERROR(__xludf.DUMMYFUNCTION("""COMPUTED_VALUE"""),181.4)</f>
        <v>181.4</v>
      </c>
    </row>
    <row r="208" ht="15.75" customHeight="1">
      <c r="B208" s="3">
        <f>IFERROR(__xludf.DUMMYFUNCTION("""COMPUTED_VALUE"""),40480.645833333336)</f>
        <v>40480.64583</v>
      </c>
      <c r="C208" s="2">
        <f>IFERROR(__xludf.DUMMYFUNCTION("""COMPUTED_VALUE"""),185.35)</f>
        <v>185.35</v>
      </c>
    </row>
    <row r="209" ht="15.75" customHeight="1">
      <c r="B209" s="3">
        <f>IFERROR(__xludf.DUMMYFUNCTION("""COMPUTED_VALUE"""),40487.645833333336)</f>
        <v>40487.64583</v>
      </c>
      <c r="C209" s="2">
        <f>IFERROR(__xludf.DUMMYFUNCTION("""COMPUTED_VALUE"""),186.4)</f>
        <v>186.4</v>
      </c>
    </row>
    <row r="210" ht="15.75" customHeight="1">
      <c r="B210" s="3">
        <f>IFERROR(__xludf.DUMMYFUNCTION("""COMPUTED_VALUE"""),40494.645833333336)</f>
        <v>40494.64583</v>
      </c>
      <c r="C210" s="2">
        <f>IFERROR(__xludf.DUMMYFUNCTION("""COMPUTED_VALUE"""),182.8)</f>
        <v>182.8</v>
      </c>
    </row>
    <row r="211" ht="15.75" customHeight="1">
      <c r="B211" s="3">
        <f>IFERROR(__xludf.DUMMYFUNCTION("""COMPUTED_VALUE"""),40501.645833333336)</f>
        <v>40501.64583</v>
      </c>
      <c r="C211" s="2">
        <f>IFERROR(__xludf.DUMMYFUNCTION("""COMPUTED_VALUE"""),172.0)</f>
        <v>172</v>
      </c>
    </row>
    <row r="212" ht="15.75" customHeight="1">
      <c r="B212" s="3">
        <f>IFERROR(__xludf.DUMMYFUNCTION("""COMPUTED_VALUE"""),40508.645833333336)</f>
        <v>40508.64583</v>
      </c>
      <c r="C212" s="2">
        <f>IFERROR(__xludf.DUMMYFUNCTION("""COMPUTED_VALUE"""),151.7)</f>
        <v>151.7</v>
      </c>
    </row>
    <row r="213" ht="15.75" customHeight="1">
      <c r="B213" s="3">
        <f>IFERROR(__xludf.DUMMYFUNCTION("""COMPUTED_VALUE"""),40515.645833333336)</f>
        <v>40515.64583</v>
      </c>
      <c r="C213" s="2">
        <f>IFERROR(__xludf.DUMMYFUNCTION("""COMPUTED_VALUE"""),143.3)</f>
        <v>143.3</v>
      </c>
    </row>
    <row r="214" ht="15.75" customHeight="1">
      <c r="B214" s="3">
        <f>IFERROR(__xludf.DUMMYFUNCTION("""COMPUTED_VALUE"""),40522.645833333336)</f>
        <v>40522.64583</v>
      </c>
      <c r="C214" s="2">
        <f>IFERROR(__xludf.DUMMYFUNCTION("""COMPUTED_VALUE"""),142.8)</f>
        <v>142.8</v>
      </c>
    </row>
    <row r="215" ht="15.75" customHeight="1">
      <c r="B215" s="3">
        <f>IFERROR(__xludf.DUMMYFUNCTION("""COMPUTED_VALUE"""),40528.645833333336)</f>
        <v>40528.64583</v>
      </c>
      <c r="C215" s="2">
        <f>IFERROR(__xludf.DUMMYFUNCTION("""COMPUTED_VALUE"""),131.75)</f>
        <v>131.75</v>
      </c>
    </row>
    <row r="216" ht="15.75" customHeight="1">
      <c r="B216" s="3">
        <f>IFERROR(__xludf.DUMMYFUNCTION("""COMPUTED_VALUE"""),40536.645833333336)</f>
        <v>40536.64583</v>
      </c>
      <c r="C216" s="2">
        <f>IFERROR(__xludf.DUMMYFUNCTION("""COMPUTED_VALUE"""),144.4)</f>
        <v>144.4</v>
      </c>
    </row>
    <row r="217" ht="15.75" customHeight="1">
      <c r="B217" s="3">
        <f>IFERROR(__xludf.DUMMYFUNCTION("""COMPUTED_VALUE"""),40543.645833333336)</f>
        <v>40543.64583</v>
      </c>
      <c r="C217" s="2">
        <f>IFERROR(__xludf.DUMMYFUNCTION("""COMPUTED_VALUE"""),146.3)</f>
        <v>146.3</v>
      </c>
    </row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IFERROR(__xludf.DUMMYFUNCTION("GOOGLEFINANCE(""NSE:RCOM"", ""high"",DATE(2011,1,1),DATE(2012,1,1),""weekly"")"),"Date")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IFERROR(__xludf.DUMMYFUNCTION("""COMPUTED_VALUE"""),40550.645833333336)</f>
        <v>40550.64583</v>
      </c>
      <c r="C222" s="2">
        <f>IFERROR(__xludf.DUMMYFUNCTION("""COMPUTED_VALUE"""),150.0)</f>
        <v>150</v>
      </c>
    </row>
    <row r="223" ht="15.75" customHeight="1">
      <c r="B223" s="3">
        <f>IFERROR(__xludf.DUMMYFUNCTION("""COMPUTED_VALUE"""),40557.645833333336)</f>
        <v>40557.64583</v>
      </c>
      <c r="C223" s="2">
        <f>IFERROR(__xludf.DUMMYFUNCTION("""COMPUTED_VALUE"""),143.2)</f>
        <v>143.2</v>
      </c>
    </row>
    <row r="224" ht="15.75" customHeight="1">
      <c r="B224" s="3">
        <f>IFERROR(__xludf.DUMMYFUNCTION("""COMPUTED_VALUE"""),40564.645833333336)</f>
        <v>40564.64583</v>
      </c>
      <c r="C224" s="2">
        <f>IFERROR(__xludf.DUMMYFUNCTION("""COMPUTED_VALUE"""),136.95)</f>
        <v>136.95</v>
      </c>
    </row>
    <row r="225" ht="15.75" customHeight="1">
      <c r="B225" s="3">
        <f>IFERROR(__xludf.DUMMYFUNCTION("""COMPUTED_VALUE"""),40571.645833333336)</f>
        <v>40571.64583</v>
      </c>
      <c r="C225" s="2">
        <f>IFERROR(__xludf.DUMMYFUNCTION("""COMPUTED_VALUE"""),136.85)</f>
        <v>136.85</v>
      </c>
    </row>
    <row r="226" ht="15.75" customHeight="1">
      <c r="B226" s="3">
        <f>IFERROR(__xludf.DUMMYFUNCTION("""COMPUTED_VALUE"""),40578.645833333336)</f>
        <v>40578.64583</v>
      </c>
      <c r="C226" s="2">
        <f>IFERROR(__xludf.DUMMYFUNCTION("""COMPUTED_VALUE"""),125.05)</f>
        <v>125.05</v>
      </c>
    </row>
    <row r="227" ht="15.75" customHeight="1">
      <c r="B227" s="3">
        <f>IFERROR(__xludf.DUMMYFUNCTION("""COMPUTED_VALUE"""),40585.645833333336)</f>
        <v>40585.64583</v>
      </c>
      <c r="C227" s="2">
        <f>IFERROR(__xludf.DUMMYFUNCTION("""COMPUTED_VALUE"""),118.0)</f>
        <v>118</v>
      </c>
    </row>
    <row r="228" ht="15.75" customHeight="1">
      <c r="B228" s="3">
        <f>IFERROR(__xludf.DUMMYFUNCTION("""COMPUTED_VALUE"""),40592.645833333336)</f>
        <v>40592.64583</v>
      </c>
      <c r="C228" s="2">
        <f>IFERROR(__xludf.DUMMYFUNCTION("""COMPUTED_VALUE"""),103.5)</f>
        <v>103.5</v>
      </c>
    </row>
    <row r="229" ht="15.75" customHeight="1">
      <c r="B229" s="3">
        <f>IFERROR(__xludf.DUMMYFUNCTION("""COMPUTED_VALUE"""),40599.645833333336)</f>
        <v>40599.64583</v>
      </c>
      <c r="C229" s="2">
        <f>IFERROR(__xludf.DUMMYFUNCTION("""COMPUTED_VALUE"""),98.9)</f>
        <v>98.9</v>
      </c>
    </row>
    <row r="230" ht="15.75" customHeight="1">
      <c r="B230" s="3">
        <f>IFERROR(__xludf.DUMMYFUNCTION("""COMPUTED_VALUE"""),40606.645833333336)</f>
        <v>40606.64583</v>
      </c>
      <c r="C230" s="2">
        <f>IFERROR(__xludf.DUMMYFUNCTION("""COMPUTED_VALUE"""),95.7)</f>
        <v>95.7</v>
      </c>
    </row>
    <row r="231" ht="15.75" customHeight="1">
      <c r="B231" s="3">
        <f>IFERROR(__xludf.DUMMYFUNCTION("""COMPUTED_VALUE"""),40613.645833333336)</f>
        <v>40613.64583</v>
      </c>
      <c r="C231" s="2">
        <f>IFERROR(__xludf.DUMMYFUNCTION("""COMPUTED_VALUE"""),101.75)</f>
        <v>101.75</v>
      </c>
    </row>
    <row r="232" ht="15.75" customHeight="1">
      <c r="B232" s="3">
        <f>IFERROR(__xludf.DUMMYFUNCTION("""COMPUTED_VALUE"""),40620.645833333336)</f>
        <v>40620.64583</v>
      </c>
      <c r="C232" s="2">
        <f>IFERROR(__xludf.DUMMYFUNCTION("""COMPUTED_VALUE"""),108.25)</f>
        <v>108.25</v>
      </c>
    </row>
    <row r="233" ht="15.75" customHeight="1">
      <c r="B233" s="3">
        <f>IFERROR(__xludf.DUMMYFUNCTION("""COMPUTED_VALUE"""),40627.645833333336)</f>
        <v>40627.64583</v>
      </c>
      <c r="C233" s="2">
        <f>IFERROR(__xludf.DUMMYFUNCTION("""COMPUTED_VALUE"""),108.3)</f>
        <v>108.3</v>
      </c>
    </row>
    <row r="234" ht="15.75" customHeight="1">
      <c r="B234" s="3">
        <f>IFERROR(__xludf.DUMMYFUNCTION("""COMPUTED_VALUE"""),40634.645833333336)</f>
        <v>40634.64583</v>
      </c>
      <c r="C234" s="2">
        <f>IFERROR(__xludf.DUMMYFUNCTION("""COMPUTED_VALUE"""),112.7)</f>
        <v>112.7</v>
      </c>
    </row>
    <row r="235" ht="15.75" customHeight="1">
      <c r="B235" s="3">
        <f>IFERROR(__xludf.DUMMYFUNCTION("""COMPUTED_VALUE"""),40641.645833333336)</f>
        <v>40641.64583</v>
      </c>
      <c r="C235" s="2">
        <f>IFERROR(__xludf.DUMMYFUNCTION("""COMPUTED_VALUE"""),113.85)</f>
        <v>113.85</v>
      </c>
    </row>
    <row r="236" ht="15.75" customHeight="1">
      <c r="B236" s="3">
        <f>IFERROR(__xludf.DUMMYFUNCTION("""COMPUTED_VALUE"""),40648.645833333336)</f>
        <v>40648.64583</v>
      </c>
      <c r="C236" s="2">
        <f>IFERROR(__xludf.DUMMYFUNCTION("""COMPUTED_VALUE"""),109.85)</f>
        <v>109.85</v>
      </c>
    </row>
    <row r="237" ht="15.75" customHeight="1">
      <c r="B237" s="3">
        <f>IFERROR(__xludf.DUMMYFUNCTION("""COMPUTED_VALUE"""),40654.645833333336)</f>
        <v>40654.64583</v>
      </c>
      <c r="C237" s="2">
        <f>IFERROR(__xludf.DUMMYFUNCTION("""COMPUTED_VALUE"""),109.65)</f>
        <v>109.65</v>
      </c>
    </row>
    <row r="238" ht="15.75" customHeight="1">
      <c r="B238" s="3">
        <f>IFERROR(__xludf.DUMMYFUNCTION("""COMPUTED_VALUE"""),40662.645833333336)</f>
        <v>40662.64583</v>
      </c>
      <c r="C238" s="2">
        <f>IFERROR(__xludf.DUMMYFUNCTION("""COMPUTED_VALUE"""),107.2)</f>
        <v>107.2</v>
      </c>
    </row>
    <row r="239" ht="15.75" customHeight="1">
      <c r="B239" s="3">
        <f>IFERROR(__xludf.DUMMYFUNCTION("""COMPUTED_VALUE"""),40669.645833333336)</f>
        <v>40669.64583</v>
      </c>
      <c r="C239" s="2">
        <f>IFERROR(__xludf.DUMMYFUNCTION("""COMPUTED_VALUE"""),101.6)</f>
        <v>101.6</v>
      </c>
    </row>
    <row r="240" ht="15.75" customHeight="1">
      <c r="B240" s="3">
        <f>IFERROR(__xludf.DUMMYFUNCTION("""COMPUTED_VALUE"""),40676.645833333336)</f>
        <v>40676.64583</v>
      </c>
      <c r="C240" s="2">
        <f>IFERROR(__xludf.DUMMYFUNCTION("""COMPUTED_VALUE"""),93.2)</f>
        <v>93.2</v>
      </c>
    </row>
    <row r="241" ht="15.75" customHeight="1">
      <c r="B241" s="3">
        <f>IFERROR(__xludf.DUMMYFUNCTION("""COMPUTED_VALUE"""),40683.645833333336)</f>
        <v>40683.64583</v>
      </c>
      <c r="C241" s="2">
        <f>IFERROR(__xludf.DUMMYFUNCTION("""COMPUTED_VALUE"""),91.75)</f>
        <v>91.75</v>
      </c>
    </row>
    <row r="242" ht="15.75" customHeight="1">
      <c r="B242" s="3">
        <f>IFERROR(__xludf.DUMMYFUNCTION("""COMPUTED_VALUE"""),40690.645833333336)</f>
        <v>40690.64583</v>
      </c>
      <c r="C242" s="2">
        <f>IFERROR(__xludf.DUMMYFUNCTION("""COMPUTED_VALUE"""),85.8)</f>
        <v>85.8</v>
      </c>
    </row>
    <row r="243" ht="15.75" customHeight="1">
      <c r="B243" s="3">
        <f>IFERROR(__xludf.DUMMYFUNCTION("""COMPUTED_VALUE"""),40697.645833333336)</f>
        <v>40697.64583</v>
      </c>
      <c r="C243" s="2">
        <f>IFERROR(__xludf.DUMMYFUNCTION("""COMPUTED_VALUE"""),97.7)</f>
        <v>97.7</v>
      </c>
    </row>
    <row r="244" ht="15.75" customHeight="1">
      <c r="B244" s="3">
        <f>IFERROR(__xludf.DUMMYFUNCTION("""COMPUTED_VALUE"""),40704.645833333336)</f>
        <v>40704.64583</v>
      </c>
      <c r="C244" s="2">
        <f>IFERROR(__xludf.DUMMYFUNCTION("""COMPUTED_VALUE"""),95.1)</f>
        <v>95.1</v>
      </c>
    </row>
    <row r="245" ht="15.75" customHeight="1">
      <c r="B245" s="3">
        <f>IFERROR(__xludf.DUMMYFUNCTION("""COMPUTED_VALUE"""),40711.645833333336)</f>
        <v>40711.64583</v>
      </c>
      <c r="C245" s="2">
        <f>IFERROR(__xludf.DUMMYFUNCTION("""COMPUTED_VALUE"""),96.1)</f>
        <v>96.1</v>
      </c>
    </row>
    <row r="246" ht="15.75" customHeight="1">
      <c r="B246" s="3">
        <f>IFERROR(__xludf.DUMMYFUNCTION("""COMPUTED_VALUE"""),40718.645833333336)</f>
        <v>40718.64583</v>
      </c>
      <c r="C246" s="2">
        <f>IFERROR(__xludf.DUMMYFUNCTION("""COMPUTED_VALUE"""),93.95)</f>
        <v>93.95</v>
      </c>
    </row>
    <row r="247" ht="15.75" customHeight="1">
      <c r="B247" s="3">
        <f>IFERROR(__xludf.DUMMYFUNCTION("""COMPUTED_VALUE"""),40725.645833333336)</f>
        <v>40725.64583</v>
      </c>
      <c r="C247" s="2">
        <f>IFERROR(__xludf.DUMMYFUNCTION("""COMPUTED_VALUE"""),99.5)</f>
        <v>99.5</v>
      </c>
    </row>
    <row r="248" ht="15.75" customHeight="1">
      <c r="B248" s="3">
        <f>IFERROR(__xludf.DUMMYFUNCTION("""COMPUTED_VALUE"""),40732.645833333336)</f>
        <v>40732.64583</v>
      </c>
      <c r="C248" s="2">
        <f>IFERROR(__xludf.DUMMYFUNCTION("""COMPUTED_VALUE"""),101.2)</f>
        <v>101.2</v>
      </c>
    </row>
    <row r="249" ht="15.75" customHeight="1">
      <c r="B249" s="3">
        <f>IFERROR(__xludf.DUMMYFUNCTION("""COMPUTED_VALUE"""),40739.645833333336)</f>
        <v>40739.64583</v>
      </c>
      <c r="C249" s="2">
        <f>IFERROR(__xludf.DUMMYFUNCTION("""COMPUTED_VALUE"""),99.9)</f>
        <v>99.9</v>
      </c>
    </row>
    <row r="250" ht="15.75" customHeight="1">
      <c r="B250" s="3">
        <f>IFERROR(__xludf.DUMMYFUNCTION("""COMPUTED_VALUE"""),40746.645833333336)</f>
        <v>40746.64583</v>
      </c>
      <c r="C250" s="2">
        <f>IFERROR(__xludf.DUMMYFUNCTION("""COMPUTED_VALUE"""),97.0)</f>
        <v>97</v>
      </c>
    </row>
    <row r="251" ht="15.75" customHeight="1">
      <c r="B251" s="3">
        <f>IFERROR(__xludf.DUMMYFUNCTION("""COMPUTED_VALUE"""),40753.645833333336)</f>
        <v>40753.64583</v>
      </c>
      <c r="C251" s="2">
        <f>IFERROR(__xludf.DUMMYFUNCTION("""COMPUTED_VALUE"""),108.7)</f>
        <v>108.7</v>
      </c>
    </row>
    <row r="252" ht="15.75" customHeight="1">
      <c r="B252" s="3">
        <f>IFERROR(__xludf.DUMMYFUNCTION("""COMPUTED_VALUE"""),40760.645833333336)</f>
        <v>40760.64583</v>
      </c>
      <c r="C252" s="2">
        <f>IFERROR(__xludf.DUMMYFUNCTION("""COMPUTED_VALUE"""),103.9)</f>
        <v>103.9</v>
      </c>
    </row>
    <row r="253" ht="15.75" customHeight="1">
      <c r="B253" s="3">
        <f>IFERROR(__xludf.DUMMYFUNCTION("""COMPUTED_VALUE"""),40767.645833333336)</f>
        <v>40767.64583</v>
      </c>
      <c r="C253" s="2">
        <f>IFERROR(__xludf.DUMMYFUNCTION("""COMPUTED_VALUE"""),90.35)</f>
        <v>90.35</v>
      </c>
    </row>
    <row r="254" ht="15.75" customHeight="1">
      <c r="B254" s="3">
        <f>IFERROR(__xludf.DUMMYFUNCTION("""COMPUTED_VALUE"""),40774.645833333336)</f>
        <v>40774.64583</v>
      </c>
      <c r="C254" s="2">
        <f>IFERROR(__xludf.DUMMYFUNCTION("""COMPUTED_VALUE"""),85.8)</f>
        <v>85.8</v>
      </c>
    </row>
    <row r="255" ht="15.75" customHeight="1">
      <c r="B255" s="3">
        <f>IFERROR(__xludf.DUMMYFUNCTION("""COMPUTED_VALUE"""),40781.645833333336)</f>
        <v>40781.64583</v>
      </c>
      <c r="C255" s="2">
        <f>IFERROR(__xludf.DUMMYFUNCTION("""COMPUTED_VALUE"""),82.8)</f>
        <v>82.8</v>
      </c>
    </row>
    <row r="256" ht="15.75" customHeight="1">
      <c r="B256" s="3">
        <f>IFERROR(__xludf.DUMMYFUNCTION("""COMPUTED_VALUE"""),40788.645833333336)</f>
        <v>40788.64583</v>
      </c>
      <c r="C256" s="2">
        <f>IFERROR(__xludf.DUMMYFUNCTION("""COMPUTED_VALUE"""),85.65)</f>
        <v>85.65</v>
      </c>
    </row>
    <row r="257" ht="15.75" customHeight="1">
      <c r="B257" s="3">
        <f>IFERROR(__xludf.DUMMYFUNCTION("""COMPUTED_VALUE"""),40795.645833333336)</f>
        <v>40795.64583</v>
      </c>
      <c r="C257" s="2">
        <f>IFERROR(__xludf.DUMMYFUNCTION("""COMPUTED_VALUE"""),93.3)</f>
        <v>93.3</v>
      </c>
    </row>
    <row r="258" ht="15.75" customHeight="1">
      <c r="B258" s="3">
        <f>IFERROR(__xludf.DUMMYFUNCTION("""COMPUTED_VALUE"""),40802.645833333336)</f>
        <v>40802.64583</v>
      </c>
      <c r="C258" s="2">
        <f>IFERROR(__xludf.DUMMYFUNCTION("""COMPUTED_VALUE"""),86.2)</f>
        <v>86.2</v>
      </c>
    </row>
    <row r="259" ht="15.75" customHeight="1">
      <c r="B259" s="3">
        <f>IFERROR(__xludf.DUMMYFUNCTION("""COMPUTED_VALUE"""),40809.645833333336)</f>
        <v>40809.64583</v>
      </c>
      <c r="C259" s="2">
        <f>IFERROR(__xludf.DUMMYFUNCTION("""COMPUTED_VALUE"""),85.95)</f>
        <v>85.95</v>
      </c>
    </row>
    <row r="260" ht="15.75" customHeight="1">
      <c r="B260" s="3">
        <f>IFERROR(__xludf.DUMMYFUNCTION("""COMPUTED_VALUE"""),40816.645833333336)</f>
        <v>40816.64583</v>
      </c>
      <c r="C260" s="2">
        <f>IFERROR(__xludf.DUMMYFUNCTION("""COMPUTED_VALUE"""),82.15)</f>
        <v>82.15</v>
      </c>
    </row>
    <row r="261" ht="15.75" customHeight="1">
      <c r="B261" s="3">
        <f>IFERROR(__xludf.DUMMYFUNCTION("""COMPUTED_VALUE"""),40823.645833333336)</f>
        <v>40823.64583</v>
      </c>
      <c r="C261" s="2">
        <f>IFERROR(__xludf.DUMMYFUNCTION("""COMPUTED_VALUE"""),75.2)</f>
        <v>75.2</v>
      </c>
    </row>
    <row r="262" ht="15.75" customHeight="1">
      <c r="B262" s="3">
        <f>IFERROR(__xludf.DUMMYFUNCTION("""COMPUTED_VALUE"""),40830.645833333336)</f>
        <v>40830.64583</v>
      </c>
      <c r="C262" s="2">
        <f>IFERROR(__xludf.DUMMYFUNCTION("""COMPUTED_VALUE"""),78.75)</f>
        <v>78.75</v>
      </c>
    </row>
    <row r="263" ht="15.75" customHeight="1">
      <c r="B263" s="3">
        <f>IFERROR(__xludf.DUMMYFUNCTION("""COMPUTED_VALUE"""),40837.645833333336)</f>
        <v>40837.64583</v>
      </c>
      <c r="C263" s="2">
        <f>IFERROR(__xludf.DUMMYFUNCTION("""COMPUTED_VALUE"""),78.75)</f>
        <v>78.75</v>
      </c>
    </row>
    <row r="264" ht="15.75" customHeight="1">
      <c r="B264" s="3">
        <f>IFERROR(__xludf.DUMMYFUNCTION("""COMPUTED_VALUE"""),40844.645833333336)</f>
        <v>40844.64583</v>
      </c>
      <c r="C264" s="2">
        <f>IFERROR(__xludf.DUMMYFUNCTION("""COMPUTED_VALUE"""),81.4)</f>
        <v>81.4</v>
      </c>
    </row>
    <row r="265" ht="15.75" customHeight="1">
      <c r="B265" s="3">
        <f>IFERROR(__xludf.DUMMYFUNCTION("""COMPUTED_VALUE"""),40851.645833333336)</f>
        <v>40851.64583</v>
      </c>
      <c r="C265" s="2">
        <f>IFERROR(__xludf.DUMMYFUNCTION("""COMPUTED_VALUE"""),85.4)</f>
        <v>85.4</v>
      </c>
    </row>
    <row r="266" ht="15.75" customHeight="1">
      <c r="B266" s="3">
        <f>IFERROR(__xludf.DUMMYFUNCTION("""COMPUTED_VALUE"""),40858.645833333336)</f>
        <v>40858.64583</v>
      </c>
      <c r="C266" s="2">
        <f>IFERROR(__xludf.DUMMYFUNCTION("""COMPUTED_VALUE"""),87.9)</f>
        <v>87.9</v>
      </c>
    </row>
    <row r="267" ht="15.75" customHeight="1">
      <c r="B267" s="3">
        <f>IFERROR(__xludf.DUMMYFUNCTION("""COMPUTED_VALUE"""),40865.645833333336)</f>
        <v>40865.64583</v>
      </c>
      <c r="C267" s="2">
        <f>IFERROR(__xludf.DUMMYFUNCTION("""COMPUTED_VALUE"""),86.35)</f>
        <v>86.35</v>
      </c>
    </row>
    <row r="268" ht="15.75" customHeight="1">
      <c r="B268" s="3">
        <f>IFERROR(__xludf.DUMMYFUNCTION("""COMPUTED_VALUE"""),40872.645833333336)</f>
        <v>40872.64583</v>
      </c>
      <c r="C268" s="2">
        <f>IFERROR(__xludf.DUMMYFUNCTION("""COMPUTED_VALUE"""),74.8)</f>
        <v>74.8</v>
      </c>
    </row>
    <row r="269" ht="15.75" customHeight="1">
      <c r="B269" s="3">
        <f>IFERROR(__xludf.DUMMYFUNCTION("""COMPUTED_VALUE"""),40879.645833333336)</f>
        <v>40879.64583</v>
      </c>
      <c r="C269" s="2">
        <f>IFERROR(__xludf.DUMMYFUNCTION("""COMPUTED_VALUE"""),77.9)</f>
        <v>77.9</v>
      </c>
    </row>
    <row r="270" ht="15.75" customHeight="1">
      <c r="B270" s="3">
        <f>IFERROR(__xludf.DUMMYFUNCTION("""COMPUTED_VALUE"""),40886.645833333336)</f>
        <v>40886.64583</v>
      </c>
      <c r="C270" s="2">
        <f>IFERROR(__xludf.DUMMYFUNCTION("""COMPUTED_VALUE"""),81.0)</f>
        <v>81</v>
      </c>
    </row>
    <row r="271" ht="15.75" customHeight="1">
      <c r="B271" s="3">
        <f>IFERROR(__xludf.DUMMYFUNCTION("""COMPUTED_VALUE"""),40893.645833333336)</f>
        <v>40893.64583</v>
      </c>
      <c r="C271" s="2">
        <f>IFERROR(__xludf.DUMMYFUNCTION("""COMPUTED_VALUE"""),77.75)</f>
        <v>77.75</v>
      </c>
    </row>
    <row r="272" ht="15.75" customHeight="1">
      <c r="B272" s="3">
        <f>IFERROR(__xludf.DUMMYFUNCTION("""COMPUTED_VALUE"""),40900.645833333336)</f>
        <v>40900.64583</v>
      </c>
      <c r="C272" s="2">
        <f>IFERROR(__xludf.DUMMYFUNCTION("""COMPUTED_VALUE"""),69.8)</f>
        <v>69.8</v>
      </c>
    </row>
    <row r="273" ht="15.75" customHeight="1">
      <c r="B273" s="3">
        <f>IFERROR(__xludf.DUMMYFUNCTION("""COMPUTED_VALUE"""),40907.645833333336)</f>
        <v>40907.64583</v>
      </c>
      <c r="C273" s="2">
        <f>IFERROR(__xludf.DUMMYFUNCTION("""COMPUTED_VALUE"""),73.65)</f>
        <v>73.65</v>
      </c>
    </row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IFERROR(__xludf.DUMMYFUNCTION("GOOGLEFINANCE(""NSE:NTPC"", ""high"",DATE(2007,1,1),DATE(2008,1,1),""weekly"")"),"Date")</f>
        <v>Date</v>
      </c>
      <c r="C1" s="2" t="str">
        <f>IFERROR(__xludf.DUMMYFUNCTION("""COMPUTED_VALUE"""),"High")</f>
        <v>High</v>
      </c>
    </row>
    <row r="2">
      <c r="A2" s="2" t="s">
        <v>6</v>
      </c>
      <c r="B2" s="3">
        <f>IFERROR(__xludf.DUMMYFUNCTION("""COMPUTED_VALUE"""),39087.645833333336)</f>
        <v>39087.64583</v>
      </c>
      <c r="C2" s="2">
        <f>IFERROR(__xludf.DUMMYFUNCTION("""COMPUTED_VALUE"""),117.33)</f>
        <v>117.33</v>
      </c>
    </row>
    <row r="3">
      <c r="A3" s="2" t="s">
        <v>7</v>
      </c>
      <c r="B3" s="3">
        <f>IFERROR(__xludf.DUMMYFUNCTION("""COMPUTED_VALUE"""),39094.645833333336)</f>
        <v>39094.64583</v>
      </c>
      <c r="C3" s="2">
        <f>IFERROR(__xludf.DUMMYFUNCTION("""COMPUTED_VALUE"""),116.63)</f>
        <v>116.63</v>
      </c>
    </row>
    <row r="4">
      <c r="A4" s="2" t="s">
        <v>8</v>
      </c>
      <c r="B4" s="3">
        <f>IFERROR(__xludf.DUMMYFUNCTION("""COMPUTED_VALUE"""),39101.645833333336)</f>
        <v>39101.64583</v>
      </c>
      <c r="C4" s="2">
        <f>IFERROR(__xludf.DUMMYFUNCTION("""COMPUTED_VALUE"""),118.75)</f>
        <v>118.75</v>
      </c>
    </row>
    <row r="5">
      <c r="A5" s="2" t="s">
        <v>9</v>
      </c>
      <c r="B5" s="3">
        <f>IFERROR(__xludf.DUMMYFUNCTION("""COMPUTED_VALUE"""),39107.645833333336)</f>
        <v>39107.64583</v>
      </c>
      <c r="C5" s="2">
        <f>IFERROR(__xludf.DUMMYFUNCTION("""COMPUTED_VALUE"""),116.17)</f>
        <v>116.17</v>
      </c>
    </row>
    <row r="6">
      <c r="A6" s="2" t="s">
        <v>10</v>
      </c>
      <c r="B6" s="3">
        <f>IFERROR(__xludf.DUMMYFUNCTION("""COMPUTED_VALUE"""),39115.645833333336)</f>
        <v>39115.64583</v>
      </c>
      <c r="C6" s="2">
        <f>IFERROR(__xludf.DUMMYFUNCTION("""COMPUTED_VALUE"""),122.33)</f>
        <v>122.33</v>
      </c>
    </row>
    <row r="7">
      <c r="A7" s="2" t="s">
        <v>11</v>
      </c>
      <c r="B7" s="3">
        <f>IFERROR(__xludf.DUMMYFUNCTION("""COMPUTED_VALUE"""),39122.645833333336)</f>
        <v>39122.64583</v>
      </c>
      <c r="C7" s="2">
        <f>IFERROR(__xludf.DUMMYFUNCTION("""COMPUTED_VALUE"""),122.08)</f>
        <v>122.08</v>
      </c>
    </row>
    <row r="8">
      <c r="A8" s="2" t="s">
        <v>12</v>
      </c>
      <c r="B8" s="3">
        <f>IFERROR(__xludf.DUMMYFUNCTION("""COMPUTED_VALUE"""),39128.645833333336)</f>
        <v>39128.64583</v>
      </c>
      <c r="C8" s="2">
        <f>IFERROR(__xludf.DUMMYFUNCTION("""COMPUTED_VALUE"""),122.75)</f>
        <v>122.75</v>
      </c>
    </row>
    <row r="9">
      <c r="A9" s="2" t="s">
        <v>13</v>
      </c>
      <c r="B9" s="3">
        <f>IFERROR(__xludf.DUMMYFUNCTION("""COMPUTED_VALUE"""),39136.645833333336)</f>
        <v>39136.64583</v>
      </c>
      <c r="C9" s="2">
        <f>IFERROR(__xludf.DUMMYFUNCTION("""COMPUTED_VALUE"""),120.04)</f>
        <v>120.04</v>
      </c>
    </row>
    <row r="10">
      <c r="A10" s="2" t="s">
        <v>14</v>
      </c>
      <c r="B10" s="3">
        <f>IFERROR(__xludf.DUMMYFUNCTION("""COMPUTED_VALUE"""),39143.645833333336)</f>
        <v>39143.64583</v>
      </c>
      <c r="C10" s="2">
        <f>IFERROR(__xludf.DUMMYFUNCTION("""COMPUTED_VALUE"""),120.0)</f>
        <v>120</v>
      </c>
    </row>
    <row r="11">
      <c r="A11" s="2" t="s">
        <v>15</v>
      </c>
      <c r="B11" s="3">
        <f>IFERROR(__xludf.DUMMYFUNCTION("""COMPUTED_VALUE"""),39150.645833333336)</f>
        <v>39150.64583</v>
      </c>
      <c r="C11" s="2">
        <f>IFERROR(__xludf.DUMMYFUNCTION("""COMPUTED_VALUE"""),117.5)</f>
        <v>117.5</v>
      </c>
    </row>
    <row r="12">
      <c r="A12" s="2" t="s">
        <v>16</v>
      </c>
      <c r="B12" s="3">
        <f>IFERROR(__xludf.DUMMYFUNCTION("""COMPUTED_VALUE"""),39157.645833333336)</f>
        <v>39157.64583</v>
      </c>
      <c r="C12" s="2">
        <f>IFERROR(__xludf.DUMMYFUNCTION("""COMPUTED_VALUE"""),119.38)</f>
        <v>119.38</v>
      </c>
    </row>
    <row r="13">
      <c r="A13" s="2" t="s">
        <v>17</v>
      </c>
      <c r="B13" s="3">
        <f>IFERROR(__xludf.DUMMYFUNCTION("""COMPUTED_VALUE"""),39164.645833333336)</f>
        <v>39164.64583</v>
      </c>
      <c r="C13" s="2">
        <f>IFERROR(__xludf.DUMMYFUNCTION("""COMPUTED_VALUE"""),122.08)</f>
        <v>122.08</v>
      </c>
    </row>
    <row r="14">
      <c r="A14" s="2" t="s">
        <v>18</v>
      </c>
      <c r="B14" s="3">
        <f>IFERROR(__xludf.DUMMYFUNCTION("""COMPUTED_VALUE"""),39171.645833333336)</f>
        <v>39171.64583</v>
      </c>
      <c r="C14" s="2">
        <f>IFERROR(__xludf.DUMMYFUNCTION("""COMPUTED_VALUE"""),126.25)</f>
        <v>126.25</v>
      </c>
    </row>
    <row r="15">
      <c r="A15" s="2" t="s">
        <v>19</v>
      </c>
      <c r="B15" s="3">
        <f>IFERROR(__xludf.DUMMYFUNCTION("""COMPUTED_VALUE"""),39177.645833333336)</f>
        <v>39177.64583</v>
      </c>
      <c r="C15" s="2">
        <f>IFERROR(__xludf.DUMMYFUNCTION("""COMPUTED_VALUE"""),135.63)</f>
        <v>135.63</v>
      </c>
    </row>
    <row r="16">
      <c r="B16" s="3">
        <f>IFERROR(__xludf.DUMMYFUNCTION("""COMPUTED_VALUE"""),39185.645833333336)</f>
        <v>39185.64583</v>
      </c>
      <c r="C16" s="2">
        <f>IFERROR(__xludf.DUMMYFUNCTION("""COMPUTED_VALUE"""),134.75)</f>
        <v>134.75</v>
      </c>
    </row>
    <row r="17">
      <c r="B17" s="3">
        <f>IFERROR(__xludf.DUMMYFUNCTION("""COMPUTED_VALUE"""),39192.645833333336)</f>
        <v>39192.64583</v>
      </c>
      <c r="C17" s="2">
        <f>IFERROR(__xludf.DUMMYFUNCTION("""COMPUTED_VALUE"""),136.46)</f>
        <v>136.46</v>
      </c>
    </row>
    <row r="18">
      <c r="B18" s="3">
        <f>IFERROR(__xludf.DUMMYFUNCTION("""COMPUTED_VALUE"""),39199.645833333336)</f>
        <v>39199.64583</v>
      </c>
      <c r="C18" s="2">
        <f>IFERROR(__xludf.DUMMYFUNCTION("""COMPUTED_VALUE"""),135.79)</f>
        <v>135.79</v>
      </c>
    </row>
    <row r="19">
      <c r="B19" s="3">
        <f>IFERROR(__xludf.DUMMYFUNCTION("""COMPUTED_VALUE"""),39206.645833333336)</f>
        <v>39206.64583</v>
      </c>
      <c r="C19" s="2">
        <f>IFERROR(__xludf.DUMMYFUNCTION("""COMPUTED_VALUE"""),135.42)</f>
        <v>135.42</v>
      </c>
    </row>
    <row r="20">
      <c r="B20" s="3">
        <f>IFERROR(__xludf.DUMMYFUNCTION("""COMPUTED_VALUE"""),39213.645833333336)</f>
        <v>39213.64583</v>
      </c>
      <c r="C20" s="2">
        <f>IFERROR(__xludf.DUMMYFUNCTION("""COMPUTED_VALUE"""),132.67)</f>
        <v>132.67</v>
      </c>
    </row>
    <row r="21" ht="15.75" customHeight="1">
      <c r="B21" s="3">
        <f>IFERROR(__xludf.DUMMYFUNCTION("""COMPUTED_VALUE"""),39220.645833333336)</f>
        <v>39220.64583</v>
      </c>
      <c r="C21" s="2">
        <f>IFERROR(__xludf.DUMMYFUNCTION("""COMPUTED_VALUE"""),132.83)</f>
        <v>132.83</v>
      </c>
    </row>
    <row r="22" ht="15.75" customHeight="1">
      <c r="B22" s="3">
        <f>IFERROR(__xludf.DUMMYFUNCTION("""COMPUTED_VALUE"""),39227.645833333336)</f>
        <v>39227.64583</v>
      </c>
      <c r="C22" s="2">
        <f>IFERROR(__xludf.DUMMYFUNCTION("""COMPUTED_VALUE"""),137.33)</f>
        <v>137.33</v>
      </c>
    </row>
    <row r="23" ht="15.75" customHeight="1">
      <c r="B23" s="3">
        <f>IFERROR(__xludf.DUMMYFUNCTION("""COMPUTED_VALUE"""),39234.645833333336)</f>
        <v>39234.64583</v>
      </c>
      <c r="C23" s="2">
        <f>IFERROR(__xludf.DUMMYFUNCTION("""COMPUTED_VALUE"""),138.71)</f>
        <v>138.71</v>
      </c>
    </row>
    <row r="24" ht="15.75" customHeight="1">
      <c r="B24" s="3">
        <f>IFERROR(__xludf.DUMMYFUNCTION("""COMPUTED_VALUE"""),39241.645833333336)</f>
        <v>39241.64583</v>
      </c>
      <c r="C24" s="2">
        <f>IFERROR(__xludf.DUMMYFUNCTION("""COMPUTED_VALUE"""),137.5)</f>
        <v>137.5</v>
      </c>
    </row>
    <row r="25" ht="15.75" customHeight="1">
      <c r="B25" s="3">
        <f>IFERROR(__xludf.DUMMYFUNCTION("""COMPUTED_VALUE"""),39248.645833333336)</f>
        <v>39248.64583</v>
      </c>
      <c r="C25" s="2">
        <f>IFERROR(__xludf.DUMMYFUNCTION("""COMPUTED_VALUE"""),129.92)</f>
        <v>129.92</v>
      </c>
    </row>
    <row r="26" ht="15.75" customHeight="1">
      <c r="B26" s="3">
        <f>IFERROR(__xludf.DUMMYFUNCTION("""COMPUTED_VALUE"""),39255.645833333336)</f>
        <v>39255.64583</v>
      </c>
      <c r="C26" s="2">
        <f>IFERROR(__xludf.DUMMYFUNCTION("""COMPUTED_VALUE"""),132.08)</f>
        <v>132.08</v>
      </c>
    </row>
    <row r="27" ht="15.75" customHeight="1">
      <c r="B27" s="3">
        <f>IFERROR(__xludf.DUMMYFUNCTION("""COMPUTED_VALUE"""),39262.645833333336)</f>
        <v>39262.64583</v>
      </c>
      <c r="C27" s="2">
        <f>IFERROR(__xludf.DUMMYFUNCTION("""COMPUTED_VALUE"""),128.63)</f>
        <v>128.63</v>
      </c>
    </row>
    <row r="28" ht="15.75" customHeight="1">
      <c r="B28" s="3">
        <f>IFERROR(__xludf.DUMMYFUNCTION("""COMPUTED_VALUE"""),39269.645833333336)</f>
        <v>39269.64583</v>
      </c>
      <c r="C28" s="2">
        <f>IFERROR(__xludf.DUMMYFUNCTION("""COMPUTED_VALUE"""),131.21)</f>
        <v>131.21</v>
      </c>
    </row>
    <row r="29" ht="15.75" customHeight="1">
      <c r="B29" s="3">
        <f>IFERROR(__xludf.DUMMYFUNCTION("""COMPUTED_VALUE"""),39276.645833333336)</f>
        <v>39276.64583</v>
      </c>
      <c r="C29" s="2">
        <f>IFERROR(__xludf.DUMMYFUNCTION("""COMPUTED_VALUE"""),132.83)</f>
        <v>132.83</v>
      </c>
    </row>
    <row r="30" ht="15.75" customHeight="1">
      <c r="B30" s="3">
        <f>IFERROR(__xludf.DUMMYFUNCTION("""COMPUTED_VALUE"""),39283.645833333336)</f>
        <v>39283.64583</v>
      </c>
      <c r="C30" s="2">
        <f>IFERROR(__xludf.DUMMYFUNCTION("""COMPUTED_VALUE"""),133.42)</f>
        <v>133.42</v>
      </c>
    </row>
    <row r="31" ht="15.75" customHeight="1">
      <c r="B31" s="3">
        <f>IFERROR(__xludf.DUMMYFUNCTION("""COMPUTED_VALUE"""),39290.645833333336)</f>
        <v>39290.64583</v>
      </c>
      <c r="C31" s="2">
        <f>IFERROR(__xludf.DUMMYFUNCTION("""COMPUTED_VALUE"""),142.08)</f>
        <v>142.08</v>
      </c>
    </row>
    <row r="32" ht="15.75" customHeight="1">
      <c r="B32" s="3">
        <f>IFERROR(__xludf.DUMMYFUNCTION("""COMPUTED_VALUE"""),39297.645833333336)</f>
        <v>39297.64583</v>
      </c>
      <c r="C32" s="2">
        <f>IFERROR(__xludf.DUMMYFUNCTION("""COMPUTED_VALUE"""),140.67)</f>
        <v>140.67</v>
      </c>
    </row>
    <row r="33" ht="15.75" customHeight="1">
      <c r="B33" s="3">
        <f>IFERROR(__xludf.DUMMYFUNCTION("""COMPUTED_VALUE"""),39304.645833333336)</f>
        <v>39304.64583</v>
      </c>
      <c r="C33" s="2">
        <f>IFERROR(__xludf.DUMMYFUNCTION("""COMPUTED_VALUE"""),146.58)</f>
        <v>146.58</v>
      </c>
    </row>
    <row r="34" ht="15.75" customHeight="1">
      <c r="B34" s="3">
        <f>IFERROR(__xludf.DUMMYFUNCTION("""COMPUTED_VALUE"""),39311.645833333336)</f>
        <v>39311.64583</v>
      </c>
      <c r="C34" s="2">
        <f>IFERROR(__xludf.DUMMYFUNCTION("""COMPUTED_VALUE"""),147.17)</f>
        <v>147.17</v>
      </c>
    </row>
    <row r="35" ht="15.75" customHeight="1">
      <c r="B35" s="3">
        <f>IFERROR(__xludf.DUMMYFUNCTION("""COMPUTED_VALUE"""),39318.645833333336)</f>
        <v>39318.64583</v>
      </c>
      <c r="C35" s="2">
        <f>IFERROR(__xludf.DUMMYFUNCTION("""COMPUTED_VALUE"""),141.63)</f>
        <v>141.63</v>
      </c>
    </row>
    <row r="36" ht="15.75" customHeight="1">
      <c r="B36" s="3">
        <f>IFERROR(__xludf.DUMMYFUNCTION("""COMPUTED_VALUE"""),39325.645833333336)</f>
        <v>39325.64583</v>
      </c>
      <c r="C36" s="2">
        <f>IFERROR(__xludf.DUMMYFUNCTION("""COMPUTED_VALUE"""),145.75)</f>
        <v>145.75</v>
      </c>
    </row>
    <row r="37" ht="15.75" customHeight="1">
      <c r="B37" s="3">
        <f>IFERROR(__xludf.DUMMYFUNCTION("""COMPUTED_VALUE"""),39332.645833333336)</f>
        <v>39332.64583</v>
      </c>
      <c r="C37" s="2">
        <f>IFERROR(__xludf.DUMMYFUNCTION("""COMPUTED_VALUE"""),159.33)</f>
        <v>159.33</v>
      </c>
    </row>
    <row r="38" ht="15.75" customHeight="1">
      <c r="B38" s="3">
        <f>IFERROR(__xludf.DUMMYFUNCTION("""COMPUTED_VALUE"""),39339.645833333336)</f>
        <v>39339.64583</v>
      </c>
      <c r="C38" s="2">
        <f>IFERROR(__xludf.DUMMYFUNCTION("""COMPUTED_VALUE"""),164.58)</f>
        <v>164.58</v>
      </c>
    </row>
    <row r="39" ht="15.75" customHeight="1">
      <c r="B39" s="3">
        <f>IFERROR(__xludf.DUMMYFUNCTION("""COMPUTED_VALUE"""),39346.645833333336)</f>
        <v>39346.64583</v>
      </c>
      <c r="C39" s="2">
        <f>IFERROR(__xludf.DUMMYFUNCTION("""COMPUTED_VALUE"""),162.17)</f>
        <v>162.17</v>
      </c>
    </row>
    <row r="40" ht="15.75" customHeight="1">
      <c r="B40" s="3">
        <f>IFERROR(__xludf.DUMMYFUNCTION("""COMPUTED_VALUE"""),39353.645833333336)</f>
        <v>39353.64583</v>
      </c>
      <c r="C40" s="2">
        <f>IFERROR(__xludf.DUMMYFUNCTION("""COMPUTED_VALUE"""),166.67)</f>
        <v>166.67</v>
      </c>
    </row>
    <row r="41" ht="15.75" customHeight="1">
      <c r="B41" s="3">
        <f>IFERROR(__xludf.DUMMYFUNCTION("""COMPUTED_VALUE"""),39360.645833333336)</f>
        <v>39360.64583</v>
      </c>
      <c r="C41" s="2">
        <f>IFERROR(__xludf.DUMMYFUNCTION("""COMPUTED_VALUE"""),192.5)</f>
        <v>192.5</v>
      </c>
    </row>
    <row r="42" ht="15.75" customHeight="1">
      <c r="B42" s="3">
        <f>IFERROR(__xludf.DUMMYFUNCTION("""COMPUTED_VALUE"""),39367.645833333336)</f>
        <v>39367.64583</v>
      </c>
      <c r="C42" s="2">
        <f>IFERROR(__xludf.DUMMYFUNCTION("""COMPUTED_VALUE"""),187.96)</f>
        <v>187.96</v>
      </c>
    </row>
    <row r="43" ht="15.75" customHeight="1">
      <c r="B43" s="3">
        <f>IFERROR(__xludf.DUMMYFUNCTION("""COMPUTED_VALUE"""),39374.645833333336)</f>
        <v>39374.64583</v>
      </c>
      <c r="C43" s="2">
        <f>IFERROR(__xludf.DUMMYFUNCTION("""COMPUTED_VALUE"""),195.83)</f>
        <v>195.83</v>
      </c>
    </row>
    <row r="44" ht="15.75" customHeight="1">
      <c r="B44" s="3">
        <f>IFERROR(__xludf.DUMMYFUNCTION("""COMPUTED_VALUE"""),39381.645833333336)</f>
        <v>39381.64583</v>
      </c>
      <c r="C44" s="2">
        <f>IFERROR(__xludf.DUMMYFUNCTION("""COMPUTED_VALUE"""),192.5)</f>
        <v>192.5</v>
      </c>
    </row>
    <row r="45" ht="15.75" customHeight="1">
      <c r="B45" s="3">
        <f>IFERROR(__xludf.DUMMYFUNCTION("""COMPUTED_VALUE"""),39388.645833333336)</f>
        <v>39388.64583</v>
      </c>
      <c r="C45" s="2">
        <f>IFERROR(__xludf.DUMMYFUNCTION("""COMPUTED_VALUE"""),203.92)</f>
        <v>203.92</v>
      </c>
    </row>
    <row r="46" ht="15.75" customHeight="1">
      <c r="B46" s="3">
        <f>IFERROR(__xludf.DUMMYFUNCTION("""COMPUTED_VALUE"""),39402.645833333336)</f>
        <v>39402.64583</v>
      </c>
      <c r="C46" s="2">
        <f>IFERROR(__xludf.DUMMYFUNCTION("""COMPUTED_VALUE"""),236.08)</f>
        <v>236.08</v>
      </c>
    </row>
    <row r="47" ht="15.75" customHeight="1">
      <c r="B47" s="3">
        <f>IFERROR(__xludf.DUMMYFUNCTION("""COMPUTED_VALUE"""),39409.645833333336)</f>
        <v>39409.64583</v>
      </c>
      <c r="C47" s="2">
        <f>IFERROR(__xludf.DUMMYFUNCTION("""COMPUTED_VALUE"""),226.67)</f>
        <v>226.67</v>
      </c>
    </row>
    <row r="48" ht="15.75" customHeight="1">
      <c r="B48" s="3">
        <f>IFERROR(__xludf.DUMMYFUNCTION("""COMPUTED_VALUE"""),39416.645833333336)</f>
        <v>39416.64583</v>
      </c>
      <c r="C48" s="2">
        <f>IFERROR(__xludf.DUMMYFUNCTION("""COMPUTED_VALUE"""),203.58)</f>
        <v>203.58</v>
      </c>
    </row>
    <row r="49" ht="15.75" customHeight="1">
      <c r="B49" s="3">
        <f>IFERROR(__xludf.DUMMYFUNCTION("""COMPUTED_VALUE"""),39423.645833333336)</f>
        <v>39423.64583</v>
      </c>
      <c r="C49" s="2">
        <f>IFERROR(__xludf.DUMMYFUNCTION("""COMPUTED_VALUE"""),211.54)</f>
        <v>211.54</v>
      </c>
    </row>
    <row r="50" ht="15.75" customHeight="1">
      <c r="B50" s="3">
        <f>IFERROR(__xludf.DUMMYFUNCTION("""COMPUTED_VALUE"""),39430.645833333336)</f>
        <v>39430.64583</v>
      </c>
      <c r="C50" s="2">
        <f>IFERROR(__xludf.DUMMYFUNCTION("""COMPUTED_VALUE"""),210.83)</f>
        <v>210.83</v>
      </c>
    </row>
    <row r="51" ht="15.75" customHeight="1">
      <c r="B51" s="3">
        <f>IFERROR(__xludf.DUMMYFUNCTION("""COMPUTED_VALUE"""),39436.645833333336)</f>
        <v>39436.64583</v>
      </c>
      <c r="C51" s="2">
        <f>IFERROR(__xludf.DUMMYFUNCTION("""COMPUTED_VALUE"""),205.75)</f>
        <v>205.75</v>
      </c>
    </row>
    <row r="52" ht="15.75" customHeight="1">
      <c r="B52" s="3">
        <f>IFERROR(__xludf.DUMMYFUNCTION("""COMPUTED_VALUE"""),39444.645833333336)</f>
        <v>39444.64583</v>
      </c>
      <c r="C52" s="2">
        <f>IFERROR(__xludf.DUMMYFUNCTION("""COMPUTED_VALUE"""),204.17)</f>
        <v>204.17</v>
      </c>
    </row>
    <row r="53" ht="15.75" customHeight="1"/>
    <row r="54" ht="15.75" customHeight="1"/>
    <row r="55" ht="15.75" customHeight="1"/>
    <row r="56" ht="15.75" customHeight="1">
      <c r="B56" s="2" t="str">
        <f>IFERROR(__xludf.DUMMYFUNCTION("GOOGLEFINANCE(""NSE:NTPC"", ""high"",DATE(2008,1,1),DATE(2009,1,1),""weekly"")"),"Date")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IFERROR(__xludf.DUMMYFUNCTION("""COMPUTED_VALUE"""),39451.645833333336)</f>
        <v>39451.64583</v>
      </c>
      <c r="C57" s="2">
        <f>IFERROR(__xludf.DUMMYFUNCTION("""COMPUTED_VALUE"""),233.08)</f>
        <v>233.08</v>
      </c>
    </row>
    <row r="58" ht="15.75" customHeight="1">
      <c r="B58" s="3">
        <f>IFERROR(__xludf.DUMMYFUNCTION("""COMPUTED_VALUE"""),39458.645833333336)</f>
        <v>39458.64583</v>
      </c>
      <c r="C58" s="2">
        <f>IFERROR(__xludf.DUMMYFUNCTION("""COMPUTED_VALUE"""),236.21)</f>
        <v>236.21</v>
      </c>
    </row>
    <row r="59" ht="15.75" customHeight="1">
      <c r="B59" s="3">
        <f>IFERROR(__xludf.DUMMYFUNCTION("""COMPUTED_VALUE"""),39465.645833333336)</f>
        <v>39465.64583</v>
      </c>
      <c r="C59" s="2">
        <f>IFERROR(__xludf.DUMMYFUNCTION("""COMPUTED_VALUE"""),242.29)</f>
        <v>242.29</v>
      </c>
    </row>
    <row r="60" ht="15.75" customHeight="1">
      <c r="B60" s="3">
        <f>IFERROR(__xludf.DUMMYFUNCTION("""COMPUTED_VALUE"""),39472.645833333336)</f>
        <v>39472.64583</v>
      </c>
      <c r="C60" s="2">
        <f>IFERROR(__xludf.DUMMYFUNCTION("""COMPUTED_VALUE"""),199.17)</f>
        <v>199.17</v>
      </c>
    </row>
    <row r="61" ht="15.75" customHeight="1">
      <c r="B61" s="3">
        <f>IFERROR(__xludf.DUMMYFUNCTION("""COMPUTED_VALUE"""),39479.645833333336)</f>
        <v>39479.64583</v>
      </c>
      <c r="C61" s="2">
        <f>IFERROR(__xludf.DUMMYFUNCTION("""COMPUTED_VALUE"""),183.33)</f>
        <v>183.33</v>
      </c>
    </row>
    <row r="62" ht="15.75" customHeight="1">
      <c r="B62" s="3">
        <f>IFERROR(__xludf.DUMMYFUNCTION("""COMPUTED_VALUE"""),39486.645833333336)</f>
        <v>39486.64583</v>
      </c>
      <c r="C62" s="2">
        <f>IFERROR(__xludf.DUMMYFUNCTION("""COMPUTED_VALUE"""),189.5)</f>
        <v>189.5</v>
      </c>
    </row>
    <row r="63" ht="15.75" customHeight="1">
      <c r="B63" s="3">
        <f>IFERROR(__xludf.DUMMYFUNCTION("""COMPUTED_VALUE"""),39493.645833333336)</f>
        <v>39493.64583</v>
      </c>
      <c r="C63" s="2">
        <f>IFERROR(__xludf.DUMMYFUNCTION("""COMPUTED_VALUE"""),171.67)</f>
        <v>171.67</v>
      </c>
    </row>
    <row r="64" ht="15.75" customHeight="1">
      <c r="B64" s="3">
        <f>IFERROR(__xludf.DUMMYFUNCTION("""COMPUTED_VALUE"""),39500.645833333336)</f>
        <v>39500.64583</v>
      </c>
      <c r="C64" s="2">
        <f>IFERROR(__xludf.DUMMYFUNCTION("""COMPUTED_VALUE"""),174.71)</f>
        <v>174.71</v>
      </c>
    </row>
    <row r="65" ht="15.75" customHeight="1">
      <c r="B65" s="3">
        <f>IFERROR(__xludf.DUMMYFUNCTION("""COMPUTED_VALUE"""),39507.645833333336)</f>
        <v>39507.64583</v>
      </c>
      <c r="C65" s="2">
        <f>IFERROR(__xludf.DUMMYFUNCTION("""COMPUTED_VALUE"""),174.63)</f>
        <v>174.63</v>
      </c>
    </row>
    <row r="66" ht="15.75" customHeight="1">
      <c r="B66" s="3">
        <f>IFERROR(__xludf.DUMMYFUNCTION("""COMPUTED_VALUE"""),39514.645833333336)</f>
        <v>39514.64583</v>
      </c>
      <c r="C66" s="2">
        <f>IFERROR(__xludf.DUMMYFUNCTION("""COMPUTED_VALUE"""),166.33)</f>
        <v>166.33</v>
      </c>
    </row>
    <row r="67" ht="15.75" customHeight="1">
      <c r="B67" s="3">
        <f>IFERROR(__xludf.DUMMYFUNCTION("""COMPUTED_VALUE"""),39521.645833333336)</f>
        <v>39521.64583</v>
      </c>
      <c r="C67" s="2">
        <f>IFERROR(__xludf.DUMMYFUNCTION("""COMPUTED_VALUE"""),166.58)</f>
        <v>166.58</v>
      </c>
    </row>
    <row r="68" ht="15.75" customHeight="1">
      <c r="B68" s="3">
        <f>IFERROR(__xludf.DUMMYFUNCTION("""COMPUTED_VALUE"""),39526.645833333336)</f>
        <v>39526.64583</v>
      </c>
      <c r="C68" s="2">
        <f>IFERROR(__xludf.DUMMYFUNCTION("""COMPUTED_VALUE"""),165.83)</f>
        <v>165.83</v>
      </c>
    </row>
    <row r="69" ht="15.75" customHeight="1">
      <c r="B69" s="3">
        <f>IFERROR(__xludf.DUMMYFUNCTION("""COMPUTED_VALUE"""),39535.645833333336)</f>
        <v>39535.64583</v>
      </c>
      <c r="C69" s="2">
        <f>IFERROR(__xludf.DUMMYFUNCTION("""COMPUTED_VALUE"""),171.67)</f>
        <v>171.67</v>
      </c>
    </row>
    <row r="70" ht="15.75" customHeight="1">
      <c r="B70" s="3">
        <f>IFERROR(__xludf.DUMMYFUNCTION("""COMPUTED_VALUE"""),39542.645833333336)</f>
        <v>39542.64583</v>
      </c>
      <c r="C70" s="2">
        <f>IFERROR(__xludf.DUMMYFUNCTION("""COMPUTED_VALUE"""),171.75)</f>
        <v>171.75</v>
      </c>
    </row>
    <row r="71" ht="15.75" customHeight="1">
      <c r="B71" s="3">
        <f>IFERROR(__xludf.DUMMYFUNCTION("""COMPUTED_VALUE"""),39549.645833333336)</f>
        <v>39549.64583</v>
      </c>
      <c r="C71" s="2">
        <f>IFERROR(__xludf.DUMMYFUNCTION("""COMPUTED_VALUE"""),163.33)</f>
        <v>163.33</v>
      </c>
    </row>
    <row r="72" ht="15.75" customHeight="1">
      <c r="B72" s="3">
        <f>IFERROR(__xludf.DUMMYFUNCTION("""COMPUTED_VALUE"""),39555.645833333336)</f>
        <v>39555.64583</v>
      </c>
      <c r="C72" s="2">
        <f>IFERROR(__xludf.DUMMYFUNCTION("""COMPUTED_VALUE"""),165.0)</f>
        <v>165</v>
      </c>
    </row>
    <row r="73" ht="15.75" customHeight="1">
      <c r="B73" s="3">
        <f>IFERROR(__xludf.DUMMYFUNCTION("""COMPUTED_VALUE"""),39563.645833333336)</f>
        <v>39563.64583</v>
      </c>
      <c r="C73" s="2">
        <f>IFERROR(__xludf.DUMMYFUNCTION("""COMPUTED_VALUE"""),166.29)</f>
        <v>166.29</v>
      </c>
    </row>
    <row r="74" ht="15.75" customHeight="1">
      <c r="B74" s="3">
        <f>IFERROR(__xludf.DUMMYFUNCTION("""COMPUTED_VALUE"""),39570.645833333336)</f>
        <v>39570.64583</v>
      </c>
      <c r="C74" s="2">
        <f>IFERROR(__xludf.DUMMYFUNCTION("""COMPUTED_VALUE"""),168.75)</f>
        <v>168.75</v>
      </c>
    </row>
    <row r="75" ht="15.75" customHeight="1">
      <c r="B75" s="3">
        <f>IFERROR(__xludf.DUMMYFUNCTION("""COMPUTED_VALUE"""),39577.645833333336)</f>
        <v>39577.64583</v>
      </c>
      <c r="C75" s="2">
        <f>IFERROR(__xludf.DUMMYFUNCTION("""COMPUTED_VALUE"""),169.08)</f>
        <v>169.08</v>
      </c>
    </row>
    <row r="76" ht="15.75" customHeight="1">
      <c r="B76" s="3">
        <f>IFERROR(__xludf.DUMMYFUNCTION("""COMPUTED_VALUE"""),39584.645833333336)</f>
        <v>39584.64583</v>
      </c>
      <c r="C76" s="2">
        <f>IFERROR(__xludf.DUMMYFUNCTION("""COMPUTED_VALUE"""),161.63)</f>
        <v>161.63</v>
      </c>
    </row>
    <row r="77" ht="15.75" customHeight="1">
      <c r="B77" s="3">
        <f>IFERROR(__xludf.DUMMYFUNCTION("""COMPUTED_VALUE"""),39591.645833333336)</f>
        <v>39591.64583</v>
      </c>
      <c r="C77" s="2">
        <f>IFERROR(__xludf.DUMMYFUNCTION("""COMPUTED_VALUE"""),160.0)</f>
        <v>160</v>
      </c>
    </row>
    <row r="78" ht="15.75" customHeight="1">
      <c r="B78" s="3">
        <f>IFERROR(__xludf.DUMMYFUNCTION("""COMPUTED_VALUE"""),39598.645833333336)</f>
        <v>39598.64583</v>
      </c>
      <c r="C78" s="2">
        <f>IFERROR(__xludf.DUMMYFUNCTION("""COMPUTED_VALUE"""),149.79)</f>
        <v>149.79</v>
      </c>
    </row>
    <row r="79" ht="15.75" customHeight="1">
      <c r="B79" s="3">
        <f>IFERROR(__xludf.DUMMYFUNCTION("""COMPUTED_VALUE"""),39605.645833333336)</f>
        <v>39605.64583</v>
      </c>
      <c r="C79" s="2">
        <f>IFERROR(__xludf.DUMMYFUNCTION("""COMPUTED_VALUE"""),144.63)</f>
        <v>144.63</v>
      </c>
    </row>
    <row r="80" ht="15.75" customHeight="1">
      <c r="B80" s="3">
        <f>IFERROR(__xludf.DUMMYFUNCTION("""COMPUTED_VALUE"""),39612.645833333336)</f>
        <v>39612.64583</v>
      </c>
      <c r="C80" s="2">
        <f>IFERROR(__xludf.DUMMYFUNCTION("""COMPUTED_VALUE"""),139.92)</f>
        <v>139.92</v>
      </c>
    </row>
    <row r="81" ht="15.75" customHeight="1">
      <c r="B81" s="3">
        <f>IFERROR(__xludf.DUMMYFUNCTION("""COMPUTED_VALUE"""),39619.645833333336)</f>
        <v>39619.64583</v>
      </c>
      <c r="C81" s="2">
        <f>IFERROR(__xludf.DUMMYFUNCTION("""COMPUTED_VALUE"""),143.54)</f>
        <v>143.54</v>
      </c>
    </row>
    <row r="82" ht="15.75" customHeight="1">
      <c r="B82" s="3">
        <f>IFERROR(__xludf.DUMMYFUNCTION("""COMPUTED_VALUE"""),39626.645833333336)</f>
        <v>39626.64583</v>
      </c>
      <c r="C82" s="2">
        <f>IFERROR(__xludf.DUMMYFUNCTION("""COMPUTED_VALUE"""),137.83)</f>
        <v>137.83</v>
      </c>
    </row>
    <row r="83" ht="15.75" customHeight="1">
      <c r="B83" s="3">
        <f>IFERROR(__xludf.DUMMYFUNCTION("""COMPUTED_VALUE"""),39633.645833333336)</f>
        <v>39633.64583</v>
      </c>
      <c r="C83" s="2">
        <f>IFERROR(__xludf.DUMMYFUNCTION("""COMPUTED_VALUE"""),133.33)</f>
        <v>133.33</v>
      </c>
    </row>
    <row r="84" ht="15.75" customHeight="1">
      <c r="B84" s="3">
        <f>IFERROR(__xludf.DUMMYFUNCTION("""COMPUTED_VALUE"""),39640.645833333336)</f>
        <v>39640.64583</v>
      </c>
      <c r="C84" s="2">
        <f>IFERROR(__xludf.DUMMYFUNCTION("""COMPUTED_VALUE"""),142.08)</f>
        <v>142.08</v>
      </c>
    </row>
    <row r="85" ht="15.75" customHeight="1">
      <c r="B85" s="3">
        <f>IFERROR(__xludf.DUMMYFUNCTION("""COMPUTED_VALUE"""),39647.645833333336)</f>
        <v>39647.64583</v>
      </c>
      <c r="C85" s="2">
        <f>IFERROR(__xludf.DUMMYFUNCTION("""COMPUTED_VALUE"""),145.83)</f>
        <v>145.83</v>
      </c>
    </row>
    <row r="86" ht="15.75" customHeight="1">
      <c r="B86" s="3">
        <f>IFERROR(__xludf.DUMMYFUNCTION("""COMPUTED_VALUE"""),39654.645833333336)</f>
        <v>39654.64583</v>
      </c>
      <c r="C86" s="2">
        <f>IFERROR(__xludf.DUMMYFUNCTION("""COMPUTED_VALUE"""),164.08)</f>
        <v>164.08</v>
      </c>
    </row>
    <row r="87" ht="15.75" customHeight="1">
      <c r="B87" s="3">
        <f>IFERROR(__xludf.DUMMYFUNCTION("""COMPUTED_VALUE"""),39661.645833333336)</f>
        <v>39661.64583</v>
      </c>
      <c r="C87" s="2">
        <f>IFERROR(__xludf.DUMMYFUNCTION("""COMPUTED_VALUE"""),157.92)</f>
        <v>157.92</v>
      </c>
    </row>
    <row r="88" ht="15.75" customHeight="1">
      <c r="B88" s="3">
        <f>IFERROR(__xludf.DUMMYFUNCTION("""COMPUTED_VALUE"""),39668.645833333336)</f>
        <v>39668.64583</v>
      </c>
      <c r="C88" s="2">
        <f>IFERROR(__xludf.DUMMYFUNCTION("""COMPUTED_VALUE"""),156.17)</f>
        <v>156.17</v>
      </c>
    </row>
    <row r="89" ht="15.75" customHeight="1">
      <c r="B89" s="3">
        <f>IFERROR(__xludf.DUMMYFUNCTION("""COMPUTED_VALUE"""),39674.645833333336)</f>
        <v>39674.64583</v>
      </c>
      <c r="C89" s="2">
        <f>IFERROR(__xludf.DUMMYFUNCTION("""COMPUTED_VALUE"""),158.13)</f>
        <v>158.13</v>
      </c>
    </row>
    <row r="90" ht="15.75" customHeight="1">
      <c r="B90" s="3">
        <f>IFERROR(__xludf.DUMMYFUNCTION("""COMPUTED_VALUE"""),39682.645833333336)</f>
        <v>39682.64583</v>
      </c>
      <c r="C90" s="2">
        <f>IFERROR(__xludf.DUMMYFUNCTION("""COMPUTED_VALUE"""),155.0)</f>
        <v>155</v>
      </c>
    </row>
    <row r="91" ht="15.75" customHeight="1">
      <c r="B91" s="3">
        <f>IFERROR(__xludf.DUMMYFUNCTION("""COMPUTED_VALUE"""),39689.645833333336)</f>
        <v>39689.64583</v>
      </c>
      <c r="C91" s="2">
        <f>IFERROR(__xludf.DUMMYFUNCTION("""COMPUTED_VALUE"""),146.54)</f>
        <v>146.54</v>
      </c>
    </row>
    <row r="92" ht="15.75" customHeight="1">
      <c r="B92" s="3">
        <f>IFERROR(__xludf.DUMMYFUNCTION("""COMPUTED_VALUE"""),39696.645833333336)</f>
        <v>39696.64583</v>
      </c>
      <c r="C92" s="2">
        <f>IFERROR(__xludf.DUMMYFUNCTION("""COMPUTED_VALUE"""),150.0)</f>
        <v>150</v>
      </c>
    </row>
    <row r="93" ht="15.75" customHeight="1">
      <c r="B93" s="3">
        <f>IFERROR(__xludf.DUMMYFUNCTION("""COMPUTED_VALUE"""),39703.645833333336)</f>
        <v>39703.64583</v>
      </c>
      <c r="C93" s="2">
        <f>IFERROR(__xludf.DUMMYFUNCTION("""COMPUTED_VALUE"""),160.0)</f>
        <v>160</v>
      </c>
    </row>
    <row r="94" ht="15.75" customHeight="1">
      <c r="B94" s="3">
        <f>IFERROR(__xludf.DUMMYFUNCTION("""COMPUTED_VALUE"""),39710.645833333336)</f>
        <v>39710.64583</v>
      </c>
      <c r="C94" s="2">
        <f>IFERROR(__xludf.DUMMYFUNCTION("""COMPUTED_VALUE"""),152.5)</f>
        <v>152.5</v>
      </c>
    </row>
    <row r="95" ht="15.75" customHeight="1">
      <c r="B95" s="3">
        <f>IFERROR(__xludf.DUMMYFUNCTION("""COMPUTED_VALUE"""),39717.645833333336)</f>
        <v>39717.64583</v>
      </c>
      <c r="C95" s="2">
        <f>IFERROR(__xludf.DUMMYFUNCTION("""COMPUTED_VALUE"""),155.0)</f>
        <v>155</v>
      </c>
    </row>
    <row r="96" ht="15.75" customHeight="1">
      <c r="B96" s="3">
        <f>IFERROR(__xludf.DUMMYFUNCTION("""COMPUTED_VALUE"""),39724.645833333336)</f>
        <v>39724.64583</v>
      </c>
      <c r="C96" s="2">
        <f>IFERROR(__xludf.DUMMYFUNCTION("""COMPUTED_VALUE"""),147.54)</f>
        <v>147.54</v>
      </c>
    </row>
    <row r="97" ht="15.75" customHeight="1">
      <c r="B97" s="3">
        <f>IFERROR(__xludf.DUMMYFUNCTION("""COMPUTED_VALUE"""),39731.645833333336)</f>
        <v>39731.64583</v>
      </c>
      <c r="C97" s="2">
        <f>IFERROR(__xludf.DUMMYFUNCTION("""COMPUTED_VALUE"""),148.21)</f>
        <v>148.21</v>
      </c>
    </row>
    <row r="98" ht="15.75" customHeight="1">
      <c r="B98" s="3">
        <f>IFERROR(__xludf.DUMMYFUNCTION("""COMPUTED_VALUE"""),39738.645833333336)</f>
        <v>39738.64583</v>
      </c>
      <c r="C98" s="2">
        <f>IFERROR(__xludf.DUMMYFUNCTION("""COMPUTED_VALUE"""),153.25)</f>
        <v>153.25</v>
      </c>
    </row>
    <row r="99" ht="15.75" customHeight="1">
      <c r="B99" s="3">
        <f>IFERROR(__xludf.DUMMYFUNCTION("""COMPUTED_VALUE"""),39745.645833333336)</f>
        <v>39745.64583</v>
      </c>
      <c r="C99" s="2">
        <f>IFERROR(__xludf.DUMMYFUNCTION("""COMPUTED_VALUE"""),132.04)</f>
        <v>132.04</v>
      </c>
    </row>
    <row r="100" ht="15.75" customHeight="1">
      <c r="B100" s="3">
        <f>IFERROR(__xludf.DUMMYFUNCTION("""COMPUTED_VALUE"""),39752.645833333336)</f>
        <v>39752.64583</v>
      </c>
      <c r="C100" s="2">
        <f>IFERROR(__xludf.DUMMYFUNCTION("""COMPUTED_VALUE"""),119.67)</f>
        <v>119.67</v>
      </c>
    </row>
    <row r="101" ht="15.75" customHeight="1">
      <c r="B101" s="3">
        <f>IFERROR(__xludf.DUMMYFUNCTION("""COMPUTED_VALUE"""),39759.645833333336)</f>
        <v>39759.64583</v>
      </c>
      <c r="C101" s="2">
        <f>IFERROR(__xludf.DUMMYFUNCTION("""COMPUTED_VALUE"""),129.5)</f>
        <v>129.5</v>
      </c>
    </row>
    <row r="102" ht="15.75" customHeight="1">
      <c r="B102" s="3">
        <f>IFERROR(__xludf.DUMMYFUNCTION("""COMPUTED_VALUE"""),39766.645833333336)</f>
        <v>39766.64583</v>
      </c>
      <c r="C102" s="2">
        <f>IFERROR(__xludf.DUMMYFUNCTION("""COMPUTED_VALUE"""),138.13)</f>
        <v>138.13</v>
      </c>
    </row>
    <row r="103" ht="15.75" customHeight="1">
      <c r="B103" s="3">
        <f>IFERROR(__xludf.DUMMYFUNCTION("""COMPUTED_VALUE"""),39773.645833333336)</f>
        <v>39773.64583</v>
      </c>
      <c r="C103" s="2">
        <f>IFERROR(__xludf.DUMMYFUNCTION("""COMPUTED_VALUE"""),127.42)</f>
        <v>127.42</v>
      </c>
    </row>
    <row r="104" ht="15.75" customHeight="1">
      <c r="B104" s="3">
        <f>IFERROR(__xludf.DUMMYFUNCTION("""COMPUTED_VALUE"""),39780.645833333336)</f>
        <v>39780.64583</v>
      </c>
      <c r="C104" s="2">
        <f>IFERROR(__xludf.DUMMYFUNCTION("""COMPUTED_VALUE"""),138.67)</f>
        <v>138.67</v>
      </c>
    </row>
    <row r="105" ht="15.75" customHeight="1">
      <c r="B105" s="3">
        <f>IFERROR(__xludf.DUMMYFUNCTION("""COMPUTED_VALUE"""),39787.645833333336)</f>
        <v>39787.64583</v>
      </c>
      <c r="C105" s="2">
        <f>IFERROR(__xludf.DUMMYFUNCTION("""COMPUTED_VALUE"""),139.04)</f>
        <v>139.04</v>
      </c>
    </row>
    <row r="106" ht="15.75" customHeight="1">
      <c r="B106" s="3">
        <f>IFERROR(__xludf.DUMMYFUNCTION("""COMPUTED_VALUE"""),39794.645833333336)</f>
        <v>39794.64583</v>
      </c>
      <c r="C106" s="2">
        <f>IFERROR(__xludf.DUMMYFUNCTION("""COMPUTED_VALUE"""),142.96)</f>
        <v>142.96</v>
      </c>
    </row>
    <row r="107" ht="15.75" customHeight="1">
      <c r="B107" s="3">
        <f>IFERROR(__xludf.DUMMYFUNCTION("""COMPUTED_VALUE"""),39801.645833333336)</f>
        <v>39801.64583</v>
      </c>
      <c r="C107" s="2">
        <f>IFERROR(__xludf.DUMMYFUNCTION("""COMPUTED_VALUE"""),154.5)</f>
        <v>154.5</v>
      </c>
    </row>
    <row r="108" ht="15.75" customHeight="1">
      <c r="B108" s="3">
        <f>IFERROR(__xludf.DUMMYFUNCTION("""COMPUTED_VALUE"""),39808.645833333336)</f>
        <v>39808.64583</v>
      </c>
      <c r="C108" s="2">
        <f>IFERROR(__xludf.DUMMYFUNCTION("""COMPUTED_VALUE"""),160.0)</f>
        <v>160</v>
      </c>
    </row>
    <row r="109" ht="15.75" customHeight="1"/>
    <row r="110" ht="15.75" customHeight="1"/>
    <row r="111" ht="15.75" customHeight="1">
      <c r="B111" s="2" t="str">
        <f>IFERROR(__xludf.DUMMYFUNCTION("GOOGLEFINANCE(""NSE:NTPC"", ""high"",DATE(2009,1,1),DATE(2010,1,1),""weekly"")"),"Date")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IFERROR(__xludf.DUMMYFUNCTION("""COMPUTED_VALUE"""),39815.645833333336)</f>
        <v>39815.64583</v>
      </c>
      <c r="C112" s="2">
        <f>IFERROR(__xludf.DUMMYFUNCTION("""COMPUTED_VALUE"""),154.67)</f>
        <v>154.67</v>
      </c>
    </row>
    <row r="113" ht="15.75" customHeight="1">
      <c r="B113" s="3">
        <f>IFERROR(__xludf.DUMMYFUNCTION("""COMPUTED_VALUE"""),39822.645833333336)</f>
        <v>39822.64583</v>
      </c>
      <c r="C113" s="2">
        <f>IFERROR(__xludf.DUMMYFUNCTION("""COMPUTED_VALUE"""),154.75)</f>
        <v>154.75</v>
      </c>
    </row>
    <row r="114" ht="15.75" customHeight="1">
      <c r="B114" s="3">
        <f>IFERROR(__xludf.DUMMYFUNCTION("""COMPUTED_VALUE"""),39829.645833333336)</f>
        <v>39829.64583</v>
      </c>
      <c r="C114" s="2">
        <f>IFERROR(__xludf.DUMMYFUNCTION("""COMPUTED_VALUE"""),150.83)</f>
        <v>150.83</v>
      </c>
    </row>
    <row r="115" ht="15.75" customHeight="1">
      <c r="B115" s="3">
        <f>IFERROR(__xludf.DUMMYFUNCTION("""COMPUTED_VALUE"""),39836.645833333336)</f>
        <v>39836.64583</v>
      </c>
      <c r="C115" s="2">
        <f>IFERROR(__xludf.DUMMYFUNCTION("""COMPUTED_VALUE"""),156.25)</f>
        <v>156.25</v>
      </c>
    </row>
    <row r="116" ht="15.75" customHeight="1">
      <c r="B116" s="3">
        <f>IFERROR(__xludf.DUMMYFUNCTION("""COMPUTED_VALUE"""),39843.645833333336)</f>
        <v>39843.64583</v>
      </c>
      <c r="C116" s="2">
        <f>IFERROR(__xludf.DUMMYFUNCTION("""COMPUTED_VALUE"""),160.92)</f>
        <v>160.92</v>
      </c>
    </row>
    <row r="117" ht="15.75" customHeight="1">
      <c r="B117" s="3">
        <f>IFERROR(__xludf.DUMMYFUNCTION("""COMPUTED_VALUE"""),39850.645833333336)</f>
        <v>39850.64583</v>
      </c>
      <c r="C117" s="2">
        <f>IFERROR(__xludf.DUMMYFUNCTION("""COMPUTED_VALUE"""),157.92)</f>
        <v>157.92</v>
      </c>
    </row>
    <row r="118" ht="15.75" customHeight="1">
      <c r="B118" s="3">
        <f>IFERROR(__xludf.DUMMYFUNCTION("""COMPUTED_VALUE"""),39857.645833333336)</f>
        <v>39857.64583</v>
      </c>
      <c r="C118" s="2">
        <f>IFERROR(__xludf.DUMMYFUNCTION("""COMPUTED_VALUE"""),153.71)</f>
        <v>153.71</v>
      </c>
    </row>
    <row r="119" ht="15.75" customHeight="1">
      <c r="B119" s="3">
        <f>IFERROR(__xludf.DUMMYFUNCTION("""COMPUTED_VALUE"""),39864.645833333336)</f>
        <v>39864.64583</v>
      </c>
      <c r="C119" s="2">
        <f>IFERROR(__xludf.DUMMYFUNCTION("""COMPUTED_VALUE"""),154.17)</f>
        <v>154.17</v>
      </c>
    </row>
    <row r="120" ht="15.75" customHeight="1">
      <c r="B120" s="3">
        <f>IFERROR(__xludf.DUMMYFUNCTION("""COMPUTED_VALUE"""),39871.645833333336)</f>
        <v>39871.64583</v>
      </c>
      <c r="C120" s="2">
        <f>IFERROR(__xludf.DUMMYFUNCTION("""COMPUTED_VALUE"""),155.0)</f>
        <v>155</v>
      </c>
    </row>
    <row r="121" ht="15.75" customHeight="1">
      <c r="B121" s="3">
        <f>IFERROR(__xludf.DUMMYFUNCTION("""COMPUTED_VALUE"""),39878.645833333336)</f>
        <v>39878.64583</v>
      </c>
      <c r="C121" s="2">
        <f>IFERROR(__xludf.DUMMYFUNCTION("""COMPUTED_VALUE"""),151.75)</f>
        <v>151.75</v>
      </c>
    </row>
    <row r="122" ht="15.75" customHeight="1">
      <c r="B122" s="3">
        <f>IFERROR(__xludf.DUMMYFUNCTION("""COMPUTED_VALUE"""),39885.645833333336)</f>
        <v>39885.64583</v>
      </c>
      <c r="C122" s="2">
        <f>IFERROR(__xludf.DUMMYFUNCTION("""COMPUTED_VALUE"""),150.33)</f>
        <v>150.33</v>
      </c>
    </row>
    <row r="123" ht="15.75" customHeight="1">
      <c r="B123" s="3">
        <f>IFERROR(__xludf.DUMMYFUNCTION("""COMPUTED_VALUE"""),39892.645833333336)</f>
        <v>39892.64583</v>
      </c>
      <c r="C123" s="2">
        <f>IFERROR(__xludf.DUMMYFUNCTION("""COMPUTED_VALUE"""),149.58)</f>
        <v>149.58</v>
      </c>
    </row>
    <row r="124" ht="15.75" customHeight="1">
      <c r="B124" s="3">
        <f>IFERROR(__xludf.DUMMYFUNCTION("""COMPUTED_VALUE"""),39899.645833333336)</f>
        <v>39899.64583</v>
      </c>
      <c r="C124" s="2">
        <f>IFERROR(__xludf.DUMMYFUNCTION("""COMPUTED_VALUE"""),155.75)</f>
        <v>155.75</v>
      </c>
    </row>
    <row r="125" ht="15.75" customHeight="1">
      <c r="B125" s="3">
        <f>IFERROR(__xludf.DUMMYFUNCTION("""COMPUTED_VALUE"""),39905.645833333336)</f>
        <v>39905.64583</v>
      </c>
      <c r="C125" s="2">
        <f>IFERROR(__xludf.DUMMYFUNCTION("""COMPUTED_VALUE"""),155.0)</f>
        <v>155</v>
      </c>
    </row>
    <row r="126" ht="15.75" customHeight="1">
      <c r="B126" s="3">
        <f>IFERROR(__xludf.DUMMYFUNCTION("""COMPUTED_VALUE"""),39912.645833333336)</f>
        <v>39912.64583</v>
      </c>
      <c r="C126" s="2">
        <f>IFERROR(__xludf.DUMMYFUNCTION("""COMPUTED_VALUE"""),169.17)</f>
        <v>169.17</v>
      </c>
    </row>
    <row r="127" ht="15.75" customHeight="1">
      <c r="B127" s="3">
        <f>IFERROR(__xludf.DUMMYFUNCTION("""COMPUTED_VALUE"""),39920.645833333336)</f>
        <v>39920.64583</v>
      </c>
      <c r="C127" s="2">
        <f>IFERROR(__xludf.DUMMYFUNCTION("""COMPUTED_VALUE"""),171.5)</f>
        <v>171.5</v>
      </c>
    </row>
    <row r="128" ht="15.75" customHeight="1">
      <c r="B128" s="3">
        <f>IFERROR(__xludf.DUMMYFUNCTION("""COMPUTED_VALUE"""),39927.645833333336)</f>
        <v>39927.64583</v>
      </c>
      <c r="C128" s="2">
        <f>IFERROR(__xludf.DUMMYFUNCTION("""COMPUTED_VALUE"""),162.5)</f>
        <v>162.5</v>
      </c>
    </row>
    <row r="129" ht="15.75" customHeight="1">
      <c r="B129" s="3">
        <f>IFERROR(__xludf.DUMMYFUNCTION("""COMPUTED_VALUE"""),39932.645833333336)</f>
        <v>39932.64583</v>
      </c>
      <c r="C129" s="2">
        <f>IFERROR(__xludf.DUMMYFUNCTION("""COMPUTED_VALUE"""),159.92)</f>
        <v>159.92</v>
      </c>
    </row>
    <row r="130" ht="15.75" customHeight="1">
      <c r="B130" s="3">
        <f>IFERROR(__xludf.DUMMYFUNCTION("""COMPUTED_VALUE"""),39941.645833333336)</f>
        <v>39941.64583</v>
      </c>
      <c r="C130" s="2">
        <f>IFERROR(__xludf.DUMMYFUNCTION("""COMPUTED_VALUE"""),165.0)</f>
        <v>165</v>
      </c>
    </row>
    <row r="131" ht="15.75" customHeight="1">
      <c r="B131" s="3">
        <f>IFERROR(__xludf.DUMMYFUNCTION("""COMPUTED_VALUE"""),39948.645833333336)</f>
        <v>39948.64583</v>
      </c>
      <c r="C131" s="2">
        <f>IFERROR(__xludf.DUMMYFUNCTION("""COMPUTED_VALUE"""),161.5)</f>
        <v>161.5</v>
      </c>
    </row>
    <row r="132" ht="15.75" customHeight="1">
      <c r="B132" s="3">
        <f>IFERROR(__xludf.DUMMYFUNCTION("""COMPUTED_VALUE"""),39955.645833333336)</f>
        <v>39955.64583</v>
      </c>
      <c r="C132" s="2">
        <f>IFERROR(__xludf.DUMMYFUNCTION("""COMPUTED_VALUE"""),187.5)</f>
        <v>187.5</v>
      </c>
    </row>
    <row r="133" ht="15.75" customHeight="1">
      <c r="B133" s="3">
        <f>IFERROR(__xludf.DUMMYFUNCTION("""COMPUTED_VALUE"""),39962.645833333336)</f>
        <v>39962.64583</v>
      </c>
      <c r="C133" s="2">
        <f>IFERROR(__xludf.DUMMYFUNCTION("""COMPUTED_VALUE"""),182.42)</f>
        <v>182.42</v>
      </c>
    </row>
    <row r="134" ht="15.75" customHeight="1">
      <c r="B134" s="3">
        <f>IFERROR(__xludf.DUMMYFUNCTION("""COMPUTED_VALUE"""),39969.645833333336)</f>
        <v>39969.64583</v>
      </c>
      <c r="C134" s="2">
        <f>IFERROR(__xludf.DUMMYFUNCTION("""COMPUTED_VALUE"""),194.17)</f>
        <v>194.17</v>
      </c>
    </row>
    <row r="135" ht="15.75" customHeight="1">
      <c r="B135" s="3">
        <f>IFERROR(__xludf.DUMMYFUNCTION("""COMPUTED_VALUE"""),39976.645833333336)</f>
        <v>39976.64583</v>
      </c>
      <c r="C135" s="2">
        <f>IFERROR(__xludf.DUMMYFUNCTION("""COMPUTED_VALUE"""),192.54)</f>
        <v>192.54</v>
      </c>
    </row>
    <row r="136" ht="15.75" customHeight="1">
      <c r="B136" s="3">
        <f>IFERROR(__xludf.DUMMYFUNCTION("""COMPUTED_VALUE"""),39983.645833333336)</f>
        <v>39983.64583</v>
      </c>
      <c r="C136" s="2">
        <f>IFERROR(__xludf.DUMMYFUNCTION("""COMPUTED_VALUE"""),193.25)</f>
        <v>193.25</v>
      </c>
    </row>
    <row r="137" ht="15.75" customHeight="1">
      <c r="B137" s="3">
        <f>IFERROR(__xludf.DUMMYFUNCTION("""COMPUTED_VALUE"""),39990.645833333336)</f>
        <v>39990.64583</v>
      </c>
      <c r="C137" s="2">
        <f>IFERROR(__xludf.DUMMYFUNCTION("""COMPUTED_VALUE"""),170.79)</f>
        <v>170.79</v>
      </c>
    </row>
    <row r="138" ht="15.75" customHeight="1">
      <c r="B138" s="3">
        <f>IFERROR(__xludf.DUMMYFUNCTION("""COMPUTED_VALUE"""),39997.645833333336)</f>
        <v>39997.64583</v>
      </c>
      <c r="C138" s="2">
        <f>IFERROR(__xludf.DUMMYFUNCTION("""COMPUTED_VALUE"""),172.0)</f>
        <v>172</v>
      </c>
    </row>
    <row r="139" ht="15.75" customHeight="1">
      <c r="B139" s="3">
        <f>IFERROR(__xludf.DUMMYFUNCTION("""COMPUTED_VALUE"""),40004.645833333336)</f>
        <v>40004.64583</v>
      </c>
      <c r="C139" s="2">
        <f>IFERROR(__xludf.DUMMYFUNCTION("""COMPUTED_VALUE"""),187.5)</f>
        <v>187.5</v>
      </c>
    </row>
    <row r="140" ht="15.75" customHeight="1">
      <c r="B140" s="3">
        <f>IFERROR(__xludf.DUMMYFUNCTION("""COMPUTED_VALUE"""),40011.645833333336)</f>
        <v>40011.64583</v>
      </c>
      <c r="C140" s="2">
        <f>IFERROR(__xludf.DUMMYFUNCTION("""COMPUTED_VALUE"""),174.0)</f>
        <v>174</v>
      </c>
    </row>
    <row r="141" ht="15.75" customHeight="1">
      <c r="B141" s="3">
        <f>IFERROR(__xludf.DUMMYFUNCTION("""COMPUTED_VALUE"""),40018.645833333336)</f>
        <v>40018.64583</v>
      </c>
      <c r="C141" s="2">
        <f>IFERROR(__xludf.DUMMYFUNCTION("""COMPUTED_VALUE"""),177.0)</f>
        <v>177</v>
      </c>
    </row>
    <row r="142" ht="15.75" customHeight="1">
      <c r="B142" s="3">
        <f>IFERROR(__xludf.DUMMYFUNCTION("""COMPUTED_VALUE"""),40025.645833333336)</f>
        <v>40025.64583</v>
      </c>
      <c r="C142" s="2">
        <f>IFERROR(__xludf.DUMMYFUNCTION("""COMPUTED_VALUE"""),183.63)</f>
        <v>183.63</v>
      </c>
    </row>
    <row r="143" ht="15.75" customHeight="1">
      <c r="B143" s="3">
        <f>IFERROR(__xludf.DUMMYFUNCTION("""COMPUTED_VALUE"""),40032.645833333336)</f>
        <v>40032.64583</v>
      </c>
      <c r="C143" s="2">
        <f>IFERROR(__xludf.DUMMYFUNCTION("""COMPUTED_VALUE"""),183.71)</f>
        <v>183.71</v>
      </c>
    </row>
    <row r="144" ht="15.75" customHeight="1">
      <c r="B144" s="3">
        <f>IFERROR(__xludf.DUMMYFUNCTION("""COMPUTED_VALUE"""),40039.645833333336)</f>
        <v>40039.64583</v>
      </c>
      <c r="C144" s="2">
        <f>IFERROR(__xludf.DUMMYFUNCTION("""COMPUTED_VALUE"""),181.46)</f>
        <v>181.46</v>
      </c>
    </row>
    <row r="145" ht="15.75" customHeight="1">
      <c r="B145" s="3">
        <f>IFERROR(__xludf.DUMMYFUNCTION("""COMPUTED_VALUE"""),40046.645833333336)</f>
        <v>40046.64583</v>
      </c>
      <c r="C145" s="2">
        <f>IFERROR(__xludf.DUMMYFUNCTION("""COMPUTED_VALUE"""),173.71)</f>
        <v>173.71</v>
      </c>
    </row>
    <row r="146" ht="15.75" customHeight="1">
      <c r="B146" s="3">
        <f>IFERROR(__xludf.DUMMYFUNCTION("""COMPUTED_VALUE"""),40053.645833333336)</f>
        <v>40053.64583</v>
      </c>
      <c r="C146" s="2">
        <f>IFERROR(__xludf.DUMMYFUNCTION("""COMPUTED_VALUE"""),177.83)</f>
        <v>177.83</v>
      </c>
    </row>
    <row r="147" ht="15.75" customHeight="1">
      <c r="B147" s="3">
        <f>IFERROR(__xludf.DUMMYFUNCTION("""COMPUTED_VALUE"""),40060.645833333336)</f>
        <v>40060.64583</v>
      </c>
      <c r="C147" s="2">
        <f>IFERROR(__xludf.DUMMYFUNCTION("""COMPUTED_VALUE"""),178.71)</f>
        <v>178.71</v>
      </c>
    </row>
    <row r="148" ht="15.75" customHeight="1">
      <c r="B148" s="3">
        <f>IFERROR(__xludf.DUMMYFUNCTION("""COMPUTED_VALUE"""),40067.645833333336)</f>
        <v>40067.64583</v>
      </c>
      <c r="C148" s="2">
        <f>IFERROR(__xludf.DUMMYFUNCTION("""COMPUTED_VALUE"""),175.17)</f>
        <v>175.17</v>
      </c>
    </row>
    <row r="149" ht="15.75" customHeight="1">
      <c r="B149" s="3">
        <f>IFERROR(__xludf.DUMMYFUNCTION("""COMPUTED_VALUE"""),40074.645833333336)</f>
        <v>40074.64583</v>
      </c>
      <c r="C149" s="2">
        <f>IFERROR(__xludf.DUMMYFUNCTION("""COMPUTED_VALUE"""),176.25)</f>
        <v>176.25</v>
      </c>
    </row>
    <row r="150" ht="15.75" customHeight="1">
      <c r="B150" s="3">
        <f>IFERROR(__xludf.DUMMYFUNCTION("""COMPUTED_VALUE"""),40081.645833333336)</f>
        <v>40081.64583</v>
      </c>
      <c r="C150" s="2">
        <f>IFERROR(__xludf.DUMMYFUNCTION("""COMPUTED_VALUE"""),179.04)</f>
        <v>179.04</v>
      </c>
    </row>
    <row r="151" ht="15.75" customHeight="1">
      <c r="B151" s="3">
        <f>IFERROR(__xludf.DUMMYFUNCTION("""COMPUTED_VALUE"""),40087.645833333336)</f>
        <v>40087.64583</v>
      </c>
      <c r="C151" s="2">
        <f>IFERROR(__xludf.DUMMYFUNCTION("""COMPUTED_VALUE"""),179.42)</f>
        <v>179.42</v>
      </c>
    </row>
    <row r="152" ht="15.75" customHeight="1">
      <c r="B152" s="3">
        <f>IFERROR(__xludf.DUMMYFUNCTION("""COMPUTED_VALUE"""),40095.645833333336)</f>
        <v>40095.64583</v>
      </c>
      <c r="C152" s="2">
        <f>IFERROR(__xludf.DUMMYFUNCTION("""COMPUTED_VALUE"""),178.29)</f>
        <v>178.29</v>
      </c>
    </row>
    <row r="153" ht="15.75" customHeight="1">
      <c r="B153" s="3">
        <f>IFERROR(__xludf.DUMMYFUNCTION("""COMPUTED_VALUE"""),40109.645833333336)</f>
        <v>40109.64583</v>
      </c>
      <c r="C153" s="2">
        <f>IFERROR(__xludf.DUMMYFUNCTION("""COMPUTED_VALUE"""),184.75)</f>
        <v>184.75</v>
      </c>
    </row>
    <row r="154" ht="15.75" customHeight="1">
      <c r="B154" s="3">
        <f>IFERROR(__xludf.DUMMYFUNCTION("""COMPUTED_VALUE"""),40116.645833333336)</f>
        <v>40116.64583</v>
      </c>
      <c r="C154" s="2">
        <f>IFERROR(__xludf.DUMMYFUNCTION("""COMPUTED_VALUE"""),183.83)</f>
        <v>183.83</v>
      </c>
    </row>
    <row r="155" ht="15.75" customHeight="1">
      <c r="B155" s="3">
        <f>IFERROR(__xludf.DUMMYFUNCTION("""COMPUTED_VALUE"""),40123.645833333336)</f>
        <v>40123.64583</v>
      </c>
      <c r="C155" s="2">
        <f>IFERROR(__xludf.DUMMYFUNCTION("""COMPUTED_VALUE"""),178.75)</f>
        <v>178.75</v>
      </c>
    </row>
    <row r="156" ht="15.75" customHeight="1">
      <c r="B156" s="3">
        <f>IFERROR(__xludf.DUMMYFUNCTION("""COMPUTED_VALUE"""),40130.645833333336)</f>
        <v>40130.64583</v>
      </c>
      <c r="C156" s="2">
        <f>IFERROR(__xludf.DUMMYFUNCTION("""COMPUTED_VALUE"""),181.42)</f>
        <v>181.42</v>
      </c>
    </row>
    <row r="157" ht="15.75" customHeight="1">
      <c r="B157" s="3">
        <f>IFERROR(__xludf.DUMMYFUNCTION("""COMPUTED_VALUE"""),40137.645833333336)</f>
        <v>40137.64583</v>
      </c>
      <c r="C157" s="2">
        <f>IFERROR(__xludf.DUMMYFUNCTION("""COMPUTED_VALUE"""),183.42)</f>
        <v>183.42</v>
      </c>
    </row>
    <row r="158" ht="15.75" customHeight="1">
      <c r="B158" s="3">
        <f>IFERROR(__xludf.DUMMYFUNCTION("""COMPUTED_VALUE"""),40144.645833333336)</f>
        <v>40144.64583</v>
      </c>
      <c r="C158" s="2">
        <f>IFERROR(__xludf.DUMMYFUNCTION("""COMPUTED_VALUE"""),182.04)</f>
        <v>182.04</v>
      </c>
    </row>
    <row r="159" ht="15.75" customHeight="1">
      <c r="B159" s="3">
        <f>IFERROR(__xludf.DUMMYFUNCTION("""COMPUTED_VALUE"""),40151.645833333336)</f>
        <v>40151.64583</v>
      </c>
      <c r="C159" s="2">
        <f>IFERROR(__xludf.DUMMYFUNCTION("""COMPUTED_VALUE"""),176.46)</f>
        <v>176.46</v>
      </c>
    </row>
    <row r="160" ht="15.75" customHeight="1">
      <c r="B160" s="3">
        <f>IFERROR(__xludf.DUMMYFUNCTION("""COMPUTED_VALUE"""),40158.645833333336)</f>
        <v>40158.64583</v>
      </c>
      <c r="C160" s="2">
        <f>IFERROR(__xludf.DUMMYFUNCTION("""COMPUTED_VALUE"""),176.58)</f>
        <v>176.58</v>
      </c>
    </row>
    <row r="161" ht="15.75" customHeight="1">
      <c r="B161" s="3">
        <f>IFERROR(__xludf.DUMMYFUNCTION("""COMPUTED_VALUE"""),40165.645833333336)</f>
        <v>40165.64583</v>
      </c>
      <c r="C161" s="2">
        <f>IFERROR(__xludf.DUMMYFUNCTION("""COMPUTED_VALUE"""),175.25)</f>
        <v>175.25</v>
      </c>
    </row>
    <row r="162" ht="15.75" customHeight="1">
      <c r="B162" s="3">
        <f>IFERROR(__xludf.DUMMYFUNCTION("""COMPUTED_VALUE"""),40171.645833333336)</f>
        <v>40171.64583</v>
      </c>
      <c r="C162" s="2">
        <f>IFERROR(__xludf.DUMMYFUNCTION("""COMPUTED_VALUE"""),193.75)</f>
        <v>193.75</v>
      </c>
    </row>
    <row r="163" ht="15.75" customHeight="1">
      <c r="B163" s="3">
        <f>IFERROR(__xludf.DUMMYFUNCTION("""COMPUTED_VALUE"""),40178.645833333336)</f>
        <v>40178.64583</v>
      </c>
      <c r="C163" s="2">
        <f>IFERROR(__xludf.DUMMYFUNCTION("""COMPUTED_VALUE"""),201.13)</f>
        <v>201.13</v>
      </c>
    </row>
    <row r="164" ht="15.75" customHeight="1"/>
    <row r="165" ht="15.75" customHeight="1"/>
    <row r="166" ht="15.75" customHeight="1">
      <c r="B166" s="2" t="str">
        <f>IFERROR(__xludf.DUMMYFUNCTION("GOOGLEFINANCE(""NSE:NTPC"", ""high"",DATE(2010,1,1),DATE(2011,1,1),""weekly"")"),"Date")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IFERROR(__xludf.DUMMYFUNCTION("""COMPUTED_VALUE"""),40186.645833333336)</f>
        <v>40186.64583</v>
      </c>
      <c r="C167" s="2">
        <f>IFERROR(__xludf.DUMMYFUNCTION("""COMPUTED_VALUE"""),199.08)</f>
        <v>199.08</v>
      </c>
    </row>
    <row r="168" ht="15.75" customHeight="1">
      <c r="B168" s="3">
        <f>IFERROR(__xludf.DUMMYFUNCTION("""COMPUTED_VALUE"""),40193.645833333336)</f>
        <v>40193.64583</v>
      </c>
      <c r="C168" s="2">
        <f>IFERROR(__xludf.DUMMYFUNCTION("""COMPUTED_VALUE"""),196.13)</f>
        <v>196.13</v>
      </c>
    </row>
    <row r="169" ht="15.75" customHeight="1">
      <c r="B169" s="3">
        <f>IFERROR(__xludf.DUMMYFUNCTION("""COMPUTED_VALUE"""),40200.645833333336)</f>
        <v>40200.64583</v>
      </c>
      <c r="C169" s="2">
        <f>IFERROR(__xludf.DUMMYFUNCTION("""COMPUTED_VALUE"""),194.5)</f>
        <v>194.5</v>
      </c>
    </row>
    <row r="170" ht="15.75" customHeight="1">
      <c r="B170" s="3">
        <f>IFERROR(__xludf.DUMMYFUNCTION("""COMPUTED_VALUE"""),40207.645833333336)</f>
        <v>40207.64583</v>
      </c>
      <c r="C170" s="2">
        <f>IFERROR(__xludf.DUMMYFUNCTION("""COMPUTED_VALUE"""),187.5)</f>
        <v>187.5</v>
      </c>
    </row>
    <row r="171" ht="15.75" customHeight="1">
      <c r="B171" s="3">
        <f>IFERROR(__xludf.DUMMYFUNCTION("""COMPUTED_VALUE"""),40220.645833333336)</f>
        <v>40220.64583</v>
      </c>
      <c r="C171" s="2">
        <f>IFERROR(__xludf.DUMMYFUNCTION("""COMPUTED_VALUE"""),173.33)</f>
        <v>173.33</v>
      </c>
    </row>
    <row r="172" ht="15.75" customHeight="1">
      <c r="B172" s="3">
        <f>IFERROR(__xludf.DUMMYFUNCTION("""COMPUTED_VALUE"""),40228.645833333336)</f>
        <v>40228.64583</v>
      </c>
      <c r="C172" s="2">
        <f>IFERROR(__xludf.DUMMYFUNCTION("""COMPUTED_VALUE"""),171.58)</f>
        <v>171.58</v>
      </c>
    </row>
    <row r="173" ht="15.75" customHeight="1">
      <c r="B173" s="3">
        <f>IFERROR(__xludf.DUMMYFUNCTION("""COMPUTED_VALUE"""),40235.645833333336)</f>
        <v>40235.64583</v>
      </c>
      <c r="C173" s="2">
        <f>IFERROR(__xludf.DUMMYFUNCTION("""COMPUTED_VALUE"""),170.79)</f>
        <v>170.79</v>
      </c>
    </row>
    <row r="174" ht="15.75" customHeight="1">
      <c r="B174" s="3">
        <f>IFERROR(__xludf.DUMMYFUNCTION("""COMPUTED_VALUE"""),40242.645833333336)</f>
        <v>40242.64583</v>
      </c>
      <c r="C174" s="2">
        <f>IFERROR(__xludf.DUMMYFUNCTION("""COMPUTED_VALUE"""),173.63)</f>
        <v>173.63</v>
      </c>
    </row>
    <row r="175" ht="15.75" customHeight="1">
      <c r="B175" s="3">
        <f>IFERROR(__xludf.DUMMYFUNCTION("""COMPUTED_VALUE"""),40249.645833333336)</f>
        <v>40249.64583</v>
      </c>
      <c r="C175" s="2">
        <f>IFERROR(__xludf.DUMMYFUNCTION("""COMPUTED_VALUE"""),173.25)</f>
        <v>173.25</v>
      </c>
    </row>
    <row r="176" ht="15.75" customHeight="1">
      <c r="B176" s="3">
        <f>IFERROR(__xludf.DUMMYFUNCTION("""COMPUTED_VALUE"""),40256.645833333336)</f>
        <v>40256.64583</v>
      </c>
      <c r="C176" s="2">
        <f>IFERROR(__xludf.DUMMYFUNCTION("""COMPUTED_VALUE"""),171.04)</f>
        <v>171.04</v>
      </c>
    </row>
    <row r="177" ht="15.75" customHeight="1">
      <c r="B177" s="3">
        <f>IFERROR(__xludf.DUMMYFUNCTION("""COMPUTED_VALUE"""),40263.645833333336)</f>
        <v>40263.64583</v>
      </c>
      <c r="C177" s="2">
        <f>IFERROR(__xludf.DUMMYFUNCTION("""COMPUTED_VALUE"""),170.04)</f>
        <v>170.04</v>
      </c>
    </row>
    <row r="178" ht="15.75" customHeight="1">
      <c r="B178" s="3">
        <f>IFERROR(__xludf.DUMMYFUNCTION("""COMPUTED_VALUE"""),40269.645833333336)</f>
        <v>40269.64583</v>
      </c>
      <c r="C178" s="2">
        <f>IFERROR(__xludf.DUMMYFUNCTION("""COMPUTED_VALUE"""),173.92)</f>
        <v>173.92</v>
      </c>
    </row>
    <row r="179" ht="15.75" customHeight="1">
      <c r="B179" s="3">
        <f>IFERROR(__xludf.DUMMYFUNCTION("""COMPUTED_VALUE"""),40277.645833333336)</f>
        <v>40277.64583</v>
      </c>
      <c r="C179" s="2">
        <f>IFERROR(__xludf.DUMMYFUNCTION("""COMPUTED_VALUE"""),177.0)</f>
        <v>177</v>
      </c>
    </row>
    <row r="180" ht="15.75" customHeight="1">
      <c r="B180" s="3">
        <f>IFERROR(__xludf.DUMMYFUNCTION("""COMPUTED_VALUE"""),40284.645833333336)</f>
        <v>40284.64583</v>
      </c>
      <c r="C180" s="2">
        <f>IFERROR(__xludf.DUMMYFUNCTION("""COMPUTED_VALUE"""),177.13)</f>
        <v>177.13</v>
      </c>
    </row>
    <row r="181" ht="15.75" customHeight="1">
      <c r="B181" s="3">
        <f>IFERROR(__xludf.DUMMYFUNCTION("""COMPUTED_VALUE"""),40291.645833333336)</f>
        <v>40291.64583</v>
      </c>
      <c r="C181" s="2">
        <f>IFERROR(__xludf.DUMMYFUNCTION("""COMPUTED_VALUE"""),174.08)</f>
        <v>174.08</v>
      </c>
    </row>
    <row r="182" ht="15.75" customHeight="1">
      <c r="B182" s="3">
        <f>IFERROR(__xludf.DUMMYFUNCTION("""COMPUTED_VALUE"""),40298.645833333336)</f>
        <v>40298.64583</v>
      </c>
      <c r="C182" s="2">
        <f>IFERROR(__xludf.DUMMYFUNCTION("""COMPUTED_VALUE"""),174.25)</f>
        <v>174.25</v>
      </c>
    </row>
    <row r="183" ht="15.75" customHeight="1">
      <c r="B183" s="3">
        <f>IFERROR(__xludf.DUMMYFUNCTION("""COMPUTED_VALUE"""),40305.645833333336)</f>
        <v>40305.64583</v>
      </c>
      <c r="C183" s="2">
        <f>IFERROR(__xludf.DUMMYFUNCTION("""COMPUTED_VALUE"""),173.33)</f>
        <v>173.33</v>
      </c>
    </row>
    <row r="184" ht="15.75" customHeight="1">
      <c r="B184" s="3">
        <f>IFERROR(__xludf.DUMMYFUNCTION("""COMPUTED_VALUE"""),40312.645833333336)</f>
        <v>40312.64583</v>
      </c>
      <c r="C184" s="2">
        <f>IFERROR(__xludf.DUMMYFUNCTION("""COMPUTED_VALUE"""),173.71)</f>
        <v>173.71</v>
      </c>
    </row>
    <row r="185" ht="15.75" customHeight="1">
      <c r="B185" s="3">
        <f>IFERROR(__xludf.DUMMYFUNCTION("""COMPUTED_VALUE"""),40319.645833333336)</f>
        <v>40319.64583</v>
      </c>
      <c r="C185" s="2">
        <f>IFERROR(__xludf.DUMMYFUNCTION("""COMPUTED_VALUE"""),173.33)</f>
        <v>173.33</v>
      </c>
    </row>
    <row r="186" ht="15.75" customHeight="1">
      <c r="B186" s="3">
        <f>IFERROR(__xludf.DUMMYFUNCTION("""COMPUTED_VALUE"""),40326.645833333336)</f>
        <v>40326.64583</v>
      </c>
      <c r="C186" s="2">
        <f>IFERROR(__xludf.DUMMYFUNCTION("""COMPUTED_VALUE"""),168.0)</f>
        <v>168</v>
      </c>
    </row>
    <row r="187" ht="15.75" customHeight="1">
      <c r="B187" s="3">
        <f>IFERROR(__xludf.DUMMYFUNCTION("""COMPUTED_VALUE"""),40333.645833333336)</f>
        <v>40333.64583</v>
      </c>
      <c r="C187" s="2">
        <f>IFERROR(__xludf.DUMMYFUNCTION("""COMPUTED_VALUE"""),170.25)</f>
        <v>170.25</v>
      </c>
    </row>
    <row r="188" ht="15.75" customHeight="1">
      <c r="B188" s="3">
        <f>IFERROR(__xludf.DUMMYFUNCTION("""COMPUTED_VALUE"""),40340.645833333336)</f>
        <v>40340.64583</v>
      </c>
      <c r="C188" s="2">
        <f>IFERROR(__xludf.DUMMYFUNCTION("""COMPUTED_VALUE"""),168.33)</f>
        <v>168.33</v>
      </c>
    </row>
    <row r="189" ht="15.75" customHeight="1">
      <c r="B189" s="3">
        <f>IFERROR(__xludf.DUMMYFUNCTION("""COMPUTED_VALUE"""),40347.645833333336)</f>
        <v>40347.64583</v>
      </c>
      <c r="C189" s="2">
        <f>IFERROR(__xludf.DUMMYFUNCTION("""COMPUTED_VALUE"""),169.17)</f>
        <v>169.17</v>
      </c>
    </row>
    <row r="190" ht="15.75" customHeight="1">
      <c r="B190" s="3">
        <f>IFERROR(__xludf.DUMMYFUNCTION("""COMPUTED_VALUE"""),40354.645833333336)</f>
        <v>40354.64583</v>
      </c>
      <c r="C190" s="2">
        <f>IFERROR(__xludf.DUMMYFUNCTION("""COMPUTED_VALUE"""),170.75)</f>
        <v>170.75</v>
      </c>
    </row>
    <row r="191" ht="15.75" customHeight="1">
      <c r="B191" s="3">
        <f>IFERROR(__xludf.DUMMYFUNCTION("""COMPUTED_VALUE"""),40361.645833333336)</f>
        <v>40361.64583</v>
      </c>
      <c r="C191" s="2">
        <f>IFERROR(__xludf.DUMMYFUNCTION("""COMPUTED_VALUE"""),169.17)</f>
        <v>169.17</v>
      </c>
    </row>
    <row r="192" ht="15.75" customHeight="1">
      <c r="B192" s="3">
        <f>IFERROR(__xludf.DUMMYFUNCTION("""COMPUTED_VALUE"""),40368.645833333336)</f>
        <v>40368.64583</v>
      </c>
      <c r="C192" s="2">
        <f>IFERROR(__xludf.DUMMYFUNCTION("""COMPUTED_VALUE"""),169.83)</f>
        <v>169.83</v>
      </c>
    </row>
    <row r="193" ht="15.75" customHeight="1">
      <c r="B193" s="3">
        <f>IFERROR(__xludf.DUMMYFUNCTION("""COMPUTED_VALUE"""),40375.645833333336)</f>
        <v>40375.64583</v>
      </c>
      <c r="C193" s="2">
        <f>IFERROR(__xludf.DUMMYFUNCTION("""COMPUTED_VALUE"""),167.75)</f>
        <v>167.75</v>
      </c>
    </row>
    <row r="194" ht="15.75" customHeight="1">
      <c r="B194" s="3">
        <f>IFERROR(__xludf.DUMMYFUNCTION("""COMPUTED_VALUE"""),40382.645833333336)</f>
        <v>40382.64583</v>
      </c>
      <c r="C194" s="2">
        <f>IFERROR(__xludf.DUMMYFUNCTION("""COMPUTED_VALUE"""),171.67)</f>
        <v>171.67</v>
      </c>
    </row>
    <row r="195" ht="15.75" customHeight="1">
      <c r="B195" s="3">
        <f>IFERROR(__xludf.DUMMYFUNCTION("""COMPUTED_VALUE"""),40389.645833333336)</f>
        <v>40389.64583</v>
      </c>
      <c r="C195" s="2">
        <f>IFERROR(__xludf.DUMMYFUNCTION("""COMPUTED_VALUE"""),170.42)</f>
        <v>170.42</v>
      </c>
    </row>
    <row r="196" ht="15.75" customHeight="1">
      <c r="B196" s="3">
        <f>IFERROR(__xludf.DUMMYFUNCTION("""COMPUTED_VALUE"""),40396.645833333336)</f>
        <v>40396.64583</v>
      </c>
      <c r="C196" s="2">
        <f>IFERROR(__xludf.DUMMYFUNCTION("""COMPUTED_VALUE"""),167.5)</f>
        <v>167.5</v>
      </c>
    </row>
    <row r="197" ht="15.75" customHeight="1">
      <c r="B197" s="3">
        <f>IFERROR(__xludf.DUMMYFUNCTION("""COMPUTED_VALUE"""),40403.645833333336)</f>
        <v>40403.64583</v>
      </c>
      <c r="C197" s="2">
        <f>IFERROR(__xludf.DUMMYFUNCTION("""COMPUTED_VALUE"""),166.67)</f>
        <v>166.67</v>
      </c>
    </row>
    <row r="198" ht="15.75" customHeight="1">
      <c r="B198" s="3">
        <f>IFERROR(__xludf.DUMMYFUNCTION("""COMPUTED_VALUE"""),40410.645833333336)</f>
        <v>40410.64583</v>
      </c>
      <c r="C198" s="2">
        <f>IFERROR(__xludf.DUMMYFUNCTION("""COMPUTED_VALUE"""),164.79)</f>
        <v>164.79</v>
      </c>
    </row>
    <row r="199" ht="15.75" customHeight="1">
      <c r="B199" s="3">
        <f>IFERROR(__xludf.DUMMYFUNCTION("""COMPUTED_VALUE"""),40417.645833333336)</f>
        <v>40417.64583</v>
      </c>
      <c r="C199" s="2">
        <f>IFERROR(__xludf.DUMMYFUNCTION("""COMPUTED_VALUE"""),167.33)</f>
        <v>167.33</v>
      </c>
    </row>
    <row r="200" ht="15.75" customHeight="1">
      <c r="B200" s="3">
        <f>IFERROR(__xludf.DUMMYFUNCTION("""COMPUTED_VALUE"""),40424.645833333336)</f>
        <v>40424.64583</v>
      </c>
      <c r="C200" s="2">
        <f>IFERROR(__xludf.DUMMYFUNCTION("""COMPUTED_VALUE"""),165.42)</f>
        <v>165.42</v>
      </c>
    </row>
    <row r="201" ht="15.75" customHeight="1">
      <c r="B201" s="3">
        <f>IFERROR(__xludf.DUMMYFUNCTION("""COMPUTED_VALUE"""),40430.645833333336)</f>
        <v>40430.64583</v>
      </c>
      <c r="C201" s="2">
        <f>IFERROR(__xludf.DUMMYFUNCTION("""COMPUTED_VALUE"""),169.58)</f>
        <v>169.58</v>
      </c>
    </row>
    <row r="202" ht="15.75" customHeight="1">
      <c r="B202" s="3">
        <f>IFERROR(__xludf.DUMMYFUNCTION("""COMPUTED_VALUE"""),40438.645833333336)</f>
        <v>40438.64583</v>
      </c>
      <c r="C202" s="2">
        <f>IFERROR(__xludf.DUMMYFUNCTION("""COMPUTED_VALUE"""),174.58)</f>
        <v>174.58</v>
      </c>
    </row>
    <row r="203" ht="15.75" customHeight="1">
      <c r="B203" s="3">
        <f>IFERROR(__xludf.DUMMYFUNCTION("""COMPUTED_VALUE"""),40445.645833333336)</f>
        <v>40445.64583</v>
      </c>
      <c r="C203" s="2">
        <f>IFERROR(__xludf.DUMMYFUNCTION("""COMPUTED_VALUE"""),175.58)</f>
        <v>175.58</v>
      </c>
    </row>
    <row r="204" ht="15.75" customHeight="1">
      <c r="B204" s="3">
        <f>IFERROR(__xludf.DUMMYFUNCTION("""COMPUTED_VALUE"""),40452.645833333336)</f>
        <v>40452.64583</v>
      </c>
      <c r="C204" s="2">
        <f>IFERROR(__xludf.DUMMYFUNCTION("""COMPUTED_VALUE"""),184.33)</f>
        <v>184.33</v>
      </c>
    </row>
    <row r="205" ht="15.75" customHeight="1">
      <c r="B205" s="3">
        <f>IFERROR(__xludf.DUMMYFUNCTION("""COMPUTED_VALUE"""),40459.645833333336)</f>
        <v>40459.64583</v>
      </c>
      <c r="C205" s="2">
        <f>IFERROR(__xludf.DUMMYFUNCTION("""COMPUTED_VALUE"""),185.25)</f>
        <v>185.25</v>
      </c>
    </row>
    <row r="206" ht="15.75" customHeight="1">
      <c r="B206" s="3">
        <f>IFERROR(__xludf.DUMMYFUNCTION("""COMPUTED_VALUE"""),40466.645833333336)</f>
        <v>40466.64583</v>
      </c>
      <c r="C206" s="2">
        <f>IFERROR(__xludf.DUMMYFUNCTION("""COMPUTED_VALUE"""),180.42)</f>
        <v>180.42</v>
      </c>
    </row>
    <row r="207" ht="15.75" customHeight="1">
      <c r="B207" s="3">
        <f>IFERROR(__xludf.DUMMYFUNCTION("""COMPUTED_VALUE"""),40473.645833333336)</f>
        <v>40473.64583</v>
      </c>
      <c r="C207" s="2">
        <f>IFERROR(__xludf.DUMMYFUNCTION("""COMPUTED_VALUE"""),173.33)</f>
        <v>173.33</v>
      </c>
    </row>
    <row r="208" ht="15.75" customHeight="1">
      <c r="B208" s="3">
        <f>IFERROR(__xludf.DUMMYFUNCTION("""COMPUTED_VALUE"""),40480.645833333336)</f>
        <v>40480.64583</v>
      </c>
      <c r="C208" s="2">
        <f>IFERROR(__xludf.DUMMYFUNCTION("""COMPUTED_VALUE"""),174.17)</f>
        <v>174.17</v>
      </c>
    </row>
    <row r="209" ht="15.75" customHeight="1">
      <c r="B209" s="3">
        <f>IFERROR(__xludf.DUMMYFUNCTION("""COMPUTED_VALUE"""),40487.645833333336)</f>
        <v>40487.64583</v>
      </c>
      <c r="C209" s="2">
        <f>IFERROR(__xludf.DUMMYFUNCTION("""COMPUTED_VALUE"""),165.08)</f>
        <v>165.08</v>
      </c>
    </row>
    <row r="210" ht="15.75" customHeight="1">
      <c r="B210" s="3">
        <f>IFERROR(__xludf.DUMMYFUNCTION("""COMPUTED_VALUE"""),40494.645833333336)</f>
        <v>40494.64583</v>
      </c>
      <c r="C210" s="2">
        <f>IFERROR(__xludf.DUMMYFUNCTION("""COMPUTED_VALUE"""),164.08)</f>
        <v>164.08</v>
      </c>
    </row>
    <row r="211" ht="15.75" customHeight="1">
      <c r="B211" s="3">
        <f>IFERROR(__xludf.DUMMYFUNCTION("""COMPUTED_VALUE"""),40501.645833333336)</f>
        <v>40501.64583</v>
      </c>
      <c r="C211" s="2">
        <f>IFERROR(__xludf.DUMMYFUNCTION("""COMPUTED_VALUE"""),160.75)</f>
        <v>160.75</v>
      </c>
    </row>
    <row r="212" ht="15.75" customHeight="1">
      <c r="B212" s="3">
        <f>IFERROR(__xludf.DUMMYFUNCTION("""COMPUTED_VALUE"""),40508.645833333336)</f>
        <v>40508.64583</v>
      </c>
      <c r="C212" s="2">
        <f>IFERROR(__xludf.DUMMYFUNCTION("""COMPUTED_VALUE"""),155.25)</f>
        <v>155.25</v>
      </c>
    </row>
    <row r="213" ht="15.75" customHeight="1">
      <c r="B213" s="3">
        <f>IFERROR(__xludf.DUMMYFUNCTION("""COMPUTED_VALUE"""),40515.645833333336)</f>
        <v>40515.64583</v>
      </c>
      <c r="C213" s="2">
        <f>IFERROR(__xludf.DUMMYFUNCTION("""COMPUTED_VALUE"""),156.67)</f>
        <v>156.67</v>
      </c>
    </row>
    <row r="214" ht="15.75" customHeight="1">
      <c r="B214" s="3">
        <f>IFERROR(__xludf.DUMMYFUNCTION("""COMPUTED_VALUE"""),40522.645833333336)</f>
        <v>40522.64583</v>
      </c>
      <c r="C214" s="2">
        <f>IFERROR(__xludf.DUMMYFUNCTION("""COMPUTED_VALUE"""),162.29)</f>
        <v>162.29</v>
      </c>
    </row>
    <row r="215" ht="15.75" customHeight="1">
      <c r="B215" s="3">
        <f>IFERROR(__xludf.DUMMYFUNCTION("""COMPUTED_VALUE"""),40528.645833333336)</f>
        <v>40528.64583</v>
      </c>
      <c r="C215" s="2">
        <f>IFERROR(__xludf.DUMMYFUNCTION("""COMPUTED_VALUE"""),166.83)</f>
        <v>166.83</v>
      </c>
    </row>
    <row r="216" ht="15.75" customHeight="1">
      <c r="B216" s="3">
        <f>IFERROR(__xludf.DUMMYFUNCTION("""COMPUTED_VALUE"""),40536.645833333336)</f>
        <v>40536.64583</v>
      </c>
      <c r="C216" s="2">
        <f>IFERROR(__xludf.DUMMYFUNCTION("""COMPUTED_VALUE"""),165.83)</f>
        <v>165.83</v>
      </c>
    </row>
    <row r="217" ht="15.75" customHeight="1">
      <c r="B217" s="3">
        <f>IFERROR(__xludf.DUMMYFUNCTION("""COMPUTED_VALUE"""),40543.645833333336)</f>
        <v>40543.64583</v>
      </c>
      <c r="C217" s="2">
        <f>IFERROR(__xludf.DUMMYFUNCTION("""COMPUTED_VALUE"""),169.83)</f>
        <v>169.83</v>
      </c>
    </row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IFERROR(__xludf.DUMMYFUNCTION("GOOGLEFINANCE(""NSE:NTPC"", ""high"",DATE(2011,1,1),DATE(2012,1,1),""weekly"")"),"Date")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IFERROR(__xludf.DUMMYFUNCTION("""COMPUTED_VALUE"""),40550.645833333336)</f>
        <v>40550.64583</v>
      </c>
      <c r="C222" s="2">
        <f>IFERROR(__xludf.DUMMYFUNCTION("""COMPUTED_VALUE"""),169.33)</f>
        <v>169.33</v>
      </c>
    </row>
    <row r="223" ht="15.75" customHeight="1">
      <c r="B223" s="3">
        <f>IFERROR(__xludf.DUMMYFUNCTION("""COMPUTED_VALUE"""),40557.645833333336)</f>
        <v>40557.64583</v>
      </c>
      <c r="C223" s="2">
        <f>IFERROR(__xludf.DUMMYFUNCTION("""COMPUTED_VALUE"""),164.88)</f>
        <v>164.88</v>
      </c>
    </row>
    <row r="224" ht="15.75" customHeight="1">
      <c r="B224" s="3">
        <f>IFERROR(__xludf.DUMMYFUNCTION("""COMPUTED_VALUE"""),40564.645833333336)</f>
        <v>40564.64583</v>
      </c>
      <c r="C224" s="2">
        <f>IFERROR(__xludf.DUMMYFUNCTION("""COMPUTED_VALUE"""),159.38)</f>
        <v>159.38</v>
      </c>
    </row>
    <row r="225" ht="15.75" customHeight="1">
      <c r="B225" s="3">
        <f>IFERROR(__xludf.DUMMYFUNCTION("""COMPUTED_VALUE"""),40571.645833333336)</f>
        <v>40571.64583</v>
      </c>
      <c r="C225" s="2">
        <f>IFERROR(__xludf.DUMMYFUNCTION("""COMPUTED_VALUE"""),164.83)</f>
        <v>164.83</v>
      </c>
    </row>
    <row r="226" ht="15.75" customHeight="1">
      <c r="B226" s="3">
        <f>IFERROR(__xludf.DUMMYFUNCTION("""COMPUTED_VALUE"""),40578.645833333336)</f>
        <v>40578.64583</v>
      </c>
      <c r="C226" s="2">
        <f>IFERROR(__xludf.DUMMYFUNCTION("""COMPUTED_VALUE"""),159.54)</f>
        <v>159.54</v>
      </c>
    </row>
    <row r="227" ht="15.75" customHeight="1">
      <c r="B227" s="3">
        <f>IFERROR(__xludf.DUMMYFUNCTION("""COMPUTED_VALUE"""),40585.645833333336)</f>
        <v>40585.64583</v>
      </c>
      <c r="C227" s="2">
        <f>IFERROR(__xludf.DUMMYFUNCTION("""COMPUTED_VALUE"""),151.63)</f>
        <v>151.63</v>
      </c>
    </row>
    <row r="228" ht="15.75" customHeight="1">
      <c r="B228" s="3">
        <f>IFERROR(__xludf.DUMMYFUNCTION("""COMPUTED_VALUE"""),40592.645833333336)</f>
        <v>40592.64583</v>
      </c>
      <c r="C228" s="2">
        <f>IFERROR(__xludf.DUMMYFUNCTION("""COMPUTED_VALUE"""),151.88)</f>
        <v>151.88</v>
      </c>
    </row>
    <row r="229" ht="15.75" customHeight="1">
      <c r="B229" s="3">
        <f>IFERROR(__xludf.DUMMYFUNCTION("""COMPUTED_VALUE"""),40599.645833333336)</f>
        <v>40599.64583</v>
      </c>
      <c r="C229" s="2">
        <f>IFERROR(__xludf.DUMMYFUNCTION("""COMPUTED_VALUE"""),148.63)</f>
        <v>148.63</v>
      </c>
    </row>
    <row r="230" ht="15.75" customHeight="1">
      <c r="B230" s="3">
        <f>IFERROR(__xludf.DUMMYFUNCTION("""COMPUTED_VALUE"""),40606.645833333336)</f>
        <v>40606.64583</v>
      </c>
      <c r="C230" s="2">
        <f>IFERROR(__xludf.DUMMYFUNCTION("""COMPUTED_VALUE"""),153.08)</f>
        <v>153.08</v>
      </c>
    </row>
    <row r="231" ht="15.75" customHeight="1">
      <c r="B231" s="3">
        <f>IFERROR(__xludf.DUMMYFUNCTION("""COMPUTED_VALUE"""),40613.645833333336)</f>
        <v>40613.64583</v>
      </c>
      <c r="C231" s="2">
        <f>IFERROR(__xludf.DUMMYFUNCTION("""COMPUTED_VALUE"""),151.33)</f>
        <v>151.33</v>
      </c>
    </row>
    <row r="232" ht="15.75" customHeight="1">
      <c r="B232" s="3">
        <f>IFERROR(__xludf.DUMMYFUNCTION("""COMPUTED_VALUE"""),40620.645833333336)</f>
        <v>40620.64583</v>
      </c>
      <c r="C232" s="2">
        <f>IFERROR(__xludf.DUMMYFUNCTION("""COMPUTED_VALUE"""),148.92)</f>
        <v>148.92</v>
      </c>
    </row>
    <row r="233" ht="15.75" customHeight="1">
      <c r="B233" s="3">
        <f>IFERROR(__xludf.DUMMYFUNCTION("""COMPUTED_VALUE"""),40627.645833333336)</f>
        <v>40627.64583</v>
      </c>
      <c r="C233" s="2">
        <f>IFERROR(__xludf.DUMMYFUNCTION("""COMPUTED_VALUE"""),153.17)</f>
        <v>153.17</v>
      </c>
    </row>
    <row r="234" ht="15.75" customHeight="1">
      <c r="B234" s="3">
        <f>IFERROR(__xludf.DUMMYFUNCTION("""COMPUTED_VALUE"""),40634.645833333336)</f>
        <v>40634.64583</v>
      </c>
      <c r="C234" s="2">
        <f>IFERROR(__xludf.DUMMYFUNCTION("""COMPUTED_VALUE"""),162.5)</f>
        <v>162.5</v>
      </c>
    </row>
    <row r="235" ht="15.75" customHeight="1">
      <c r="B235" s="3">
        <f>IFERROR(__xludf.DUMMYFUNCTION("""COMPUTED_VALUE"""),40641.645833333336)</f>
        <v>40641.64583</v>
      </c>
      <c r="C235" s="2">
        <f>IFERROR(__xludf.DUMMYFUNCTION("""COMPUTED_VALUE"""),160.63)</f>
        <v>160.63</v>
      </c>
    </row>
    <row r="236" ht="15.75" customHeight="1">
      <c r="B236" s="3">
        <f>IFERROR(__xludf.DUMMYFUNCTION("""COMPUTED_VALUE"""),40648.645833333336)</f>
        <v>40648.64583</v>
      </c>
      <c r="C236" s="2">
        <f>IFERROR(__xludf.DUMMYFUNCTION("""COMPUTED_VALUE"""),157.04)</f>
        <v>157.04</v>
      </c>
    </row>
    <row r="237" ht="15.75" customHeight="1">
      <c r="B237" s="3">
        <f>IFERROR(__xludf.DUMMYFUNCTION("""COMPUTED_VALUE"""),40654.645833333336)</f>
        <v>40654.64583</v>
      </c>
      <c r="C237" s="2">
        <f>IFERROR(__xludf.DUMMYFUNCTION("""COMPUTED_VALUE"""),157.08)</f>
        <v>157.08</v>
      </c>
    </row>
    <row r="238" ht="15.75" customHeight="1">
      <c r="B238" s="3">
        <f>IFERROR(__xludf.DUMMYFUNCTION("""COMPUTED_VALUE"""),40662.645833333336)</f>
        <v>40662.64583</v>
      </c>
      <c r="C238" s="2">
        <f>IFERROR(__xludf.DUMMYFUNCTION("""COMPUTED_VALUE"""),156.83)</f>
        <v>156.83</v>
      </c>
    </row>
    <row r="239" ht="15.75" customHeight="1">
      <c r="B239" s="3">
        <f>IFERROR(__xludf.DUMMYFUNCTION("""COMPUTED_VALUE"""),40669.645833333336)</f>
        <v>40669.64583</v>
      </c>
      <c r="C239" s="2">
        <f>IFERROR(__xludf.DUMMYFUNCTION("""COMPUTED_VALUE"""),152.79)</f>
        <v>152.79</v>
      </c>
    </row>
    <row r="240" ht="15.75" customHeight="1">
      <c r="B240" s="3">
        <f>IFERROR(__xludf.DUMMYFUNCTION("""COMPUTED_VALUE"""),40676.645833333336)</f>
        <v>40676.64583</v>
      </c>
      <c r="C240" s="2">
        <f>IFERROR(__xludf.DUMMYFUNCTION("""COMPUTED_VALUE"""),152.42)</f>
        <v>152.42</v>
      </c>
    </row>
    <row r="241" ht="15.75" customHeight="1">
      <c r="B241" s="3">
        <f>IFERROR(__xludf.DUMMYFUNCTION("""COMPUTED_VALUE"""),40683.645833333336)</f>
        <v>40683.64583</v>
      </c>
      <c r="C241" s="2">
        <f>IFERROR(__xludf.DUMMYFUNCTION("""COMPUTED_VALUE"""),146.92)</f>
        <v>146.92</v>
      </c>
    </row>
    <row r="242" ht="15.75" customHeight="1">
      <c r="B242" s="3">
        <f>IFERROR(__xludf.DUMMYFUNCTION("""COMPUTED_VALUE"""),40690.645833333336)</f>
        <v>40690.64583</v>
      </c>
      <c r="C242" s="2">
        <f>IFERROR(__xludf.DUMMYFUNCTION("""COMPUTED_VALUE"""),144.13)</f>
        <v>144.13</v>
      </c>
    </row>
    <row r="243" ht="15.75" customHeight="1">
      <c r="B243" s="3">
        <f>IFERROR(__xludf.DUMMYFUNCTION("""COMPUTED_VALUE"""),40697.645833333336)</f>
        <v>40697.64583</v>
      </c>
      <c r="C243" s="2">
        <f>IFERROR(__xludf.DUMMYFUNCTION("""COMPUTED_VALUE"""),148.33)</f>
        <v>148.33</v>
      </c>
    </row>
    <row r="244" ht="15.75" customHeight="1">
      <c r="B244" s="3">
        <f>IFERROR(__xludf.DUMMYFUNCTION("""COMPUTED_VALUE"""),40704.645833333336)</f>
        <v>40704.64583</v>
      </c>
      <c r="C244" s="2">
        <f>IFERROR(__xludf.DUMMYFUNCTION("""COMPUTED_VALUE"""),149.04)</f>
        <v>149.04</v>
      </c>
    </row>
    <row r="245" ht="15.75" customHeight="1">
      <c r="B245" s="3">
        <f>IFERROR(__xludf.DUMMYFUNCTION("""COMPUTED_VALUE"""),40711.645833333336)</f>
        <v>40711.64583</v>
      </c>
      <c r="C245" s="2">
        <f>IFERROR(__xludf.DUMMYFUNCTION("""COMPUTED_VALUE"""),151.5)</f>
        <v>151.5</v>
      </c>
    </row>
    <row r="246" ht="15.75" customHeight="1">
      <c r="B246" s="3">
        <f>IFERROR(__xludf.DUMMYFUNCTION("""COMPUTED_VALUE"""),40718.645833333336)</f>
        <v>40718.64583</v>
      </c>
      <c r="C246" s="2">
        <f>IFERROR(__xludf.DUMMYFUNCTION("""COMPUTED_VALUE"""),155.38)</f>
        <v>155.38</v>
      </c>
    </row>
    <row r="247" ht="15.75" customHeight="1">
      <c r="B247" s="3">
        <f>IFERROR(__xludf.DUMMYFUNCTION("""COMPUTED_VALUE"""),40725.645833333336)</f>
        <v>40725.64583</v>
      </c>
      <c r="C247" s="2">
        <f>IFERROR(__xludf.DUMMYFUNCTION("""COMPUTED_VALUE"""),157.5)</f>
        <v>157.5</v>
      </c>
    </row>
    <row r="248" ht="15.75" customHeight="1">
      <c r="B248" s="3">
        <f>IFERROR(__xludf.DUMMYFUNCTION("""COMPUTED_VALUE"""),40732.645833333336)</f>
        <v>40732.64583</v>
      </c>
      <c r="C248" s="2">
        <f>IFERROR(__xludf.DUMMYFUNCTION("""COMPUTED_VALUE"""),160.38)</f>
        <v>160.38</v>
      </c>
    </row>
    <row r="249" ht="15.75" customHeight="1">
      <c r="B249" s="3">
        <f>IFERROR(__xludf.DUMMYFUNCTION("""COMPUTED_VALUE"""),40739.645833333336)</f>
        <v>40739.64583</v>
      </c>
      <c r="C249" s="2">
        <f>IFERROR(__xludf.DUMMYFUNCTION("""COMPUTED_VALUE"""),160.0)</f>
        <v>160</v>
      </c>
    </row>
    <row r="250" ht="15.75" customHeight="1">
      <c r="B250" s="3">
        <f>IFERROR(__xludf.DUMMYFUNCTION("""COMPUTED_VALUE"""),40746.645833333336)</f>
        <v>40746.64583</v>
      </c>
      <c r="C250" s="2">
        <f>IFERROR(__xludf.DUMMYFUNCTION("""COMPUTED_VALUE"""),158.67)</f>
        <v>158.67</v>
      </c>
    </row>
    <row r="251" ht="15.75" customHeight="1">
      <c r="B251" s="3">
        <f>IFERROR(__xludf.DUMMYFUNCTION("""COMPUTED_VALUE"""),40753.645833333336)</f>
        <v>40753.64583</v>
      </c>
      <c r="C251" s="2">
        <f>IFERROR(__xludf.DUMMYFUNCTION("""COMPUTED_VALUE"""),154.63)</f>
        <v>154.63</v>
      </c>
    </row>
    <row r="252" ht="15.75" customHeight="1">
      <c r="B252" s="3">
        <f>IFERROR(__xludf.DUMMYFUNCTION("""COMPUTED_VALUE"""),40760.645833333336)</f>
        <v>40760.64583</v>
      </c>
      <c r="C252" s="2">
        <f>IFERROR(__xludf.DUMMYFUNCTION("""COMPUTED_VALUE"""),151.58)</f>
        <v>151.58</v>
      </c>
    </row>
    <row r="253" ht="15.75" customHeight="1">
      <c r="B253" s="3">
        <f>IFERROR(__xludf.DUMMYFUNCTION("""COMPUTED_VALUE"""),40767.645833333336)</f>
        <v>40767.64583</v>
      </c>
      <c r="C253" s="2">
        <f>IFERROR(__xludf.DUMMYFUNCTION("""COMPUTED_VALUE"""),149.5)</f>
        <v>149.5</v>
      </c>
    </row>
    <row r="254" ht="15.75" customHeight="1">
      <c r="B254" s="3">
        <f>IFERROR(__xludf.DUMMYFUNCTION("""COMPUTED_VALUE"""),40774.645833333336)</f>
        <v>40774.64583</v>
      </c>
      <c r="C254" s="2">
        <f>IFERROR(__xludf.DUMMYFUNCTION("""COMPUTED_VALUE"""),148.75)</f>
        <v>148.75</v>
      </c>
    </row>
    <row r="255" ht="15.75" customHeight="1">
      <c r="B255" s="3">
        <f>IFERROR(__xludf.DUMMYFUNCTION("""COMPUTED_VALUE"""),40781.645833333336)</f>
        <v>40781.64583</v>
      </c>
      <c r="C255" s="2">
        <f>IFERROR(__xludf.DUMMYFUNCTION("""COMPUTED_VALUE"""),147.42)</f>
        <v>147.42</v>
      </c>
    </row>
    <row r="256" ht="15.75" customHeight="1">
      <c r="B256" s="3">
        <f>IFERROR(__xludf.DUMMYFUNCTION("""COMPUTED_VALUE"""),40788.645833333336)</f>
        <v>40788.64583</v>
      </c>
      <c r="C256" s="2">
        <f>IFERROR(__xludf.DUMMYFUNCTION("""COMPUTED_VALUE"""),145.67)</f>
        <v>145.67</v>
      </c>
    </row>
    <row r="257" ht="15.75" customHeight="1">
      <c r="B257" s="3">
        <f>IFERROR(__xludf.DUMMYFUNCTION("""COMPUTED_VALUE"""),40795.645833333336)</f>
        <v>40795.64583</v>
      </c>
      <c r="C257" s="2">
        <f>IFERROR(__xludf.DUMMYFUNCTION("""COMPUTED_VALUE"""),140.29)</f>
        <v>140.29</v>
      </c>
    </row>
    <row r="258" ht="15.75" customHeight="1">
      <c r="B258" s="3">
        <f>IFERROR(__xludf.DUMMYFUNCTION("""COMPUTED_VALUE"""),40802.645833333336)</f>
        <v>40802.64583</v>
      </c>
      <c r="C258" s="2">
        <f>IFERROR(__xludf.DUMMYFUNCTION("""COMPUTED_VALUE"""),144.63)</f>
        <v>144.63</v>
      </c>
    </row>
    <row r="259" ht="15.75" customHeight="1">
      <c r="B259" s="3">
        <f>IFERROR(__xludf.DUMMYFUNCTION("""COMPUTED_VALUE"""),40809.645833333336)</f>
        <v>40809.64583</v>
      </c>
      <c r="C259" s="2">
        <f>IFERROR(__xludf.DUMMYFUNCTION("""COMPUTED_VALUE"""),145.29)</f>
        <v>145.29</v>
      </c>
    </row>
    <row r="260" ht="15.75" customHeight="1">
      <c r="B260" s="3">
        <f>IFERROR(__xludf.DUMMYFUNCTION("""COMPUTED_VALUE"""),40816.645833333336)</f>
        <v>40816.64583</v>
      </c>
      <c r="C260" s="2">
        <f>IFERROR(__xludf.DUMMYFUNCTION("""COMPUTED_VALUE"""),141.92)</f>
        <v>141.92</v>
      </c>
    </row>
    <row r="261" ht="15.75" customHeight="1">
      <c r="B261" s="3">
        <f>IFERROR(__xludf.DUMMYFUNCTION("""COMPUTED_VALUE"""),40823.645833333336)</f>
        <v>40823.64583</v>
      </c>
      <c r="C261" s="2">
        <f>IFERROR(__xludf.DUMMYFUNCTION("""COMPUTED_VALUE"""),141.0)</f>
        <v>141</v>
      </c>
    </row>
    <row r="262" ht="15.75" customHeight="1">
      <c r="B262" s="3">
        <f>IFERROR(__xludf.DUMMYFUNCTION("""COMPUTED_VALUE"""),40830.645833333336)</f>
        <v>40830.64583</v>
      </c>
      <c r="C262" s="2">
        <f>IFERROR(__xludf.DUMMYFUNCTION("""COMPUTED_VALUE"""),148.83)</f>
        <v>148.83</v>
      </c>
    </row>
    <row r="263" ht="15.75" customHeight="1">
      <c r="B263" s="3">
        <f>IFERROR(__xludf.DUMMYFUNCTION("""COMPUTED_VALUE"""),40837.645833333336)</f>
        <v>40837.64583</v>
      </c>
      <c r="C263" s="2">
        <f>IFERROR(__xludf.DUMMYFUNCTION("""COMPUTED_VALUE"""),144.33)</f>
        <v>144.33</v>
      </c>
    </row>
    <row r="264" ht="15.75" customHeight="1">
      <c r="B264" s="3">
        <f>IFERROR(__xludf.DUMMYFUNCTION("""COMPUTED_VALUE"""),40844.645833333336)</f>
        <v>40844.64583</v>
      </c>
      <c r="C264" s="2">
        <f>IFERROR(__xludf.DUMMYFUNCTION("""COMPUTED_VALUE"""),152.5)</f>
        <v>152.5</v>
      </c>
    </row>
    <row r="265" ht="15.75" customHeight="1">
      <c r="B265" s="3">
        <f>IFERROR(__xludf.DUMMYFUNCTION("""COMPUTED_VALUE"""),40851.645833333336)</f>
        <v>40851.64583</v>
      </c>
      <c r="C265" s="2">
        <f>IFERROR(__xludf.DUMMYFUNCTION("""COMPUTED_VALUE"""),152.83)</f>
        <v>152.83</v>
      </c>
    </row>
    <row r="266" ht="15.75" customHeight="1">
      <c r="B266" s="3">
        <f>IFERROR(__xludf.DUMMYFUNCTION("""COMPUTED_VALUE"""),40858.645833333336)</f>
        <v>40858.64583</v>
      </c>
      <c r="C266" s="2">
        <f>IFERROR(__xludf.DUMMYFUNCTION("""COMPUTED_VALUE"""),150.33)</f>
        <v>150.33</v>
      </c>
    </row>
    <row r="267" ht="15.75" customHeight="1">
      <c r="B267" s="3">
        <f>IFERROR(__xludf.DUMMYFUNCTION("""COMPUTED_VALUE"""),40865.645833333336)</f>
        <v>40865.64583</v>
      </c>
      <c r="C267" s="2">
        <f>IFERROR(__xludf.DUMMYFUNCTION("""COMPUTED_VALUE"""),147.04)</f>
        <v>147.04</v>
      </c>
    </row>
    <row r="268" ht="15.75" customHeight="1">
      <c r="B268" s="3">
        <f>IFERROR(__xludf.DUMMYFUNCTION("""COMPUTED_VALUE"""),40872.645833333336)</f>
        <v>40872.64583</v>
      </c>
      <c r="C268" s="2">
        <f>IFERROR(__xludf.DUMMYFUNCTION("""COMPUTED_VALUE"""),135.67)</f>
        <v>135.67</v>
      </c>
    </row>
    <row r="269" ht="15.75" customHeight="1">
      <c r="B269" s="3">
        <f>IFERROR(__xludf.DUMMYFUNCTION("""COMPUTED_VALUE"""),40879.645833333336)</f>
        <v>40879.64583</v>
      </c>
      <c r="C269" s="2">
        <f>IFERROR(__xludf.DUMMYFUNCTION("""COMPUTED_VALUE"""),145.38)</f>
        <v>145.38</v>
      </c>
    </row>
    <row r="270" ht="15.75" customHeight="1">
      <c r="B270" s="3">
        <f>IFERROR(__xludf.DUMMYFUNCTION("""COMPUTED_VALUE"""),40886.645833333336)</f>
        <v>40886.64583</v>
      </c>
      <c r="C270" s="2">
        <f>IFERROR(__xludf.DUMMYFUNCTION("""COMPUTED_VALUE"""),147.88)</f>
        <v>147.88</v>
      </c>
    </row>
    <row r="271" ht="15.75" customHeight="1">
      <c r="B271" s="3">
        <f>IFERROR(__xludf.DUMMYFUNCTION("""COMPUTED_VALUE"""),40893.645833333336)</f>
        <v>40893.64583</v>
      </c>
      <c r="C271" s="2">
        <f>IFERROR(__xludf.DUMMYFUNCTION("""COMPUTED_VALUE"""),141.88)</f>
        <v>141.88</v>
      </c>
    </row>
    <row r="272" ht="15.75" customHeight="1">
      <c r="B272" s="3">
        <f>IFERROR(__xludf.DUMMYFUNCTION("""COMPUTED_VALUE"""),40900.645833333336)</f>
        <v>40900.64583</v>
      </c>
      <c r="C272" s="2">
        <f>IFERROR(__xludf.DUMMYFUNCTION("""COMPUTED_VALUE"""),137.92)</f>
        <v>137.92</v>
      </c>
    </row>
    <row r="273" ht="15.75" customHeight="1">
      <c r="B273" s="3">
        <f>IFERROR(__xludf.DUMMYFUNCTION("""COMPUTED_VALUE"""),40907.645833333336)</f>
        <v>40907.64583</v>
      </c>
      <c r="C273" s="2">
        <f>IFERROR(__xludf.DUMMYFUNCTION("""COMPUTED_VALUE"""),135.38)</f>
        <v>135.38</v>
      </c>
    </row>
    <row r="274" ht="15.75" customHeight="1"/>
    <row r="275" ht="15.75" customHeight="1"/>
    <row r="276" ht="15.75" customHeight="1">
      <c r="B276" s="2" t="str">
        <f>IFERROR(__xludf.DUMMYFUNCTION("GOOGLEFINANCE(""NSE:NTPC"", ""high"",DATE(2012,1,1),DATE(2013,1,1),""weekly"")"),"Date")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IFERROR(__xludf.DUMMYFUNCTION("""COMPUTED_VALUE"""),40921.645833333336)</f>
        <v>40921.64583</v>
      </c>
      <c r="C277" s="2">
        <f>IFERROR(__xludf.DUMMYFUNCTION("""COMPUTED_VALUE"""),139.04)</f>
        <v>139.04</v>
      </c>
    </row>
    <row r="278" ht="15.75" customHeight="1">
      <c r="B278" s="3">
        <f>IFERROR(__xludf.DUMMYFUNCTION("""COMPUTED_VALUE"""),40928.645833333336)</f>
        <v>40928.64583</v>
      </c>
      <c r="C278" s="2">
        <f>IFERROR(__xludf.DUMMYFUNCTION("""COMPUTED_VALUE"""),146.5)</f>
        <v>146.5</v>
      </c>
    </row>
    <row r="279" ht="15.75" customHeight="1">
      <c r="B279" s="3">
        <f>IFERROR(__xludf.DUMMYFUNCTION("""COMPUTED_VALUE"""),40935.645833333336)</f>
        <v>40935.64583</v>
      </c>
      <c r="C279" s="2">
        <f>IFERROR(__xludf.DUMMYFUNCTION("""COMPUTED_VALUE"""),149.08)</f>
        <v>149.08</v>
      </c>
    </row>
    <row r="280" ht="15.75" customHeight="1">
      <c r="B280" s="3">
        <f>IFERROR(__xludf.DUMMYFUNCTION("""COMPUTED_VALUE"""),40942.645833333336)</f>
        <v>40942.64583</v>
      </c>
      <c r="C280" s="2">
        <f>IFERROR(__xludf.DUMMYFUNCTION("""COMPUTED_VALUE"""),147.83)</f>
        <v>147.83</v>
      </c>
    </row>
    <row r="281" ht="15.75" customHeight="1">
      <c r="B281" s="3">
        <f>IFERROR(__xludf.DUMMYFUNCTION("""COMPUTED_VALUE"""),40949.645833333336)</f>
        <v>40949.64583</v>
      </c>
      <c r="C281" s="2">
        <f>IFERROR(__xludf.DUMMYFUNCTION("""COMPUTED_VALUE"""),151.21)</f>
        <v>151.21</v>
      </c>
    </row>
    <row r="282" ht="15.75" customHeight="1">
      <c r="B282" s="3">
        <f>IFERROR(__xludf.DUMMYFUNCTION("""COMPUTED_VALUE"""),40956.645833333336)</f>
        <v>40956.64583</v>
      </c>
      <c r="C282" s="2">
        <f>IFERROR(__xludf.DUMMYFUNCTION("""COMPUTED_VALUE"""),158.96)</f>
        <v>158.96</v>
      </c>
    </row>
    <row r="283" ht="15.75" customHeight="1">
      <c r="B283" s="3">
        <f>IFERROR(__xludf.DUMMYFUNCTION("""COMPUTED_VALUE"""),40963.645833333336)</f>
        <v>40963.64583</v>
      </c>
      <c r="C283" s="2">
        <f>IFERROR(__xludf.DUMMYFUNCTION("""COMPUTED_VALUE"""),158.25)</f>
        <v>158.25</v>
      </c>
    </row>
    <row r="284" ht="15.75" customHeight="1">
      <c r="B284" s="3">
        <f>IFERROR(__xludf.DUMMYFUNCTION("""COMPUTED_VALUE"""),40977.645833333336)</f>
        <v>40977.64583</v>
      </c>
      <c r="C284" s="2">
        <f>IFERROR(__xludf.DUMMYFUNCTION("""COMPUTED_VALUE"""),149.79)</f>
        <v>149.79</v>
      </c>
    </row>
    <row r="285" ht="15.75" customHeight="1">
      <c r="B285" s="3">
        <f>IFERROR(__xludf.DUMMYFUNCTION("""COMPUTED_VALUE"""),40984.645833333336)</f>
        <v>40984.64583</v>
      </c>
      <c r="C285" s="2">
        <f>IFERROR(__xludf.DUMMYFUNCTION("""COMPUTED_VALUE"""),151.08)</f>
        <v>151.08</v>
      </c>
    </row>
    <row r="286" ht="15.75" customHeight="1">
      <c r="B286" s="3">
        <f>IFERROR(__xludf.DUMMYFUNCTION("""COMPUTED_VALUE"""),40991.645833333336)</f>
        <v>40991.64583</v>
      </c>
      <c r="C286" s="2">
        <f>IFERROR(__xludf.DUMMYFUNCTION("""COMPUTED_VALUE"""),147.33)</f>
        <v>147.33</v>
      </c>
    </row>
    <row r="287" ht="15.75" customHeight="1">
      <c r="B287" s="3">
        <f>IFERROR(__xludf.DUMMYFUNCTION("""COMPUTED_VALUE"""),40998.645833333336)</f>
        <v>40998.64583</v>
      </c>
      <c r="C287" s="2">
        <f>IFERROR(__xludf.DUMMYFUNCTION("""COMPUTED_VALUE"""),143.54)</f>
        <v>143.54</v>
      </c>
    </row>
    <row r="288" ht="15.75" customHeight="1">
      <c r="B288" s="3">
        <f>IFERROR(__xludf.DUMMYFUNCTION("""COMPUTED_VALUE"""),41003.645833333336)</f>
        <v>41003.64583</v>
      </c>
      <c r="C288" s="2">
        <f>IFERROR(__xludf.DUMMYFUNCTION("""COMPUTED_VALUE"""),141.04)</f>
        <v>141.04</v>
      </c>
    </row>
    <row r="289" ht="15.75" customHeight="1">
      <c r="B289" s="3">
        <f>IFERROR(__xludf.DUMMYFUNCTION("""COMPUTED_VALUE"""),41012.645833333336)</f>
        <v>41012.64583</v>
      </c>
      <c r="C289" s="2">
        <f>IFERROR(__xludf.DUMMYFUNCTION("""COMPUTED_VALUE"""),140.83)</f>
        <v>140.83</v>
      </c>
    </row>
    <row r="290" ht="15.75" customHeight="1">
      <c r="B290" s="3">
        <f>IFERROR(__xludf.DUMMYFUNCTION("""COMPUTED_VALUE"""),41019.645833333336)</f>
        <v>41019.64583</v>
      </c>
      <c r="C290" s="2">
        <f>IFERROR(__xludf.DUMMYFUNCTION("""COMPUTED_VALUE"""),141.46)</f>
        <v>141.46</v>
      </c>
    </row>
    <row r="291" ht="15.75" customHeight="1">
      <c r="B291" s="3">
        <f>IFERROR(__xludf.DUMMYFUNCTION("""COMPUTED_VALUE"""),41033.645833333336)</f>
        <v>41033.64583</v>
      </c>
      <c r="C291" s="2">
        <f>IFERROR(__xludf.DUMMYFUNCTION("""COMPUTED_VALUE"""),136.96)</f>
        <v>136.96</v>
      </c>
    </row>
    <row r="292" ht="15.75" customHeight="1">
      <c r="B292" s="3">
        <f>IFERROR(__xludf.DUMMYFUNCTION("""COMPUTED_VALUE"""),41040.645833333336)</f>
        <v>41040.64583</v>
      </c>
      <c r="C292" s="2">
        <f>IFERROR(__xludf.DUMMYFUNCTION("""COMPUTED_VALUE"""),131.38)</f>
        <v>131.38</v>
      </c>
    </row>
    <row r="293" ht="15.75" customHeight="1">
      <c r="B293" s="3">
        <f>IFERROR(__xludf.DUMMYFUNCTION("""COMPUTED_VALUE"""),41047.645833333336)</f>
        <v>41047.64583</v>
      </c>
      <c r="C293" s="2">
        <f>IFERROR(__xludf.DUMMYFUNCTION("""COMPUTED_VALUE"""),125.08)</f>
        <v>125.08</v>
      </c>
    </row>
    <row r="294" ht="15.75" customHeight="1">
      <c r="B294" s="3">
        <f>IFERROR(__xludf.DUMMYFUNCTION("""COMPUTED_VALUE"""),41054.645833333336)</f>
        <v>41054.64583</v>
      </c>
      <c r="C294" s="2">
        <f>IFERROR(__xludf.DUMMYFUNCTION("""COMPUTED_VALUE"""),121.67)</f>
        <v>121.67</v>
      </c>
    </row>
    <row r="295" ht="15.75" customHeight="1">
      <c r="B295" s="3">
        <f>IFERROR(__xludf.DUMMYFUNCTION("""COMPUTED_VALUE"""),41061.645833333336)</f>
        <v>41061.64583</v>
      </c>
      <c r="C295" s="2">
        <f>IFERROR(__xludf.DUMMYFUNCTION("""COMPUTED_VALUE"""),123.33)</f>
        <v>123.33</v>
      </c>
    </row>
    <row r="296" ht="15.75" customHeight="1">
      <c r="B296" s="3">
        <f>IFERROR(__xludf.DUMMYFUNCTION("""COMPUTED_VALUE"""),41068.645833333336)</f>
        <v>41068.64583</v>
      </c>
      <c r="C296" s="2">
        <f>IFERROR(__xludf.DUMMYFUNCTION("""COMPUTED_VALUE"""),131.08)</f>
        <v>131.08</v>
      </c>
    </row>
    <row r="297" ht="15.75" customHeight="1">
      <c r="B297" s="3">
        <f>IFERROR(__xludf.DUMMYFUNCTION("""COMPUTED_VALUE"""),41075.645833333336)</f>
        <v>41075.64583</v>
      </c>
      <c r="C297" s="2">
        <f>IFERROR(__xludf.DUMMYFUNCTION("""COMPUTED_VALUE"""),132.33)</f>
        <v>132.33</v>
      </c>
    </row>
    <row r="298" ht="15.75" customHeight="1">
      <c r="B298" s="3">
        <f>IFERROR(__xludf.DUMMYFUNCTION("""COMPUTED_VALUE"""),41082.645833333336)</f>
        <v>41082.64583</v>
      </c>
      <c r="C298" s="2">
        <f>IFERROR(__xludf.DUMMYFUNCTION("""COMPUTED_VALUE"""),127.79)</f>
        <v>127.79</v>
      </c>
    </row>
    <row r="299" ht="15.75" customHeight="1">
      <c r="B299" s="3">
        <f>IFERROR(__xludf.DUMMYFUNCTION("""COMPUTED_VALUE"""),41089.645833333336)</f>
        <v>41089.64583</v>
      </c>
      <c r="C299" s="2">
        <f>IFERROR(__xludf.DUMMYFUNCTION("""COMPUTED_VALUE"""),133.67)</f>
        <v>133.67</v>
      </c>
    </row>
    <row r="300" ht="15.75" customHeight="1">
      <c r="B300" s="3">
        <f>IFERROR(__xludf.DUMMYFUNCTION("""COMPUTED_VALUE"""),41096.645833333336)</f>
        <v>41096.64583</v>
      </c>
      <c r="C300" s="2">
        <f>IFERROR(__xludf.DUMMYFUNCTION("""COMPUTED_VALUE"""),135.5)</f>
        <v>135.5</v>
      </c>
    </row>
    <row r="301" ht="15.75" customHeight="1">
      <c r="B301" s="3">
        <f>IFERROR(__xludf.DUMMYFUNCTION("""COMPUTED_VALUE"""),41103.645833333336)</f>
        <v>41103.64583</v>
      </c>
      <c r="C301" s="2">
        <f>IFERROR(__xludf.DUMMYFUNCTION("""COMPUTED_VALUE"""),134.75)</f>
        <v>134.75</v>
      </c>
    </row>
    <row r="302" ht="15.75" customHeight="1">
      <c r="B302" s="3">
        <f>IFERROR(__xludf.DUMMYFUNCTION("""COMPUTED_VALUE"""),41110.645833333336)</f>
        <v>41110.64583</v>
      </c>
      <c r="C302" s="2">
        <f>IFERROR(__xludf.DUMMYFUNCTION("""COMPUTED_VALUE"""),134.0)</f>
        <v>134</v>
      </c>
    </row>
    <row r="303" ht="15.75" customHeight="1">
      <c r="B303" s="3">
        <f>IFERROR(__xludf.DUMMYFUNCTION("""COMPUTED_VALUE"""),41117.645833333336)</f>
        <v>41117.64583</v>
      </c>
      <c r="C303" s="2">
        <f>IFERROR(__xludf.DUMMYFUNCTION("""COMPUTED_VALUE"""),129.92)</f>
        <v>129.92</v>
      </c>
    </row>
    <row r="304" ht="15.75" customHeight="1">
      <c r="B304" s="3">
        <f>IFERROR(__xludf.DUMMYFUNCTION("""COMPUTED_VALUE"""),41124.645833333336)</f>
        <v>41124.64583</v>
      </c>
      <c r="C304" s="2">
        <f>IFERROR(__xludf.DUMMYFUNCTION("""COMPUTED_VALUE"""),140.33)</f>
        <v>140.33</v>
      </c>
    </row>
    <row r="305" ht="15.75" customHeight="1">
      <c r="B305" s="3">
        <f>IFERROR(__xludf.DUMMYFUNCTION("""COMPUTED_VALUE"""),41131.645833333336)</f>
        <v>41131.64583</v>
      </c>
      <c r="C305" s="2">
        <f>IFERROR(__xludf.DUMMYFUNCTION("""COMPUTED_VALUE"""),143.75)</f>
        <v>143.75</v>
      </c>
    </row>
    <row r="306" ht="15.75" customHeight="1">
      <c r="B306" s="3">
        <f>IFERROR(__xludf.DUMMYFUNCTION("""COMPUTED_VALUE"""),41138.645833333336)</f>
        <v>41138.64583</v>
      </c>
      <c r="C306" s="2">
        <f>IFERROR(__xludf.DUMMYFUNCTION("""COMPUTED_VALUE"""),144.13)</f>
        <v>144.13</v>
      </c>
    </row>
    <row r="307" ht="15.75" customHeight="1">
      <c r="B307" s="3">
        <f>IFERROR(__xludf.DUMMYFUNCTION("""COMPUTED_VALUE"""),41145.645833333336)</f>
        <v>41145.64583</v>
      </c>
      <c r="C307" s="2">
        <f>IFERROR(__xludf.DUMMYFUNCTION("""COMPUTED_VALUE"""),145.67)</f>
        <v>145.67</v>
      </c>
    </row>
    <row r="308" ht="15.75" customHeight="1">
      <c r="B308" s="3">
        <f>IFERROR(__xludf.DUMMYFUNCTION("""COMPUTED_VALUE"""),41152.645833333336)</f>
        <v>41152.64583</v>
      </c>
      <c r="C308" s="2">
        <f>IFERROR(__xludf.DUMMYFUNCTION("""COMPUTED_VALUE"""),144.38)</f>
        <v>144.38</v>
      </c>
    </row>
    <row r="309" ht="15.75" customHeight="1">
      <c r="B309" s="3">
        <f>IFERROR(__xludf.DUMMYFUNCTION("""COMPUTED_VALUE"""),41166.645833333336)</f>
        <v>41166.64583</v>
      </c>
      <c r="C309" s="2">
        <f>IFERROR(__xludf.DUMMYFUNCTION("""COMPUTED_VALUE"""),146.25)</f>
        <v>146.25</v>
      </c>
    </row>
    <row r="310" ht="15.75" customHeight="1">
      <c r="B310" s="3">
        <f>IFERROR(__xludf.DUMMYFUNCTION("""COMPUTED_VALUE"""),41173.645833333336)</f>
        <v>41173.64583</v>
      </c>
      <c r="C310" s="2">
        <f>IFERROR(__xludf.DUMMYFUNCTION("""COMPUTED_VALUE"""),142.25)</f>
        <v>142.25</v>
      </c>
    </row>
    <row r="311" ht="15.75" customHeight="1">
      <c r="B311" s="3">
        <f>IFERROR(__xludf.DUMMYFUNCTION("""COMPUTED_VALUE"""),41180.645833333336)</f>
        <v>41180.64583</v>
      </c>
      <c r="C311" s="2">
        <f>IFERROR(__xludf.DUMMYFUNCTION("""COMPUTED_VALUE"""),142.42)</f>
        <v>142.42</v>
      </c>
    </row>
    <row r="312" ht="15.75" customHeight="1">
      <c r="B312" s="3">
        <f>IFERROR(__xludf.DUMMYFUNCTION("""COMPUTED_VALUE"""),41187.645833333336)</f>
        <v>41187.64583</v>
      </c>
      <c r="C312" s="2">
        <f>IFERROR(__xludf.DUMMYFUNCTION("""COMPUTED_VALUE"""),144.08)</f>
        <v>144.08</v>
      </c>
    </row>
    <row r="313" ht="15.75" customHeight="1">
      <c r="B313" s="3">
        <f>IFERROR(__xludf.DUMMYFUNCTION("""COMPUTED_VALUE"""),41194.645833333336)</f>
        <v>41194.64583</v>
      </c>
      <c r="C313" s="2">
        <f>IFERROR(__xludf.DUMMYFUNCTION("""COMPUTED_VALUE"""),145.08)</f>
        <v>145.08</v>
      </c>
    </row>
    <row r="314" ht="15.75" customHeight="1">
      <c r="B314" s="3">
        <f>IFERROR(__xludf.DUMMYFUNCTION("""COMPUTED_VALUE"""),41201.645833333336)</f>
        <v>41201.64583</v>
      </c>
      <c r="C314" s="2">
        <f>IFERROR(__xludf.DUMMYFUNCTION("""COMPUTED_VALUE"""),141.63)</f>
        <v>141.63</v>
      </c>
    </row>
    <row r="315" ht="15.75" customHeight="1">
      <c r="B315" s="3">
        <f>IFERROR(__xludf.DUMMYFUNCTION("""COMPUTED_VALUE"""),41208.645833333336)</f>
        <v>41208.64583</v>
      </c>
      <c r="C315" s="2">
        <f>IFERROR(__xludf.DUMMYFUNCTION("""COMPUTED_VALUE"""),143.33)</f>
        <v>143.33</v>
      </c>
    </row>
    <row r="316" ht="15.75" customHeight="1">
      <c r="B316" s="3">
        <f>IFERROR(__xludf.DUMMYFUNCTION("""COMPUTED_VALUE"""),41215.645833333336)</f>
        <v>41215.64583</v>
      </c>
      <c r="C316" s="2">
        <f>IFERROR(__xludf.DUMMYFUNCTION("""COMPUTED_VALUE"""),141.63)</f>
        <v>141.63</v>
      </c>
    </row>
    <row r="317" ht="15.75" customHeight="1">
      <c r="B317" s="3">
        <f>IFERROR(__xludf.DUMMYFUNCTION("""COMPUTED_VALUE"""),41222.645833333336)</f>
        <v>41222.64583</v>
      </c>
      <c r="C317" s="2">
        <f>IFERROR(__xludf.DUMMYFUNCTION("""COMPUTED_VALUE"""),142.38)</f>
        <v>142.38</v>
      </c>
    </row>
    <row r="318" ht="15.75" customHeight="1">
      <c r="B318" s="3">
        <f>IFERROR(__xludf.DUMMYFUNCTION("""COMPUTED_VALUE"""),41229.645833333336)</f>
        <v>41229.64583</v>
      </c>
      <c r="C318" s="2">
        <f>IFERROR(__xludf.DUMMYFUNCTION("""COMPUTED_VALUE"""),140.25)</f>
        <v>140.25</v>
      </c>
    </row>
    <row r="319" ht="15.75" customHeight="1">
      <c r="B319" s="3">
        <f>IFERROR(__xludf.DUMMYFUNCTION("""COMPUTED_VALUE"""),41236.645833333336)</f>
        <v>41236.64583</v>
      </c>
      <c r="C319" s="2">
        <f>IFERROR(__xludf.DUMMYFUNCTION("""COMPUTED_VALUE"""),141.17)</f>
        <v>141.17</v>
      </c>
    </row>
    <row r="320" ht="15.75" customHeight="1">
      <c r="B320" s="3">
        <f>IFERROR(__xludf.DUMMYFUNCTION("""COMPUTED_VALUE"""),41243.645833333336)</f>
        <v>41243.64583</v>
      </c>
      <c r="C320" s="2">
        <f>IFERROR(__xludf.DUMMYFUNCTION("""COMPUTED_VALUE"""),135.83)</f>
        <v>135.83</v>
      </c>
    </row>
    <row r="321" ht="15.75" customHeight="1">
      <c r="B321" s="3">
        <f>IFERROR(__xludf.DUMMYFUNCTION("""COMPUTED_VALUE"""),41250.645833333336)</f>
        <v>41250.64583</v>
      </c>
      <c r="C321" s="2">
        <f>IFERROR(__xludf.DUMMYFUNCTION("""COMPUTED_VALUE"""),135.42)</f>
        <v>135.42</v>
      </c>
    </row>
    <row r="322" ht="15.75" customHeight="1">
      <c r="B322" s="3">
        <f>IFERROR(__xludf.DUMMYFUNCTION("""COMPUTED_VALUE"""),41257.645833333336)</f>
        <v>41257.64583</v>
      </c>
      <c r="C322" s="2">
        <f>IFERROR(__xludf.DUMMYFUNCTION("""COMPUTED_VALUE"""),133.33)</f>
        <v>133.33</v>
      </c>
    </row>
    <row r="323" ht="15.75" customHeight="1">
      <c r="B323" s="3">
        <f>IFERROR(__xludf.DUMMYFUNCTION("""COMPUTED_VALUE"""),41264.645833333336)</f>
        <v>41264.64583</v>
      </c>
      <c r="C323" s="2">
        <f>IFERROR(__xludf.DUMMYFUNCTION("""COMPUTED_VALUE"""),130.42)</f>
        <v>130.42</v>
      </c>
    </row>
    <row r="324" ht="15.75" customHeight="1">
      <c r="B324" s="3">
        <f>IFERROR(__xludf.DUMMYFUNCTION("""COMPUTED_VALUE"""),41271.645833333336)</f>
        <v>41271.64583</v>
      </c>
      <c r="C324" s="2">
        <f>IFERROR(__xludf.DUMMYFUNCTION("""COMPUTED_VALUE"""),131.63)</f>
        <v>131.63</v>
      </c>
    </row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IFERROR(__xludf.DUMMYFUNCTION("GOOGLEFINANCE(""NSE:NTPC"", ""high"",DATE(2013,1,1),DATE(2014,1,1),""weekly"")"),"Date")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IFERROR(__xludf.DUMMYFUNCTION("""COMPUTED_VALUE"""),41278.645833333336)</f>
        <v>41278.64583</v>
      </c>
      <c r="C332" s="2">
        <f>IFERROR(__xludf.DUMMYFUNCTION("""COMPUTED_VALUE"""),132.83)</f>
        <v>132.83</v>
      </c>
    </row>
    <row r="333" ht="15.75" customHeight="1">
      <c r="B333" s="3">
        <f>IFERROR(__xludf.DUMMYFUNCTION("""COMPUTED_VALUE"""),41285.645833333336)</f>
        <v>41285.64583</v>
      </c>
      <c r="C333" s="2">
        <f>IFERROR(__xludf.DUMMYFUNCTION("""COMPUTED_VALUE"""),132.71)</f>
        <v>132.71</v>
      </c>
    </row>
    <row r="334" ht="15.75" customHeight="1">
      <c r="B334" s="3">
        <f>IFERROR(__xludf.DUMMYFUNCTION("""COMPUTED_VALUE"""),41292.645833333336)</f>
        <v>41292.64583</v>
      </c>
      <c r="C334" s="2">
        <f>IFERROR(__xludf.DUMMYFUNCTION("""COMPUTED_VALUE"""),137.5)</f>
        <v>137.5</v>
      </c>
    </row>
    <row r="335" ht="15.75" customHeight="1">
      <c r="B335" s="3">
        <f>IFERROR(__xludf.DUMMYFUNCTION("""COMPUTED_VALUE"""),41299.645833333336)</f>
        <v>41299.64583</v>
      </c>
      <c r="C335" s="2">
        <f>IFERROR(__xludf.DUMMYFUNCTION("""COMPUTED_VALUE"""),139.58)</f>
        <v>139.58</v>
      </c>
    </row>
    <row r="336" ht="15.75" customHeight="1">
      <c r="B336" s="3">
        <f>IFERROR(__xludf.DUMMYFUNCTION("""COMPUTED_VALUE"""),41306.645833333336)</f>
        <v>41306.64583</v>
      </c>
      <c r="C336" s="2">
        <f>IFERROR(__xludf.DUMMYFUNCTION("""COMPUTED_VALUE"""),133.71)</f>
        <v>133.71</v>
      </c>
    </row>
    <row r="337" ht="15.75" customHeight="1">
      <c r="B337" s="3">
        <f>IFERROR(__xludf.DUMMYFUNCTION("""COMPUTED_VALUE"""),41313.645833333336)</f>
        <v>41313.64583</v>
      </c>
      <c r="C337" s="2">
        <f>IFERROR(__xludf.DUMMYFUNCTION("""COMPUTED_VALUE"""),131.63)</f>
        <v>131.63</v>
      </c>
    </row>
    <row r="338" ht="15.75" customHeight="1">
      <c r="B338" s="3">
        <f>IFERROR(__xludf.DUMMYFUNCTION("""COMPUTED_VALUE"""),41320.645833333336)</f>
        <v>41320.64583</v>
      </c>
      <c r="C338" s="2">
        <f>IFERROR(__xludf.DUMMYFUNCTION("""COMPUTED_VALUE"""),126.17)</f>
        <v>126.17</v>
      </c>
    </row>
    <row r="339" ht="15.75" customHeight="1">
      <c r="B339" s="3">
        <f>IFERROR(__xludf.DUMMYFUNCTION("""COMPUTED_VALUE"""),41327.645833333336)</f>
        <v>41327.64583</v>
      </c>
      <c r="C339" s="2">
        <f>IFERROR(__xludf.DUMMYFUNCTION("""COMPUTED_VALUE"""),128.54)</f>
        <v>128.54</v>
      </c>
    </row>
    <row r="340" ht="15.75" customHeight="1">
      <c r="B340" s="3">
        <f>IFERROR(__xludf.DUMMYFUNCTION("""COMPUTED_VALUE"""),41334.645833333336)</f>
        <v>41334.64583</v>
      </c>
      <c r="C340" s="2">
        <f>IFERROR(__xludf.DUMMYFUNCTION("""COMPUTED_VALUE"""),130.17)</f>
        <v>130.17</v>
      </c>
    </row>
    <row r="341" ht="15.75" customHeight="1">
      <c r="B341" s="3">
        <f>IFERROR(__xludf.DUMMYFUNCTION("""COMPUTED_VALUE"""),41341.645833333336)</f>
        <v>41341.64583</v>
      </c>
      <c r="C341" s="2">
        <f>IFERROR(__xludf.DUMMYFUNCTION("""COMPUTED_VALUE"""),125.75)</f>
        <v>125.75</v>
      </c>
    </row>
    <row r="342" ht="15.75" customHeight="1">
      <c r="B342" s="3">
        <f>IFERROR(__xludf.DUMMYFUNCTION("""COMPUTED_VALUE"""),41348.645833333336)</f>
        <v>41348.64583</v>
      </c>
      <c r="C342" s="2">
        <f>IFERROR(__xludf.DUMMYFUNCTION("""COMPUTED_VALUE"""),125.63)</f>
        <v>125.63</v>
      </c>
    </row>
    <row r="343" ht="15.75" customHeight="1">
      <c r="B343" s="3">
        <f>IFERROR(__xludf.DUMMYFUNCTION("""COMPUTED_VALUE"""),41355.645833333336)</f>
        <v>41355.64583</v>
      </c>
      <c r="C343" s="2">
        <f>IFERROR(__xludf.DUMMYFUNCTION("""COMPUTED_VALUE"""),122.58)</f>
        <v>122.58</v>
      </c>
    </row>
    <row r="344" ht="15.75" customHeight="1">
      <c r="B344" s="3">
        <f>IFERROR(__xludf.DUMMYFUNCTION("""COMPUTED_VALUE"""),41361.645833333336)</f>
        <v>41361.64583</v>
      </c>
      <c r="C344" s="2">
        <f>IFERROR(__xludf.DUMMYFUNCTION("""COMPUTED_VALUE"""),120.67)</f>
        <v>120.67</v>
      </c>
    </row>
    <row r="345" ht="15.75" customHeight="1">
      <c r="B345" s="3">
        <f>IFERROR(__xludf.DUMMYFUNCTION("""COMPUTED_VALUE"""),41369.645833333336)</f>
        <v>41369.64583</v>
      </c>
      <c r="C345" s="2">
        <f>IFERROR(__xludf.DUMMYFUNCTION("""COMPUTED_VALUE"""),122.46)</f>
        <v>122.46</v>
      </c>
    </row>
    <row r="346" ht="15.75" customHeight="1">
      <c r="B346" s="3">
        <f>IFERROR(__xludf.DUMMYFUNCTION("""COMPUTED_VALUE"""),41376.645833333336)</f>
        <v>41376.64583</v>
      </c>
      <c r="C346" s="2">
        <f>IFERROR(__xludf.DUMMYFUNCTION("""COMPUTED_VALUE"""),119.38)</f>
        <v>119.38</v>
      </c>
    </row>
    <row r="347" ht="15.75" customHeight="1">
      <c r="B347" s="3">
        <f>IFERROR(__xludf.DUMMYFUNCTION("""COMPUTED_VALUE"""),41382.645833333336)</f>
        <v>41382.64583</v>
      </c>
      <c r="C347" s="2">
        <f>IFERROR(__xludf.DUMMYFUNCTION("""COMPUTED_VALUE"""),122.04)</f>
        <v>122.04</v>
      </c>
    </row>
    <row r="348" ht="15.75" customHeight="1">
      <c r="B348" s="3">
        <f>IFERROR(__xludf.DUMMYFUNCTION("""COMPUTED_VALUE"""),41390.645833333336)</f>
        <v>41390.64583</v>
      </c>
      <c r="C348" s="2">
        <f>IFERROR(__xludf.DUMMYFUNCTION("""COMPUTED_VALUE"""),131.42)</f>
        <v>131.42</v>
      </c>
    </row>
    <row r="349" ht="15.75" customHeight="1">
      <c r="B349" s="3">
        <f>IFERROR(__xludf.DUMMYFUNCTION("""COMPUTED_VALUE"""),41397.645833333336)</f>
        <v>41397.64583</v>
      </c>
      <c r="C349" s="2">
        <f>IFERROR(__xludf.DUMMYFUNCTION("""COMPUTED_VALUE"""),135.75)</f>
        <v>135.75</v>
      </c>
    </row>
    <row r="350" ht="15.75" customHeight="1">
      <c r="B350" s="3">
        <f>IFERROR(__xludf.DUMMYFUNCTION("""COMPUTED_VALUE"""),41411.645833333336)</f>
        <v>41411.64583</v>
      </c>
      <c r="C350" s="2">
        <f>IFERROR(__xludf.DUMMYFUNCTION("""COMPUTED_VALUE"""),134.17)</f>
        <v>134.17</v>
      </c>
    </row>
    <row r="351" ht="15.75" customHeight="1">
      <c r="B351" s="3">
        <f>IFERROR(__xludf.DUMMYFUNCTION("""COMPUTED_VALUE"""),41418.645833333336)</f>
        <v>41418.64583</v>
      </c>
      <c r="C351" s="2">
        <f>IFERROR(__xludf.DUMMYFUNCTION("""COMPUTED_VALUE"""),134.13)</f>
        <v>134.13</v>
      </c>
    </row>
    <row r="352" ht="15.75" customHeight="1">
      <c r="B352" s="3">
        <f>IFERROR(__xludf.DUMMYFUNCTION("""COMPUTED_VALUE"""),41425.645833333336)</f>
        <v>41425.64583</v>
      </c>
      <c r="C352" s="2">
        <f>IFERROR(__xludf.DUMMYFUNCTION("""COMPUTED_VALUE"""),131.21)</f>
        <v>131.21</v>
      </c>
    </row>
    <row r="353" ht="15.75" customHeight="1">
      <c r="B353" s="3">
        <f>IFERROR(__xludf.DUMMYFUNCTION("""COMPUTED_VALUE"""),41432.645833333336)</f>
        <v>41432.64583</v>
      </c>
      <c r="C353" s="2">
        <f>IFERROR(__xludf.DUMMYFUNCTION("""COMPUTED_VALUE"""),129.67)</f>
        <v>129.67</v>
      </c>
    </row>
    <row r="354" ht="15.75" customHeight="1">
      <c r="B354" s="3">
        <f>IFERROR(__xludf.DUMMYFUNCTION("""COMPUTED_VALUE"""),41439.645833333336)</f>
        <v>41439.64583</v>
      </c>
      <c r="C354" s="2">
        <f>IFERROR(__xludf.DUMMYFUNCTION("""COMPUTED_VALUE"""),127.0)</f>
        <v>127</v>
      </c>
    </row>
    <row r="355" ht="15.75" customHeight="1">
      <c r="B355" s="3">
        <f>IFERROR(__xludf.DUMMYFUNCTION("""COMPUTED_VALUE"""),41446.645833333336)</f>
        <v>41446.64583</v>
      </c>
      <c r="C355" s="2">
        <f>IFERROR(__xludf.DUMMYFUNCTION("""COMPUTED_VALUE"""),126.58)</f>
        <v>126.58</v>
      </c>
    </row>
    <row r="356" ht="15.75" customHeight="1">
      <c r="B356" s="3">
        <f>IFERROR(__xludf.DUMMYFUNCTION("""COMPUTED_VALUE"""),41453.645833333336)</f>
        <v>41453.64583</v>
      </c>
      <c r="C356" s="2">
        <f>IFERROR(__xludf.DUMMYFUNCTION("""COMPUTED_VALUE"""),121.38)</f>
        <v>121.38</v>
      </c>
    </row>
    <row r="357" ht="15.75" customHeight="1">
      <c r="B357" s="3">
        <f>IFERROR(__xludf.DUMMYFUNCTION("""COMPUTED_VALUE"""),41460.645833333336)</f>
        <v>41460.64583</v>
      </c>
      <c r="C357" s="2">
        <f>IFERROR(__xludf.DUMMYFUNCTION("""COMPUTED_VALUE"""),123.88)</f>
        <v>123.88</v>
      </c>
    </row>
    <row r="358" ht="15.75" customHeight="1">
      <c r="B358" s="3">
        <f>IFERROR(__xludf.DUMMYFUNCTION("""COMPUTED_VALUE"""),41467.645833333336)</f>
        <v>41467.64583</v>
      </c>
      <c r="C358" s="2">
        <f>IFERROR(__xludf.DUMMYFUNCTION("""COMPUTED_VALUE"""),122.25)</f>
        <v>122.25</v>
      </c>
    </row>
    <row r="359" ht="15.75" customHeight="1">
      <c r="B359" s="3">
        <f>IFERROR(__xludf.DUMMYFUNCTION("""COMPUTED_VALUE"""),41474.645833333336)</f>
        <v>41474.64583</v>
      </c>
      <c r="C359" s="2">
        <f>IFERROR(__xludf.DUMMYFUNCTION("""COMPUTED_VALUE"""),124.17)</f>
        <v>124.17</v>
      </c>
    </row>
    <row r="360" ht="15.75" customHeight="1">
      <c r="B360" s="3">
        <f>IFERROR(__xludf.DUMMYFUNCTION("""COMPUTED_VALUE"""),41481.645833333336)</f>
        <v>41481.64583</v>
      </c>
      <c r="C360" s="2">
        <f>IFERROR(__xludf.DUMMYFUNCTION("""COMPUTED_VALUE"""),120.58)</f>
        <v>120.58</v>
      </c>
    </row>
    <row r="361" ht="15.75" customHeight="1">
      <c r="B361" s="3">
        <f>IFERROR(__xludf.DUMMYFUNCTION("""COMPUTED_VALUE"""),41488.645833333336)</f>
        <v>41488.64583</v>
      </c>
      <c r="C361" s="2">
        <f>IFERROR(__xludf.DUMMYFUNCTION("""COMPUTED_VALUE"""),119.08)</f>
        <v>119.08</v>
      </c>
    </row>
    <row r="362" ht="15.75" customHeight="1">
      <c r="B362" s="3">
        <f>IFERROR(__xludf.DUMMYFUNCTION("""COMPUTED_VALUE"""),41494.645833333336)</f>
        <v>41494.64583</v>
      </c>
      <c r="C362" s="2">
        <f>IFERROR(__xludf.DUMMYFUNCTION("""COMPUTED_VALUE"""),116.17)</f>
        <v>116.17</v>
      </c>
    </row>
    <row r="363" ht="15.75" customHeight="1">
      <c r="B363" s="3">
        <f>IFERROR(__xludf.DUMMYFUNCTION("""COMPUTED_VALUE"""),41502.645833333336)</f>
        <v>41502.64583</v>
      </c>
      <c r="C363" s="2">
        <f>IFERROR(__xludf.DUMMYFUNCTION("""COMPUTED_VALUE"""),121.54)</f>
        <v>121.54</v>
      </c>
    </row>
    <row r="364" ht="15.75" customHeight="1">
      <c r="B364" s="3">
        <f>IFERROR(__xludf.DUMMYFUNCTION("""COMPUTED_VALUE"""),41509.645833333336)</f>
        <v>41509.64583</v>
      </c>
      <c r="C364" s="2">
        <f>IFERROR(__xludf.DUMMYFUNCTION("""COMPUTED_VALUE"""),116.67)</f>
        <v>116.67</v>
      </c>
    </row>
    <row r="365" ht="15.75" customHeight="1">
      <c r="B365" s="3">
        <f>IFERROR(__xludf.DUMMYFUNCTION("""COMPUTED_VALUE"""),41516.645833333336)</f>
        <v>41516.64583</v>
      </c>
      <c r="C365" s="2">
        <f>IFERROR(__xludf.DUMMYFUNCTION("""COMPUTED_VALUE"""),111.25)</f>
        <v>111.25</v>
      </c>
    </row>
    <row r="366" ht="15.75" customHeight="1">
      <c r="B366" s="3">
        <f>IFERROR(__xludf.DUMMYFUNCTION("""COMPUTED_VALUE"""),41523.645833333336)</f>
        <v>41523.64583</v>
      </c>
      <c r="C366" s="2">
        <f>IFERROR(__xludf.DUMMYFUNCTION("""COMPUTED_VALUE"""),112.42)</f>
        <v>112.42</v>
      </c>
    </row>
    <row r="367" ht="15.75" customHeight="1">
      <c r="B367" s="3">
        <f>IFERROR(__xludf.DUMMYFUNCTION("""COMPUTED_VALUE"""),41530.645833333336)</f>
        <v>41530.64583</v>
      </c>
      <c r="C367" s="2">
        <f>IFERROR(__xludf.DUMMYFUNCTION("""COMPUTED_VALUE"""),117.92)</f>
        <v>117.92</v>
      </c>
    </row>
    <row r="368" ht="15.75" customHeight="1">
      <c r="B368" s="3">
        <f>IFERROR(__xludf.DUMMYFUNCTION("""COMPUTED_VALUE"""),41537.645833333336)</f>
        <v>41537.64583</v>
      </c>
      <c r="C368" s="2">
        <f>IFERROR(__xludf.DUMMYFUNCTION("""COMPUTED_VALUE"""),126.33)</f>
        <v>126.33</v>
      </c>
    </row>
    <row r="369" ht="15.75" customHeight="1">
      <c r="B369" s="3">
        <f>IFERROR(__xludf.DUMMYFUNCTION("""COMPUTED_VALUE"""),41544.645833333336)</f>
        <v>41544.64583</v>
      </c>
      <c r="C369" s="2">
        <f>IFERROR(__xludf.DUMMYFUNCTION("""COMPUTED_VALUE"""),125.0)</f>
        <v>125</v>
      </c>
    </row>
    <row r="370" ht="15.75" customHeight="1">
      <c r="B370" s="3">
        <f>IFERROR(__xludf.DUMMYFUNCTION("""COMPUTED_VALUE"""),41551.645833333336)</f>
        <v>41551.64583</v>
      </c>
      <c r="C370" s="2">
        <f>IFERROR(__xludf.DUMMYFUNCTION("""COMPUTED_VALUE"""),124.79)</f>
        <v>124.79</v>
      </c>
    </row>
    <row r="371" ht="15.75" customHeight="1">
      <c r="B371" s="3">
        <f>IFERROR(__xludf.DUMMYFUNCTION("""COMPUTED_VALUE"""),41558.645833333336)</f>
        <v>41558.64583</v>
      </c>
      <c r="C371" s="2">
        <f>IFERROR(__xludf.DUMMYFUNCTION("""COMPUTED_VALUE"""),124.17)</f>
        <v>124.17</v>
      </c>
    </row>
    <row r="372" ht="15.75" customHeight="1">
      <c r="B372" s="3">
        <f>IFERROR(__xludf.DUMMYFUNCTION("""COMPUTED_VALUE"""),41565.645833333336)</f>
        <v>41565.64583</v>
      </c>
      <c r="C372" s="2">
        <f>IFERROR(__xludf.DUMMYFUNCTION("""COMPUTED_VALUE"""),122.75)</f>
        <v>122.75</v>
      </c>
    </row>
    <row r="373" ht="15.75" customHeight="1">
      <c r="B373" s="3">
        <f>IFERROR(__xludf.DUMMYFUNCTION("""COMPUTED_VALUE"""),41572.645833333336)</f>
        <v>41572.64583</v>
      </c>
      <c r="C373" s="2">
        <f>IFERROR(__xludf.DUMMYFUNCTION("""COMPUTED_VALUE"""),124.79)</f>
        <v>124.79</v>
      </c>
    </row>
    <row r="374" ht="15.75" customHeight="1">
      <c r="B374" s="3">
        <f>IFERROR(__xludf.DUMMYFUNCTION("""COMPUTED_VALUE"""),41579.645833333336)</f>
        <v>41579.64583</v>
      </c>
      <c r="C374" s="2">
        <f>IFERROR(__xludf.DUMMYFUNCTION("""COMPUTED_VALUE"""),124.96)</f>
        <v>124.96</v>
      </c>
    </row>
    <row r="375" ht="15.75" customHeight="1">
      <c r="B375" s="3">
        <f>IFERROR(__xludf.DUMMYFUNCTION("""COMPUTED_VALUE"""),41586.645833333336)</f>
        <v>41586.64583</v>
      </c>
      <c r="C375" s="2">
        <f>IFERROR(__xludf.DUMMYFUNCTION("""COMPUTED_VALUE"""),129.5)</f>
        <v>129.5</v>
      </c>
    </row>
    <row r="376" ht="15.75" customHeight="1">
      <c r="B376" s="3">
        <f>IFERROR(__xludf.DUMMYFUNCTION("""COMPUTED_VALUE"""),41592.645833333336)</f>
        <v>41592.64583</v>
      </c>
      <c r="C376" s="2">
        <f>IFERROR(__xludf.DUMMYFUNCTION("""COMPUTED_VALUE"""),128.92)</f>
        <v>128.92</v>
      </c>
    </row>
    <row r="377" ht="15.75" customHeight="1">
      <c r="B377" s="3">
        <f>IFERROR(__xludf.DUMMYFUNCTION("""COMPUTED_VALUE"""),41600.645833333336)</f>
        <v>41600.64583</v>
      </c>
      <c r="C377" s="2">
        <f>IFERROR(__xludf.DUMMYFUNCTION("""COMPUTED_VALUE"""),131.25)</f>
        <v>131.25</v>
      </c>
    </row>
    <row r="378" ht="15.75" customHeight="1">
      <c r="B378" s="3">
        <f>IFERROR(__xludf.DUMMYFUNCTION("""COMPUTED_VALUE"""),41607.645833333336)</f>
        <v>41607.64583</v>
      </c>
      <c r="C378" s="2">
        <f>IFERROR(__xludf.DUMMYFUNCTION("""COMPUTED_VALUE"""),126.67)</f>
        <v>126.67</v>
      </c>
    </row>
    <row r="379" ht="15.75" customHeight="1">
      <c r="B379" s="3">
        <f>IFERROR(__xludf.DUMMYFUNCTION("""COMPUTED_VALUE"""),41614.645833333336)</f>
        <v>41614.64583</v>
      </c>
      <c r="C379" s="2">
        <f>IFERROR(__xludf.DUMMYFUNCTION("""COMPUTED_VALUE"""),124.83)</f>
        <v>124.83</v>
      </c>
    </row>
    <row r="380" ht="15.75" customHeight="1">
      <c r="B380" s="3">
        <f>IFERROR(__xludf.DUMMYFUNCTION("""COMPUTED_VALUE"""),41621.645833333336)</f>
        <v>41621.64583</v>
      </c>
      <c r="C380" s="2">
        <f>IFERROR(__xludf.DUMMYFUNCTION("""COMPUTED_VALUE"""),129.21)</f>
        <v>129.21</v>
      </c>
    </row>
    <row r="381" ht="15.75" customHeight="1">
      <c r="B381" s="3">
        <f>IFERROR(__xludf.DUMMYFUNCTION("""COMPUTED_VALUE"""),41628.645833333336)</f>
        <v>41628.64583</v>
      </c>
      <c r="C381" s="2">
        <f>IFERROR(__xludf.DUMMYFUNCTION("""COMPUTED_VALUE"""),115.54)</f>
        <v>115.54</v>
      </c>
    </row>
    <row r="382" ht="15.75" customHeight="1">
      <c r="B382" s="3">
        <f>IFERROR(__xludf.DUMMYFUNCTION("""COMPUTED_VALUE"""),41635.645833333336)</f>
        <v>41635.64583</v>
      </c>
      <c r="C382" s="2">
        <f>IFERROR(__xludf.DUMMYFUNCTION("""COMPUTED_VALUE"""),116.58)</f>
        <v>116.58</v>
      </c>
    </row>
    <row r="383" ht="15.75" customHeight="1"/>
    <row r="384" ht="15.75" customHeight="1"/>
    <row r="385" ht="15.75" customHeight="1"/>
    <row r="386" ht="15.75" customHeight="1">
      <c r="B386" s="2" t="str">
        <f>IFERROR(__xludf.DUMMYFUNCTION("GOOGLEFINANCE(""NSE:NTPC"", ""high"",DATE(2014,1,1),DATE(2015,1,1),""weekly"")"),"Date")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IFERROR(__xludf.DUMMYFUNCTION("""COMPUTED_VALUE"""),41642.645833333336)</f>
        <v>41642.64583</v>
      </c>
      <c r="C387" s="2">
        <f>IFERROR(__xludf.DUMMYFUNCTION("""COMPUTED_VALUE"""),115.67)</f>
        <v>115.67</v>
      </c>
    </row>
    <row r="388" ht="15.75" customHeight="1">
      <c r="B388" s="3">
        <f>IFERROR(__xludf.DUMMYFUNCTION("""COMPUTED_VALUE"""),41649.645833333336)</f>
        <v>41649.64583</v>
      </c>
      <c r="C388" s="2">
        <f>IFERROR(__xludf.DUMMYFUNCTION("""COMPUTED_VALUE"""),111.67)</f>
        <v>111.67</v>
      </c>
    </row>
    <row r="389" ht="15.75" customHeight="1">
      <c r="B389" s="3">
        <f>IFERROR(__xludf.DUMMYFUNCTION("""COMPUTED_VALUE"""),41656.645833333336)</f>
        <v>41656.64583</v>
      </c>
      <c r="C389" s="2">
        <f>IFERROR(__xludf.DUMMYFUNCTION("""COMPUTED_VALUE"""),111.83)</f>
        <v>111.83</v>
      </c>
    </row>
    <row r="390" ht="15.75" customHeight="1">
      <c r="B390" s="3">
        <f>IFERROR(__xludf.DUMMYFUNCTION("""COMPUTED_VALUE"""),41663.645833333336)</f>
        <v>41663.64583</v>
      </c>
      <c r="C390" s="2">
        <f>IFERROR(__xludf.DUMMYFUNCTION("""COMPUTED_VALUE"""),111.25)</f>
        <v>111.25</v>
      </c>
    </row>
    <row r="391" ht="15.75" customHeight="1">
      <c r="B391" s="3">
        <f>IFERROR(__xludf.DUMMYFUNCTION("""COMPUTED_VALUE"""),41670.645833333336)</f>
        <v>41670.64583</v>
      </c>
      <c r="C391" s="2">
        <f>IFERROR(__xludf.DUMMYFUNCTION("""COMPUTED_VALUE"""),110.0)</f>
        <v>110</v>
      </c>
    </row>
    <row r="392" ht="15.75" customHeight="1">
      <c r="B392" s="3">
        <f>IFERROR(__xludf.DUMMYFUNCTION("""COMPUTED_VALUE"""),41677.645833333336)</f>
        <v>41677.64583</v>
      </c>
      <c r="C392" s="2">
        <f>IFERROR(__xludf.DUMMYFUNCTION("""COMPUTED_VALUE"""),113.42)</f>
        <v>113.42</v>
      </c>
    </row>
    <row r="393" ht="15.75" customHeight="1">
      <c r="B393" s="3">
        <f>IFERROR(__xludf.DUMMYFUNCTION("""COMPUTED_VALUE"""),41684.645833333336)</f>
        <v>41684.64583</v>
      </c>
      <c r="C393" s="2">
        <f>IFERROR(__xludf.DUMMYFUNCTION("""COMPUTED_VALUE"""),113.83)</f>
        <v>113.83</v>
      </c>
    </row>
    <row r="394" ht="15.75" customHeight="1">
      <c r="B394" s="3">
        <f>IFERROR(__xludf.DUMMYFUNCTION("""COMPUTED_VALUE"""),41691.645833333336)</f>
        <v>41691.64583</v>
      </c>
      <c r="C394" s="2">
        <f>IFERROR(__xludf.DUMMYFUNCTION("""COMPUTED_VALUE"""),112.13)</f>
        <v>112.13</v>
      </c>
    </row>
    <row r="395" ht="15.75" customHeight="1">
      <c r="B395" s="3">
        <f>IFERROR(__xludf.DUMMYFUNCTION("""COMPUTED_VALUE"""),41698.645833333336)</f>
        <v>41698.64583</v>
      </c>
      <c r="C395" s="2">
        <f>IFERROR(__xludf.DUMMYFUNCTION("""COMPUTED_VALUE"""),107.17)</f>
        <v>107.17</v>
      </c>
    </row>
    <row r="396" ht="15.75" customHeight="1">
      <c r="B396" s="3">
        <f>IFERROR(__xludf.DUMMYFUNCTION("""COMPUTED_VALUE"""),41705.645833333336)</f>
        <v>41705.64583</v>
      </c>
      <c r="C396" s="2">
        <f>IFERROR(__xludf.DUMMYFUNCTION("""COMPUTED_VALUE"""),97.75)</f>
        <v>97.75</v>
      </c>
    </row>
    <row r="397" ht="15.75" customHeight="1">
      <c r="B397" s="3">
        <f>IFERROR(__xludf.DUMMYFUNCTION("""COMPUTED_VALUE"""),41712.645833333336)</f>
        <v>41712.64583</v>
      </c>
      <c r="C397" s="2">
        <f>IFERROR(__xludf.DUMMYFUNCTION("""COMPUTED_VALUE"""),99.46)</f>
        <v>99.46</v>
      </c>
    </row>
    <row r="398" ht="15.75" customHeight="1">
      <c r="B398" s="3">
        <f>IFERROR(__xludf.DUMMYFUNCTION("""COMPUTED_VALUE"""),41726.645833333336)</f>
        <v>41726.64583</v>
      </c>
      <c r="C398" s="2">
        <f>IFERROR(__xludf.DUMMYFUNCTION("""COMPUTED_VALUE"""),101.67)</f>
        <v>101.67</v>
      </c>
    </row>
    <row r="399" ht="15.75" customHeight="1">
      <c r="B399" s="3">
        <f>IFERROR(__xludf.DUMMYFUNCTION("""COMPUTED_VALUE"""),41733.645833333336)</f>
        <v>41733.64583</v>
      </c>
      <c r="C399" s="2">
        <f>IFERROR(__xludf.DUMMYFUNCTION("""COMPUTED_VALUE"""),103.58)</f>
        <v>103.58</v>
      </c>
    </row>
    <row r="400" ht="15.75" customHeight="1">
      <c r="B400" s="3">
        <f>IFERROR(__xludf.DUMMYFUNCTION("""COMPUTED_VALUE"""),41740.645833333336)</f>
        <v>41740.64583</v>
      </c>
      <c r="C400" s="2">
        <f>IFERROR(__xludf.DUMMYFUNCTION("""COMPUTED_VALUE"""),104.33)</f>
        <v>104.33</v>
      </c>
    </row>
    <row r="401" ht="15.75" customHeight="1">
      <c r="B401" s="3">
        <f>IFERROR(__xludf.DUMMYFUNCTION("""COMPUTED_VALUE"""),41746.645833333336)</f>
        <v>41746.64583</v>
      </c>
      <c r="C401" s="2">
        <f>IFERROR(__xludf.DUMMYFUNCTION("""COMPUTED_VALUE"""),104.92)</f>
        <v>104.92</v>
      </c>
    </row>
    <row r="402" ht="15.75" customHeight="1">
      <c r="B402" s="3">
        <f>IFERROR(__xludf.DUMMYFUNCTION("""COMPUTED_VALUE"""),41754.645833333336)</f>
        <v>41754.64583</v>
      </c>
      <c r="C402" s="2">
        <f>IFERROR(__xludf.DUMMYFUNCTION("""COMPUTED_VALUE"""),104.13)</f>
        <v>104.13</v>
      </c>
    </row>
    <row r="403" ht="15.75" customHeight="1">
      <c r="B403" s="3">
        <f>IFERROR(__xludf.DUMMYFUNCTION("""COMPUTED_VALUE"""),41761.645833333336)</f>
        <v>41761.64583</v>
      </c>
      <c r="C403" s="2">
        <f>IFERROR(__xludf.DUMMYFUNCTION("""COMPUTED_VALUE"""),99.5)</f>
        <v>99.5</v>
      </c>
    </row>
    <row r="404" ht="15.75" customHeight="1">
      <c r="B404" s="3">
        <f>IFERROR(__xludf.DUMMYFUNCTION("""COMPUTED_VALUE"""),41768.645833333336)</f>
        <v>41768.64583</v>
      </c>
      <c r="C404" s="2">
        <f>IFERROR(__xludf.DUMMYFUNCTION("""COMPUTED_VALUE"""),98.75)</f>
        <v>98.75</v>
      </c>
    </row>
    <row r="405" ht="15.75" customHeight="1">
      <c r="B405" s="3">
        <f>IFERROR(__xludf.DUMMYFUNCTION("""COMPUTED_VALUE"""),41775.645833333336)</f>
        <v>41775.64583</v>
      </c>
      <c r="C405" s="2">
        <f>IFERROR(__xludf.DUMMYFUNCTION("""COMPUTED_VALUE"""),115.54)</f>
        <v>115.54</v>
      </c>
    </row>
    <row r="406" ht="15.75" customHeight="1">
      <c r="B406" s="3">
        <f>IFERROR(__xludf.DUMMYFUNCTION("""COMPUTED_VALUE"""),41782.645833333336)</f>
        <v>41782.64583</v>
      </c>
      <c r="C406" s="2">
        <f>IFERROR(__xludf.DUMMYFUNCTION("""COMPUTED_VALUE"""),135.5)</f>
        <v>135.5</v>
      </c>
    </row>
    <row r="407" ht="15.75" customHeight="1">
      <c r="B407" s="3">
        <f>IFERROR(__xludf.DUMMYFUNCTION("""COMPUTED_VALUE"""),41789.645833333336)</f>
        <v>41789.64583</v>
      </c>
      <c r="C407" s="2">
        <f>IFERROR(__xludf.DUMMYFUNCTION("""COMPUTED_VALUE"""),139.67)</f>
        <v>139.67</v>
      </c>
    </row>
    <row r="408" ht="15.75" customHeight="1">
      <c r="B408" s="3">
        <f>IFERROR(__xludf.DUMMYFUNCTION("""COMPUTED_VALUE"""),41796.645833333336)</f>
        <v>41796.64583</v>
      </c>
      <c r="C408" s="2">
        <f>IFERROR(__xludf.DUMMYFUNCTION("""COMPUTED_VALUE"""),140.75)</f>
        <v>140.75</v>
      </c>
    </row>
    <row r="409" ht="15.75" customHeight="1">
      <c r="B409" s="3">
        <f>IFERROR(__xludf.DUMMYFUNCTION("""COMPUTED_VALUE"""),41803.645833333336)</f>
        <v>41803.64583</v>
      </c>
      <c r="C409" s="2">
        <f>IFERROR(__xludf.DUMMYFUNCTION("""COMPUTED_VALUE"""),139.54)</f>
        <v>139.54</v>
      </c>
    </row>
    <row r="410" ht="15.75" customHeight="1">
      <c r="B410" s="3">
        <f>IFERROR(__xludf.DUMMYFUNCTION("""COMPUTED_VALUE"""),41810.645833333336)</f>
        <v>41810.64583</v>
      </c>
      <c r="C410" s="2">
        <f>IFERROR(__xludf.DUMMYFUNCTION("""COMPUTED_VALUE"""),130.63)</f>
        <v>130.63</v>
      </c>
    </row>
    <row r="411" ht="15.75" customHeight="1">
      <c r="B411" s="3">
        <f>IFERROR(__xludf.DUMMYFUNCTION("""COMPUTED_VALUE"""),41817.645833333336)</f>
        <v>41817.64583</v>
      </c>
      <c r="C411" s="2">
        <f>IFERROR(__xludf.DUMMYFUNCTION("""COMPUTED_VALUE"""),131.38)</f>
        <v>131.38</v>
      </c>
    </row>
    <row r="412" ht="15.75" customHeight="1">
      <c r="B412" s="3">
        <f>IFERROR(__xludf.DUMMYFUNCTION("""COMPUTED_VALUE"""),41824.645833333336)</f>
        <v>41824.64583</v>
      </c>
      <c r="C412" s="2">
        <f>IFERROR(__xludf.DUMMYFUNCTION("""COMPUTED_VALUE"""),133.79)</f>
        <v>133.79</v>
      </c>
    </row>
    <row r="413" ht="15.75" customHeight="1">
      <c r="B413" s="3">
        <f>IFERROR(__xludf.DUMMYFUNCTION("""COMPUTED_VALUE"""),41831.645833333336)</f>
        <v>41831.64583</v>
      </c>
      <c r="C413" s="2">
        <f>IFERROR(__xludf.DUMMYFUNCTION("""COMPUTED_VALUE"""),134.96)</f>
        <v>134.96</v>
      </c>
    </row>
    <row r="414" ht="15.75" customHeight="1">
      <c r="B414" s="3">
        <f>IFERROR(__xludf.DUMMYFUNCTION("""COMPUTED_VALUE"""),41838.645833333336)</f>
        <v>41838.64583</v>
      </c>
      <c r="C414" s="2">
        <f>IFERROR(__xludf.DUMMYFUNCTION("""COMPUTED_VALUE"""),125.92)</f>
        <v>125.92</v>
      </c>
    </row>
    <row r="415" ht="15.75" customHeight="1">
      <c r="B415" s="3">
        <f>IFERROR(__xludf.DUMMYFUNCTION("""COMPUTED_VALUE"""),41845.645833333336)</f>
        <v>41845.64583</v>
      </c>
      <c r="C415" s="2">
        <f>IFERROR(__xludf.DUMMYFUNCTION("""COMPUTED_VALUE"""),125.88)</f>
        <v>125.88</v>
      </c>
    </row>
    <row r="416" ht="15.75" customHeight="1">
      <c r="B416" s="3">
        <f>IFERROR(__xludf.DUMMYFUNCTION("""COMPUTED_VALUE"""),41852.645833333336)</f>
        <v>41852.64583</v>
      </c>
      <c r="C416" s="2">
        <f>IFERROR(__xludf.DUMMYFUNCTION("""COMPUTED_VALUE"""),125.33)</f>
        <v>125.33</v>
      </c>
    </row>
    <row r="417" ht="15.75" customHeight="1">
      <c r="B417" s="3">
        <f>IFERROR(__xludf.DUMMYFUNCTION("""COMPUTED_VALUE"""),41859.645833333336)</f>
        <v>41859.64583</v>
      </c>
      <c r="C417" s="2">
        <f>IFERROR(__xludf.DUMMYFUNCTION("""COMPUTED_VALUE"""),118.63)</f>
        <v>118.63</v>
      </c>
    </row>
    <row r="418" ht="15.75" customHeight="1">
      <c r="B418" s="3">
        <f>IFERROR(__xludf.DUMMYFUNCTION("""COMPUTED_VALUE"""),41865.645833333336)</f>
        <v>41865.64583</v>
      </c>
      <c r="C418" s="2">
        <f>IFERROR(__xludf.DUMMYFUNCTION("""COMPUTED_VALUE"""),118.71)</f>
        <v>118.71</v>
      </c>
    </row>
    <row r="419" ht="15.75" customHeight="1">
      <c r="B419" s="3">
        <f>IFERROR(__xludf.DUMMYFUNCTION("""COMPUTED_VALUE"""),41873.645833333336)</f>
        <v>41873.64583</v>
      </c>
      <c r="C419" s="2">
        <f>IFERROR(__xludf.DUMMYFUNCTION("""COMPUTED_VALUE"""),121.63)</f>
        <v>121.63</v>
      </c>
    </row>
    <row r="420" ht="15.75" customHeight="1">
      <c r="B420" s="3">
        <f>IFERROR(__xludf.DUMMYFUNCTION("""COMPUTED_VALUE"""),41879.645833333336)</f>
        <v>41879.64583</v>
      </c>
      <c r="C420" s="2">
        <f>IFERROR(__xludf.DUMMYFUNCTION("""COMPUTED_VALUE"""),119.08)</f>
        <v>119.08</v>
      </c>
    </row>
    <row r="421" ht="15.75" customHeight="1">
      <c r="B421" s="3">
        <f>IFERROR(__xludf.DUMMYFUNCTION("""COMPUTED_VALUE"""),41887.645833333336)</f>
        <v>41887.64583</v>
      </c>
      <c r="C421" s="2">
        <f>IFERROR(__xludf.DUMMYFUNCTION("""COMPUTED_VALUE"""),119.58)</f>
        <v>119.58</v>
      </c>
    </row>
    <row r="422" ht="15.75" customHeight="1">
      <c r="B422" s="3">
        <f>IFERROR(__xludf.DUMMYFUNCTION("""COMPUTED_VALUE"""),41894.645833333336)</f>
        <v>41894.64583</v>
      </c>
      <c r="C422" s="2">
        <f>IFERROR(__xludf.DUMMYFUNCTION("""COMPUTED_VALUE"""),119.96)</f>
        <v>119.96</v>
      </c>
    </row>
    <row r="423" ht="15.75" customHeight="1">
      <c r="B423" s="3">
        <f>IFERROR(__xludf.DUMMYFUNCTION("""COMPUTED_VALUE"""),41901.645833333336)</f>
        <v>41901.64583</v>
      </c>
      <c r="C423" s="2">
        <f>IFERROR(__xludf.DUMMYFUNCTION("""COMPUTED_VALUE"""),115.83)</f>
        <v>115.83</v>
      </c>
    </row>
    <row r="424" ht="15.75" customHeight="1">
      <c r="B424" s="3">
        <f>IFERROR(__xludf.DUMMYFUNCTION("""COMPUTED_VALUE"""),41908.645833333336)</f>
        <v>41908.64583</v>
      </c>
      <c r="C424" s="2">
        <f>IFERROR(__xludf.DUMMYFUNCTION("""COMPUTED_VALUE"""),116.79)</f>
        <v>116.79</v>
      </c>
    </row>
    <row r="425" ht="15.75" customHeight="1">
      <c r="B425" s="3">
        <f>IFERROR(__xludf.DUMMYFUNCTION("""COMPUTED_VALUE"""),41913.645833333336)</f>
        <v>41913.64583</v>
      </c>
      <c r="C425" s="2">
        <f>IFERROR(__xludf.DUMMYFUNCTION("""COMPUTED_VALUE"""),117.0)</f>
        <v>117</v>
      </c>
    </row>
    <row r="426" ht="15.75" customHeight="1">
      <c r="B426" s="3">
        <f>IFERROR(__xludf.DUMMYFUNCTION("""COMPUTED_VALUE"""),41922.645833333336)</f>
        <v>41922.64583</v>
      </c>
      <c r="C426" s="2">
        <f>IFERROR(__xludf.DUMMYFUNCTION("""COMPUTED_VALUE"""),120.54)</f>
        <v>120.54</v>
      </c>
    </row>
    <row r="427" ht="15.75" customHeight="1">
      <c r="B427" s="3">
        <f>IFERROR(__xludf.DUMMYFUNCTION("""COMPUTED_VALUE"""),41929.645833333336)</f>
        <v>41929.64583</v>
      </c>
      <c r="C427" s="2">
        <f>IFERROR(__xludf.DUMMYFUNCTION("""COMPUTED_VALUE"""),118.5)</f>
        <v>118.5</v>
      </c>
    </row>
    <row r="428" ht="15.75" customHeight="1">
      <c r="B428" s="3">
        <f>IFERROR(__xludf.DUMMYFUNCTION("""COMPUTED_VALUE"""),41935.645833333336)</f>
        <v>41935.64583</v>
      </c>
      <c r="C428" s="2">
        <f>IFERROR(__xludf.DUMMYFUNCTION("""COMPUTED_VALUE"""),124.0)</f>
        <v>124</v>
      </c>
    </row>
    <row r="429" ht="15.75" customHeight="1">
      <c r="B429" s="3">
        <f>IFERROR(__xludf.DUMMYFUNCTION("""COMPUTED_VALUE"""),41943.645833333336)</f>
        <v>41943.64583</v>
      </c>
      <c r="C429" s="2">
        <f>IFERROR(__xludf.DUMMYFUNCTION("""COMPUTED_VALUE"""),125.75)</f>
        <v>125.75</v>
      </c>
    </row>
    <row r="430" ht="15.75" customHeight="1">
      <c r="B430" s="3">
        <f>IFERROR(__xludf.DUMMYFUNCTION("""COMPUTED_VALUE"""),41950.645833333336)</f>
        <v>41950.64583</v>
      </c>
      <c r="C430" s="2">
        <f>IFERROR(__xludf.DUMMYFUNCTION("""COMPUTED_VALUE"""),125.0)</f>
        <v>125</v>
      </c>
    </row>
    <row r="431" ht="15.75" customHeight="1">
      <c r="B431" s="3">
        <f>IFERROR(__xludf.DUMMYFUNCTION("""COMPUTED_VALUE"""),41957.64583333333)</f>
        <v>41957.64583</v>
      </c>
      <c r="C431" s="2">
        <f>IFERROR(__xludf.DUMMYFUNCTION("""COMPUTED_VALUE"""),122.88)</f>
        <v>122.88</v>
      </c>
    </row>
    <row r="432" ht="15.75" customHeight="1">
      <c r="B432" s="3">
        <f>IFERROR(__xludf.DUMMYFUNCTION("""COMPUTED_VALUE"""),41964.64583333333)</f>
        <v>41964.64583</v>
      </c>
      <c r="C432" s="2">
        <f>IFERROR(__xludf.DUMMYFUNCTION("""COMPUTED_VALUE"""),123.83)</f>
        <v>123.83</v>
      </c>
    </row>
    <row r="433" ht="15.75" customHeight="1">
      <c r="B433" s="3">
        <f>IFERROR(__xludf.DUMMYFUNCTION("""COMPUTED_VALUE"""),41971.64583333333)</f>
        <v>41971.64583</v>
      </c>
      <c r="C433" s="2">
        <f>IFERROR(__xludf.DUMMYFUNCTION("""COMPUTED_VALUE"""),119.79)</f>
        <v>119.79</v>
      </c>
    </row>
    <row r="434" ht="15.75" customHeight="1">
      <c r="B434" s="3">
        <f>IFERROR(__xludf.DUMMYFUNCTION("""COMPUTED_VALUE"""),41978.64583333333)</f>
        <v>41978.64583</v>
      </c>
      <c r="C434" s="2">
        <f>IFERROR(__xludf.DUMMYFUNCTION("""COMPUTED_VALUE"""),120.58)</f>
        <v>120.58</v>
      </c>
    </row>
    <row r="435" ht="15.75" customHeight="1">
      <c r="B435" s="3">
        <f>IFERROR(__xludf.DUMMYFUNCTION("""COMPUTED_VALUE"""),41985.64583333333)</f>
        <v>41985.64583</v>
      </c>
      <c r="C435" s="2">
        <f>IFERROR(__xludf.DUMMYFUNCTION("""COMPUTED_VALUE"""),118.58)</f>
        <v>118.58</v>
      </c>
    </row>
    <row r="436" ht="15.75" customHeight="1">
      <c r="B436" s="3">
        <f>IFERROR(__xludf.DUMMYFUNCTION("""COMPUTED_VALUE"""),41992.64583333333)</f>
        <v>41992.64583</v>
      </c>
      <c r="C436" s="2">
        <f>IFERROR(__xludf.DUMMYFUNCTION("""COMPUTED_VALUE"""),113.63)</f>
        <v>113.63</v>
      </c>
    </row>
    <row r="437" ht="15.75" customHeight="1">
      <c r="B437" s="3">
        <f>IFERROR(__xludf.DUMMYFUNCTION("""COMPUTED_VALUE"""),41999.64583333333)</f>
        <v>41999.64583</v>
      </c>
      <c r="C437" s="2">
        <f>IFERROR(__xludf.DUMMYFUNCTION("""COMPUTED_VALUE"""),119.88)</f>
        <v>119.88</v>
      </c>
    </row>
    <row r="438" ht="15.75" customHeight="1"/>
    <row r="439" ht="15.75" customHeight="1"/>
    <row r="440" ht="15.75" customHeight="1"/>
    <row r="441" ht="15.75" customHeight="1">
      <c r="B441" s="2" t="str">
        <f>IFERROR(__xludf.DUMMYFUNCTION("GOOGLEFINANCE(""NSE:NTPC"", ""high"",DATE(2015,1,1),DATE(2016,1,1),""weekly"")"),"Date")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IFERROR(__xludf.DUMMYFUNCTION("""COMPUTED_VALUE"""),42006.64583333333)</f>
        <v>42006.64583</v>
      </c>
      <c r="C442" s="2">
        <f>IFERROR(__xludf.DUMMYFUNCTION("""COMPUTED_VALUE"""),120.83)</f>
        <v>120.83</v>
      </c>
    </row>
    <row r="443" ht="15.75" customHeight="1">
      <c r="B443" s="3">
        <f>IFERROR(__xludf.DUMMYFUNCTION("""COMPUTED_VALUE"""),42013.64583333333)</f>
        <v>42013.64583</v>
      </c>
      <c r="C443" s="2">
        <f>IFERROR(__xludf.DUMMYFUNCTION("""COMPUTED_VALUE"""),121.25)</f>
        <v>121.25</v>
      </c>
    </row>
    <row r="444" ht="15.75" customHeight="1">
      <c r="B444" s="3">
        <f>IFERROR(__xludf.DUMMYFUNCTION("""COMPUTED_VALUE"""),42020.64583333333)</f>
        <v>42020.64583</v>
      </c>
      <c r="C444" s="2">
        <f>IFERROR(__xludf.DUMMYFUNCTION("""COMPUTED_VALUE"""),118.17)</f>
        <v>118.17</v>
      </c>
    </row>
    <row r="445" ht="15.75" customHeight="1">
      <c r="B445" s="3">
        <f>IFERROR(__xludf.DUMMYFUNCTION("""COMPUTED_VALUE"""),42027.64583333333)</f>
        <v>42027.64583</v>
      </c>
      <c r="C445" s="2">
        <f>IFERROR(__xludf.DUMMYFUNCTION("""COMPUTED_VALUE"""),120.13)</f>
        <v>120.13</v>
      </c>
    </row>
    <row r="446" ht="15.75" customHeight="1">
      <c r="B446" s="3">
        <f>IFERROR(__xludf.DUMMYFUNCTION("""COMPUTED_VALUE"""),42034.64583333333)</f>
        <v>42034.64583</v>
      </c>
      <c r="C446" s="2">
        <f>IFERROR(__xludf.DUMMYFUNCTION("""COMPUTED_VALUE"""),122.83)</f>
        <v>122.83</v>
      </c>
    </row>
    <row r="447" ht="15.75" customHeight="1">
      <c r="B447" s="3">
        <f>IFERROR(__xludf.DUMMYFUNCTION("""COMPUTED_VALUE"""),42041.64583333333)</f>
        <v>42041.64583</v>
      </c>
      <c r="C447" s="2">
        <f>IFERROR(__xludf.DUMMYFUNCTION("""COMPUTED_VALUE"""),120.67)</f>
        <v>120.67</v>
      </c>
    </row>
    <row r="448" ht="15.75" customHeight="1">
      <c r="B448" s="3">
        <f>IFERROR(__xludf.DUMMYFUNCTION("""COMPUTED_VALUE"""),42048.64583333333)</f>
        <v>42048.64583</v>
      </c>
      <c r="C448" s="2">
        <f>IFERROR(__xludf.DUMMYFUNCTION("""COMPUTED_VALUE"""),119.75)</f>
        <v>119.75</v>
      </c>
    </row>
    <row r="449" ht="15.75" customHeight="1">
      <c r="B449" s="3">
        <f>IFERROR(__xludf.DUMMYFUNCTION("""COMPUTED_VALUE"""),42055.64583333333)</f>
        <v>42055.64583</v>
      </c>
      <c r="C449" s="2">
        <f>IFERROR(__xludf.DUMMYFUNCTION("""COMPUTED_VALUE"""),123.17)</f>
        <v>123.17</v>
      </c>
    </row>
    <row r="450" ht="15.75" customHeight="1">
      <c r="B450" s="3">
        <f>IFERROR(__xludf.DUMMYFUNCTION("""COMPUTED_VALUE"""),42068.64583333333)</f>
        <v>42068.64583</v>
      </c>
      <c r="C450" s="2">
        <f>IFERROR(__xludf.DUMMYFUNCTION("""COMPUTED_VALUE"""),133.33)</f>
        <v>133.33</v>
      </c>
    </row>
    <row r="451" ht="15.75" customHeight="1">
      <c r="B451" s="3">
        <f>IFERROR(__xludf.DUMMYFUNCTION("""COMPUTED_VALUE"""),42076.64583333333)</f>
        <v>42076.64583</v>
      </c>
      <c r="C451" s="2">
        <f>IFERROR(__xludf.DUMMYFUNCTION("""COMPUTED_VALUE"""),137.29)</f>
        <v>137.29</v>
      </c>
    </row>
    <row r="452" ht="15.75" customHeight="1">
      <c r="B452" s="3">
        <f>IFERROR(__xludf.DUMMYFUNCTION("""COMPUTED_VALUE"""),42083.64583333333)</f>
        <v>42083.64583</v>
      </c>
      <c r="C452" s="2">
        <f>IFERROR(__xludf.DUMMYFUNCTION("""COMPUTED_VALUE"""),132.92)</f>
        <v>132.92</v>
      </c>
    </row>
    <row r="453" ht="15.75" customHeight="1">
      <c r="B453" s="3">
        <f>IFERROR(__xludf.DUMMYFUNCTION("""COMPUTED_VALUE"""),42090.64583333333)</f>
        <v>42090.64583</v>
      </c>
      <c r="C453" s="2">
        <f>IFERROR(__xludf.DUMMYFUNCTION("""COMPUTED_VALUE"""),129.08)</f>
        <v>129.08</v>
      </c>
    </row>
    <row r="454" ht="15.75" customHeight="1">
      <c r="B454" s="3">
        <f>IFERROR(__xludf.DUMMYFUNCTION("""COMPUTED_VALUE"""),42095.64583333333)</f>
        <v>42095.64583</v>
      </c>
      <c r="C454" s="2">
        <f>IFERROR(__xludf.DUMMYFUNCTION("""COMPUTED_VALUE"""),124.92)</f>
        <v>124.92</v>
      </c>
    </row>
    <row r="455" ht="15.75" customHeight="1">
      <c r="B455" s="3">
        <f>IFERROR(__xludf.DUMMYFUNCTION("""COMPUTED_VALUE"""),42104.64583333333)</f>
        <v>42104.64583</v>
      </c>
      <c r="C455" s="2">
        <f>IFERROR(__xludf.DUMMYFUNCTION("""COMPUTED_VALUE"""),132.5)</f>
        <v>132.5</v>
      </c>
    </row>
    <row r="456" ht="15.75" customHeight="1">
      <c r="B456" s="3">
        <f>IFERROR(__xludf.DUMMYFUNCTION("""COMPUTED_VALUE"""),42111.64583333333)</f>
        <v>42111.64583</v>
      </c>
      <c r="C456" s="2">
        <f>IFERROR(__xludf.DUMMYFUNCTION("""COMPUTED_VALUE"""),132.38)</f>
        <v>132.38</v>
      </c>
    </row>
    <row r="457" ht="15.75" customHeight="1">
      <c r="B457" s="3">
        <f>IFERROR(__xludf.DUMMYFUNCTION("""COMPUTED_VALUE"""),42118.64583333333)</f>
        <v>42118.64583</v>
      </c>
      <c r="C457" s="2">
        <f>IFERROR(__xludf.DUMMYFUNCTION("""COMPUTED_VALUE"""),133.33)</f>
        <v>133.33</v>
      </c>
    </row>
    <row r="458" ht="15.75" customHeight="1">
      <c r="B458" s="3">
        <f>IFERROR(__xludf.DUMMYFUNCTION("""COMPUTED_VALUE"""),42124.64583333333)</f>
        <v>42124.64583</v>
      </c>
      <c r="C458" s="2">
        <f>IFERROR(__xludf.DUMMYFUNCTION("""COMPUTED_VALUE"""),127.79)</f>
        <v>127.79</v>
      </c>
    </row>
    <row r="459" ht="15.75" customHeight="1">
      <c r="B459" s="3">
        <f>IFERROR(__xludf.DUMMYFUNCTION("""COMPUTED_VALUE"""),42132.64583333333)</f>
        <v>42132.64583</v>
      </c>
      <c r="C459" s="2">
        <f>IFERROR(__xludf.DUMMYFUNCTION("""COMPUTED_VALUE"""),127.54)</f>
        <v>127.54</v>
      </c>
    </row>
    <row r="460" ht="15.75" customHeight="1">
      <c r="B460" s="3">
        <f>IFERROR(__xludf.DUMMYFUNCTION("""COMPUTED_VALUE"""),42139.64583333333)</f>
        <v>42139.64583</v>
      </c>
      <c r="C460" s="2">
        <f>IFERROR(__xludf.DUMMYFUNCTION("""COMPUTED_VALUE"""),121.25)</f>
        <v>121.25</v>
      </c>
    </row>
    <row r="461" ht="15.75" customHeight="1">
      <c r="B461" s="3">
        <f>IFERROR(__xludf.DUMMYFUNCTION("""COMPUTED_VALUE"""),42146.64583333333)</f>
        <v>42146.64583</v>
      </c>
      <c r="C461" s="2">
        <f>IFERROR(__xludf.DUMMYFUNCTION("""COMPUTED_VALUE"""),114.92)</f>
        <v>114.92</v>
      </c>
    </row>
    <row r="462" ht="15.75" customHeight="1">
      <c r="B462" s="3">
        <f>IFERROR(__xludf.DUMMYFUNCTION("""COMPUTED_VALUE"""),42153.64583333333)</f>
        <v>42153.64583</v>
      </c>
      <c r="C462" s="2">
        <f>IFERROR(__xludf.DUMMYFUNCTION("""COMPUTED_VALUE"""),116.38)</f>
        <v>116.38</v>
      </c>
    </row>
    <row r="463" ht="15.75" customHeight="1">
      <c r="B463" s="3">
        <f>IFERROR(__xludf.DUMMYFUNCTION("""COMPUTED_VALUE"""),42160.64583333333)</f>
        <v>42160.64583</v>
      </c>
      <c r="C463" s="2">
        <f>IFERROR(__xludf.DUMMYFUNCTION("""COMPUTED_VALUE"""),117.38)</f>
        <v>117.38</v>
      </c>
    </row>
    <row r="464" ht="15.75" customHeight="1">
      <c r="B464" s="3">
        <f>IFERROR(__xludf.DUMMYFUNCTION("""COMPUTED_VALUE"""),42167.64583333333)</f>
        <v>42167.64583</v>
      </c>
      <c r="C464" s="2">
        <f>IFERROR(__xludf.DUMMYFUNCTION("""COMPUTED_VALUE"""),117.29)</f>
        <v>117.29</v>
      </c>
    </row>
    <row r="465" ht="15.75" customHeight="1">
      <c r="B465" s="3">
        <f>IFERROR(__xludf.DUMMYFUNCTION("""COMPUTED_VALUE"""),42174.64583333333)</f>
        <v>42174.64583</v>
      </c>
      <c r="C465" s="2">
        <f>IFERROR(__xludf.DUMMYFUNCTION("""COMPUTED_VALUE"""),115.0)</f>
        <v>115</v>
      </c>
    </row>
    <row r="466" ht="15.75" customHeight="1">
      <c r="B466" s="3">
        <f>IFERROR(__xludf.DUMMYFUNCTION("""COMPUTED_VALUE"""),42181.64583333333)</f>
        <v>42181.64583</v>
      </c>
      <c r="C466" s="2">
        <f>IFERROR(__xludf.DUMMYFUNCTION("""COMPUTED_VALUE"""),116.79)</f>
        <v>116.79</v>
      </c>
    </row>
    <row r="467" ht="15.75" customHeight="1">
      <c r="B467" s="3">
        <f>IFERROR(__xludf.DUMMYFUNCTION("""COMPUTED_VALUE"""),42188.64583333333)</f>
        <v>42188.64583</v>
      </c>
      <c r="C467" s="2">
        <f>IFERROR(__xludf.DUMMYFUNCTION("""COMPUTED_VALUE"""),116.42)</f>
        <v>116.42</v>
      </c>
    </row>
    <row r="468" ht="15.75" customHeight="1">
      <c r="B468" s="3">
        <f>IFERROR(__xludf.DUMMYFUNCTION("""COMPUTED_VALUE"""),42195.64583333333)</f>
        <v>42195.64583</v>
      </c>
      <c r="C468" s="2">
        <f>IFERROR(__xludf.DUMMYFUNCTION("""COMPUTED_VALUE"""),115.5)</f>
        <v>115.5</v>
      </c>
    </row>
    <row r="469" ht="15.75" customHeight="1">
      <c r="B469" s="3">
        <f>IFERROR(__xludf.DUMMYFUNCTION("""COMPUTED_VALUE"""),42202.64583333333)</f>
        <v>42202.64583</v>
      </c>
      <c r="C469" s="2">
        <f>IFERROR(__xludf.DUMMYFUNCTION("""COMPUTED_VALUE"""),113.17)</f>
        <v>113.17</v>
      </c>
    </row>
    <row r="470" ht="15.75" customHeight="1">
      <c r="B470" s="3">
        <f>IFERROR(__xludf.DUMMYFUNCTION("""COMPUTED_VALUE"""),42209.64583333333)</f>
        <v>42209.64583</v>
      </c>
      <c r="C470" s="2">
        <f>IFERROR(__xludf.DUMMYFUNCTION("""COMPUTED_VALUE"""),115.75)</f>
        <v>115.75</v>
      </c>
    </row>
    <row r="471" ht="15.75" customHeight="1">
      <c r="B471" s="3">
        <f>IFERROR(__xludf.DUMMYFUNCTION("""COMPUTED_VALUE"""),42216.64583333333)</f>
        <v>42216.64583</v>
      </c>
      <c r="C471" s="2">
        <f>IFERROR(__xludf.DUMMYFUNCTION("""COMPUTED_VALUE"""),116.08)</f>
        <v>116.08</v>
      </c>
    </row>
    <row r="472" ht="15.75" customHeight="1">
      <c r="B472" s="3">
        <f>IFERROR(__xludf.DUMMYFUNCTION("""COMPUTED_VALUE"""),42223.64583333333)</f>
        <v>42223.64583</v>
      </c>
      <c r="C472" s="2">
        <f>IFERROR(__xludf.DUMMYFUNCTION("""COMPUTED_VALUE"""),115.0)</f>
        <v>115</v>
      </c>
    </row>
    <row r="473" ht="15.75" customHeight="1">
      <c r="B473" s="3">
        <f>IFERROR(__xludf.DUMMYFUNCTION("""COMPUTED_VALUE"""),42230.64583333333)</f>
        <v>42230.64583</v>
      </c>
      <c r="C473" s="2">
        <f>IFERROR(__xludf.DUMMYFUNCTION("""COMPUTED_VALUE"""),112.17)</f>
        <v>112.17</v>
      </c>
    </row>
    <row r="474" ht="15.75" customHeight="1">
      <c r="B474" s="3">
        <f>IFERROR(__xludf.DUMMYFUNCTION("""COMPUTED_VALUE"""),42237.64583333333)</f>
        <v>42237.64583</v>
      </c>
      <c r="C474" s="2">
        <f>IFERROR(__xludf.DUMMYFUNCTION("""COMPUTED_VALUE"""),108.33)</f>
        <v>108.33</v>
      </c>
    </row>
    <row r="475" ht="15.75" customHeight="1">
      <c r="B475" s="3">
        <f>IFERROR(__xludf.DUMMYFUNCTION("""COMPUTED_VALUE"""),42244.64583333333)</f>
        <v>42244.64583</v>
      </c>
      <c r="C475" s="2">
        <f>IFERROR(__xludf.DUMMYFUNCTION("""COMPUTED_VALUE"""),104.21)</f>
        <v>104.21</v>
      </c>
    </row>
    <row r="476" ht="15.75" customHeight="1">
      <c r="B476" s="3">
        <f>IFERROR(__xludf.DUMMYFUNCTION("""COMPUTED_VALUE"""),42251.64583333333)</f>
        <v>42251.64583</v>
      </c>
      <c r="C476" s="2">
        <f>IFERROR(__xludf.DUMMYFUNCTION("""COMPUTED_VALUE"""),102.79)</f>
        <v>102.79</v>
      </c>
    </row>
    <row r="477" ht="15.75" customHeight="1">
      <c r="B477" s="3">
        <f>IFERROR(__xludf.DUMMYFUNCTION("""COMPUTED_VALUE"""),42258.64583333333)</f>
        <v>42258.64583</v>
      </c>
      <c r="C477" s="2">
        <f>IFERROR(__xludf.DUMMYFUNCTION("""COMPUTED_VALUE"""),101.13)</f>
        <v>101.13</v>
      </c>
    </row>
    <row r="478" ht="15.75" customHeight="1">
      <c r="B478" s="3">
        <f>IFERROR(__xludf.DUMMYFUNCTION("""COMPUTED_VALUE"""),42265.64583333333)</f>
        <v>42265.64583</v>
      </c>
      <c r="C478" s="2">
        <f>IFERROR(__xludf.DUMMYFUNCTION("""COMPUTED_VALUE"""),108.33)</f>
        <v>108.33</v>
      </c>
    </row>
    <row r="479" ht="15.75" customHeight="1">
      <c r="B479" s="3">
        <f>IFERROR(__xludf.DUMMYFUNCTION("""COMPUTED_VALUE"""),42271.64583333333)</f>
        <v>42271.64583</v>
      </c>
      <c r="C479" s="2">
        <f>IFERROR(__xludf.DUMMYFUNCTION("""COMPUTED_VALUE"""),106.42)</f>
        <v>106.42</v>
      </c>
    </row>
    <row r="480" ht="15.75" customHeight="1">
      <c r="B480" s="3">
        <f>IFERROR(__xludf.DUMMYFUNCTION("""COMPUTED_VALUE"""),42278.64583333333)</f>
        <v>42278.64583</v>
      </c>
      <c r="C480" s="2">
        <f>IFERROR(__xludf.DUMMYFUNCTION("""COMPUTED_VALUE"""),104.92)</f>
        <v>104.92</v>
      </c>
    </row>
    <row r="481" ht="15.75" customHeight="1">
      <c r="B481" s="3">
        <f>IFERROR(__xludf.DUMMYFUNCTION("""COMPUTED_VALUE"""),42286.64583333333)</f>
        <v>42286.64583</v>
      </c>
      <c r="C481" s="2">
        <f>IFERROR(__xludf.DUMMYFUNCTION("""COMPUTED_VALUE"""),108.25)</f>
        <v>108.25</v>
      </c>
    </row>
    <row r="482" ht="15.75" customHeight="1">
      <c r="B482" s="3">
        <f>IFERROR(__xludf.DUMMYFUNCTION("""COMPUTED_VALUE"""),42300.64583333333)</f>
        <v>42300.64583</v>
      </c>
      <c r="C482" s="2">
        <f>IFERROR(__xludf.DUMMYFUNCTION("""COMPUTED_VALUE"""),111.63)</f>
        <v>111.63</v>
      </c>
    </row>
    <row r="483" ht="15.75" customHeight="1">
      <c r="B483" s="3">
        <f>IFERROR(__xludf.DUMMYFUNCTION("""COMPUTED_VALUE"""),42307.64583333333)</f>
        <v>42307.64583</v>
      </c>
      <c r="C483" s="2">
        <f>IFERROR(__xludf.DUMMYFUNCTION("""COMPUTED_VALUE"""),114.71)</f>
        <v>114.71</v>
      </c>
    </row>
    <row r="484" ht="15.75" customHeight="1">
      <c r="B484" s="3">
        <f>IFERROR(__xludf.DUMMYFUNCTION("""COMPUTED_VALUE"""),42314.64583333333)</f>
        <v>42314.64583</v>
      </c>
      <c r="C484" s="2">
        <f>IFERROR(__xludf.DUMMYFUNCTION("""COMPUTED_VALUE"""),116.08)</f>
        <v>116.08</v>
      </c>
    </row>
    <row r="485" ht="15.75" customHeight="1">
      <c r="B485" s="3">
        <f>IFERROR(__xludf.DUMMYFUNCTION("""COMPUTED_VALUE"""),42321.64583333333)</f>
        <v>42321.64583</v>
      </c>
      <c r="C485" s="2">
        <f>IFERROR(__xludf.DUMMYFUNCTION("""COMPUTED_VALUE"""),112.29)</f>
        <v>112.29</v>
      </c>
    </row>
    <row r="486" ht="15.75" customHeight="1">
      <c r="B486" s="3">
        <f>IFERROR(__xludf.DUMMYFUNCTION("""COMPUTED_VALUE"""),42328.64583333333)</f>
        <v>42328.64583</v>
      </c>
      <c r="C486" s="2">
        <f>IFERROR(__xludf.DUMMYFUNCTION("""COMPUTED_VALUE"""),112.63)</f>
        <v>112.63</v>
      </c>
    </row>
    <row r="487" ht="15.75" customHeight="1">
      <c r="B487" s="3">
        <f>IFERROR(__xludf.DUMMYFUNCTION("""COMPUTED_VALUE"""),42335.64583333333)</f>
        <v>42335.64583</v>
      </c>
      <c r="C487" s="2">
        <f>IFERROR(__xludf.DUMMYFUNCTION("""COMPUTED_VALUE"""),112.25)</f>
        <v>112.25</v>
      </c>
    </row>
    <row r="488" ht="15.75" customHeight="1">
      <c r="B488" s="3">
        <f>IFERROR(__xludf.DUMMYFUNCTION("""COMPUTED_VALUE"""),42342.64583333333)</f>
        <v>42342.64583</v>
      </c>
      <c r="C488" s="2">
        <f>IFERROR(__xludf.DUMMYFUNCTION("""COMPUTED_VALUE"""),112.42)</f>
        <v>112.42</v>
      </c>
    </row>
    <row r="489" ht="15.75" customHeight="1">
      <c r="B489" s="3">
        <f>IFERROR(__xludf.DUMMYFUNCTION("""COMPUTED_VALUE"""),42349.64583333333)</f>
        <v>42349.64583</v>
      </c>
      <c r="C489" s="2">
        <f>IFERROR(__xludf.DUMMYFUNCTION("""COMPUTED_VALUE"""),111.38)</f>
        <v>111.38</v>
      </c>
    </row>
    <row r="490" ht="15.75" customHeight="1">
      <c r="B490" s="3">
        <f>IFERROR(__xludf.DUMMYFUNCTION("""COMPUTED_VALUE"""),42356.64583333333)</f>
        <v>42356.64583</v>
      </c>
      <c r="C490" s="2">
        <f>IFERROR(__xludf.DUMMYFUNCTION("""COMPUTED_VALUE"""),115.08)</f>
        <v>115.08</v>
      </c>
    </row>
    <row r="491" ht="15.75" customHeight="1">
      <c r="B491" s="3">
        <f>IFERROR(__xludf.DUMMYFUNCTION("""COMPUTED_VALUE"""),42362.64583333333)</f>
        <v>42362.64583</v>
      </c>
      <c r="C491" s="2">
        <f>IFERROR(__xludf.DUMMYFUNCTION("""COMPUTED_VALUE"""),116.58)</f>
        <v>116.58</v>
      </c>
    </row>
    <row r="492" ht="15.75" customHeight="1">
      <c r="B492" s="3">
        <f>IFERROR(__xludf.DUMMYFUNCTION("""COMPUTED_VALUE"""),42370.64583333333)</f>
        <v>42370.64583</v>
      </c>
      <c r="C492" s="2">
        <f>IFERROR(__xludf.DUMMYFUNCTION("""COMPUTED_VALUE"""),124.04)</f>
        <v>124.04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IFERROR(__xludf.DUMMYFUNCTION("GOOGLEFINANCE(""NSE:NTPC"", ""high"",DATE(2016,1,1),DATE(2017,1,1),""weekly"")"),"Date")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IFERROR(__xludf.DUMMYFUNCTION("""COMPUTED_VALUE"""),42377.64583333333)</f>
        <v>42377.64583</v>
      </c>
      <c r="C497" s="2">
        <f>IFERROR(__xludf.DUMMYFUNCTION("""COMPUTED_VALUE"""),122.5)</f>
        <v>122.5</v>
      </c>
    </row>
    <row r="498" ht="15.75" customHeight="1">
      <c r="B498" s="3">
        <f>IFERROR(__xludf.DUMMYFUNCTION("""COMPUTED_VALUE"""),42384.64583333333)</f>
        <v>42384.64583</v>
      </c>
      <c r="C498" s="2">
        <f>IFERROR(__xludf.DUMMYFUNCTION("""COMPUTED_VALUE"""),122.46)</f>
        <v>122.46</v>
      </c>
    </row>
    <row r="499" ht="15.75" customHeight="1">
      <c r="B499" s="3">
        <f>IFERROR(__xludf.DUMMYFUNCTION("""COMPUTED_VALUE"""),42391.64583333333)</f>
        <v>42391.64583</v>
      </c>
      <c r="C499" s="2">
        <f>IFERROR(__xludf.DUMMYFUNCTION("""COMPUTED_VALUE"""),116.08)</f>
        <v>116.08</v>
      </c>
    </row>
    <row r="500" ht="15.75" customHeight="1">
      <c r="B500" s="3">
        <f>IFERROR(__xludf.DUMMYFUNCTION("""COMPUTED_VALUE"""),42398.64583333333)</f>
        <v>42398.64583</v>
      </c>
      <c r="C500" s="2">
        <f>IFERROR(__xludf.DUMMYFUNCTION("""COMPUTED_VALUE"""),122.25)</f>
        <v>122.25</v>
      </c>
    </row>
    <row r="501" ht="15.75" customHeight="1">
      <c r="B501" s="3">
        <f>IFERROR(__xludf.DUMMYFUNCTION("""COMPUTED_VALUE"""),42405.64583333333)</f>
        <v>42405.64583</v>
      </c>
      <c r="C501" s="2">
        <f>IFERROR(__xludf.DUMMYFUNCTION("""COMPUTED_VALUE"""),120.13)</f>
        <v>120.13</v>
      </c>
    </row>
    <row r="502" ht="15.75" customHeight="1">
      <c r="B502" s="3">
        <f>IFERROR(__xludf.DUMMYFUNCTION("""COMPUTED_VALUE"""),42419.64583333333)</f>
        <v>42419.64583</v>
      </c>
      <c r="C502" s="2">
        <f>IFERROR(__xludf.DUMMYFUNCTION("""COMPUTED_VALUE"""),109.25)</f>
        <v>109.25</v>
      </c>
    </row>
    <row r="503" ht="15.75" customHeight="1">
      <c r="B503" s="3">
        <f>IFERROR(__xludf.DUMMYFUNCTION("""COMPUTED_VALUE"""),42426.64583333333)</f>
        <v>42426.64583</v>
      </c>
      <c r="C503" s="2">
        <f>IFERROR(__xludf.DUMMYFUNCTION("""COMPUTED_VALUE"""),110.71)</f>
        <v>110.71</v>
      </c>
    </row>
    <row r="504" ht="15.75" customHeight="1">
      <c r="B504" s="3">
        <f>IFERROR(__xludf.DUMMYFUNCTION("""COMPUTED_VALUE"""),42433.64583333333)</f>
        <v>42433.64583</v>
      </c>
      <c r="C504" s="2">
        <f>IFERROR(__xludf.DUMMYFUNCTION("""COMPUTED_VALUE"""),107.38)</f>
        <v>107.38</v>
      </c>
    </row>
    <row r="505" ht="15.75" customHeight="1">
      <c r="B505" s="3">
        <f>IFERROR(__xludf.DUMMYFUNCTION("""COMPUTED_VALUE"""),42440.64583333333)</f>
        <v>42440.64583</v>
      </c>
      <c r="C505" s="2">
        <f>IFERROR(__xludf.DUMMYFUNCTION("""COMPUTED_VALUE"""),107.29)</f>
        <v>107.29</v>
      </c>
    </row>
    <row r="506" ht="15.75" customHeight="1">
      <c r="B506" s="3">
        <f>IFERROR(__xludf.DUMMYFUNCTION("""COMPUTED_VALUE"""),42447.64583333333)</f>
        <v>42447.64583</v>
      </c>
      <c r="C506" s="2">
        <f>IFERROR(__xludf.DUMMYFUNCTION("""COMPUTED_VALUE"""),106.88)</f>
        <v>106.88</v>
      </c>
    </row>
    <row r="507" ht="15.75" customHeight="1">
      <c r="B507" s="3">
        <f>IFERROR(__xludf.DUMMYFUNCTION("""COMPUTED_VALUE"""),42452.64583333333)</f>
        <v>42452.64583</v>
      </c>
      <c r="C507" s="2">
        <f>IFERROR(__xludf.DUMMYFUNCTION("""COMPUTED_VALUE"""),107.33)</f>
        <v>107.33</v>
      </c>
    </row>
    <row r="508" ht="15.75" customHeight="1">
      <c r="B508" s="3">
        <f>IFERROR(__xludf.DUMMYFUNCTION("""COMPUTED_VALUE"""),42461.64583333333)</f>
        <v>42461.64583</v>
      </c>
      <c r="C508" s="2">
        <f>IFERROR(__xludf.DUMMYFUNCTION("""COMPUTED_VALUE"""),109.88)</f>
        <v>109.88</v>
      </c>
    </row>
    <row r="509" ht="15.75" customHeight="1">
      <c r="B509" s="3">
        <f>IFERROR(__xludf.DUMMYFUNCTION("""COMPUTED_VALUE"""),42468.64583333333)</f>
        <v>42468.64583</v>
      </c>
      <c r="C509" s="2">
        <f>IFERROR(__xludf.DUMMYFUNCTION("""COMPUTED_VALUE"""),110.42)</f>
        <v>110.42</v>
      </c>
    </row>
    <row r="510" ht="15.75" customHeight="1">
      <c r="B510" s="3">
        <f>IFERROR(__xludf.DUMMYFUNCTION("""COMPUTED_VALUE"""),42473.64583333333)</f>
        <v>42473.64583</v>
      </c>
      <c r="C510" s="2">
        <f>IFERROR(__xludf.DUMMYFUNCTION("""COMPUTED_VALUE"""),114.88)</f>
        <v>114.88</v>
      </c>
    </row>
    <row r="511" ht="15.75" customHeight="1">
      <c r="B511" s="3">
        <f>IFERROR(__xludf.DUMMYFUNCTION("""COMPUTED_VALUE"""),42482.64583333333)</f>
        <v>42482.64583</v>
      </c>
      <c r="C511" s="2">
        <f>IFERROR(__xludf.DUMMYFUNCTION("""COMPUTED_VALUE"""),120.0)</f>
        <v>120</v>
      </c>
    </row>
    <row r="512" ht="15.75" customHeight="1">
      <c r="B512" s="3">
        <f>IFERROR(__xludf.DUMMYFUNCTION("""COMPUTED_VALUE"""),42489.64583333333)</f>
        <v>42489.64583</v>
      </c>
      <c r="C512" s="2">
        <f>IFERROR(__xludf.DUMMYFUNCTION("""COMPUTED_VALUE"""),119.88)</f>
        <v>119.88</v>
      </c>
    </row>
    <row r="513" ht="15.75" customHeight="1">
      <c r="B513" s="3">
        <f>IFERROR(__xludf.DUMMYFUNCTION("""COMPUTED_VALUE"""),42496.64583333333)</f>
        <v>42496.64583</v>
      </c>
      <c r="C513" s="2">
        <f>IFERROR(__xludf.DUMMYFUNCTION("""COMPUTED_VALUE"""),117.92)</f>
        <v>117.92</v>
      </c>
    </row>
    <row r="514" ht="15.75" customHeight="1">
      <c r="B514" s="3">
        <f>IFERROR(__xludf.DUMMYFUNCTION("""COMPUTED_VALUE"""),42503.64583333333)</f>
        <v>42503.64583</v>
      </c>
      <c r="C514" s="2">
        <f>IFERROR(__xludf.DUMMYFUNCTION("""COMPUTED_VALUE"""),120.67)</f>
        <v>120.67</v>
      </c>
    </row>
    <row r="515" ht="15.75" customHeight="1">
      <c r="B515" s="3">
        <f>IFERROR(__xludf.DUMMYFUNCTION("""COMPUTED_VALUE"""),42510.64583333333)</f>
        <v>42510.64583</v>
      </c>
      <c r="C515" s="2">
        <f>IFERROR(__xludf.DUMMYFUNCTION("""COMPUTED_VALUE"""),118.0)</f>
        <v>118</v>
      </c>
    </row>
    <row r="516" ht="15.75" customHeight="1">
      <c r="B516" s="3">
        <f>IFERROR(__xludf.DUMMYFUNCTION("""COMPUTED_VALUE"""),42517.64583333333)</f>
        <v>42517.64583</v>
      </c>
      <c r="C516" s="2">
        <f>IFERROR(__xludf.DUMMYFUNCTION("""COMPUTED_VALUE"""),118.75)</f>
        <v>118.75</v>
      </c>
    </row>
    <row r="517" ht="15.75" customHeight="1">
      <c r="B517" s="3">
        <f>IFERROR(__xludf.DUMMYFUNCTION("""COMPUTED_VALUE"""),42524.64583333333)</f>
        <v>42524.64583</v>
      </c>
      <c r="C517" s="2">
        <f>IFERROR(__xludf.DUMMYFUNCTION("""COMPUTED_VALUE"""),124.42)</f>
        <v>124.42</v>
      </c>
    </row>
    <row r="518" ht="15.75" customHeight="1">
      <c r="B518" s="3">
        <f>IFERROR(__xludf.DUMMYFUNCTION("""COMPUTED_VALUE"""),42531.64583333333)</f>
        <v>42531.64583</v>
      </c>
      <c r="C518" s="2">
        <f>IFERROR(__xludf.DUMMYFUNCTION("""COMPUTED_VALUE"""),127.29)</f>
        <v>127.29</v>
      </c>
    </row>
    <row r="519" ht="15.75" customHeight="1">
      <c r="B519" s="3">
        <f>IFERROR(__xludf.DUMMYFUNCTION("""COMPUTED_VALUE"""),42538.64583333333)</f>
        <v>42538.64583</v>
      </c>
      <c r="C519" s="2">
        <f>IFERROR(__xludf.DUMMYFUNCTION("""COMPUTED_VALUE"""),129.17)</f>
        <v>129.17</v>
      </c>
    </row>
    <row r="520" ht="15.75" customHeight="1">
      <c r="B520" s="3">
        <f>IFERROR(__xludf.DUMMYFUNCTION("""COMPUTED_VALUE"""),42545.64583333333)</f>
        <v>42545.64583</v>
      </c>
      <c r="C520" s="2">
        <f>IFERROR(__xludf.DUMMYFUNCTION("""COMPUTED_VALUE"""),129.13)</f>
        <v>129.13</v>
      </c>
    </row>
    <row r="521" ht="15.75" customHeight="1">
      <c r="B521" s="3">
        <f>IFERROR(__xludf.DUMMYFUNCTION("""COMPUTED_VALUE"""),42552.64583333333)</f>
        <v>42552.64583</v>
      </c>
      <c r="C521" s="2">
        <f>IFERROR(__xludf.DUMMYFUNCTION("""COMPUTED_VALUE"""),131.33)</f>
        <v>131.33</v>
      </c>
    </row>
    <row r="522" ht="15.75" customHeight="1">
      <c r="B522" s="3">
        <f>IFERROR(__xludf.DUMMYFUNCTION("""COMPUTED_VALUE"""),42559.64583333333)</f>
        <v>42559.64583</v>
      </c>
      <c r="C522" s="2">
        <f>IFERROR(__xludf.DUMMYFUNCTION("""COMPUTED_VALUE"""),131.67)</f>
        <v>131.67</v>
      </c>
    </row>
    <row r="523" ht="15.75" customHeight="1">
      <c r="B523" s="3">
        <f>IFERROR(__xludf.DUMMYFUNCTION("""COMPUTED_VALUE"""),42566.64583333333)</f>
        <v>42566.64583</v>
      </c>
      <c r="C523" s="2">
        <f>IFERROR(__xludf.DUMMYFUNCTION("""COMPUTED_VALUE"""),132.83)</f>
        <v>132.83</v>
      </c>
    </row>
    <row r="524" ht="15.75" customHeight="1">
      <c r="B524" s="3">
        <f>IFERROR(__xludf.DUMMYFUNCTION("""COMPUTED_VALUE"""),42573.64583333333)</f>
        <v>42573.64583</v>
      </c>
      <c r="C524" s="2">
        <f>IFERROR(__xludf.DUMMYFUNCTION("""COMPUTED_VALUE"""),131.79)</f>
        <v>131.79</v>
      </c>
    </row>
    <row r="525" ht="15.75" customHeight="1">
      <c r="B525" s="3">
        <f>IFERROR(__xludf.DUMMYFUNCTION("""COMPUTED_VALUE"""),42580.64583333333)</f>
        <v>42580.64583</v>
      </c>
      <c r="C525" s="2">
        <f>IFERROR(__xludf.DUMMYFUNCTION("""COMPUTED_VALUE"""),133.67)</f>
        <v>133.67</v>
      </c>
    </row>
    <row r="526" ht="15.75" customHeight="1">
      <c r="B526" s="3">
        <f>IFERROR(__xludf.DUMMYFUNCTION("""COMPUTED_VALUE"""),42587.64583333333)</f>
        <v>42587.64583</v>
      </c>
      <c r="C526" s="2">
        <f>IFERROR(__xludf.DUMMYFUNCTION("""COMPUTED_VALUE"""),135.83)</f>
        <v>135.83</v>
      </c>
    </row>
    <row r="527" ht="15.75" customHeight="1">
      <c r="B527" s="3">
        <f>IFERROR(__xludf.DUMMYFUNCTION("""COMPUTED_VALUE"""),42594.64583333333)</f>
        <v>42594.64583</v>
      </c>
      <c r="C527" s="2">
        <f>IFERROR(__xludf.DUMMYFUNCTION("""COMPUTED_VALUE"""),135.21)</f>
        <v>135.21</v>
      </c>
    </row>
    <row r="528" ht="15.75" customHeight="1">
      <c r="B528" s="3">
        <f>IFERROR(__xludf.DUMMYFUNCTION("""COMPUTED_VALUE"""),42601.64583333333)</f>
        <v>42601.64583</v>
      </c>
      <c r="C528" s="2">
        <f>IFERROR(__xludf.DUMMYFUNCTION("""COMPUTED_VALUE"""),141.67)</f>
        <v>141.67</v>
      </c>
    </row>
    <row r="529" ht="15.75" customHeight="1">
      <c r="B529" s="3">
        <f>IFERROR(__xludf.DUMMYFUNCTION("""COMPUTED_VALUE"""),42608.64583333333)</f>
        <v>42608.64583</v>
      </c>
      <c r="C529" s="2">
        <f>IFERROR(__xludf.DUMMYFUNCTION("""COMPUTED_VALUE"""),140.67)</f>
        <v>140.67</v>
      </c>
    </row>
    <row r="530" ht="15.75" customHeight="1">
      <c r="B530" s="3">
        <f>IFERROR(__xludf.DUMMYFUNCTION("""COMPUTED_VALUE"""),42615.64583333333)</f>
        <v>42615.64583</v>
      </c>
      <c r="C530" s="2">
        <f>IFERROR(__xludf.DUMMYFUNCTION("""COMPUTED_VALUE"""),135.25)</f>
        <v>135.25</v>
      </c>
    </row>
    <row r="531" ht="15.75" customHeight="1">
      <c r="B531" s="3">
        <f>IFERROR(__xludf.DUMMYFUNCTION("""COMPUTED_VALUE"""),42622.64583333333)</f>
        <v>42622.64583</v>
      </c>
      <c r="C531" s="2">
        <f>IFERROR(__xludf.DUMMYFUNCTION("""COMPUTED_VALUE"""),136.67)</f>
        <v>136.67</v>
      </c>
    </row>
    <row r="532" ht="15.75" customHeight="1">
      <c r="B532" s="3">
        <f>IFERROR(__xludf.DUMMYFUNCTION("""COMPUTED_VALUE"""),42629.64583333333)</f>
        <v>42629.64583</v>
      </c>
      <c r="C532" s="2">
        <f>IFERROR(__xludf.DUMMYFUNCTION("""COMPUTED_VALUE"""),131.83)</f>
        <v>131.83</v>
      </c>
    </row>
    <row r="533" ht="15.75" customHeight="1">
      <c r="B533" s="3">
        <f>IFERROR(__xludf.DUMMYFUNCTION("""COMPUTED_VALUE"""),42636.64583333333)</f>
        <v>42636.64583</v>
      </c>
      <c r="C533" s="2">
        <f>IFERROR(__xludf.DUMMYFUNCTION("""COMPUTED_VALUE"""),131.67)</f>
        <v>131.67</v>
      </c>
    </row>
    <row r="534" ht="15.75" customHeight="1">
      <c r="B534" s="3">
        <f>IFERROR(__xludf.DUMMYFUNCTION("""COMPUTED_VALUE"""),42643.64583333333)</f>
        <v>42643.64583</v>
      </c>
      <c r="C534" s="2">
        <f>IFERROR(__xludf.DUMMYFUNCTION("""COMPUTED_VALUE"""),130.42)</f>
        <v>130.42</v>
      </c>
    </row>
    <row r="535" ht="15.75" customHeight="1">
      <c r="B535" s="3">
        <f>IFERROR(__xludf.DUMMYFUNCTION("""COMPUTED_VALUE"""),42650.64583333333)</f>
        <v>42650.64583</v>
      </c>
      <c r="C535" s="2">
        <f>IFERROR(__xludf.DUMMYFUNCTION("""COMPUTED_VALUE"""),128.21)</f>
        <v>128.21</v>
      </c>
    </row>
    <row r="536" ht="15.75" customHeight="1">
      <c r="B536" s="3">
        <f>IFERROR(__xludf.DUMMYFUNCTION("""COMPUTED_VALUE"""),42657.64583333333)</f>
        <v>42657.64583</v>
      </c>
      <c r="C536" s="2">
        <f>IFERROR(__xludf.DUMMYFUNCTION("""COMPUTED_VALUE"""),124.54)</f>
        <v>124.54</v>
      </c>
    </row>
    <row r="537" ht="15.75" customHeight="1">
      <c r="B537" s="3">
        <f>IFERROR(__xludf.DUMMYFUNCTION("""COMPUTED_VALUE"""),42664.64583333333)</f>
        <v>42664.64583</v>
      </c>
      <c r="C537" s="2">
        <f>IFERROR(__xludf.DUMMYFUNCTION("""COMPUTED_VALUE"""),125.17)</f>
        <v>125.17</v>
      </c>
    </row>
    <row r="538" ht="15.75" customHeight="1">
      <c r="B538" s="3">
        <f>IFERROR(__xludf.DUMMYFUNCTION("""COMPUTED_VALUE"""),42671.64583333333)</f>
        <v>42671.64583</v>
      </c>
      <c r="C538" s="2">
        <f>IFERROR(__xludf.DUMMYFUNCTION("""COMPUTED_VALUE"""),129.13)</f>
        <v>129.13</v>
      </c>
    </row>
    <row r="539" ht="15.75" customHeight="1">
      <c r="B539" s="3">
        <f>IFERROR(__xludf.DUMMYFUNCTION("""COMPUTED_VALUE"""),42678.64583333333)</f>
        <v>42678.64583</v>
      </c>
      <c r="C539" s="2">
        <f>IFERROR(__xludf.DUMMYFUNCTION("""COMPUTED_VALUE"""),131.33)</f>
        <v>131.33</v>
      </c>
    </row>
    <row r="540" ht="15.75" customHeight="1">
      <c r="B540" s="3">
        <f>IFERROR(__xludf.DUMMYFUNCTION("""COMPUTED_VALUE"""),42685.64583333333)</f>
        <v>42685.64583</v>
      </c>
      <c r="C540" s="2">
        <f>IFERROR(__xludf.DUMMYFUNCTION("""COMPUTED_VALUE"""),130.75)</f>
        <v>130.75</v>
      </c>
    </row>
    <row r="541" ht="15.75" customHeight="1">
      <c r="B541" s="3">
        <f>IFERROR(__xludf.DUMMYFUNCTION("""COMPUTED_VALUE"""),42692.64583333333)</f>
        <v>42692.64583</v>
      </c>
      <c r="C541" s="2">
        <f>IFERROR(__xludf.DUMMYFUNCTION("""COMPUTED_VALUE"""),133.33)</f>
        <v>133.33</v>
      </c>
    </row>
    <row r="542" ht="15.75" customHeight="1">
      <c r="B542" s="3">
        <f>IFERROR(__xludf.DUMMYFUNCTION("""COMPUTED_VALUE"""),42699.64583333333)</f>
        <v>42699.64583</v>
      </c>
      <c r="C542" s="2">
        <f>IFERROR(__xludf.DUMMYFUNCTION("""COMPUTED_VALUE"""),135.38)</f>
        <v>135.38</v>
      </c>
    </row>
    <row r="543" ht="15.75" customHeight="1">
      <c r="B543" s="3">
        <f>IFERROR(__xludf.DUMMYFUNCTION("""COMPUTED_VALUE"""),42706.64583333333)</f>
        <v>42706.64583</v>
      </c>
      <c r="C543" s="2">
        <f>IFERROR(__xludf.DUMMYFUNCTION("""COMPUTED_VALUE"""),137.67)</f>
        <v>137.67</v>
      </c>
    </row>
    <row r="544" ht="15.75" customHeight="1">
      <c r="B544" s="3">
        <f>IFERROR(__xludf.DUMMYFUNCTION("""COMPUTED_VALUE"""),42713.64583333333)</f>
        <v>42713.64583</v>
      </c>
      <c r="C544" s="2">
        <f>IFERROR(__xludf.DUMMYFUNCTION("""COMPUTED_VALUE"""),138.17)</f>
        <v>138.17</v>
      </c>
    </row>
    <row r="545" ht="15.75" customHeight="1">
      <c r="B545" s="3">
        <f>IFERROR(__xludf.DUMMYFUNCTION("""COMPUTED_VALUE"""),42720.64583333333)</f>
        <v>42720.64583</v>
      </c>
      <c r="C545" s="2">
        <f>IFERROR(__xludf.DUMMYFUNCTION("""COMPUTED_VALUE"""),140.0)</f>
        <v>140</v>
      </c>
    </row>
    <row r="546" ht="15.75" customHeight="1">
      <c r="B546" s="3">
        <f>IFERROR(__xludf.DUMMYFUNCTION("""COMPUTED_VALUE"""),42727.64583333333)</f>
        <v>42727.64583</v>
      </c>
      <c r="C546" s="2">
        <f>IFERROR(__xludf.DUMMYFUNCTION("""COMPUTED_VALUE"""),137.42)</f>
        <v>137.42</v>
      </c>
    </row>
    <row r="547" ht="15.75" customHeight="1">
      <c r="B547" s="3">
        <f>IFERROR(__xludf.DUMMYFUNCTION("""COMPUTED_VALUE"""),42734.64583333333)</f>
        <v>42734.64583</v>
      </c>
      <c r="C547" s="2">
        <f>IFERROR(__xludf.DUMMYFUNCTION("""COMPUTED_VALUE"""),137.88)</f>
        <v>137.88</v>
      </c>
    </row>
    <row r="548" ht="15.75" customHeight="1"/>
    <row r="549" ht="15.75" customHeight="1"/>
    <row r="550" ht="15.75" customHeight="1"/>
    <row r="551" ht="15.75" customHeight="1">
      <c r="B551" s="2" t="str">
        <f>IFERROR(__xludf.DUMMYFUNCTION("GOOGLEFINANCE(""NSE:NTPC"", ""high"",DATE(2017,1,1),DATE(2018,1,1),""weekly"")"),"Date")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IFERROR(__xludf.DUMMYFUNCTION("""COMPUTED_VALUE"""),42741.64583333333)</f>
        <v>42741.64583</v>
      </c>
      <c r="C552" s="2">
        <f>IFERROR(__xludf.DUMMYFUNCTION("""COMPUTED_VALUE"""),139.58)</f>
        <v>139.58</v>
      </c>
    </row>
    <row r="553" ht="15.75" customHeight="1">
      <c r="B553" s="3">
        <f>IFERROR(__xludf.DUMMYFUNCTION("""COMPUTED_VALUE"""),42748.64583333333)</f>
        <v>42748.64583</v>
      </c>
      <c r="C553" s="2">
        <f>IFERROR(__xludf.DUMMYFUNCTION("""COMPUTED_VALUE"""),145.83)</f>
        <v>145.83</v>
      </c>
    </row>
    <row r="554" ht="15.75" customHeight="1">
      <c r="B554" s="3">
        <f>IFERROR(__xludf.DUMMYFUNCTION("""COMPUTED_VALUE"""),42755.64583333333)</f>
        <v>42755.64583</v>
      </c>
      <c r="C554" s="2">
        <f>IFERROR(__xludf.DUMMYFUNCTION("""COMPUTED_VALUE"""),146.88)</f>
        <v>146.88</v>
      </c>
    </row>
    <row r="555" ht="15.75" customHeight="1">
      <c r="B555" s="3">
        <f>IFERROR(__xludf.DUMMYFUNCTION("""COMPUTED_VALUE"""),42762.64583333333)</f>
        <v>42762.64583</v>
      </c>
      <c r="C555" s="2">
        <f>IFERROR(__xludf.DUMMYFUNCTION("""COMPUTED_VALUE"""),148.54)</f>
        <v>148.54</v>
      </c>
    </row>
    <row r="556" ht="15.75" customHeight="1">
      <c r="B556" s="3">
        <f>IFERROR(__xludf.DUMMYFUNCTION("""COMPUTED_VALUE"""),42769.64583333333)</f>
        <v>42769.64583</v>
      </c>
      <c r="C556" s="2">
        <f>IFERROR(__xludf.DUMMYFUNCTION("""COMPUTED_VALUE"""),148.25)</f>
        <v>148.25</v>
      </c>
    </row>
    <row r="557" ht="15.75" customHeight="1">
      <c r="B557" s="3">
        <f>IFERROR(__xludf.DUMMYFUNCTION("""COMPUTED_VALUE"""),42776.64583333333)</f>
        <v>42776.64583</v>
      </c>
      <c r="C557" s="2">
        <f>IFERROR(__xludf.DUMMYFUNCTION("""COMPUTED_VALUE"""),146.25)</f>
        <v>146.25</v>
      </c>
    </row>
    <row r="558" ht="15.75" customHeight="1">
      <c r="B558" s="3">
        <f>IFERROR(__xludf.DUMMYFUNCTION("""COMPUTED_VALUE"""),42783.64583333333)</f>
        <v>42783.64583</v>
      </c>
      <c r="C558" s="2">
        <f>IFERROR(__xludf.DUMMYFUNCTION("""COMPUTED_VALUE"""),144.25)</f>
        <v>144.25</v>
      </c>
    </row>
    <row r="559" ht="15.75" customHeight="1">
      <c r="B559" s="3">
        <f>IFERROR(__xludf.DUMMYFUNCTION("""COMPUTED_VALUE"""),42789.64583333333)</f>
        <v>42789.64583</v>
      </c>
      <c r="C559" s="2">
        <f>IFERROR(__xludf.DUMMYFUNCTION("""COMPUTED_VALUE"""),145.0)</f>
        <v>145</v>
      </c>
    </row>
    <row r="560" ht="15.75" customHeight="1">
      <c r="B560" s="3">
        <f>IFERROR(__xludf.DUMMYFUNCTION("""COMPUTED_VALUE"""),42797.64583333333)</f>
        <v>42797.64583</v>
      </c>
      <c r="C560" s="2">
        <f>IFERROR(__xludf.DUMMYFUNCTION("""COMPUTED_VALUE"""),138.71)</f>
        <v>138.71</v>
      </c>
    </row>
    <row r="561" ht="15.75" customHeight="1">
      <c r="B561" s="3">
        <f>IFERROR(__xludf.DUMMYFUNCTION("""COMPUTED_VALUE"""),42804.64583333333)</f>
        <v>42804.64583</v>
      </c>
      <c r="C561" s="2">
        <f>IFERROR(__xludf.DUMMYFUNCTION("""COMPUTED_VALUE"""),133.38)</f>
        <v>133.38</v>
      </c>
    </row>
    <row r="562" ht="15.75" customHeight="1">
      <c r="B562" s="3">
        <f>IFERROR(__xludf.DUMMYFUNCTION("""COMPUTED_VALUE"""),42811.64583333333)</f>
        <v>42811.64583</v>
      </c>
      <c r="C562" s="2">
        <f>IFERROR(__xludf.DUMMYFUNCTION("""COMPUTED_VALUE"""),134.88)</f>
        <v>134.88</v>
      </c>
    </row>
    <row r="563" ht="15.75" customHeight="1">
      <c r="B563" s="3">
        <f>IFERROR(__xludf.DUMMYFUNCTION("""COMPUTED_VALUE"""),42818.64583333333)</f>
        <v>42818.64583</v>
      </c>
      <c r="C563" s="2">
        <f>IFERROR(__xludf.DUMMYFUNCTION("""COMPUTED_VALUE"""),137.96)</f>
        <v>137.96</v>
      </c>
    </row>
    <row r="564" ht="15.75" customHeight="1">
      <c r="B564" s="3">
        <f>IFERROR(__xludf.DUMMYFUNCTION("""COMPUTED_VALUE"""),42825.64583333333)</f>
        <v>42825.64583</v>
      </c>
      <c r="C564" s="2">
        <f>IFERROR(__xludf.DUMMYFUNCTION("""COMPUTED_VALUE"""),138.96)</f>
        <v>138.96</v>
      </c>
    </row>
    <row r="565" ht="15.75" customHeight="1">
      <c r="B565" s="3">
        <f>IFERROR(__xludf.DUMMYFUNCTION("""COMPUTED_VALUE"""),42832.64583333333)</f>
        <v>42832.64583</v>
      </c>
      <c r="C565" s="2">
        <f>IFERROR(__xludf.DUMMYFUNCTION("""COMPUTED_VALUE"""),141.08)</f>
        <v>141.08</v>
      </c>
    </row>
    <row r="566" ht="15.75" customHeight="1">
      <c r="B566" s="3">
        <f>IFERROR(__xludf.DUMMYFUNCTION("""COMPUTED_VALUE"""),42838.64583333333)</f>
        <v>42838.64583</v>
      </c>
      <c r="C566" s="2">
        <f>IFERROR(__xludf.DUMMYFUNCTION("""COMPUTED_VALUE"""),140.79)</f>
        <v>140.79</v>
      </c>
    </row>
    <row r="567" ht="15.75" customHeight="1">
      <c r="B567" s="3">
        <f>IFERROR(__xludf.DUMMYFUNCTION("""COMPUTED_VALUE"""),42846.64583333333)</f>
        <v>42846.64583</v>
      </c>
      <c r="C567" s="2">
        <f>IFERROR(__xludf.DUMMYFUNCTION("""COMPUTED_VALUE"""),139.58)</f>
        <v>139.58</v>
      </c>
    </row>
    <row r="568" ht="15.75" customHeight="1">
      <c r="B568" s="3">
        <f>IFERROR(__xludf.DUMMYFUNCTION("""COMPUTED_VALUE"""),42853.64583333333)</f>
        <v>42853.64583</v>
      </c>
      <c r="C568" s="2">
        <f>IFERROR(__xludf.DUMMYFUNCTION("""COMPUTED_VALUE"""),140.38)</f>
        <v>140.38</v>
      </c>
    </row>
    <row r="569" ht="15.75" customHeight="1">
      <c r="B569" s="3">
        <f>IFERROR(__xludf.DUMMYFUNCTION("""COMPUTED_VALUE"""),42860.64583333333)</f>
        <v>42860.64583</v>
      </c>
      <c r="C569" s="2">
        <f>IFERROR(__xludf.DUMMYFUNCTION("""COMPUTED_VALUE"""),138.0)</f>
        <v>138</v>
      </c>
    </row>
    <row r="570" ht="15.75" customHeight="1">
      <c r="B570" s="3">
        <f>IFERROR(__xludf.DUMMYFUNCTION("""COMPUTED_VALUE"""),42867.64583333333)</f>
        <v>42867.64583</v>
      </c>
      <c r="C570" s="2">
        <f>IFERROR(__xludf.DUMMYFUNCTION("""COMPUTED_VALUE"""),135.79)</f>
        <v>135.79</v>
      </c>
    </row>
    <row r="571" ht="15.75" customHeight="1">
      <c r="B571" s="3">
        <f>IFERROR(__xludf.DUMMYFUNCTION("""COMPUTED_VALUE"""),42874.64583333333)</f>
        <v>42874.64583</v>
      </c>
      <c r="C571" s="2">
        <f>IFERROR(__xludf.DUMMYFUNCTION("""COMPUTED_VALUE"""),134.83)</f>
        <v>134.83</v>
      </c>
    </row>
    <row r="572" ht="15.75" customHeight="1">
      <c r="B572" s="3">
        <f>IFERROR(__xludf.DUMMYFUNCTION("""COMPUTED_VALUE"""),42881.64583333333)</f>
        <v>42881.64583</v>
      </c>
      <c r="C572" s="2">
        <f>IFERROR(__xludf.DUMMYFUNCTION("""COMPUTED_VALUE"""),133.54)</f>
        <v>133.54</v>
      </c>
    </row>
    <row r="573" ht="15.75" customHeight="1">
      <c r="B573" s="3">
        <f>IFERROR(__xludf.DUMMYFUNCTION("""COMPUTED_VALUE"""),42888.64583333333)</f>
        <v>42888.64583</v>
      </c>
      <c r="C573" s="2">
        <f>IFERROR(__xludf.DUMMYFUNCTION("""COMPUTED_VALUE"""),136.25)</f>
        <v>136.25</v>
      </c>
    </row>
    <row r="574" ht="15.75" customHeight="1">
      <c r="B574" s="3">
        <f>IFERROR(__xludf.DUMMYFUNCTION("""COMPUTED_VALUE"""),42895.64583333333)</f>
        <v>42895.64583</v>
      </c>
      <c r="C574" s="2">
        <f>IFERROR(__xludf.DUMMYFUNCTION("""COMPUTED_VALUE"""),135.92)</f>
        <v>135.92</v>
      </c>
    </row>
    <row r="575" ht="15.75" customHeight="1">
      <c r="B575" s="3">
        <f>IFERROR(__xludf.DUMMYFUNCTION("""COMPUTED_VALUE"""),42902.64583333333)</f>
        <v>42902.64583</v>
      </c>
      <c r="C575" s="2">
        <f>IFERROR(__xludf.DUMMYFUNCTION("""COMPUTED_VALUE"""),135.42)</f>
        <v>135.42</v>
      </c>
    </row>
    <row r="576" ht="15.75" customHeight="1">
      <c r="B576" s="3">
        <f>IFERROR(__xludf.DUMMYFUNCTION("""COMPUTED_VALUE"""),42909.64583333333)</f>
        <v>42909.64583</v>
      </c>
      <c r="C576" s="2">
        <f>IFERROR(__xludf.DUMMYFUNCTION("""COMPUTED_VALUE"""),134.75)</f>
        <v>134.75</v>
      </c>
    </row>
    <row r="577" ht="15.75" customHeight="1">
      <c r="B577" s="3">
        <f>IFERROR(__xludf.DUMMYFUNCTION("""COMPUTED_VALUE"""),42916.64583333333)</f>
        <v>42916.64583</v>
      </c>
      <c r="C577" s="2">
        <f>IFERROR(__xludf.DUMMYFUNCTION("""COMPUTED_VALUE"""),133.42)</f>
        <v>133.42</v>
      </c>
    </row>
    <row r="578" ht="15.75" customHeight="1">
      <c r="B578" s="3">
        <f>IFERROR(__xludf.DUMMYFUNCTION("""COMPUTED_VALUE"""),42923.64583333333)</f>
        <v>42923.64583</v>
      </c>
      <c r="C578" s="2">
        <f>IFERROR(__xludf.DUMMYFUNCTION("""COMPUTED_VALUE"""),133.42)</f>
        <v>133.42</v>
      </c>
    </row>
    <row r="579" ht="15.75" customHeight="1">
      <c r="B579" s="3">
        <f>IFERROR(__xludf.DUMMYFUNCTION("""COMPUTED_VALUE"""),42930.64583333333)</f>
        <v>42930.64583</v>
      </c>
      <c r="C579" s="2">
        <f>IFERROR(__xludf.DUMMYFUNCTION("""COMPUTED_VALUE"""),140.25)</f>
        <v>140.25</v>
      </c>
    </row>
    <row r="580" ht="15.75" customHeight="1">
      <c r="B580" s="3">
        <f>IFERROR(__xludf.DUMMYFUNCTION("""COMPUTED_VALUE"""),42937.64583333333)</f>
        <v>42937.64583</v>
      </c>
      <c r="C580" s="2">
        <f>IFERROR(__xludf.DUMMYFUNCTION("""COMPUTED_VALUE"""),143.21)</f>
        <v>143.21</v>
      </c>
    </row>
    <row r="581" ht="15.75" customHeight="1">
      <c r="B581" s="3">
        <f>IFERROR(__xludf.DUMMYFUNCTION("""COMPUTED_VALUE"""),42944.64583333333)</f>
        <v>42944.64583</v>
      </c>
      <c r="C581" s="2">
        <f>IFERROR(__xludf.DUMMYFUNCTION("""COMPUTED_VALUE"""),139.33)</f>
        <v>139.33</v>
      </c>
    </row>
    <row r="582" ht="15.75" customHeight="1">
      <c r="B582" s="3">
        <f>IFERROR(__xludf.DUMMYFUNCTION("""COMPUTED_VALUE"""),42951.64583333333)</f>
        <v>42951.64583</v>
      </c>
      <c r="C582" s="2">
        <f>IFERROR(__xludf.DUMMYFUNCTION("""COMPUTED_VALUE"""),148.5)</f>
        <v>148.5</v>
      </c>
    </row>
    <row r="583" ht="15.75" customHeight="1">
      <c r="B583" s="3">
        <f>IFERROR(__xludf.DUMMYFUNCTION("""COMPUTED_VALUE"""),42958.64583333333)</f>
        <v>42958.64583</v>
      </c>
      <c r="C583" s="2">
        <f>IFERROR(__xludf.DUMMYFUNCTION("""COMPUTED_VALUE"""),149.29)</f>
        <v>149.29</v>
      </c>
    </row>
    <row r="584" ht="15.75" customHeight="1">
      <c r="B584" s="3">
        <f>IFERROR(__xludf.DUMMYFUNCTION("""COMPUTED_VALUE"""),42965.64583333333)</f>
        <v>42965.64583</v>
      </c>
      <c r="C584" s="2">
        <f>IFERROR(__xludf.DUMMYFUNCTION("""COMPUTED_VALUE"""),148.88)</f>
        <v>148.88</v>
      </c>
    </row>
    <row r="585" ht="15.75" customHeight="1">
      <c r="B585" s="3">
        <f>IFERROR(__xludf.DUMMYFUNCTION("""COMPUTED_VALUE"""),42971.64583333333)</f>
        <v>42971.64583</v>
      </c>
      <c r="C585" s="2">
        <f>IFERROR(__xludf.DUMMYFUNCTION("""COMPUTED_VALUE"""),145.92)</f>
        <v>145.92</v>
      </c>
    </row>
    <row r="586" ht="15.75" customHeight="1">
      <c r="B586" s="3">
        <f>IFERROR(__xludf.DUMMYFUNCTION("""COMPUTED_VALUE"""),42979.64583333333)</f>
        <v>42979.64583</v>
      </c>
      <c r="C586" s="2">
        <f>IFERROR(__xludf.DUMMYFUNCTION("""COMPUTED_VALUE"""),145.0)</f>
        <v>145</v>
      </c>
    </row>
    <row r="587" ht="15.75" customHeight="1">
      <c r="B587" s="3">
        <f>IFERROR(__xludf.DUMMYFUNCTION("""COMPUTED_VALUE"""),42986.64583333333)</f>
        <v>42986.64583</v>
      </c>
      <c r="C587" s="2">
        <f>IFERROR(__xludf.DUMMYFUNCTION("""COMPUTED_VALUE"""),142.25)</f>
        <v>142.25</v>
      </c>
    </row>
    <row r="588" ht="15.75" customHeight="1">
      <c r="B588" s="3">
        <f>IFERROR(__xludf.DUMMYFUNCTION("""COMPUTED_VALUE"""),42993.64583333333)</f>
        <v>42993.64583</v>
      </c>
      <c r="C588" s="2">
        <f>IFERROR(__xludf.DUMMYFUNCTION("""COMPUTED_VALUE"""),143.21)</f>
        <v>143.21</v>
      </c>
    </row>
    <row r="589" ht="15.75" customHeight="1">
      <c r="B589" s="3">
        <f>IFERROR(__xludf.DUMMYFUNCTION("""COMPUTED_VALUE"""),43000.64583333333)</f>
        <v>43000.64583</v>
      </c>
      <c r="C589" s="2">
        <f>IFERROR(__xludf.DUMMYFUNCTION("""COMPUTED_VALUE"""),141.96)</f>
        <v>141.96</v>
      </c>
    </row>
    <row r="590" ht="15.75" customHeight="1">
      <c r="B590" s="3">
        <f>IFERROR(__xludf.DUMMYFUNCTION("""COMPUTED_VALUE"""),43007.64583333333)</f>
        <v>43007.64583</v>
      </c>
      <c r="C590" s="2">
        <f>IFERROR(__xludf.DUMMYFUNCTION("""COMPUTED_VALUE"""),139.96)</f>
        <v>139.96</v>
      </c>
    </row>
    <row r="591" ht="15.75" customHeight="1">
      <c r="B591" s="3">
        <f>IFERROR(__xludf.DUMMYFUNCTION("""COMPUTED_VALUE"""),43014.64583333333)</f>
        <v>43014.64583</v>
      </c>
      <c r="C591" s="2">
        <f>IFERROR(__xludf.DUMMYFUNCTION("""COMPUTED_VALUE"""),148.33)</f>
        <v>148.33</v>
      </c>
    </row>
    <row r="592" ht="15.75" customHeight="1">
      <c r="B592" s="3">
        <f>IFERROR(__xludf.DUMMYFUNCTION("""COMPUTED_VALUE"""),43021.64583333333)</f>
        <v>43021.64583</v>
      </c>
      <c r="C592" s="2">
        <f>IFERROR(__xludf.DUMMYFUNCTION("""COMPUTED_VALUE"""),149.08)</f>
        <v>149.08</v>
      </c>
    </row>
    <row r="593" ht="15.75" customHeight="1">
      <c r="B593" s="3">
        <f>IFERROR(__xludf.DUMMYFUNCTION("""COMPUTED_VALUE"""),43027.83333333333)</f>
        <v>43027.83333</v>
      </c>
      <c r="C593" s="2">
        <f>IFERROR(__xludf.DUMMYFUNCTION("""COMPUTED_VALUE"""),150.0)</f>
        <v>150</v>
      </c>
    </row>
    <row r="594" ht="15.75" customHeight="1">
      <c r="B594" s="3">
        <f>IFERROR(__xludf.DUMMYFUNCTION("""COMPUTED_VALUE"""),43035.64583333333)</f>
        <v>43035.64583</v>
      </c>
      <c r="C594" s="2">
        <f>IFERROR(__xludf.DUMMYFUNCTION("""COMPUTED_VALUE"""),156.67)</f>
        <v>156.67</v>
      </c>
    </row>
    <row r="595" ht="15.75" customHeight="1">
      <c r="B595" s="3">
        <f>IFERROR(__xludf.DUMMYFUNCTION("""COMPUTED_VALUE"""),43042.64583333333)</f>
        <v>43042.64583</v>
      </c>
      <c r="C595" s="2">
        <f>IFERROR(__xludf.DUMMYFUNCTION("""COMPUTED_VALUE"""),153.75)</f>
        <v>153.75</v>
      </c>
    </row>
    <row r="596" ht="15.75" customHeight="1">
      <c r="B596" s="3">
        <f>IFERROR(__xludf.DUMMYFUNCTION("""COMPUTED_VALUE"""),43049.64583333333)</f>
        <v>43049.64583</v>
      </c>
      <c r="C596" s="2">
        <f>IFERROR(__xludf.DUMMYFUNCTION("""COMPUTED_VALUE"""),151.58)</f>
        <v>151.58</v>
      </c>
    </row>
    <row r="597" ht="15.75" customHeight="1">
      <c r="B597" s="3">
        <f>IFERROR(__xludf.DUMMYFUNCTION("""COMPUTED_VALUE"""),43056.64583333333)</f>
        <v>43056.64583</v>
      </c>
      <c r="C597" s="2">
        <f>IFERROR(__xludf.DUMMYFUNCTION("""COMPUTED_VALUE"""),151.54)</f>
        <v>151.54</v>
      </c>
    </row>
    <row r="598" ht="15.75" customHeight="1">
      <c r="B598" s="3">
        <f>IFERROR(__xludf.DUMMYFUNCTION("""COMPUTED_VALUE"""),43063.64583333333)</f>
        <v>43063.64583</v>
      </c>
      <c r="C598" s="2">
        <f>IFERROR(__xludf.DUMMYFUNCTION("""COMPUTED_VALUE"""),154.83)</f>
        <v>154.83</v>
      </c>
    </row>
    <row r="599" ht="15.75" customHeight="1">
      <c r="B599" s="3">
        <f>IFERROR(__xludf.DUMMYFUNCTION("""COMPUTED_VALUE"""),43070.64583333333)</f>
        <v>43070.64583</v>
      </c>
      <c r="C599" s="2">
        <f>IFERROR(__xludf.DUMMYFUNCTION("""COMPUTED_VALUE"""),155.71)</f>
        <v>155.71</v>
      </c>
    </row>
    <row r="600" ht="15.75" customHeight="1">
      <c r="B600" s="3">
        <f>IFERROR(__xludf.DUMMYFUNCTION("""COMPUTED_VALUE"""),43077.64583333333)</f>
        <v>43077.64583</v>
      </c>
      <c r="C600" s="2">
        <f>IFERROR(__xludf.DUMMYFUNCTION("""COMPUTED_VALUE"""),151.88)</f>
        <v>151.88</v>
      </c>
    </row>
    <row r="601" ht="15.75" customHeight="1">
      <c r="B601" s="3">
        <f>IFERROR(__xludf.DUMMYFUNCTION("""COMPUTED_VALUE"""),43084.64583333333)</f>
        <v>43084.64583</v>
      </c>
      <c r="C601" s="2">
        <f>IFERROR(__xludf.DUMMYFUNCTION("""COMPUTED_VALUE"""),151.67)</f>
        <v>151.67</v>
      </c>
    </row>
    <row r="602" ht="15.75" customHeight="1">
      <c r="B602" s="3">
        <f>IFERROR(__xludf.DUMMYFUNCTION("""COMPUTED_VALUE"""),43091.64583333333)</f>
        <v>43091.64583</v>
      </c>
      <c r="C602" s="2">
        <f>IFERROR(__xludf.DUMMYFUNCTION("""COMPUTED_VALUE"""),150.54)</f>
        <v>150.54</v>
      </c>
    </row>
    <row r="603" ht="15.75" customHeight="1">
      <c r="B603" s="3">
        <f>IFERROR(__xludf.DUMMYFUNCTION("""COMPUTED_VALUE"""),43098.64583333333)</f>
        <v>43098.64583</v>
      </c>
      <c r="C603" s="2">
        <f>IFERROR(__xludf.DUMMYFUNCTION("""COMPUTED_VALUE"""),150.42)</f>
        <v>150.42</v>
      </c>
    </row>
    <row r="604" ht="15.75" customHeight="1"/>
    <row r="605" ht="15.75" customHeight="1"/>
    <row r="606" ht="15.75" customHeight="1">
      <c r="B606" s="2" t="str">
        <f>IFERROR(__xludf.DUMMYFUNCTION("GOOGLEFINANCE(""NSE:NTPC"", ""high"",DATE(2018,1,1),DATE(2019,1,1),""weekly"")"),"Date")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IFERROR(__xludf.DUMMYFUNCTION("""COMPUTED_VALUE"""),43105.64583333333)</f>
        <v>43105.64583</v>
      </c>
      <c r="C607" s="2">
        <f>IFERROR(__xludf.DUMMYFUNCTION("""COMPUTED_VALUE"""),150.25)</f>
        <v>150.25</v>
      </c>
    </row>
    <row r="608" ht="15.75" customHeight="1">
      <c r="B608" s="3">
        <f>IFERROR(__xludf.DUMMYFUNCTION("""COMPUTED_VALUE"""),43112.64583333333)</f>
        <v>43112.64583</v>
      </c>
      <c r="C608" s="2">
        <f>IFERROR(__xludf.DUMMYFUNCTION("""COMPUTED_VALUE"""),148.75)</f>
        <v>148.75</v>
      </c>
    </row>
    <row r="609" ht="15.75" customHeight="1">
      <c r="B609" s="3">
        <f>IFERROR(__xludf.DUMMYFUNCTION("""COMPUTED_VALUE"""),43119.64583333333)</f>
        <v>43119.64583</v>
      </c>
      <c r="C609" s="2">
        <f>IFERROR(__xludf.DUMMYFUNCTION("""COMPUTED_VALUE"""),146.17)</f>
        <v>146.17</v>
      </c>
    </row>
    <row r="610" ht="15.75" customHeight="1">
      <c r="B610" s="3">
        <f>IFERROR(__xludf.DUMMYFUNCTION("""COMPUTED_VALUE"""),43125.64583333333)</f>
        <v>43125.64583</v>
      </c>
      <c r="C610" s="2">
        <f>IFERROR(__xludf.DUMMYFUNCTION("""COMPUTED_VALUE"""),146.88)</f>
        <v>146.88</v>
      </c>
    </row>
    <row r="611" ht="15.75" customHeight="1">
      <c r="B611" s="3">
        <f>IFERROR(__xludf.DUMMYFUNCTION("""COMPUTED_VALUE"""),43133.64583333333)</f>
        <v>43133.64583</v>
      </c>
      <c r="C611" s="2">
        <f>IFERROR(__xludf.DUMMYFUNCTION("""COMPUTED_VALUE"""),143.96)</f>
        <v>143.96</v>
      </c>
    </row>
    <row r="612" ht="15.75" customHeight="1">
      <c r="B612" s="3">
        <f>IFERROR(__xludf.DUMMYFUNCTION("""COMPUTED_VALUE"""),43140.64583333333)</f>
        <v>43140.64583</v>
      </c>
      <c r="C612" s="2">
        <f>IFERROR(__xludf.DUMMYFUNCTION("""COMPUTED_VALUE"""),139.5)</f>
        <v>139.5</v>
      </c>
    </row>
    <row r="613" ht="15.75" customHeight="1">
      <c r="B613" s="3">
        <f>IFERROR(__xludf.DUMMYFUNCTION("""COMPUTED_VALUE"""),43147.64583333333)</f>
        <v>43147.64583</v>
      </c>
      <c r="C613" s="2">
        <f>IFERROR(__xludf.DUMMYFUNCTION("""COMPUTED_VALUE"""),138.08)</f>
        <v>138.08</v>
      </c>
    </row>
    <row r="614" ht="15.75" customHeight="1">
      <c r="B614" s="3">
        <f>IFERROR(__xludf.DUMMYFUNCTION("""COMPUTED_VALUE"""),43154.64583333333)</f>
        <v>43154.64583</v>
      </c>
      <c r="C614" s="2">
        <f>IFERROR(__xludf.DUMMYFUNCTION("""COMPUTED_VALUE"""),137.58)</f>
        <v>137.58</v>
      </c>
    </row>
    <row r="615" ht="15.75" customHeight="1">
      <c r="B615" s="3">
        <f>IFERROR(__xludf.DUMMYFUNCTION("""COMPUTED_VALUE"""),43160.64583333333)</f>
        <v>43160.64583</v>
      </c>
      <c r="C615" s="2">
        <f>IFERROR(__xludf.DUMMYFUNCTION("""COMPUTED_VALUE"""),138.33)</f>
        <v>138.33</v>
      </c>
    </row>
    <row r="616" ht="15.75" customHeight="1">
      <c r="B616" s="3">
        <f>IFERROR(__xludf.DUMMYFUNCTION("""COMPUTED_VALUE"""),43168.64583333333)</f>
        <v>43168.64583</v>
      </c>
      <c r="C616" s="2">
        <f>IFERROR(__xludf.DUMMYFUNCTION("""COMPUTED_VALUE"""),138.33)</f>
        <v>138.33</v>
      </c>
    </row>
    <row r="617" ht="15.75" customHeight="1">
      <c r="B617" s="3">
        <f>IFERROR(__xludf.DUMMYFUNCTION("""COMPUTED_VALUE"""),43175.64583333333)</f>
        <v>43175.64583</v>
      </c>
      <c r="C617" s="2">
        <f>IFERROR(__xludf.DUMMYFUNCTION("""COMPUTED_VALUE"""),143.96)</f>
        <v>143.96</v>
      </c>
    </row>
    <row r="618" ht="15.75" customHeight="1">
      <c r="B618" s="3">
        <f>IFERROR(__xludf.DUMMYFUNCTION("""COMPUTED_VALUE"""),43182.64583333333)</f>
        <v>43182.64583</v>
      </c>
      <c r="C618" s="2">
        <f>IFERROR(__xludf.DUMMYFUNCTION("""COMPUTED_VALUE"""),143.17)</f>
        <v>143.17</v>
      </c>
    </row>
    <row r="619" ht="15.75" customHeight="1">
      <c r="B619" s="3">
        <f>IFERROR(__xludf.DUMMYFUNCTION("""COMPUTED_VALUE"""),43187.64583333333)</f>
        <v>43187.64583</v>
      </c>
      <c r="C619" s="2">
        <f>IFERROR(__xludf.DUMMYFUNCTION("""COMPUTED_VALUE"""),142.92)</f>
        <v>142.92</v>
      </c>
    </row>
    <row r="620" ht="15.75" customHeight="1">
      <c r="B620" s="3">
        <f>IFERROR(__xludf.DUMMYFUNCTION("""COMPUTED_VALUE"""),43196.64583333333)</f>
        <v>43196.64583</v>
      </c>
      <c r="C620" s="2">
        <f>IFERROR(__xludf.DUMMYFUNCTION("""COMPUTED_VALUE"""),143.25)</f>
        <v>143.25</v>
      </c>
    </row>
    <row r="621" ht="15.75" customHeight="1">
      <c r="B621" s="3">
        <f>IFERROR(__xludf.DUMMYFUNCTION("""COMPUTED_VALUE"""),43203.64583333333)</f>
        <v>43203.64583</v>
      </c>
      <c r="C621" s="2">
        <f>IFERROR(__xludf.DUMMYFUNCTION("""COMPUTED_VALUE"""),143.08)</f>
        <v>143.08</v>
      </c>
    </row>
    <row r="622" ht="15.75" customHeight="1">
      <c r="B622" s="3">
        <f>IFERROR(__xludf.DUMMYFUNCTION("""COMPUTED_VALUE"""),43210.64583333333)</f>
        <v>43210.64583</v>
      </c>
      <c r="C622" s="2">
        <f>IFERROR(__xludf.DUMMYFUNCTION("""COMPUTED_VALUE"""),150.0)</f>
        <v>150</v>
      </c>
    </row>
    <row r="623" ht="15.75" customHeight="1">
      <c r="B623" s="3">
        <f>IFERROR(__xludf.DUMMYFUNCTION("""COMPUTED_VALUE"""),43217.64583333333)</f>
        <v>43217.64583</v>
      </c>
      <c r="C623" s="2">
        <f>IFERROR(__xludf.DUMMYFUNCTION("""COMPUTED_VALUE"""),146.25)</f>
        <v>146.25</v>
      </c>
    </row>
    <row r="624" ht="15.75" customHeight="1">
      <c r="B624" s="3">
        <f>IFERROR(__xludf.DUMMYFUNCTION("""COMPUTED_VALUE"""),43224.64583333333)</f>
        <v>43224.64583</v>
      </c>
      <c r="C624" s="2">
        <f>IFERROR(__xludf.DUMMYFUNCTION("""COMPUTED_VALUE"""),146.83)</f>
        <v>146.83</v>
      </c>
    </row>
    <row r="625" ht="15.75" customHeight="1">
      <c r="B625" s="3">
        <f>IFERROR(__xludf.DUMMYFUNCTION("""COMPUTED_VALUE"""),43231.64583333333)</f>
        <v>43231.64583</v>
      </c>
      <c r="C625" s="2">
        <f>IFERROR(__xludf.DUMMYFUNCTION("""COMPUTED_VALUE"""),143.67)</f>
        <v>143.67</v>
      </c>
    </row>
    <row r="626" ht="15.75" customHeight="1">
      <c r="B626" s="3">
        <f>IFERROR(__xludf.DUMMYFUNCTION("""COMPUTED_VALUE"""),43238.64583333333)</f>
        <v>43238.64583</v>
      </c>
      <c r="C626" s="2">
        <f>IFERROR(__xludf.DUMMYFUNCTION("""COMPUTED_VALUE"""),144.96)</f>
        <v>144.96</v>
      </c>
    </row>
    <row r="627" ht="15.75" customHeight="1">
      <c r="B627" s="3">
        <f>IFERROR(__xludf.DUMMYFUNCTION("""COMPUTED_VALUE"""),43245.64583333333)</f>
        <v>43245.64583</v>
      </c>
      <c r="C627" s="2">
        <f>IFERROR(__xludf.DUMMYFUNCTION("""COMPUTED_VALUE"""),140.08)</f>
        <v>140.08</v>
      </c>
    </row>
    <row r="628" ht="15.75" customHeight="1">
      <c r="B628" s="3">
        <f>IFERROR(__xludf.DUMMYFUNCTION("""COMPUTED_VALUE"""),43252.64583333333)</f>
        <v>43252.64583</v>
      </c>
      <c r="C628" s="2">
        <f>IFERROR(__xludf.DUMMYFUNCTION("""COMPUTED_VALUE"""),142.04)</f>
        <v>142.04</v>
      </c>
    </row>
    <row r="629" ht="15.75" customHeight="1">
      <c r="B629" s="3">
        <f>IFERROR(__xludf.DUMMYFUNCTION("""COMPUTED_VALUE"""),43259.64583333333)</f>
        <v>43259.64583</v>
      </c>
      <c r="C629" s="2">
        <f>IFERROR(__xludf.DUMMYFUNCTION("""COMPUTED_VALUE"""),137.83)</f>
        <v>137.83</v>
      </c>
    </row>
    <row r="630" ht="15.75" customHeight="1">
      <c r="B630" s="3">
        <f>IFERROR(__xludf.DUMMYFUNCTION("""COMPUTED_VALUE"""),43266.64583333333)</f>
        <v>43266.64583</v>
      </c>
      <c r="C630" s="2">
        <f>IFERROR(__xludf.DUMMYFUNCTION("""COMPUTED_VALUE"""),135.5)</f>
        <v>135.5</v>
      </c>
    </row>
    <row r="631" ht="15.75" customHeight="1">
      <c r="B631" s="3">
        <f>IFERROR(__xludf.DUMMYFUNCTION("""COMPUTED_VALUE"""),43273.64583333333)</f>
        <v>43273.64583</v>
      </c>
      <c r="C631" s="2">
        <f>IFERROR(__xludf.DUMMYFUNCTION("""COMPUTED_VALUE"""),131.83)</f>
        <v>131.83</v>
      </c>
    </row>
    <row r="632" ht="15.75" customHeight="1">
      <c r="B632" s="3">
        <f>IFERROR(__xludf.DUMMYFUNCTION("""COMPUTED_VALUE"""),43280.64583333333)</f>
        <v>43280.64583</v>
      </c>
      <c r="C632" s="2">
        <f>IFERROR(__xludf.DUMMYFUNCTION("""COMPUTED_VALUE"""),134.08)</f>
        <v>134.08</v>
      </c>
    </row>
    <row r="633" ht="15.75" customHeight="1">
      <c r="B633" s="3">
        <f>IFERROR(__xludf.DUMMYFUNCTION("""COMPUTED_VALUE"""),43287.64583333333)</f>
        <v>43287.64583</v>
      </c>
      <c r="C633" s="2">
        <f>IFERROR(__xludf.DUMMYFUNCTION("""COMPUTED_VALUE"""),132.63)</f>
        <v>132.63</v>
      </c>
    </row>
    <row r="634" ht="15.75" customHeight="1">
      <c r="B634" s="3">
        <f>IFERROR(__xludf.DUMMYFUNCTION("""COMPUTED_VALUE"""),43294.64583333333)</f>
        <v>43294.64583</v>
      </c>
      <c r="C634" s="2">
        <f>IFERROR(__xludf.DUMMYFUNCTION("""COMPUTED_VALUE"""),129.58)</f>
        <v>129.58</v>
      </c>
    </row>
    <row r="635" ht="15.75" customHeight="1">
      <c r="B635" s="3">
        <f>IFERROR(__xludf.DUMMYFUNCTION("""COMPUTED_VALUE"""),43301.64583333333)</f>
        <v>43301.64583</v>
      </c>
      <c r="C635" s="2">
        <f>IFERROR(__xludf.DUMMYFUNCTION("""COMPUTED_VALUE"""),130.83)</f>
        <v>130.83</v>
      </c>
    </row>
    <row r="636" ht="15.75" customHeight="1">
      <c r="B636" s="3">
        <f>IFERROR(__xludf.DUMMYFUNCTION("""COMPUTED_VALUE"""),43308.64583333333)</f>
        <v>43308.64583</v>
      </c>
      <c r="C636" s="2">
        <f>IFERROR(__xludf.DUMMYFUNCTION("""COMPUTED_VALUE"""),133.0)</f>
        <v>133</v>
      </c>
    </row>
    <row r="637" ht="15.75" customHeight="1">
      <c r="B637" s="3">
        <f>IFERROR(__xludf.DUMMYFUNCTION("""COMPUTED_VALUE"""),43315.64583333333)</f>
        <v>43315.64583</v>
      </c>
      <c r="C637" s="2">
        <f>IFERROR(__xludf.DUMMYFUNCTION("""COMPUTED_VALUE"""),132.33)</f>
        <v>132.33</v>
      </c>
    </row>
    <row r="638" ht="15.75" customHeight="1">
      <c r="B638" s="3">
        <f>IFERROR(__xludf.DUMMYFUNCTION("""COMPUTED_VALUE"""),43322.64583333333)</f>
        <v>43322.64583</v>
      </c>
      <c r="C638" s="2">
        <f>IFERROR(__xludf.DUMMYFUNCTION("""COMPUTED_VALUE"""),134.54)</f>
        <v>134.54</v>
      </c>
    </row>
    <row r="639" ht="15.75" customHeight="1">
      <c r="B639" s="3">
        <f>IFERROR(__xludf.DUMMYFUNCTION("""COMPUTED_VALUE"""),43329.64583333333)</f>
        <v>43329.64583</v>
      </c>
      <c r="C639" s="2">
        <f>IFERROR(__xludf.DUMMYFUNCTION("""COMPUTED_VALUE"""),133.54)</f>
        <v>133.54</v>
      </c>
    </row>
    <row r="640" ht="15.75" customHeight="1">
      <c r="B640" s="3">
        <f>IFERROR(__xludf.DUMMYFUNCTION("""COMPUTED_VALUE"""),43336.64583333333)</f>
        <v>43336.64583</v>
      </c>
      <c r="C640" s="2">
        <f>IFERROR(__xludf.DUMMYFUNCTION("""COMPUTED_VALUE"""),139.71)</f>
        <v>139.71</v>
      </c>
    </row>
    <row r="641" ht="15.75" customHeight="1">
      <c r="B641" s="3">
        <f>IFERROR(__xludf.DUMMYFUNCTION("""COMPUTED_VALUE"""),43343.64583333333)</f>
        <v>43343.64583</v>
      </c>
      <c r="C641" s="2">
        <f>IFERROR(__xludf.DUMMYFUNCTION("""COMPUTED_VALUE"""),145.46)</f>
        <v>145.46</v>
      </c>
    </row>
    <row r="642" ht="15.75" customHeight="1">
      <c r="B642" s="3">
        <f>IFERROR(__xludf.DUMMYFUNCTION("""COMPUTED_VALUE"""),43350.64583333333)</f>
        <v>43350.64583</v>
      </c>
      <c r="C642" s="2">
        <f>IFERROR(__xludf.DUMMYFUNCTION("""COMPUTED_VALUE"""),144.0)</f>
        <v>144</v>
      </c>
    </row>
    <row r="643" ht="15.75" customHeight="1">
      <c r="B643" s="3">
        <f>IFERROR(__xludf.DUMMYFUNCTION("""COMPUTED_VALUE"""),43357.64583333333)</f>
        <v>43357.64583</v>
      </c>
      <c r="C643" s="2">
        <f>IFERROR(__xludf.DUMMYFUNCTION("""COMPUTED_VALUE"""),145.92)</f>
        <v>145.92</v>
      </c>
    </row>
    <row r="644" ht="15.75" customHeight="1">
      <c r="B644" s="3">
        <f>IFERROR(__xludf.DUMMYFUNCTION("""COMPUTED_VALUE"""),43364.64583333333)</f>
        <v>43364.64583</v>
      </c>
      <c r="C644" s="2">
        <f>IFERROR(__xludf.DUMMYFUNCTION("""COMPUTED_VALUE"""),146.17)</f>
        <v>146.17</v>
      </c>
    </row>
    <row r="645" ht="15.75" customHeight="1">
      <c r="B645" s="3">
        <f>IFERROR(__xludf.DUMMYFUNCTION("""COMPUTED_VALUE"""),43371.64583333333)</f>
        <v>43371.64583</v>
      </c>
      <c r="C645" s="2">
        <f>IFERROR(__xludf.DUMMYFUNCTION("""COMPUTED_VALUE"""),143.0)</f>
        <v>143</v>
      </c>
    </row>
    <row r="646" ht="15.75" customHeight="1">
      <c r="B646" s="3">
        <f>IFERROR(__xludf.DUMMYFUNCTION("""COMPUTED_VALUE"""),43378.64583333333)</f>
        <v>43378.64583</v>
      </c>
      <c r="C646" s="2">
        <f>IFERROR(__xludf.DUMMYFUNCTION("""COMPUTED_VALUE"""),141.92)</f>
        <v>141.92</v>
      </c>
    </row>
    <row r="647" ht="15.75" customHeight="1">
      <c r="B647" s="3">
        <f>IFERROR(__xludf.DUMMYFUNCTION("""COMPUTED_VALUE"""),43385.64583333333)</f>
        <v>43385.64583</v>
      </c>
      <c r="C647" s="2">
        <f>IFERROR(__xludf.DUMMYFUNCTION("""COMPUTED_VALUE"""),138.88)</f>
        <v>138.88</v>
      </c>
    </row>
    <row r="648" ht="15.75" customHeight="1">
      <c r="B648" s="3">
        <f>IFERROR(__xludf.DUMMYFUNCTION("""COMPUTED_VALUE"""),43392.64583333333)</f>
        <v>43392.64583</v>
      </c>
      <c r="C648" s="2">
        <f>IFERROR(__xludf.DUMMYFUNCTION("""COMPUTED_VALUE"""),138.08)</f>
        <v>138.08</v>
      </c>
    </row>
    <row r="649" ht="15.75" customHeight="1">
      <c r="B649" s="3">
        <f>IFERROR(__xludf.DUMMYFUNCTION("""COMPUTED_VALUE"""),43399.64583333333)</f>
        <v>43399.64583</v>
      </c>
      <c r="C649" s="2">
        <f>IFERROR(__xludf.DUMMYFUNCTION("""COMPUTED_VALUE"""),139.92)</f>
        <v>139.92</v>
      </c>
    </row>
    <row r="650" ht="15.75" customHeight="1">
      <c r="B650" s="3">
        <f>IFERROR(__xludf.DUMMYFUNCTION("""COMPUTED_VALUE"""),43406.64583333333)</f>
        <v>43406.64583</v>
      </c>
      <c r="C650" s="2">
        <f>IFERROR(__xludf.DUMMYFUNCTION("""COMPUTED_VALUE"""),134.21)</f>
        <v>134.21</v>
      </c>
    </row>
    <row r="651" ht="15.75" customHeight="1">
      <c r="B651" s="3">
        <f>IFERROR(__xludf.DUMMYFUNCTION("""COMPUTED_VALUE"""),43413.64583333333)</f>
        <v>43413.64583</v>
      </c>
      <c r="C651" s="2">
        <f>IFERROR(__xludf.DUMMYFUNCTION("""COMPUTED_VALUE"""),131.25)</f>
        <v>131.25</v>
      </c>
    </row>
    <row r="652" ht="15.75" customHeight="1">
      <c r="B652" s="3">
        <f>IFERROR(__xludf.DUMMYFUNCTION("""COMPUTED_VALUE"""),43420.64583333333)</f>
        <v>43420.64583</v>
      </c>
      <c r="C652" s="2">
        <f>IFERROR(__xludf.DUMMYFUNCTION("""COMPUTED_VALUE"""),133.83)</f>
        <v>133.83</v>
      </c>
    </row>
    <row r="653" ht="15.75" customHeight="1">
      <c r="B653" s="3">
        <f>IFERROR(__xludf.DUMMYFUNCTION("""COMPUTED_VALUE"""),43426.64583333333)</f>
        <v>43426.64583</v>
      </c>
      <c r="C653" s="2">
        <f>IFERROR(__xludf.DUMMYFUNCTION("""COMPUTED_VALUE"""),128.75)</f>
        <v>128.75</v>
      </c>
    </row>
    <row r="654" ht="15.75" customHeight="1">
      <c r="B654" s="3">
        <f>IFERROR(__xludf.DUMMYFUNCTION("""COMPUTED_VALUE"""),43434.64583333333)</f>
        <v>43434.64583</v>
      </c>
      <c r="C654" s="2">
        <f>IFERROR(__xludf.DUMMYFUNCTION("""COMPUTED_VALUE"""),122.96)</f>
        <v>122.96</v>
      </c>
    </row>
    <row r="655" ht="15.75" customHeight="1">
      <c r="B655" s="3">
        <f>IFERROR(__xludf.DUMMYFUNCTION("""COMPUTED_VALUE"""),43441.64583333333)</f>
        <v>43441.64583</v>
      </c>
      <c r="C655" s="2">
        <f>IFERROR(__xludf.DUMMYFUNCTION("""COMPUTED_VALUE"""),121.38)</f>
        <v>121.38</v>
      </c>
    </row>
    <row r="656" ht="15.75" customHeight="1">
      <c r="B656" s="3">
        <f>IFERROR(__xludf.DUMMYFUNCTION("""COMPUTED_VALUE"""),43448.64583333333)</f>
        <v>43448.64583</v>
      </c>
      <c r="C656" s="2">
        <f>IFERROR(__xludf.DUMMYFUNCTION("""COMPUTED_VALUE"""),120.13)</f>
        <v>120.13</v>
      </c>
    </row>
    <row r="657" ht="15.75" customHeight="1">
      <c r="B657" s="3">
        <f>IFERROR(__xludf.DUMMYFUNCTION("""COMPUTED_VALUE"""),43455.64583333333)</f>
        <v>43455.64583</v>
      </c>
      <c r="C657" s="2">
        <f>IFERROR(__xludf.DUMMYFUNCTION("""COMPUTED_VALUE"""),126.17)</f>
        <v>126.17</v>
      </c>
    </row>
    <row r="658" ht="15.75" customHeight="1">
      <c r="B658" s="3">
        <f>IFERROR(__xludf.DUMMYFUNCTION("""COMPUTED_VALUE"""),43462.64583333333)</f>
        <v>43462.64583</v>
      </c>
      <c r="C658" s="2">
        <f>IFERROR(__xludf.DUMMYFUNCTION("""COMPUTED_VALUE"""),126.33)</f>
        <v>126.33</v>
      </c>
    </row>
    <row r="659" ht="15.75" customHeight="1"/>
    <row r="660" ht="15.75" customHeight="1"/>
    <row r="661" ht="15.75" customHeight="1">
      <c r="B661" s="2" t="str">
        <f>IFERROR(__xludf.DUMMYFUNCTION("GOOGLEFINANCE(""NSE:NTPC"", ""high"",DATE(2019,1,1),DATE(2020,1,1),""weekly"")"),"Date")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IFERROR(__xludf.DUMMYFUNCTION("""COMPUTED_VALUE"""),43469.64583333333)</f>
        <v>43469.64583</v>
      </c>
      <c r="C662" s="2">
        <f>IFERROR(__xludf.DUMMYFUNCTION("""COMPUTED_VALUE"""),125.04)</f>
        <v>125.04</v>
      </c>
    </row>
    <row r="663" ht="15.75" customHeight="1">
      <c r="B663" s="3">
        <f>IFERROR(__xludf.DUMMYFUNCTION("""COMPUTED_VALUE"""),43476.64583333333)</f>
        <v>43476.64583</v>
      </c>
      <c r="C663" s="2">
        <f>IFERROR(__xludf.DUMMYFUNCTION("""COMPUTED_VALUE"""),125.25)</f>
        <v>125.25</v>
      </c>
    </row>
    <row r="664" ht="15.75" customHeight="1">
      <c r="B664" s="3">
        <f>IFERROR(__xludf.DUMMYFUNCTION("""COMPUTED_VALUE"""),43483.64583333333)</f>
        <v>43483.64583</v>
      </c>
      <c r="C664" s="2">
        <f>IFERROR(__xludf.DUMMYFUNCTION("""COMPUTED_VALUE"""),123.75)</f>
        <v>123.75</v>
      </c>
    </row>
    <row r="665" ht="15.75" customHeight="1">
      <c r="B665" s="3">
        <f>IFERROR(__xludf.DUMMYFUNCTION("""COMPUTED_VALUE"""),43490.64583333333)</f>
        <v>43490.64583</v>
      </c>
      <c r="C665" s="2">
        <f>IFERROR(__xludf.DUMMYFUNCTION("""COMPUTED_VALUE"""),122.29)</f>
        <v>122.29</v>
      </c>
    </row>
    <row r="666" ht="15.75" customHeight="1">
      <c r="B666" s="3">
        <f>IFERROR(__xludf.DUMMYFUNCTION("""COMPUTED_VALUE"""),43497.64583333333)</f>
        <v>43497.64583</v>
      </c>
      <c r="C666" s="2">
        <f>IFERROR(__xludf.DUMMYFUNCTION("""COMPUTED_VALUE"""),117.67)</f>
        <v>117.67</v>
      </c>
    </row>
    <row r="667" ht="15.75" customHeight="1">
      <c r="B667" s="3">
        <f>IFERROR(__xludf.DUMMYFUNCTION("""COMPUTED_VALUE"""),43504.64583333333)</f>
        <v>43504.64583</v>
      </c>
      <c r="C667" s="2">
        <f>IFERROR(__xludf.DUMMYFUNCTION("""COMPUTED_VALUE"""),117.0)</f>
        <v>117</v>
      </c>
    </row>
    <row r="668" ht="15.75" customHeight="1">
      <c r="B668" s="3">
        <f>IFERROR(__xludf.DUMMYFUNCTION("""COMPUTED_VALUE"""),43511.64583333333)</f>
        <v>43511.64583</v>
      </c>
      <c r="C668" s="2">
        <f>IFERROR(__xludf.DUMMYFUNCTION("""COMPUTED_VALUE"""),114.5)</f>
        <v>114.5</v>
      </c>
    </row>
    <row r="669" ht="15.75" customHeight="1">
      <c r="B669" s="3">
        <f>IFERROR(__xludf.DUMMYFUNCTION("""COMPUTED_VALUE"""),43518.64583333333)</f>
        <v>43518.64583</v>
      </c>
      <c r="C669" s="2">
        <f>IFERROR(__xludf.DUMMYFUNCTION("""COMPUTED_VALUE"""),116.88)</f>
        <v>116.88</v>
      </c>
    </row>
    <row r="670" ht="15.75" customHeight="1">
      <c r="B670" s="3">
        <f>IFERROR(__xludf.DUMMYFUNCTION("""COMPUTED_VALUE"""),43525.64583333333)</f>
        <v>43525.64583</v>
      </c>
      <c r="C670" s="2">
        <f>IFERROR(__xludf.DUMMYFUNCTION("""COMPUTED_VALUE"""),119.79)</f>
        <v>119.79</v>
      </c>
    </row>
    <row r="671" ht="15.75" customHeight="1">
      <c r="B671" s="3">
        <f>IFERROR(__xludf.DUMMYFUNCTION("""COMPUTED_VALUE"""),43532.64583333333)</f>
        <v>43532.64583</v>
      </c>
      <c r="C671" s="2">
        <f>IFERROR(__xludf.DUMMYFUNCTION("""COMPUTED_VALUE"""),129.0)</f>
        <v>129</v>
      </c>
    </row>
    <row r="672" ht="15.75" customHeight="1">
      <c r="B672" s="3">
        <f>IFERROR(__xludf.DUMMYFUNCTION("""COMPUTED_VALUE"""),43539.64583333333)</f>
        <v>43539.64583</v>
      </c>
      <c r="C672" s="2">
        <f>IFERROR(__xludf.DUMMYFUNCTION("""COMPUTED_VALUE"""),133.58)</f>
        <v>133.58</v>
      </c>
    </row>
    <row r="673" ht="15.75" customHeight="1">
      <c r="B673" s="3">
        <f>IFERROR(__xludf.DUMMYFUNCTION("""COMPUTED_VALUE"""),43546.64583333333)</f>
        <v>43546.64583</v>
      </c>
      <c r="C673" s="2">
        <f>IFERROR(__xludf.DUMMYFUNCTION("""COMPUTED_VALUE"""),137.3)</f>
        <v>137.3</v>
      </c>
    </row>
    <row r="674" ht="15.75" customHeight="1">
      <c r="B674" s="3">
        <f>IFERROR(__xludf.DUMMYFUNCTION("""COMPUTED_VALUE"""),43553.64583333333)</f>
        <v>43553.64583</v>
      </c>
      <c r="C674" s="2">
        <f>IFERROR(__xludf.DUMMYFUNCTION("""COMPUTED_VALUE"""),142.0)</f>
        <v>142</v>
      </c>
    </row>
    <row r="675" ht="15.75" customHeight="1">
      <c r="B675" s="3">
        <f>IFERROR(__xludf.DUMMYFUNCTION("""COMPUTED_VALUE"""),43560.64583333333)</f>
        <v>43560.64583</v>
      </c>
      <c r="C675" s="2">
        <f>IFERROR(__xludf.DUMMYFUNCTION("""COMPUTED_VALUE"""),137.5)</f>
        <v>137.5</v>
      </c>
    </row>
    <row r="676" ht="15.75" customHeight="1">
      <c r="B676" s="3">
        <f>IFERROR(__xludf.DUMMYFUNCTION("""COMPUTED_VALUE"""),43567.64583333333)</f>
        <v>43567.64583</v>
      </c>
      <c r="C676" s="2">
        <f>IFERROR(__xludf.DUMMYFUNCTION("""COMPUTED_VALUE"""),137.0)</f>
        <v>137</v>
      </c>
    </row>
    <row r="677" ht="15.75" customHeight="1">
      <c r="B677" s="3">
        <f>IFERROR(__xludf.DUMMYFUNCTION("""COMPUTED_VALUE"""),43573.64583333333)</f>
        <v>43573.64583</v>
      </c>
      <c r="C677" s="2">
        <f>IFERROR(__xludf.DUMMYFUNCTION("""COMPUTED_VALUE"""),138.3)</f>
        <v>138.3</v>
      </c>
    </row>
    <row r="678" ht="15.75" customHeight="1">
      <c r="B678" s="3">
        <f>IFERROR(__xludf.DUMMYFUNCTION("""COMPUTED_VALUE"""),43581.64583333333)</f>
        <v>43581.64583</v>
      </c>
      <c r="C678" s="2">
        <f>IFERROR(__xludf.DUMMYFUNCTION("""COMPUTED_VALUE"""),136.4)</f>
        <v>136.4</v>
      </c>
    </row>
    <row r="679" ht="15.75" customHeight="1">
      <c r="B679" s="3">
        <f>IFERROR(__xludf.DUMMYFUNCTION("""COMPUTED_VALUE"""),43588.64583333333)</f>
        <v>43588.64583</v>
      </c>
      <c r="C679" s="2">
        <f>IFERROR(__xludf.DUMMYFUNCTION("""COMPUTED_VALUE"""),136.65)</f>
        <v>136.65</v>
      </c>
    </row>
    <row r="680" ht="15.75" customHeight="1">
      <c r="B680" s="3">
        <f>IFERROR(__xludf.DUMMYFUNCTION("""COMPUTED_VALUE"""),43595.64583333333)</f>
        <v>43595.64583</v>
      </c>
      <c r="C680" s="2">
        <f>IFERROR(__xludf.DUMMYFUNCTION("""COMPUTED_VALUE"""),136.2)</f>
        <v>136.2</v>
      </c>
    </row>
    <row r="681" ht="15.75" customHeight="1">
      <c r="B681" s="3">
        <f>IFERROR(__xludf.DUMMYFUNCTION("""COMPUTED_VALUE"""),43602.64583333333)</f>
        <v>43602.64583</v>
      </c>
      <c r="C681" s="2">
        <f>IFERROR(__xludf.DUMMYFUNCTION("""COMPUTED_VALUE"""),127.0)</f>
        <v>127</v>
      </c>
    </row>
    <row r="682" ht="15.75" customHeight="1">
      <c r="B682" s="3">
        <f>IFERROR(__xludf.DUMMYFUNCTION("""COMPUTED_VALUE"""),43609.64583333333)</f>
        <v>43609.64583</v>
      </c>
      <c r="C682" s="2">
        <f>IFERROR(__xludf.DUMMYFUNCTION("""COMPUTED_VALUE"""),133.45)</f>
        <v>133.45</v>
      </c>
    </row>
    <row r="683" ht="15.75" customHeight="1">
      <c r="B683" s="3">
        <f>IFERROR(__xludf.DUMMYFUNCTION("""COMPUTED_VALUE"""),43616.64583333333)</f>
        <v>43616.64583</v>
      </c>
      <c r="C683" s="2">
        <f>IFERROR(__xludf.DUMMYFUNCTION("""COMPUTED_VALUE"""),136.6)</f>
        <v>136.6</v>
      </c>
    </row>
    <row r="684" ht="15.75" customHeight="1">
      <c r="B684" s="3">
        <f>IFERROR(__xludf.DUMMYFUNCTION("""COMPUTED_VALUE"""),43623.64583333333)</f>
        <v>43623.64583</v>
      </c>
      <c r="C684" s="2">
        <f>IFERROR(__xludf.DUMMYFUNCTION("""COMPUTED_VALUE"""),137.5)</f>
        <v>137.5</v>
      </c>
    </row>
    <row r="685" ht="15.75" customHeight="1">
      <c r="B685" s="3">
        <f>IFERROR(__xludf.DUMMYFUNCTION("""COMPUTED_VALUE"""),43630.64583333333)</f>
        <v>43630.64583</v>
      </c>
      <c r="C685" s="2">
        <f>IFERROR(__xludf.DUMMYFUNCTION("""COMPUTED_VALUE"""),137.1)</f>
        <v>137.1</v>
      </c>
    </row>
    <row r="686" ht="15.75" customHeight="1">
      <c r="B686" s="3">
        <f>IFERROR(__xludf.DUMMYFUNCTION("""COMPUTED_VALUE"""),43637.64583333333)</f>
        <v>43637.64583</v>
      </c>
      <c r="C686" s="2">
        <f>IFERROR(__xludf.DUMMYFUNCTION("""COMPUTED_VALUE"""),135.25)</f>
        <v>135.25</v>
      </c>
    </row>
    <row r="687" ht="15.75" customHeight="1">
      <c r="B687" s="3">
        <f>IFERROR(__xludf.DUMMYFUNCTION("""COMPUTED_VALUE"""),43644.64583333333)</f>
        <v>43644.64583</v>
      </c>
      <c r="C687" s="2">
        <f>IFERROR(__xludf.DUMMYFUNCTION("""COMPUTED_VALUE"""),142.0)</f>
        <v>142</v>
      </c>
    </row>
    <row r="688" ht="15.75" customHeight="1">
      <c r="B688" s="3">
        <f>IFERROR(__xludf.DUMMYFUNCTION("""COMPUTED_VALUE"""),43651.64583333333)</f>
        <v>43651.64583</v>
      </c>
      <c r="C688" s="2">
        <f>IFERROR(__xludf.DUMMYFUNCTION("""COMPUTED_VALUE"""),145.85)</f>
        <v>145.85</v>
      </c>
    </row>
    <row r="689" ht="15.75" customHeight="1">
      <c r="B689" s="3">
        <f>IFERROR(__xludf.DUMMYFUNCTION("""COMPUTED_VALUE"""),43658.64583333333)</f>
        <v>43658.64583</v>
      </c>
      <c r="C689" s="2">
        <f>IFERROR(__xludf.DUMMYFUNCTION("""COMPUTED_VALUE"""),136.6)</f>
        <v>136.6</v>
      </c>
    </row>
    <row r="690" ht="15.75" customHeight="1">
      <c r="B690" s="3">
        <f>IFERROR(__xludf.DUMMYFUNCTION("""COMPUTED_VALUE"""),43665.64583333333)</f>
        <v>43665.64583</v>
      </c>
      <c r="C690" s="2">
        <f>IFERROR(__xludf.DUMMYFUNCTION("""COMPUTED_VALUE"""),132.15)</f>
        <v>132.15</v>
      </c>
    </row>
    <row r="691" ht="15.75" customHeight="1">
      <c r="B691" s="3">
        <f>IFERROR(__xludf.DUMMYFUNCTION("""COMPUTED_VALUE"""),43672.64583333333)</f>
        <v>43672.64583</v>
      </c>
      <c r="C691" s="2">
        <f>IFERROR(__xludf.DUMMYFUNCTION("""COMPUTED_VALUE"""),133.55)</f>
        <v>133.55</v>
      </c>
    </row>
    <row r="692" ht="15.75" customHeight="1">
      <c r="B692" s="3">
        <f>IFERROR(__xludf.DUMMYFUNCTION("""COMPUTED_VALUE"""),43679.64583333333)</f>
        <v>43679.64583</v>
      </c>
      <c r="C692" s="2">
        <f>IFERROR(__xludf.DUMMYFUNCTION("""COMPUTED_VALUE"""),128.8)</f>
        <v>128.8</v>
      </c>
    </row>
    <row r="693" ht="15.75" customHeight="1">
      <c r="B693" s="3">
        <f>IFERROR(__xludf.DUMMYFUNCTION("""COMPUTED_VALUE"""),43686.64583333333)</f>
        <v>43686.64583</v>
      </c>
      <c r="C693" s="2">
        <f>IFERROR(__xludf.DUMMYFUNCTION("""COMPUTED_VALUE"""),126.65)</f>
        <v>126.65</v>
      </c>
    </row>
    <row r="694" ht="15.75" customHeight="1">
      <c r="B694" s="3">
        <f>IFERROR(__xludf.DUMMYFUNCTION("""COMPUTED_VALUE"""),43693.64583333333)</f>
        <v>43693.64583</v>
      </c>
      <c r="C694" s="2">
        <f>IFERROR(__xludf.DUMMYFUNCTION("""COMPUTED_VALUE"""),123.0)</f>
        <v>123</v>
      </c>
    </row>
    <row r="695" ht="15.75" customHeight="1">
      <c r="B695" s="3">
        <f>IFERROR(__xludf.DUMMYFUNCTION("""COMPUTED_VALUE"""),43700.64583333333)</f>
        <v>43700.64583</v>
      </c>
      <c r="C695" s="2">
        <f>IFERROR(__xludf.DUMMYFUNCTION("""COMPUTED_VALUE"""),120.45)</f>
        <v>120.45</v>
      </c>
    </row>
    <row r="696" ht="15.75" customHeight="1">
      <c r="B696" s="3">
        <f>IFERROR(__xludf.DUMMYFUNCTION("""COMPUTED_VALUE"""),43707.64583333333)</f>
        <v>43707.64583</v>
      </c>
      <c r="C696" s="2">
        <f>IFERROR(__xludf.DUMMYFUNCTION("""COMPUTED_VALUE"""),125.4)</f>
        <v>125.4</v>
      </c>
    </row>
    <row r="697" ht="15.75" customHeight="1">
      <c r="B697" s="3">
        <f>IFERROR(__xludf.DUMMYFUNCTION("""COMPUTED_VALUE"""),43714.64583333333)</f>
        <v>43714.64583</v>
      </c>
      <c r="C697" s="2">
        <f>IFERROR(__xludf.DUMMYFUNCTION("""COMPUTED_VALUE"""),129.65)</f>
        <v>129.65</v>
      </c>
    </row>
    <row r="698" ht="15.75" customHeight="1">
      <c r="B698" s="3">
        <f>IFERROR(__xludf.DUMMYFUNCTION("""COMPUTED_VALUE"""),43721.64583333333)</f>
        <v>43721.64583</v>
      </c>
      <c r="C698" s="2">
        <f>IFERROR(__xludf.DUMMYFUNCTION("""COMPUTED_VALUE"""),127.95)</f>
        <v>127.95</v>
      </c>
    </row>
    <row r="699" ht="15.75" customHeight="1">
      <c r="B699" s="3">
        <f>IFERROR(__xludf.DUMMYFUNCTION("""COMPUTED_VALUE"""),43728.64583333333)</f>
        <v>43728.64583</v>
      </c>
      <c r="C699" s="2">
        <f>IFERROR(__xludf.DUMMYFUNCTION("""COMPUTED_VALUE"""),125.4)</f>
        <v>125.4</v>
      </c>
    </row>
    <row r="700" ht="15.75" customHeight="1">
      <c r="B700" s="3">
        <f>IFERROR(__xludf.DUMMYFUNCTION("""COMPUTED_VALUE"""),43735.64583333333)</f>
        <v>43735.64583</v>
      </c>
      <c r="C700" s="2">
        <f>IFERROR(__xludf.DUMMYFUNCTION("""COMPUTED_VALUE"""),121.6)</f>
        <v>121.6</v>
      </c>
    </row>
    <row r="701" ht="15.75" customHeight="1">
      <c r="B701" s="3">
        <f>IFERROR(__xludf.DUMMYFUNCTION("""COMPUTED_VALUE"""),43742.64583333333)</f>
        <v>43742.64583</v>
      </c>
      <c r="C701" s="2">
        <f>IFERROR(__xludf.DUMMYFUNCTION("""COMPUTED_VALUE"""),120.5)</f>
        <v>120.5</v>
      </c>
    </row>
    <row r="702" ht="15.75" customHeight="1">
      <c r="B702" s="3">
        <f>IFERROR(__xludf.DUMMYFUNCTION("""COMPUTED_VALUE"""),43749.64583333333)</f>
        <v>43749.64583</v>
      </c>
      <c r="C702" s="2">
        <f>IFERROR(__xludf.DUMMYFUNCTION("""COMPUTED_VALUE"""),118.35)</f>
        <v>118.35</v>
      </c>
    </row>
    <row r="703" ht="15.75" customHeight="1">
      <c r="B703" s="3">
        <f>IFERROR(__xludf.DUMMYFUNCTION("""COMPUTED_VALUE"""),43756.64583333333)</f>
        <v>43756.64583</v>
      </c>
      <c r="C703" s="2">
        <f>IFERROR(__xludf.DUMMYFUNCTION("""COMPUTED_VALUE"""),121.5)</f>
        <v>121.5</v>
      </c>
    </row>
    <row r="704" ht="15.75" customHeight="1">
      <c r="B704" s="3">
        <f>IFERROR(__xludf.DUMMYFUNCTION("""COMPUTED_VALUE"""),43763.79166666667)</f>
        <v>43763.79167</v>
      </c>
      <c r="C704" s="2">
        <f>IFERROR(__xludf.DUMMYFUNCTION("""COMPUTED_VALUE"""),122.0)</f>
        <v>122</v>
      </c>
    </row>
    <row r="705" ht="15.75" customHeight="1">
      <c r="B705" s="3">
        <f>IFERROR(__xludf.DUMMYFUNCTION("""COMPUTED_VALUE"""),43770.64583333333)</f>
        <v>43770.64583</v>
      </c>
      <c r="C705" s="2">
        <f>IFERROR(__xludf.DUMMYFUNCTION("""COMPUTED_VALUE"""),124.2)</f>
        <v>124.2</v>
      </c>
    </row>
    <row r="706" ht="15.75" customHeight="1">
      <c r="B706" s="3">
        <f>IFERROR(__xludf.DUMMYFUNCTION("""COMPUTED_VALUE"""),43777.64583333333)</f>
        <v>43777.64583</v>
      </c>
      <c r="C706" s="2">
        <f>IFERROR(__xludf.DUMMYFUNCTION("""COMPUTED_VALUE"""),122.6)</f>
        <v>122.6</v>
      </c>
    </row>
    <row r="707" ht="15.75" customHeight="1">
      <c r="B707" s="3">
        <f>IFERROR(__xludf.DUMMYFUNCTION("""COMPUTED_VALUE"""),43784.64583333333)</f>
        <v>43784.64583</v>
      </c>
      <c r="C707" s="2">
        <f>IFERROR(__xludf.DUMMYFUNCTION("""COMPUTED_VALUE"""),121.75)</f>
        <v>121.75</v>
      </c>
    </row>
    <row r="708" ht="15.75" customHeight="1">
      <c r="B708" s="3">
        <f>IFERROR(__xludf.DUMMYFUNCTION("""COMPUTED_VALUE"""),43791.64583333333)</f>
        <v>43791.64583</v>
      </c>
      <c r="C708" s="2">
        <f>IFERROR(__xludf.DUMMYFUNCTION("""COMPUTED_VALUE"""),119.2)</f>
        <v>119.2</v>
      </c>
    </row>
    <row r="709" ht="15.75" customHeight="1">
      <c r="B709" s="3">
        <f>IFERROR(__xludf.DUMMYFUNCTION("""COMPUTED_VALUE"""),43798.64583333333)</f>
        <v>43798.64583</v>
      </c>
      <c r="C709" s="2">
        <f>IFERROR(__xludf.DUMMYFUNCTION("""COMPUTED_VALUE"""),118.9)</f>
        <v>118.9</v>
      </c>
    </row>
    <row r="710" ht="15.75" customHeight="1">
      <c r="B710" s="3">
        <f>IFERROR(__xludf.DUMMYFUNCTION("""COMPUTED_VALUE"""),43805.64583333333)</f>
        <v>43805.64583</v>
      </c>
      <c r="C710" s="2">
        <f>IFERROR(__xludf.DUMMYFUNCTION("""COMPUTED_VALUE"""),115.8)</f>
        <v>115.8</v>
      </c>
    </row>
    <row r="711" ht="15.75" customHeight="1">
      <c r="B711" s="3">
        <f>IFERROR(__xludf.DUMMYFUNCTION("""COMPUTED_VALUE"""),43812.64583333333)</f>
        <v>43812.64583</v>
      </c>
      <c r="C711" s="2">
        <f>IFERROR(__xludf.DUMMYFUNCTION("""COMPUTED_VALUE"""),116.15)</f>
        <v>116.15</v>
      </c>
    </row>
    <row r="712" ht="15.75" customHeight="1">
      <c r="B712" s="3">
        <f>IFERROR(__xludf.DUMMYFUNCTION("""COMPUTED_VALUE"""),43819.64583333333)</f>
        <v>43819.64583</v>
      </c>
      <c r="C712" s="2">
        <f>IFERROR(__xludf.DUMMYFUNCTION("""COMPUTED_VALUE"""),116.3)</f>
        <v>116.3</v>
      </c>
    </row>
    <row r="713" ht="15.75" customHeight="1">
      <c r="B713" s="3">
        <f>IFERROR(__xludf.DUMMYFUNCTION("""COMPUTED_VALUE"""),43826.64583333333)</f>
        <v>43826.64583</v>
      </c>
      <c r="C713" s="2">
        <f>IFERROR(__xludf.DUMMYFUNCTION("""COMPUTED_VALUE"""),118.3)</f>
        <v>118.3</v>
      </c>
    </row>
    <row r="714" ht="15.75" customHeight="1"/>
    <row r="715" ht="15.75" customHeight="1"/>
    <row r="716" ht="15.75" customHeight="1">
      <c r="B716" s="2" t="str">
        <f>IFERROR(__xludf.DUMMYFUNCTION("GOOGLEFINANCE(""NSE:NTPC"", ""high"",DATE(2020,1,1),DATE(2021,1,1),""weekly"")"),"Date")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IFERROR(__xludf.DUMMYFUNCTION("""COMPUTED_VALUE"""),43833.64583333333)</f>
        <v>43833.64583</v>
      </c>
      <c r="C717" s="2">
        <f>IFERROR(__xludf.DUMMYFUNCTION("""COMPUTED_VALUE"""),122.15)</f>
        <v>122.15</v>
      </c>
    </row>
    <row r="718" ht="15.75" customHeight="1">
      <c r="B718" s="3">
        <f>IFERROR(__xludf.DUMMYFUNCTION("""COMPUTED_VALUE"""),43840.64583333333)</f>
        <v>43840.64583</v>
      </c>
      <c r="C718" s="2">
        <f>IFERROR(__xludf.DUMMYFUNCTION("""COMPUTED_VALUE"""),121.8)</f>
        <v>121.8</v>
      </c>
    </row>
    <row r="719" ht="15.75" customHeight="1">
      <c r="B719" s="3">
        <f>IFERROR(__xludf.DUMMYFUNCTION("""COMPUTED_VALUE"""),43847.64583333333)</f>
        <v>43847.64583</v>
      </c>
      <c r="C719" s="2">
        <f>IFERROR(__xludf.DUMMYFUNCTION("""COMPUTED_VALUE"""),125.0)</f>
        <v>125</v>
      </c>
    </row>
    <row r="720" ht="15.75" customHeight="1">
      <c r="B720" s="3">
        <f>IFERROR(__xludf.DUMMYFUNCTION("""COMPUTED_VALUE"""),43854.64583333333)</f>
        <v>43854.64583</v>
      </c>
      <c r="C720" s="2">
        <f>IFERROR(__xludf.DUMMYFUNCTION("""COMPUTED_VALUE"""),121.75)</f>
        <v>121.75</v>
      </c>
    </row>
    <row r="721" ht="15.75" customHeight="1">
      <c r="B721" s="3">
        <f>IFERROR(__xludf.DUMMYFUNCTION("""COMPUTED_VALUE"""),43862.70833333333)</f>
        <v>43862.70833</v>
      </c>
      <c r="C721" s="2">
        <f>IFERROR(__xludf.DUMMYFUNCTION("""COMPUTED_VALUE"""),115.3)</f>
        <v>115.3</v>
      </c>
    </row>
    <row r="722" ht="15.75" customHeight="1">
      <c r="B722" s="3">
        <f>IFERROR(__xludf.DUMMYFUNCTION("""COMPUTED_VALUE"""),43868.64583333333)</f>
        <v>43868.64583</v>
      </c>
      <c r="C722" s="2">
        <f>IFERROR(__xludf.DUMMYFUNCTION("""COMPUTED_VALUE"""),116.25)</f>
        <v>116.25</v>
      </c>
    </row>
    <row r="723" ht="15.75" customHeight="1">
      <c r="B723" s="3">
        <f>IFERROR(__xludf.DUMMYFUNCTION("""COMPUTED_VALUE"""),43875.64583333333)</f>
        <v>43875.64583</v>
      </c>
      <c r="C723" s="2">
        <f>IFERROR(__xludf.DUMMYFUNCTION("""COMPUTED_VALUE"""),118.9)</f>
        <v>118.9</v>
      </c>
    </row>
    <row r="724" ht="15.75" customHeight="1">
      <c r="B724" s="3">
        <f>IFERROR(__xludf.DUMMYFUNCTION("""COMPUTED_VALUE"""),43881.64583333333)</f>
        <v>43881.64583</v>
      </c>
      <c r="C724" s="2">
        <f>IFERROR(__xludf.DUMMYFUNCTION("""COMPUTED_VALUE"""),113.75)</f>
        <v>113.75</v>
      </c>
    </row>
    <row r="725" ht="15.75" customHeight="1">
      <c r="B725" s="3">
        <f>IFERROR(__xludf.DUMMYFUNCTION("""COMPUTED_VALUE"""),43889.64583333333)</f>
        <v>43889.64583</v>
      </c>
      <c r="C725" s="2">
        <f>IFERROR(__xludf.DUMMYFUNCTION("""COMPUTED_VALUE"""),112.45)</f>
        <v>112.45</v>
      </c>
    </row>
    <row r="726" ht="15.75" customHeight="1">
      <c r="B726" s="3">
        <f>IFERROR(__xludf.DUMMYFUNCTION("""COMPUTED_VALUE"""),43896.64583333333)</f>
        <v>43896.64583</v>
      </c>
      <c r="C726" s="2">
        <f>IFERROR(__xludf.DUMMYFUNCTION("""COMPUTED_VALUE"""),111.0)</f>
        <v>111</v>
      </c>
    </row>
    <row r="727" ht="15.75" customHeight="1">
      <c r="B727" s="3">
        <f>IFERROR(__xludf.DUMMYFUNCTION("""COMPUTED_VALUE"""),43903.64583333333)</f>
        <v>43903.64583</v>
      </c>
      <c r="C727" s="2">
        <f>IFERROR(__xludf.DUMMYFUNCTION("""COMPUTED_VALUE"""),104.8)</f>
        <v>104.8</v>
      </c>
    </row>
    <row r="728" ht="15.75" customHeight="1">
      <c r="B728" s="3">
        <f>IFERROR(__xludf.DUMMYFUNCTION("""COMPUTED_VALUE"""),43910.64583333333)</f>
        <v>43910.64583</v>
      </c>
      <c r="C728" s="2">
        <f>IFERROR(__xludf.DUMMYFUNCTION("""COMPUTED_VALUE"""),96.0)</f>
        <v>96</v>
      </c>
    </row>
    <row r="729" ht="15.75" customHeight="1">
      <c r="B729" s="3">
        <f>IFERROR(__xludf.DUMMYFUNCTION("""COMPUTED_VALUE"""),43917.64583333333)</f>
        <v>43917.64583</v>
      </c>
      <c r="C729" s="2">
        <f>IFERROR(__xludf.DUMMYFUNCTION("""COMPUTED_VALUE"""),84.4)</f>
        <v>84.4</v>
      </c>
    </row>
    <row r="730" ht="15.75" customHeight="1">
      <c r="B730" s="3">
        <f>IFERROR(__xludf.DUMMYFUNCTION("""COMPUTED_VALUE"""),43924.64583333333)</f>
        <v>43924.64583</v>
      </c>
      <c r="C730" s="2">
        <f>IFERROR(__xludf.DUMMYFUNCTION("""COMPUTED_VALUE"""),84.8)</f>
        <v>84.8</v>
      </c>
    </row>
    <row r="731" ht="15.75" customHeight="1">
      <c r="B731" s="3">
        <f>IFERROR(__xludf.DUMMYFUNCTION("""COMPUTED_VALUE"""),43930.64583333333)</f>
        <v>43930.64583</v>
      </c>
      <c r="C731" s="2">
        <f>IFERROR(__xludf.DUMMYFUNCTION("""COMPUTED_VALUE"""),88.35)</f>
        <v>88.35</v>
      </c>
    </row>
    <row r="732" ht="15.75" customHeight="1">
      <c r="B732" s="3">
        <f>IFERROR(__xludf.DUMMYFUNCTION("""COMPUTED_VALUE"""),43938.64583333333)</f>
        <v>43938.64583</v>
      </c>
      <c r="C732" s="2">
        <f>IFERROR(__xludf.DUMMYFUNCTION("""COMPUTED_VALUE"""),101.0)</f>
        <v>101</v>
      </c>
    </row>
    <row r="733" ht="15.75" customHeight="1">
      <c r="B733" s="3">
        <f>IFERROR(__xludf.DUMMYFUNCTION("""COMPUTED_VALUE"""),43945.64583333333)</f>
        <v>43945.64583</v>
      </c>
      <c r="C733" s="2">
        <f>IFERROR(__xludf.DUMMYFUNCTION("""COMPUTED_VALUE"""),99.3)</f>
        <v>99.3</v>
      </c>
    </row>
    <row r="734" ht="15.75" customHeight="1">
      <c r="B734" s="3">
        <f>IFERROR(__xludf.DUMMYFUNCTION("""COMPUTED_VALUE"""),43951.64583333333)</f>
        <v>43951.64583</v>
      </c>
      <c r="C734" s="2">
        <f>IFERROR(__xludf.DUMMYFUNCTION("""COMPUTED_VALUE"""),97.0)</f>
        <v>97</v>
      </c>
    </row>
    <row r="735" ht="15.75" customHeight="1">
      <c r="B735" s="3">
        <f>IFERROR(__xludf.DUMMYFUNCTION("""COMPUTED_VALUE"""),43959.64583333333)</f>
        <v>43959.64583</v>
      </c>
      <c r="C735" s="2">
        <f>IFERROR(__xludf.DUMMYFUNCTION("""COMPUTED_VALUE"""),95.45)</f>
        <v>95.45</v>
      </c>
    </row>
    <row r="736" ht="15.75" customHeight="1">
      <c r="B736" s="3">
        <f>IFERROR(__xludf.DUMMYFUNCTION("""COMPUTED_VALUE"""),43966.64583333333)</f>
        <v>43966.64583</v>
      </c>
      <c r="C736" s="2">
        <f>IFERROR(__xludf.DUMMYFUNCTION("""COMPUTED_VALUE"""),98.5)</f>
        <v>98.5</v>
      </c>
    </row>
    <row r="737" ht="15.75" customHeight="1">
      <c r="B737" s="3">
        <f>IFERROR(__xludf.DUMMYFUNCTION("""COMPUTED_VALUE"""),43973.64583333333)</f>
        <v>43973.64583</v>
      </c>
      <c r="C737" s="2">
        <f>IFERROR(__xludf.DUMMYFUNCTION("""COMPUTED_VALUE"""),93.4)</f>
        <v>93.4</v>
      </c>
    </row>
    <row r="738" ht="15.75" customHeight="1">
      <c r="B738" s="3">
        <f>IFERROR(__xludf.DUMMYFUNCTION("""COMPUTED_VALUE"""),43980.64583333333)</f>
        <v>43980.64583</v>
      </c>
      <c r="C738" s="2">
        <f>IFERROR(__xludf.DUMMYFUNCTION("""COMPUTED_VALUE"""),98.85)</f>
        <v>98.85</v>
      </c>
    </row>
    <row r="739" ht="15.75" customHeight="1">
      <c r="B739" s="3">
        <f>IFERROR(__xludf.DUMMYFUNCTION("""COMPUTED_VALUE"""),43987.64583333333)</f>
        <v>43987.64583</v>
      </c>
      <c r="C739" s="2">
        <f>IFERROR(__xludf.DUMMYFUNCTION("""COMPUTED_VALUE"""),99.65)</f>
        <v>99.65</v>
      </c>
    </row>
    <row r="740" ht="15.75" customHeight="1">
      <c r="B740" s="3">
        <f>IFERROR(__xludf.DUMMYFUNCTION("""COMPUTED_VALUE"""),43994.64583333333)</f>
        <v>43994.64583</v>
      </c>
      <c r="C740" s="2">
        <f>IFERROR(__xludf.DUMMYFUNCTION("""COMPUTED_VALUE"""),100.2)</f>
        <v>100.2</v>
      </c>
    </row>
    <row r="741" ht="15.75" customHeight="1">
      <c r="B741" s="3">
        <f>IFERROR(__xludf.DUMMYFUNCTION("""COMPUTED_VALUE"""),44001.64583333333)</f>
        <v>44001.64583</v>
      </c>
      <c r="C741" s="2">
        <f>IFERROR(__xludf.DUMMYFUNCTION("""COMPUTED_VALUE"""),96.95)</f>
        <v>96.95</v>
      </c>
    </row>
    <row r="742" ht="15.75" customHeight="1">
      <c r="B742" s="3">
        <f>IFERROR(__xludf.DUMMYFUNCTION("""COMPUTED_VALUE"""),44008.64583333333)</f>
        <v>44008.64583</v>
      </c>
      <c r="C742" s="2">
        <f>IFERROR(__xludf.DUMMYFUNCTION("""COMPUTED_VALUE"""),103.8)</f>
        <v>103.8</v>
      </c>
    </row>
    <row r="743" ht="15.75" customHeight="1">
      <c r="B743" s="3">
        <f>IFERROR(__xludf.DUMMYFUNCTION("""COMPUTED_VALUE"""),44015.64583333333)</f>
        <v>44015.64583</v>
      </c>
      <c r="C743" s="2">
        <f>IFERROR(__xludf.DUMMYFUNCTION("""COMPUTED_VALUE"""),98.05)</f>
        <v>98.05</v>
      </c>
    </row>
    <row r="744" ht="15.75" customHeight="1">
      <c r="B744" s="3">
        <f>IFERROR(__xludf.DUMMYFUNCTION("""COMPUTED_VALUE"""),44022.64583333333)</f>
        <v>44022.64583</v>
      </c>
      <c r="C744" s="2">
        <f>IFERROR(__xludf.DUMMYFUNCTION("""COMPUTED_VALUE"""),96.4)</f>
        <v>96.4</v>
      </c>
    </row>
    <row r="745" ht="15.75" customHeight="1">
      <c r="B745" s="3">
        <f>IFERROR(__xludf.DUMMYFUNCTION("""COMPUTED_VALUE"""),44029.64583333333)</f>
        <v>44029.64583</v>
      </c>
      <c r="C745" s="2">
        <f>IFERROR(__xludf.DUMMYFUNCTION("""COMPUTED_VALUE"""),92.85)</f>
        <v>92.85</v>
      </c>
    </row>
    <row r="746" ht="15.75" customHeight="1">
      <c r="B746" s="3">
        <f>IFERROR(__xludf.DUMMYFUNCTION("""COMPUTED_VALUE"""),44036.64583333333)</f>
        <v>44036.64583</v>
      </c>
      <c r="C746" s="2">
        <f>IFERROR(__xludf.DUMMYFUNCTION("""COMPUTED_VALUE"""),92.6)</f>
        <v>92.6</v>
      </c>
    </row>
    <row r="747" ht="15.75" customHeight="1">
      <c r="B747" s="3">
        <f>IFERROR(__xludf.DUMMYFUNCTION("""COMPUTED_VALUE"""),44043.64583333333)</f>
        <v>44043.64583</v>
      </c>
      <c r="C747" s="2">
        <f>IFERROR(__xludf.DUMMYFUNCTION("""COMPUTED_VALUE"""),89.65)</f>
        <v>89.65</v>
      </c>
    </row>
    <row r="748" ht="15.75" customHeight="1">
      <c r="B748" s="3">
        <f>IFERROR(__xludf.DUMMYFUNCTION("""COMPUTED_VALUE"""),44050.64583333333)</f>
        <v>44050.64583</v>
      </c>
      <c r="C748" s="2">
        <f>IFERROR(__xludf.DUMMYFUNCTION("""COMPUTED_VALUE"""),87.45)</f>
        <v>87.45</v>
      </c>
    </row>
    <row r="749" ht="15.75" customHeight="1">
      <c r="B749" s="3">
        <f>IFERROR(__xludf.DUMMYFUNCTION("""COMPUTED_VALUE"""),44057.64583333333)</f>
        <v>44057.64583</v>
      </c>
      <c r="C749" s="2">
        <f>IFERROR(__xludf.DUMMYFUNCTION("""COMPUTED_VALUE"""),89.85)</f>
        <v>89.85</v>
      </c>
    </row>
    <row r="750" ht="15.75" customHeight="1">
      <c r="B750" s="3">
        <f>IFERROR(__xludf.DUMMYFUNCTION("""COMPUTED_VALUE"""),44064.64583333333)</f>
        <v>44064.64583</v>
      </c>
      <c r="C750" s="2">
        <f>IFERROR(__xludf.DUMMYFUNCTION("""COMPUTED_VALUE"""),107.85)</f>
        <v>107.85</v>
      </c>
    </row>
    <row r="751" ht="15.75" customHeight="1">
      <c r="B751" s="3">
        <f>IFERROR(__xludf.DUMMYFUNCTION("""COMPUTED_VALUE"""),44071.64583333333)</f>
        <v>44071.64583</v>
      </c>
      <c r="C751" s="2">
        <f>IFERROR(__xludf.DUMMYFUNCTION("""COMPUTED_VALUE"""),108.0)</f>
        <v>108</v>
      </c>
    </row>
    <row r="752" ht="15.75" customHeight="1">
      <c r="B752" s="3">
        <f>IFERROR(__xludf.DUMMYFUNCTION("""COMPUTED_VALUE"""),44078.64583333333)</f>
        <v>44078.64583</v>
      </c>
      <c r="C752" s="2">
        <f>IFERROR(__xludf.DUMMYFUNCTION("""COMPUTED_VALUE"""),102.7)</f>
        <v>102.7</v>
      </c>
    </row>
    <row r="753" ht="15.75" customHeight="1">
      <c r="B753" s="3">
        <f>IFERROR(__xludf.DUMMYFUNCTION("""COMPUTED_VALUE"""),44085.64583333333)</f>
        <v>44085.64583</v>
      </c>
      <c r="C753" s="2">
        <f>IFERROR(__xludf.DUMMYFUNCTION("""COMPUTED_VALUE"""),96.0)</f>
        <v>96</v>
      </c>
    </row>
    <row r="754" ht="15.75" customHeight="1">
      <c r="B754" s="3">
        <f>IFERROR(__xludf.DUMMYFUNCTION("""COMPUTED_VALUE"""),44092.64583333333)</f>
        <v>44092.64583</v>
      </c>
      <c r="C754" s="2">
        <f>IFERROR(__xludf.DUMMYFUNCTION("""COMPUTED_VALUE"""),92.75)</f>
        <v>92.75</v>
      </c>
    </row>
    <row r="755" ht="15.75" customHeight="1">
      <c r="B755" s="3">
        <f>IFERROR(__xludf.DUMMYFUNCTION("""COMPUTED_VALUE"""),44099.64583333333)</f>
        <v>44099.64583</v>
      </c>
      <c r="C755" s="2">
        <f>IFERROR(__xludf.DUMMYFUNCTION("""COMPUTED_VALUE"""),91.35)</f>
        <v>91.35</v>
      </c>
    </row>
    <row r="756" ht="15.75" customHeight="1">
      <c r="B756" s="3">
        <f>IFERROR(__xludf.DUMMYFUNCTION("""COMPUTED_VALUE"""),44105.64583333333)</f>
        <v>44105.64583</v>
      </c>
      <c r="C756" s="2">
        <f>IFERROR(__xludf.DUMMYFUNCTION("""COMPUTED_VALUE"""),88.9)</f>
        <v>88.9</v>
      </c>
    </row>
    <row r="757" ht="15.75" customHeight="1">
      <c r="B757" s="3">
        <f>IFERROR(__xludf.DUMMYFUNCTION("""COMPUTED_VALUE"""),44113.64583333333)</f>
        <v>44113.64583</v>
      </c>
      <c r="C757" s="2">
        <f>IFERROR(__xludf.DUMMYFUNCTION("""COMPUTED_VALUE"""),85.45)</f>
        <v>85.45</v>
      </c>
    </row>
    <row r="758" ht="15.75" customHeight="1">
      <c r="B758" s="3">
        <f>IFERROR(__xludf.DUMMYFUNCTION("""COMPUTED_VALUE"""),44120.64583333333)</f>
        <v>44120.64583</v>
      </c>
      <c r="C758" s="2">
        <f>IFERROR(__xludf.DUMMYFUNCTION("""COMPUTED_VALUE"""),84.55)</f>
        <v>84.55</v>
      </c>
    </row>
    <row r="759" ht="15.75" customHeight="1">
      <c r="B759" s="3">
        <f>IFERROR(__xludf.DUMMYFUNCTION("""COMPUTED_VALUE"""),44127.64583333333)</f>
        <v>44127.64583</v>
      </c>
      <c r="C759" s="2">
        <f>IFERROR(__xludf.DUMMYFUNCTION("""COMPUTED_VALUE"""),86.6)</f>
        <v>86.6</v>
      </c>
    </row>
    <row r="760" ht="15.75" customHeight="1">
      <c r="B760" s="3">
        <f>IFERROR(__xludf.DUMMYFUNCTION("""COMPUTED_VALUE"""),44134.64583333333)</f>
        <v>44134.64583</v>
      </c>
      <c r="C760" s="2">
        <f>IFERROR(__xludf.DUMMYFUNCTION("""COMPUTED_VALUE"""),90.65)</f>
        <v>90.65</v>
      </c>
    </row>
    <row r="761" ht="15.75" customHeight="1">
      <c r="B761" s="3">
        <f>IFERROR(__xludf.DUMMYFUNCTION("""COMPUTED_VALUE"""),44141.64583333333)</f>
        <v>44141.64583</v>
      </c>
      <c r="C761" s="2">
        <f>IFERROR(__xludf.DUMMYFUNCTION("""COMPUTED_VALUE"""),92.0)</f>
        <v>92</v>
      </c>
    </row>
    <row r="762" ht="15.75" customHeight="1">
      <c r="B762" s="3">
        <f>IFERROR(__xludf.DUMMYFUNCTION("""COMPUTED_VALUE"""),44155.64583333333)</f>
        <v>44155.64583</v>
      </c>
      <c r="C762" s="2">
        <f>IFERROR(__xludf.DUMMYFUNCTION("""COMPUTED_VALUE"""),92.4)</f>
        <v>92.4</v>
      </c>
    </row>
    <row r="763" ht="15.75" customHeight="1">
      <c r="B763" s="3">
        <f>IFERROR(__xludf.DUMMYFUNCTION("""COMPUTED_VALUE"""),44162.64583333333)</f>
        <v>44162.64583</v>
      </c>
      <c r="C763" s="2">
        <f>IFERROR(__xludf.DUMMYFUNCTION("""COMPUTED_VALUE"""),97.05)</f>
        <v>97.05</v>
      </c>
    </row>
    <row r="764" ht="15.75" customHeight="1">
      <c r="B764" s="3">
        <f>IFERROR(__xludf.DUMMYFUNCTION("""COMPUTED_VALUE"""),44169.64583333333)</f>
        <v>44169.64583</v>
      </c>
      <c r="C764" s="2">
        <f>IFERROR(__xludf.DUMMYFUNCTION("""COMPUTED_VALUE"""),99.8)</f>
        <v>99.8</v>
      </c>
    </row>
    <row r="765" ht="15.75" customHeight="1">
      <c r="B765" s="3">
        <f>IFERROR(__xludf.DUMMYFUNCTION("""COMPUTED_VALUE"""),44176.64583333333)</f>
        <v>44176.64583</v>
      </c>
      <c r="C765" s="2">
        <f>IFERROR(__xludf.DUMMYFUNCTION("""COMPUTED_VALUE"""),102.9)</f>
        <v>102.9</v>
      </c>
    </row>
    <row r="766" ht="15.75" customHeight="1">
      <c r="B766" s="3">
        <f>IFERROR(__xludf.DUMMYFUNCTION("""COMPUTED_VALUE"""),44183.64583333333)</f>
        <v>44183.64583</v>
      </c>
      <c r="C766" s="2">
        <f>IFERROR(__xludf.DUMMYFUNCTION("""COMPUTED_VALUE"""),107.25)</f>
        <v>107.25</v>
      </c>
    </row>
    <row r="767" ht="15.75" customHeight="1">
      <c r="B767" s="3">
        <f>IFERROR(__xludf.DUMMYFUNCTION("""COMPUTED_VALUE"""),44189.64583333333)</f>
        <v>44189.64583</v>
      </c>
      <c r="C767" s="2">
        <f>IFERROR(__xludf.DUMMYFUNCTION("""COMPUTED_VALUE"""),103.95)</f>
        <v>103.95</v>
      </c>
    </row>
    <row r="768" ht="15.75" customHeight="1">
      <c r="B768" s="3">
        <f>IFERROR(__xludf.DUMMYFUNCTION("""COMPUTED_VALUE"""),44197.64583333333)</f>
        <v>44197.64583</v>
      </c>
      <c r="C768" s="2">
        <f>IFERROR(__xludf.DUMMYFUNCTION("""COMPUTED_VALUE"""),101.55)</f>
        <v>101.55</v>
      </c>
    </row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IFERROR(__xludf.DUMMYFUNCTION("GOOGLEFINANCE(""NSE:UNITECH"", ""high"",DATE(2007,1,1),DATE(2008,1,1),""weekly"")"),"Date")</f>
        <v>Date</v>
      </c>
      <c r="C1" s="2" t="str">
        <f>IFERROR(__xludf.DUMMYFUNCTION("""COMPUTED_VALUE"""),"High")</f>
        <v>High</v>
      </c>
    </row>
    <row r="2">
      <c r="A2" s="2" t="s">
        <v>6</v>
      </c>
      <c r="B2" s="3">
        <f>IFERROR(__xludf.DUMMYFUNCTION("""COMPUTED_VALUE"""),39087.645833333336)</f>
        <v>39087.64583</v>
      </c>
      <c r="C2" s="2">
        <f>IFERROR(__xludf.DUMMYFUNCTION("""COMPUTED_VALUE"""),252.95)</f>
        <v>252.95</v>
      </c>
    </row>
    <row r="3">
      <c r="A3" s="2" t="s">
        <v>7</v>
      </c>
      <c r="B3" s="3">
        <f>IFERROR(__xludf.DUMMYFUNCTION("""COMPUTED_VALUE"""),39094.645833333336)</f>
        <v>39094.64583</v>
      </c>
      <c r="C3" s="2">
        <f>IFERROR(__xludf.DUMMYFUNCTION("""COMPUTED_VALUE"""),243.9)</f>
        <v>243.9</v>
      </c>
    </row>
    <row r="4">
      <c r="A4" s="2" t="s">
        <v>8</v>
      </c>
      <c r="B4" s="3">
        <f>IFERROR(__xludf.DUMMYFUNCTION("""COMPUTED_VALUE"""),39101.645833333336)</f>
        <v>39101.64583</v>
      </c>
      <c r="C4" s="2">
        <f>IFERROR(__xludf.DUMMYFUNCTION("""COMPUTED_VALUE"""),250.0)</f>
        <v>250</v>
      </c>
    </row>
    <row r="5">
      <c r="B5" s="3">
        <f>IFERROR(__xludf.DUMMYFUNCTION("""COMPUTED_VALUE"""),39107.645833333336)</f>
        <v>39107.64583</v>
      </c>
      <c r="C5" s="2">
        <f>IFERROR(__xludf.DUMMYFUNCTION("""COMPUTED_VALUE"""),239.0)</f>
        <v>239</v>
      </c>
    </row>
    <row r="6">
      <c r="B6" s="3">
        <f>IFERROR(__xludf.DUMMYFUNCTION("""COMPUTED_VALUE"""),39115.645833333336)</f>
        <v>39115.64583</v>
      </c>
      <c r="C6" s="2">
        <f>IFERROR(__xludf.DUMMYFUNCTION("""COMPUTED_VALUE"""),240.35)</f>
        <v>240.35</v>
      </c>
    </row>
    <row r="7">
      <c r="B7" s="3">
        <f>IFERROR(__xludf.DUMMYFUNCTION("""COMPUTED_VALUE"""),39122.645833333336)</f>
        <v>39122.64583</v>
      </c>
      <c r="C7" s="2">
        <f>IFERROR(__xludf.DUMMYFUNCTION("""COMPUTED_VALUE"""),243.0)</f>
        <v>243</v>
      </c>
    </row>
    <row r="8">
      <c r="B8" s="3">
        <f>IFERROR(__xludf.DUMMYFUNCTION("""COMPUTED_VALUE"""),39128.645833333336)</f>
        <v>39128.64583</v>
      </c>
      <c r="C8" s="2">
        <f>IFERROR(__xludf.DUMMYFUNCTION("""COMPUTED_VALUE"""),232.53)</f>
        <v>232.53</v>
      </c>
    </row>
    <row r="9">
      <c r="B9" s="3">
        <f>IFERROR(__xludf.DUMMYFUNCTION("""COMPUTED_VALUE"""),39136.645833333336)</f>
        <v>39136.64583</v>
      </c>
      <c r="C9" s="2">
        <f>IFERROR(__xludf.DUMMYFUNCTION("""COMPUTED_VALUE"""),213.0)</f>
        <v>213</v>
      </c>
    </row>
    <row r="10">
      <c r="B10" s="3">
        <f>IFERROR(__xludf.DUMMYFUNCTION("""COMPUTED_VALUE"""),39143.645833333336)</f>
        <v>39143.64583</v>
      </c>
      <c r="C10" s="2">
        <f>IFERROR(__xludf.DUMMYFUNCTION("""COMPUTED_VALUE"""),191.43)</f>
        <v>191.43</v>
      </c>
    </row>
    <row r="11">
      <c r="B11" s="3">
        <f>IFERROR(__xludf.DUMMYFUNCTION("""COMPUTED_VALUE"""),39150.645833333336)</f>
        <v>39150.64583</v>
      </c>
      <c r="C11" s="2">
        <f>IFERROR(__xludf.DUMMYFUNCTION("""COMPUTED_VALUE"""),181.73)</f>
        <v>181.73</v>
      </c>
    </row>
    <row r="12">
      <c r="B12" s="3">
        <f>IFERROR(__xludf.DUMMYFUNCTION("""COMPUTED_VALUE"""),39157.645833333336)</f>
        <v>39157.64583</v>
      </c>
      <c r="C12" s="2">
        <f>IFERROR(__xludf.DUMMYFUNCTION("""COMPUTED_VALUE"""),223.08)</f>
        <v>223.08</v>
      </c>
    </row>
    <row r="13">
      <c r="B13" s="3">
        <f>IFERROR(__xludf.DUMMYFUNCTION("""COMPUTED_VALUE"""),39164.645833333336)</f>
        <v>39164.64583</v>
      </c>
      <c r="C13" s="2">
        <f>IFERROR(__xludf.DUMMYFUNCTION("""COMPUTED_VALUE"""),225.0)</f>
        <v>225</v>
      </c>
    </row>
    <row r="14">
      <c r="B14" s="3">
        <f>IFERROR(__xludf.DUMMYFUNCTION("""COMPUTED_VALUE"""),39171.645833333336)</f>
        <v>39171.64583</v>
      </c>
      <c r="C14" s="2">
        <f>IFERROR(__xludf.DUMMYFUNCTION("""COMPUTED_VALUE"""),203.5)</f>
        <v>203.5</v>
      </c>
    </row>
    <row r="15">
      <c r="B15" s="3">
        <f>IFERROR(__xludf.DUMMYFUNCTION("""COMPUTED_VALUE"""),39177.645833333336)</f>
        <v>39177.64583</v>
      </c>
      <c r="C15" s="2">
        <f>IFERROR(__xludf.DUMMYFUNCTION("""COMPUTED_VALUE"""),185.0)</f>
        <v>185</v>
      </c>
    </row>
    <row r="16">
      <c r="B16" s="3">
        <f>IFERROR(__xludf.DUMMYFUNCTION("""COMPUTED_VALUE"""),39185.645833333336)</f>
        <v>39185.64583</v>
      </c>
      <c r="C16" s="2">
        <f>IFERROR(__xludf.DUMMYFUNCTION("""COMPUTED_VALUE"""),193.5)</f>
        <v>193.5</v>
      </c>
    </row>
    <row r="17">
      <c r="B17" s="3">
        <f>IFERROR(__xludf.DUMMYFUNCTION("""COMPUTED_VALUE"""),39192.645833333336)</f>
        <v>39192.64583</v>
      </c>
      <c r="C17" s="2">
        <f>IFERROR(__xludf.DUMMYFUNCTION("""COMPUTED_VALUE"""),197.33)</f>
        <v>197.33</v>
      </c>
    </row>
    <row r="18">
      <c r="B18" s="3">
        <f>IFERROR(__xludf.DUMMYFUNCTION("""COMPUTED_VALUE"""),39199.645833333336)</f>
        <v>39199.64583</v>
      </c>
      <c r="C18" s="2">
        <f>IFERROR(__xludf.DUMMYFUNCTION("""COMPUTED_VALUE"""),234.2)</f>
        <v>234.2</v>
      </c>
    </row>
    <row r="19">
      <c r="B19" s="3">
        <f>IFERROR(__xludf.DUMMYFUNCTION("""COMPUTED_VALUE"""),39206.645833333336)</f>
        <v>39206.64583</v>
      </c>
      <c r="C19" s="2">
        <f>IFERROR(__xludf.DUMMYFUNCTION("""COMPUTED_VALUE"""),219.85)</f>
        <v>219.85</v>
      </c>
    </row>
    <row r="20">
      <c r="B20" s="3">
        <f>IFERROR(__xludf.DUMMYFUNCTION("""COMPUTED_VALUE"""),39213.645833333336)</f>
        <v>39213.64583</v>
      </c>
      <c r="C20" s="2">
        <f>IFERROR(__xludf.DUMMYFUNCTION("""COMPUTED_VALUE"""),241.5)</f>
        <v>241.5</v>
      </c>
    </row>
    <row r="21" ht="15.75" customHeight="1">
      <c r="B21" s="3">
        <f>IFERROR(__xludf.DUMMYFUNCTION("""COMPUTED_VALUE"""),39220.645833333336)</f>
        <v>39220.64583</v>
      </c>
      <c r="C21" s="2">
        <f>IFERROR(__xludf.DUMMYFUNCTION("""COMPUTED_VALUE"""),300.0)</f>
        <v>300</v>
      </c>
    </row>
    <row r="22" ht="15.75" customHeight="1">
      <c r="B22" s="3">
        <f>IFERROR(__xludf.DUMMYFUNCTION("""COMPUTED_VALUE"""),39227.645833333336)</f>
        <v>39227.64583</v>
      </c>
      <c r="C22" s="2">
        <f>IFERROR(__xludf.DUMMYFUNCTION("""COMPUTED_VALUE"""),293.45)</f>
        <v>293.45</v>
      </c>
    </row>
    <row r="23" ht="15.75" customHeight="1">
      <c r="B23" s="3">
        <f>IFERROR(__xludf.DUMMYFUNCTION("""COMPUTED_VALUE"""),39234.645833333336)</f>
        <v>39234.64583</v>
      </c>
      <c r="C23" s="2">
        <f>IFERROR(__xludf.DUMMYFUNCTION("""COMPUTED_VALUE"""),311.5)</f>
        <v>311.5</v>
      </c>
    </row>
    <row r="24" ht="15.75" customHeight="1">
      <c r="B24" s="3">
        <f>IFERROR(__xludf.DUMMYFUNCTION("""COMPUTED_VALUE"""),39241.645833333336)</f>
        <v>39241.64583</v>
      </c>
      <c r="C24" s="2">
        <f>IFERROR(__xludf.DUMMYFUNCTION("""COMPUTED_VALUE"""),289.83)</f>
        <v>289.83</v>
      </c>
    </row>
    <row r="25" ht="15.75" customHeight="1">
      <c r="B25" s="3">
        <f>IFERROR(__xludf.DUMMYFUNCTION("""COMPUTED_VALUE"""),39248.645833333336)</f>
        <v>39248.64583</v>
      </c>
      <c r="C25" s="2">
        <f>IFERROR(__xludf.DUMMYFUNCTION("""COMPUTED_VALUE"""),273.35)</f>
        <v>273.35</v>
      </c>
    </row>
    <row r="26" ht="15.75" customHeight="1">
      <c r="B26" s="3">
        <f>IFERROR(__xludf.DUMMYFUNCTION("""COMPUTED_VALUE"""),39255.645833333336)</f>
        <v>39255.64583</v>
      </c>
      <c r="C26" s="2">
        <f>IFERROR(__xludf.DUMMYFUNCTION("""COMPUTED_VALUE"""),270.0)</f>
        <v>270</v>
      </c>
    </row>
    <row r="27" ht="15.75" customHeight="1">
      <c r="B27" s="3">
        <f>IFERROR(__xludf.DUMMYFUNCTION("""COMPUTED_VALUE"""),39262.645833333336)</f>
        <v>39262.64583</v>
      </c>
      <c r="C27" s="2">
        <f>IFERROR(__xludf.DUMMYFUNCTION("""COMPUTED_VALUE"""),263.85)</f>
        <v>263.85</v>
      </c>
    </row>
    <row r="28" ht="15.75" customHeight="1">
      <c r="B28" s="3">
        <f>IFERROR(__xludf.DUMMYFUNCTION("""COMPUTED_VALUE"""),39269.645833333336)</f>
        <v>39269.64583</v>
      </c>
      <c r="C28" s="2">
        <f>IFERROR(__xludf.DUMMYFUNCTION("""COMPUTED_VALUE"""),279.45)</f>
        <v>279.45</v>
      </c>
    </row>
    <row r="29" ht="15.75" customHeight="1">
      <c r="B29" s="3">
        <f>IFERROR(__xludf.DUMMYFUNCTION("""COMPUTED_VALUE"""),39276.645833333336)</f>
        <v>39276.64583</v>
      </c>
      <c r="C29" s="2">
        <f>IFERROR(__xludf.DUMMYFUNCTION("""COMPUTED_VALUE"""),296.15)</f>
        <v>296.15</v>
      </c>
    </row>
    <row r="30" ht="15.75" customHeight="1">
      <c r="B30" s="3">
        <f>IFERROR(__xludf.DUMMYFUNCTION("""COMPUTED_VALUE"""),39283.645833333336)</f>
        <v>39283.64583</v>
      </c>
      <c r="C30" s="2">
        <f>IFERROR(__xludf.DUMMYFUNCTION("""COMPUTED_VALUE"""),290.0)</f>
        <v>290</v>
      </c>
    </row>
    <row r="31" ht="15.75" customHeight="1">
      <c r="B31" s="3">
        <f>IFERROR(__xludf.DUMMYFUNCTION("""COMPUTED_VALUE"""),39290.645833333336)</f>
        <v>39290.64583</v>
      </c>
      <c r="C31" s="2">
        <f>IFERROR(__xludf.DUMMYFUNCTION("""COMPUTED_VALUE"""),299.0)</f>
        <v>299</v>
      </c>
    </row>
    <row r="32" ht="15.75" customHeight="1">
      <c r="B32" s="3">
        <f>IFERROR(__xludf.DUMMYFUNCTION("""COMPUTED_VALUE"""),39297.645833333336)</f>
        <v>39297.64583</v>
      </c>
      <c r="C32" s="2">
        <f>IFERROR(__xludf.DUMMYFUNCTION("""COMPUTED_VALUE"""),282.1)</f>
        <v>282.1</v>
      </c>
    </row>
    <row r="33" ht="15.75" customHeight="1">
      <c r="B33" s="3">
        <f>IFERROR(__xludf.DUMMYFUNCTION("""COMPUTED_VALUE"""),39304.645833333336)</f>
        <v>39304.64583</v>
      </c>
      <c r="C33" s="2">
        <f>IFERROR(__xludf.DUMMYFUNCTION("""COMPUTED_VALUE"""),293.4)</f>
        <v>293.4</v>
      </c>
    </row>
    <row r="34" ht="15.75" customHeight="1">
      <c r="B34" s="3">
        <f>IFERROR(__xludf.DUMMYFUNCTION("""COMPUTED_VALUE"""),39311.645833333336)</f>
        <v>39311.64583</v>
      </c>
      <c r="C34" s="2">
        <f>IFERROR(__xludf.DUMMYFUNCTION("""COMPUTED_VALUE"""),261.35)</f>
        <v>261.35</v>
      </c>
    </row>
    <row r="35" ht="15.75" customHeight="1">
      <c r="B35" s="3">
        <f>IFERROR(__xludf.DUMMYFUNCTION("""COMPUTED_VALUE"""),39318.645833333336)</f>
        <v>39318.64583</v>
      </c>
      <c r="C35" s="2">
        <f>IFERROR(__xludf.DUMMYFUNCTION("""COMPUTED_VALUE"""),267.0)</f>
        <v>267</v>
      </c>
    </row>
    <row r="36" ht="15.75" customHeight="1">
      <c r="B36" s="3">
        <f>IFERROR(__xludf.DUMMYFUNCTION("""COMPUTED_VALUE"""),39325.645833333336)</f>
        <v>39325.64583</v>
      </c>
      <c r="C36" s="2">
        <f>IFERROR(__xludf.DUMMYFUNCTION("""COMPUTED_VALUE"""),258.6)</f>
        <v>258.6</v>
      </c>
    </row>
    <row r="37" ht="15.75" customHeight="1">
      <c r="B37" s="3">
        <f>IFERROR(__xludf.DUMMYFUNCTION("""COMPUTED_VALUE"""),39332.645833333336)</f>
        <v>39332.64583</v>
      </c>
      <c r="C37" s="2">
        <f>IFERROR(__xludf.DUMMYFUNCTION("""COMPUTED_VALUE"""),258.4)</f>
        <v>258.4</v>
      </c>
    </row>
    <row r="38" ht="15.75" customHeight="1">
      <c r="B38" s="3">
        <f>IFERROR(__xludf.DUMMYFUNCTION("""COMPUTED_VALUE"""),39339.645833333336)</f>
        <v>39339.64583</v>
      </c>
      <c r="C38" s="2">
        <f>IFERROR(__xludf.DUMMYFUNCTION("""COMPUTED_VALUE"""),290.8)</f>
        <v>290.8</v>
      </c>
    </row>
    <row r="39" ht="15.75" customHeight="1">
      <c r="B39" s="3">
        <f>IFERROR(__xludf.DUMMYFUNCTION("""COMPUTED_VALUE"""),39346.645833333336)</f>
        <v>39346.64583</v>
      </c>
      <c r="C39" s="2">
        <f>IFERROR(__xludf.DUMMYFUNCTION("""COMPUTED_VALUE"""),344.1)</f>
        <v>344.1</v>
      </c>
    </row>
    <row r="40" ht="15.75" customHeight="1">
      <c r="B40" s="3">
        <f>IFERROR(__xludf.DUMMYFUNCTION("""COMPUTED_VALUE"""),39353.645833333336)</f>
        <v>39353.64583</v>
      </c>
      <c r="C40" s="2">
        <f>IFERROR(__xludf.DUMMYFUNCTION("""COMPUTED_VALUE"""),357.0)</f>
        <v>357</v>
      </c>
    </row>
    <row r="41" ht="15.75" customHeight="1">
      <c r="B41" s="3">
        <f>IFERROR(__xludf.DUMMYFUNCTION("""COMPUTED_VALUE"""),39360.645833333336)</f>
        <v>39360.64583</v>
      </c>
      <c r="C41" s="2">
        <f>IFERROR(__xludf.DUMMYFUNCTION("""COMPUTED_VALUE"""),368.0)</f>
        <v>368</v>
      </c>
    </row>
    <row r="42" ht="15.75" customHeight="1">
      <c r="B42" s="3">
        <f>IFERROR(__xludf.DUMMYFUNCTION("""COMPUTED_VALUE"""),39367.645833333336)</f>
        <v>39367.64583</v>
      </c>
      <c r="C42" s="2">
        <f>IFERROR(__xludf.DUMMYFUNCTION("""COMPUTED_VALUE"""),351.75)</f>
        <v>351.75</v>
      </c>
    </row>
    <row r="43" ht="15.75" customHeight="1">
      <c r="B43" s="3">
        <f>IFERROR(__xludf.DUMMYFUNCTION("""COMPUTED_VALUE"""),39374.645833333336)</f>
        <v>39374.64583</v>
      </c>
      <c r="C43" s="2">
        <f>IFERROR(__xludf.DUMMYFUNCTION("""COMPUTED_VALUE"""),358.85)</f>
        <v>358.85</v>
      </c>
    </row>
    <row r="44" ht="15.75" customHeight="1">
      <c r="B44" s="3">
        <f>IFERROR(__xludf.DUMMYFUNCTION("""COMPUTED_VALUE"""),39381.645833333336)</f>
        <v>39381.64583</v>
      </c>
      <c r="C44" s="2">
        <f>IFERROR(__xludf.DUMMYFUNCTION("""COMPUTED_VALUE"""),359.4)</f>
        <v>359.4</v>
      </c>
    </row>
    <row r="45" ht="15.75" customHeight="1">
      <c r="B45" s="3">
        <f>IFERROR(__xludf.DUMMYFUNCTION("""COMPUTED_VALUE"""),39388.645833333336)</f>
        <v>39388.64583</v>
      </c>
      <c r="C45" s="2">
        <f>IFERROR(__xludf.DUMMYFUNCTION("""COMPUTED_VALUE"""),396.4)</f>
        <v>396.4</v>
      </c>
    </row>
    <row r="46" ht="15.75" customHeight="1">
      <c r="B46" s="3">
        <f>IFERROR(__xludf.DUMMYFUNCTION("""COMPUTED_VALUE"""),39402.645833333336)</f>
        <v>39402.64583</v>
      </c>
      <c r="C46" s="2">
        <f>IFERROR(__xludf.DUMMYFUNCTION("""COMPUTED_VALUE"""),394.6)</f>
        <v>394.6</v>
      </c>
    </row>
    <row r="47" ht="15.75" customHeight="1">
      <c r="B47" s="3">
        <f>IFERROR(__xludf.DUMMYFUNCTION("""COMPUTED_VALUE"""),39409.645833333336)</f>
        <v>39409.64583</v>
      </c>
      <c r="C47" s="2">
        <f>IFERROR(__xludf.DUMMYFUNCTION("""COMPUTED_VALUE"""),403.7)</f>
        <v>403.7</v>
      </c>
    </row>
    <row r="48" ht="15.75" customHeight="1">
      <c r="B48" s="3">
        <f>IFERROR(__xludf.DUMMYFUNCTION("""COMPUTED_VALUE"""),39416.645833333336)</f>
        <v>39416.64583</v>
      </c>
      <c r="C48" s="2">
        <f>IFERROR(__xludf.DUMMYFUNCTION("""COMPUTED_VALUE"""),385.0)</f>
        <v>385</v>
      </c>
    </row>
    <row r="49" ht="15.75" customHeight="1">
      <c r="B49" s="3">
        <f>IFERROR(__xludf.DUMMYFUNCTION("""COMPUTED_VALUE"""),39423.645833333336)</f>
        <v>39423.64583</v>
      </c>
      <c r="C49" s="2">
        <f>IFERROR(__xludf.DUMMYFUNCTION("""COMPUTED_VALUE"""),454.25)</f>
        <v>454.25</v>
      </c>
    </row>
    <row r="50" ht="15.75" customHeight="1">
      <c r="B50" s="3">
        <f>IFERROR(__xludf.DUMMYFUNCTION("""COMPUTED_VALUE"""),39430.645833333336)</f>
        <v>39430.64583</v>
      </c>
      <c r="C50" s="2">
        <f>IFERROR(__xludf.DUMMYFUNCTION("""COMPUTED_VALUE"""),494.8)</f>
        <v>494.8</v>
      </c>
    </row>
    <row r="51" ht="15.75" customHeight="1">
      <c r="B51" s="3">
        <f>IFERROR(__xludf.DUMMYFUNCTION("""COMPUTED_VALUE"""),39436.645833333336)</f>
        <v>39436.64583</v>
      </c>
      <c r="C51" s="2">
        <f>IFERROR(__xludf.DUMMYFUNCTION("""COMPUTED_VALUE"""),482.0)</f>
        <v>482</v>
      </c>
    </row>
    <row r="52" ht="15.75" customHeight="1">
      <c r="B52" s="3">
        <f>IFERROR(__xludf.DUMMYFUNCTION("""COMPUTED_VALUE"""),39444.645833333336)</f>
        <v>39444.64583</v>
      </c>
      <c r="C52" s="2">
        <f>IFERROR(__xludf.DUMMYFUNCTION("""COMPUTED_VALUE"""),484.9)</f>
        <v>484.9</v>
      </c>
    </row>
    <row r="53" ht="15.75" customHeight="1"/>
    <row r="54" ht="15.75" customHeight="1"/>
    <row r="55" ht="15.75" customHeight="1"/>
    <row r="56" ht="15.75" customHeight="1">
      <c r="B56" s="2" t="str">
        <f>IFERROR(__xludf.DUMMYFUNCTION("GOOGLEFINANCE(""NSE:UNITECH"", ""high"",DATE(2008,1,1),DATE(2009,1,1),""weekly"")"),"Date")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IFERROR(__xludf.DUMMYFUNCTION("""COMPUTED_VALUE"""),39451.645833333336)</f>
        <v>39451.64583</v>
      </c>
      <c r="C57" s="2">
        <f>IFERROR(__xludf.DUMMYFUNCTION("""COMPUTED_VALUE"""),546.8)</f>
        <v>546.8</v>
      </c>
    </row>
    <row r="58" ht="15.75" customHeight="1">
      <c r="B58" s="3">
        <f>IFERROR(__xludf.DUMMYFUNCTION("""COMPUTED_VALUE"""),39458.645833333336)</f>
        <v>39458.64583</v>
      </c>
      <c r="C58" s="2">
        <f>IFERROR(__xludf.DUMMYFUNCTION("""COMPUTED_VALUE"""),542.9)</f>
        <v>542.9</v>
      </c>
    </row>
    <row r="59" ht="15.75" customHeight="1">
      <c r="B59" s="3">
        <f>IFERROR(__xludf.DUMMYFUNCTION("""COMPUTED_VALUE"""),39465.645833333336)</f>
        <v>39465.64583</v>
      </c>
      <c r="C59" s="2">
        <f>IFERROR(__xludf.DUMMYFUNCTION("""COMPUTED_VALUE"""),538.5)</f>
        <v>538.5</v>
      </c>
    </row>
    <row r="60" ht="15.75" customHeight="1">
      <c r="B60" s="3">
        <f>IFERROR(__xludf.DUMMYFUNCTION("""COMPUTED_VALUE"""),39472.645833333336)</f>
        <v>39472.64583</v>
      </c>
      <c r="C60" s="2">
        <f>IFERROR(__xludf.DUMMYFUNCTION("""COMPUTED_VALUE"""),471.0)</f>
        <v>471</v>
      </c>
    </row>
    <row r="61" ht="15.75" customHeight="1">
      <c r="B61" s="3">
        <f>IFERROR(__xludf.DUMMYFUNCTION("""COMPUTED_VALUE"""),39479.645833333336)</f>
        <v>39479.64583</v>
      </c>
      <c r="C61" s="2">
        <f>IFERROR(__xludf.DUMMYFUNCTION("""COMPUTED_VALUE"""),432.0)</f>
        <v>432</v>
      </c>
    </row>
    <row r="62" ht="15.75" customHeight="1">
      <c r="B62" s="3">
        <f>IFERROR(__xludf.DUMMYFUNCTION("""COMPUTED_VALUE"""),39486.645833333336)</f>
        <v>39486.64583</v>
      </c>
      <c r="C62" s="2">
        <f>IFERROR(__xludf.DUMMYFUNCTION("""COMPUTED_VALUE"""),415.0)</f>
        <v>415</v>
      </c>
    </row>
    <row r="63" ht="15.75" customHeight="1">
      <c r="B63" s="3">
        <f>IFERROR(__xludf.DUMMYFUNCTION("""COMPUTED_VALUE"""),39493.645833333336)</f>
        <v>39493.64583</v>
      </c>
      <c r="C63" s="2">
        <f>IFERROR(__xludf.DUMMYFUNCTION("""COMPUTED_VALUE"""),426.4)</f>
        <v>426.4</v>
      </c>
    </row>
    <row r="64" ht="15.75" customHeight="1">
      <c r="B64" s="3">
        <f>IFERROR(__xludf.DUMMYFUNCTION("""COMPUTED_VALUE"""),39500.645833333336)</f>
        <v>39500.64583</v>
      </c>
      <c r="C64" s="2">
        <f>IFERROR(__xludf.DUMMYFUNCTION("""COMPUTED_VALUE"""),423.35)</f>
        <v>423.35</v>
      </c>
    </row>
    <row r="65" ht="15.75" customHeight="1">
      <c r="B65" s="3">
        <f>IFERROR(__xludf.DUMMYFUNCTION("""COMPUTED_VALUE"""),39507.645833333336)</f>
        <v>39507.64583</v>
      </c>
      <c r="C65" s="2">
        <f>IFERROR(__xludf.DUMMYFUNCTION("""COMPUTED_VALUE"""),401.95)</f>
        <v>401.95</v>
      </c>
    </row>
    <row r="66" ht="15.75" customHeight="1">
      <c r="B66" s="3">
        <f>IFERROR(__xludf.DUMMYFUNCTION("""COMPUTED_VALUE"""),39514.645833333336)</f>
        <v>39514.64583</v>
      </c>
      <c r="C66" s="2">
        <f>IFERROR(__xludf.DUMMYFUNCTION("""COMPUTED_VALUE"""),354.0)</f>
        <v>354</v>
      </c>
    </row>
    <row r="67" ht="15.75" customHeight="1">
      <c r="B67" s="3">
        <f>IFERROR(__xludf.DUMMYFUNCTION("""COMPUTED_VALUE"""),39521.645833333336)</f>
        <v>39521.64583</v>
      </c>
      <c r="C67" s="2">
        <f>IFERROR(__xludf.DUMMYFUNCTION("""COMPUTED_VALUE"""),337.15)</f>
        <v>337.15</v>
      </c>
    </row>
    <row r="68" ht="15.75" customHeight="1">
      <c r="B68" s="3">
        <f>IFERROR(__xludf.DUMMYFUNCTION("""COMPUTED_VALUE"""),39526.645833333336)</f>
        <v>39526.64583</v>
      </c>
      <c r="C68" s="2">
        <f>IFERROR(__xludf.DUMMYFUNCTION("""COMPUTED_VALUE"""),299.8)</f>
        <v>299.8</v>
      </c>
    </row>
    <row r="69" ht="15.75" customHeight="1">
      <c r="B69" s="3">
        <f>IFERROR(__xludf.DUMMYFUNCTION("""COMPUTED_VALUE"""),39535.645833333336)</f>
        <v>39535.64583</v>
      </c>
      <c r="C69" s="2">
        <f>IFERROR(__xludf.DUMMYFUNCTION("""COMPUTED_VALUE"""),294.9)</f>
        <v>294.9</v>
      </c>
    </row>
    <row r="70" ht="15.75" customHeight="1">
      <c r="B70" s="3">
        <f>IFERROR(__xludf.DUMMYFUNCTION("""COMPUTED_VALUE"""),39542.645833333336)</f>
        <v>39542.64583</v>
      </c>
      <c r="C70" s="2">
        <f>IFERROR(__xludf.DUMMYFUNCTION("""COMPUTED_VALUE"""),292.0)</f>
        <v>292</v>
      </c>
    </row>
    <row r="71" ht="15.75" customHeight="1">
      <c r="B71" s="3">
        <f>IFERROR(__xludf.DUMMYFUNCTION("""COMPUTED_VALUE"""),39549.645833333336)</f>
        <v>39549.64583</v>
      </c>
      <c r="C71" s="2">
        <f>IFERROR(__xludf.DUMMYFUNCTION("""COMPUTED_VALUE"""),277.8)</f>
        <v>277.8</v>
      </c>
    </row>
    <row r="72" ht="15.75" customHeight="1">
      <c r="B72" s="3">
        <f>IFERROR(__xludf.DUMMYFUNCTION("""COMPUTED_VALUE"""),39555.645833333336)</f>
        <v>39555.64583</v>
      </c>
      <c r="C72" s="2">
        <f>IFERROR(__xludf.DUMMYFUNCTION("""COMPUTED_VALUE"""),276.05)</f>
        <v>276.05</v>
      </c>
    </row>
    <row r="73" ht="15.75" customHeight="1">
      <c r="B73" s="3">
        <f>IFERROR(__xludf.DUMMYFUNCTION("""COMPUTED_VALUE"""),39563.645833333336)</f>
        <v>39563.64583</v>
      </c>
      <c r="C73" s="2">
        <f>IFERROR(__xludf.DUMMYFUNCTION("""COMPUTED_VALUE"""),296.85)</f>
        <v>296.85</v>
      </c>
    </row>
    <row r="74" ht="15.75" customHeight="1">
      <c r="B74" s="3">
        <f>IFERROR(__xludf.DUMMYFUNCTION("""COMPUTED_VALUE"""),39570.645833333336)</f>
        <v>39570.64583</v>
      </c>
      <c r="C74" s="2">
        <f>IFERROR(__xludf.DUMMYFUNCTION("""COMPUTED_VALUE"""),325.75)</f>
        <v>325.75</v>
      </c>
    </row>
    <row r="75" ht="15.75" customHeight="1">
      <c r="B75" s="3">
        <f>IFERROR(__xludf.DUMMYFUNCTION("""COMPUTED_VALUE"""),39577.645833333336)</f>
        <v>39577.64583</v>
      </c>
      <c r="C75" s="2">
        <f>IFERROR(__xludf.DUMMYFUNCTION("""COMPUTED_VALUE"""),337.8)</f>
        <v>337.8</v>
      </c>
    </row>
    <row r="76" ht="15.75" customHeight="1">
      <c r="B76" s="3">
        <f>IFERROR(__xludf.DUMMYFUNCTION("""COMPUTED_VALUE"""),39584.645833333336)</f>
        <v>39584.64583</v>
      </c>
      <c r="C76" s="2">
        <f>IFERROR(__xludf.DUMMYFUNCTION("""COMPUTED_VALUE"""),293.0)</f>
        <v>293</v>
      </c>
    </row>
    <row r="77" ht="15.75" customHeight="1">
      <c r="B77" s="3">
        <f>IFERROR(__xludf.DUMMYFUNCTION("""COMPUTED_VALUE"""),39591.645833333336)</f>
        <v>39591.64583</v>
      </c>
      <c r="C77" s="2">
        <f>IFERROR(__xludf.DUMMYFUNCTION("""COMPUTED_VALUE"""),286.0)</f>
        <v>286</v>
      </c>
    </row>
    <row r="78" ht="15.75" customHeight="1">
      <c r="B78" s="3">
        <f>IFERROR(__xludf.DUMMYFUNCTION("""COMPUTED_VALUE"""),39598.645833333336)</f>
        <v>39598.64583</v>
      </c>
      <c r="C78" s="2">
        <f>IFERROR(__xludf.DUMMYFUNCTION("""COMPUTED_VALUE"""),267.75)</f>
        <v>267.75</v>
      </c>
    </row>
    <row r="79" ht="15.75" customHeight="1">
      <c r="B79" s="3">
        <f>IFERROR(__xludf.DUMMYFUNCTION("""COMPUTED_VALUE"""),39605.645833333336)</f>
        <v>39605.64583</v>
      </c>
      <c r="C79" s="2">
        <f>IFERROR(__xludf.DUMMYFUNCTION("""COMPUTED_VALUE"""),235.85)</f>
        <v>235.85</v>
      </c>
    </row>
    <row r="80" ht="15.75" customHeight="1">
      <c r="B80" s="3">
        <f>IFERROR(__xludf.DUMMYFUNCTION("""COMPUTED_VALUE"""),39612.645833333336)</f>
        <v>39612.64583</v>
      </c>
      <c r="C80" s="2">
        <f>IFERROR(__xludf.DUMMYFUNCTION("""COMPUTED_VALUE"""),199.0)</f>
        <v>199</v>
      </c>
    </row>
    <row r="81" ht="15.75" customHeight="1">
      <c r="B81" s="3">
        <f>IFERROR(__xludf.DUMMYFUNCTION("""COMPUTED_VALUE"""),39619.645833333336)</f>
        <v>39619.64583</v>
      </c>
      <c r="C81" s="2">
        <f>IFERROR(__xludf.DUMMYFUNCTION("""COMPUTED_VALUE"""),212.0)</f>
        <v>212</v>
      </c>
    </row>
    <row r="82" ht="15.75" customHeight="1">
      <c r="B82" s="3">
        <f>IFERROR(__xludf.DUMMYFUNCTION("""COMPUTED_VALUE"""),39626.645833333336)</f>
        <v>39626.64583</v>
      </c>
      <c r="C82" s="2">
        <f>IFERROR(__xludf.DUMMYFUNCTION("""COMPUTED_VALUE"""),190.0)</f>
        <v>190</v>
      </c>
    </row>
    <row r="83" ht="15.75" customHeight="1">
      <c r="B83" s="3">
        <f>IFERROR(__xludf.DUMMYFUNCTION("""COMPUTED_VALUE"""),39633.645833333336)</f>
        <v>39633.64583</v>
      </c>
      <c r="C83" s="2">
        <f>IFERROR(__xludf.DUMMYFUNCTION("""COMPUTED_VALUE"""),180.0)</f>
        <v>180</v>
      </c>
    </row>
    <row r="84" ht="15.75" customHeight="1">
      <c r="B84" s="3">
        <f>IFERROR(__xludf.DUMMYFUNCTION("""COMPUTED_VALUE"""),39640.645833333336)</f>
        <v>39640.64583</v>
      </c>
      <c r="C84" s="2">
        <f>IFERROR(__xludf.DUMMYFUNCTION("""COMPUTED_VALUE"""),178.8)</f>
        <v>178.8</v>
      </c>
    </row>
    <row r="85" ht="15.75" customHeight="1">
      <c r="B85" s="3">
        <f>IFERROR(__xludf.DUMMYFUNCTION("""COMPUTED_VALUE"""),39647.645833333336)</f>
        <v>39647.64583</v>
      </c>
      <c r="C85" s="2">
        <f>IFERROR(__xludf.DUMMYFUNCTION("""COMPUTED_VALUE"""),171.9)</f>
        <v>171.9</v>
      </c>
    </row>
    <row r="86" ht="15.75" customHeight="1">
      <c r="B86" s="3">
        <f>IFERROR(__xludf.DUMMYFUNCTION("""COMPUTED_VALUE"""),39654.645833333336)</f>
        <v>39654.64583</v>
      </c>
      <c r="C86" s="2">
        <f>IFERROR(__xludf.DUMMYFUNCTION("""COMPUTED_VALUE"""),177.7)</f>
        <v>177.7</v>
      </c>
    </row>
    <row r="87" ht="15.75" customHeight="1">
      <c r="B87" s="3">
        <f>IFERROR(__xludf.DUMMYFUNCTION("""COMPUTED_VALUE"""),39661.645833333336)</f>
        <v>39661.64583</v>
      </c>
      <c r="C87" s="2">
        <f>IFERROR(__xludf.DUMMYFUNCTION("""COMPUTED_VALUE"""),170.85)</f>
        <v>170.85</v>
      </c>
    </row>
    <row r="88" ht="15.75" customHeight="1">
      <c r="B88" s="3">
        <f>IFERROR(__xludf.DUMMYFUNCTION("""COMPUTED_VALUE"""),39668.645833333336)</f>
        <v>39668.64583</v>
      </c>
      <c r="C88" s="2">
        <f>IFERROR(__xludf.DUMMYFUNCTION("""COMPUTED_VALUE"""),189.5)</f>
        <v>189.5</v>
      </c>
    </row>
    <row r="89" ht="15.75" customHeight="1">
      <c r="B89" s="3">
        <f>IFERROR(__xludf.DUMMYFUNCTION("""COMPUTED_VALUE"""),39674.645833333336)</f>
        <v>39674.64583</v>
      </c>
      <c r="C89" s="2">
        <f>IFERROR(__xludf.DUMMYFUNCTION("""COMPUTED_VALUE"""),191.45)</f>
        <v>191.45</v>
      </c>
    </row>
    <row r="90" ht="15.75" customHeight="1">
      <c r="B90" s="3">
        <f>IFERROR(__xludf.DUMMYFUNCTION("""COMPUTED_VALUE"""),39682.645833333336)</f>
        <v>39682.64583</v>
      </c>
      <c r="C90" s="2">
        <f>IFERROR(__xludf.DUMMYFUNCTION("""COMPUTED_VALUE"""),171.9)</f>
        <v>171.9</v>
      </c>
    </row>
    <row r="91" ht="15.75" customHeight="1">
      <c r="B91" s="3">
        <f>IFERROR(__xludf.DUMMYFUNCTION("""COMPUTED_VALUE"""),39689.645833333336)</f>
        <v>39689.64583</v>
      </c>
      <c r="C91" s="2">
        <f>IFERROR(__xludf.DUMMYFUNCTION("""COMPUTED_VALUE"""),165.55)</f>
        <v>165.55</v>
      </c>
    </row>
    <row r="92" ht="15.75" customHeight="1">
      <c r="B92" s="3">
        <f>IFERROR(__xludf.DUMMYFUNCTION("""COMPUTED_VALUE"""),39696.645833333336)</f>
        <v>39696.64583</v>
      </c>
      <c r="C92" s="2">
        <f>IFERROR(__xludf.DUMMYFUNCTION("""COMPUTED_VALUE"""),173.5)</f>
        <v>173.5</v>
      </c>
    </row>
    <row r="93" ht="15.75" customHeight="1">
      <c r="B93" s="3">
        <f>IFERROR(__xludf.DUMMYFUNCTION("""COMPUTED_VALUE"""),39703.645833333336)</f>
        <v>39703.64583</v>
      </c>
      <c r="C93" s="2">
        <f>IFERROR(__xludf.DUMMYFUNCTION("""COMPUTED_VALUE"""),167.0)</f>
        <v>167</v>
      </c>
    </row>
    <row r="94" ht="15.75" customHeight="1">
      <c r="B94" s="3">
        <f>IFERROR(__xludf.DUMMYFUNCTION("""COMPUTED_VALUE"""),39710.645833333336)</f>
        <v>39710.64583</v>
      </c>
      <c r="C94" s="2">
        <f>IFERROR(__xludf.DUMMYFUNCTION("""COMPUTED_VALUE"""),151.3)</f>
        <v>151.3</v>
      </c>
    </row>
    <row r="95" ht="15.75" customHeight="1">
      <c r="B95" s="3">
        <f>IFERROR(__xludf.DUMMYFUNCTION("""COMPUTED_VALUE"""),39717.645833333336)</f>
        <v>39717.64583</v>
      </c>
      <c r="C95" s="2">
        <f>IFERROR(__xludf.DUMMYFUNCTION("""COMPUTED_VALUE"""),131.9)</f>
        <v>131.9</v>
      </c>
    </row>
    <row r="96" ht="15.75" customHeight="1">
      <c r="B96" s="3">
        <f>IFERROR(__xludf.DUMMYFUNCTION("""COMPUTED_VALUE"""),39724.645833333336)</f>
        <v>39724.64583</v>
      </c>
      <c r="C96" s="2">
        <f>IFERROR(__xludf.DUMMYFUNCTION("""COMPUTED_VALUE"""),120.3)</f>
        <v>120.3</v>
      </c>
    </row>
    <row r="97" ht="15.75" customHeight="1">
      <c r="B97" s="3">
        <f>IFERROR(__xludf.DUMMYFUNCTION("""COMPUTED_VALUE"""),39731.645833333336)</f>
        <v>39731.64583</v>
      </c>
      <c r="C97" s="2">
        <f>IFERROR(__xludf.DUMMYFUNCTION("""COMPUTED_VALUE"""),109.35)</f>
        <v>109.35</v>
      </c>
    </row>
    <row r="98" ht="15.75" customHeight="1">
      <c r="B98" s="3">
        <f>IFERROR(__xludf.DUMMYFUNCTION("""COMPUTED_VALUE"""),39738.645833333336)</f>
        <v>39738.64583</v>
      </c>
      <c r="C98" s="2">
        <f>IFERROR(__xludf.DUMMYFUNCTION("""COMPUTED_VALUE"""),100.9)</f>
        <v>100.9</v>
      </c>
    </row>
    <row r="99" ht="15.75" customHeight="1">
      <c r="B99" s="3">
        <f>IFERROR(__xludf.DUMMYFUNCTION("""COMPUTED_VALUE"""),39745.645833333336)</f>
        <v>39745.64583</v>
      </c>
      <c r="C99" s="2">
        <f>IFERROR(__xludf.DUMMYFUNCTION("""COMPUTED_VALUE"""),83.95)</f>
        <v>83.95</v>
      </c>
    </row>
    <row r="100" ht="15.75" customHeight="1">
      <c r="B100" s="3">
        <f>IFERROR(__xludf.DUMMYFUNCTION("""COMPUTED_VALUE"""),39752.645833333336)</f>
        <v>39752.64583</v>
      </c>
      <c r="C100" s="2">
        <f>IFERROR(__xludf.DUMMYFUNCTION("""COMPUTED_VALUE"""),59.9)</f>
        <v>59.9</v>
      </c>
    </row>
    <row r="101" ht="15.75" customHeight="1">
      <c r="B101" s="3">
        <f>IFERROR(__xludf.DUMMYFUNCTION("""COMPUTED_VALUE"""),39759.645833333336)</f>
        <v>39759.64583</v>
      </c>
      <c r="C101" s="2">
        <f>IFERROR(__xludf.DUMMYFUNCTION("""COMPUTED_VALUE"""),59.9)</f>
        <v>59.9</v>
      </c>
    </row>
    <row r="102" ht="15.75" customHeight="1">
      <c r="B102" s="3">
        <f>IFERROR(__xludf.DUMMYFUNCTION("""COMPUTED_VALUE"""),39766.645833333336)</f>
        <v>39766.64583</v>
      </c>
      <c r="C102" s="2">
        <f>IFERROR(__xludf.DUMMYFUNCTION("""COMPUTED_VALUE"""),57.8)</f>
        <v>57.8</v>
      </c>
    </row>
    <row r="103" ht="15.75" customHeight="1">
      <c r="B103" s="3">
        <f>IFERROR(__xludf.DUMMYFUNCTION("""COMPUTED_VALUE"""),39773.645833333336)</f>
        <v>39773.64583</v>
      </c>
      <c r="C103" s="2">
        <f>IFERROR(__xludf.DUMMYFUNCTION("""COMPUTED_VALUE"""),46.95)</f>
        <v>46.95</v>
      </c>
    </row>
    <row r="104" ht="15.75" customHeight="1">
      <c r="B104" s="3">
        <f>IFERROR(__xludf.DUMMYFUNCTION("""COMPUTED_VALUE"""),39780.645833333336)</f>
        <v>39780.64583</v>
      </c>
      <c r="C104" s="2">
        <f>IFERROR(__xludf.DUMMYFUNCTION("""COMPUTED_VALUE"""),32.0)</f>
        <v>32</v>
      </c>
    </row>
    <row r="105" ht="15.75" customHeight="1">
      <c r="B105" s="3">
        <f>IFERROR(__xludf.DUMMYFUNCTION("""COMPUTED_VALUE"""),39787.645833333336)</f>
        <v>39787.64583</v>
      </c>
      <c r="C105" s="2">
        <f>IFERROR(__xludf.DUMMYFUNCTION("""COMPUTED_VALUE"""),32.7)</f>
        <v>32.7</v>
      </c>
    </row>
    <row r="106" ht="15.75" customHeight="1">
      <c r="B106" s="3">
        <f>IFERROR(__xludf.DUMMYFUNCTION("""COMPUTED_VALUE"""),39794.645833333336)</f>
        <v>39794.64583</v>
      </c>
      <c r="C106" s="2">
        <f>IFERROR(__xludf.DUMMYFUNCTION("""COMPUTED_VALUE"""),36.5)</f>
        <v>36.5</v>
      </c>
    </row>
    <row r="107" ht="15.75" customHeight="1">
      <c r="B107" s="3">
        <f>IFERROR(__xludf.DUMMYFUNCTION("""COMPUTED_VALUE"""),39801.645833333336)</f>
        <v>39801.64583</v>
      </c>
      <c r="C107" s="2">
        <f>IFERROR(__xludf.DUMMYFUNCTION("""COMPUTED_VALUE"""),44.9)</f>
        <v>44.9</v>
      </c>
    </row>
    <row r="108" ht="15.75" customHeight="1">
      <c r="B108" s="3">
        <f>IFERROR(__xludf.DUMMYFUNCTION("""COMPUTED_VALUE"""),39808.645833333336)</f>
        <v>39808.64583</v>
      </c>
      <c r="C108" s="2">
        <f>IFERROR(__xludf.DUMMYFUNCTION("""COMPUTED_VALUE"""),49.35)</f>
        <v>49.35</v>
      </c>
    </row>
    <row r="109" ht="15.75" customHeight="1"/>
    <row r="110" ht="15.75" customHeight="1"/>
    <row r="111" ht="15.75" customHeight="1">
      <c r="B111" s="2" t="str">
        <f>IFERROR(__xludf.DUMMYFUNCTION("GOOGLEFINANCE(""NSE:UNITECH"", ""high"",DATE(2009,1,1),DATE(2010,1,1),""weekly"")"),"Date")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IFERROR(__xludf.DUMMYFUNCTION("""COMPUTED_VALUE"""),39815.645833333336)</f>
        <v>39815.64583</v>
      </c>
      <c r="C112" s="2">
        <f>IFERROR(__xludf.DUMMYFUNCTION("""COMPUTED_VALUE"""),48.2)</f>
        <v>48.2</v>
      </c>
    </row>
    <row r="113" ht="15.75" customHeight="1">
      <c r="B113" s="3">
        <f>IFERROR(__xludf.DUMMYFUNCTION("""COMPUTED_VALUE"""),39822.645833333336)</f>
        <v>39822.64583</v>
      </c>
      <c r="C113" s="2">
        <f>IFERROR(__xludf.DUMMYFUNCTION("""COMPUTED_VALUE"""),50.15)</f>
        <v>50.15</v>
      </c>
    </row>
    <row r="114" ht="15.75" customHeight="1">
      <c r="B114" s="3">
        <f>IFERROR(__xludf.DUMMYFUNCTION("""COMPUTED_VALUE"""),39829.645833333336)</f>
        <v>39829.64583</v>
      </c>
      <c r="C114" s="2">
        <f>IFERROR(__xludf.DUMMYFUNCTION("""COMPUTED_VALUE"""),37.0)</f>
        <v>37</v>
      </c>
    </row>
    <row r="115" ht="15.75" customHeight="1">
      <c r="B115" s="3">
        <f>IFERROR(__xludf.DUMMYFUNCTION("""COMPUTED_VALUE"""),39836.645833333336)</f>
        <v>39836.64583</v>
      </c>
      <c r="C115" s="2">
        <f>IFERROR(__xludf.DUMMYFUNCTION("""COMPUTED_VALUE"""),32.65)</f>
        <v>32.65</v>
      </c>
    </row>
    <row r="116" ht="15.75" customHeight="1">
      <c r="B116" s="3">
        <f>IFERROR(__xludf.DUMMYFUNCTION("""COMPUTED_VALUE"""),39843.645833333336)</f>
        <v>39843.64583</v>
      </c>
      <c r="C116" s="2">
        <f>IFERROR(__xludf.DUMMYFUNCTION("""COMPUTED_VALUE"""),32.55)</f>
        <v>32.55</v>
      </c>
    </row>
    <row r="117" ht="15.75" customHeight="1">
      <c r="B117" s="3">
        <f>IFERROR(__xludf.DUMMYFUNCTION("""COMPUTED_VALUE"""),39850.645833333336)</f>
        <v>39850.64583</v>
      </c>
      <c r="C117" s="2">
        <f>IFERROR(__xludf.DUMMYFUNCTION("""COMPUTED_VALUE"""),31.35)</f>
        <v>31.35</v>
      </c>
    </row>
    <row r="118" ht="15.75" customHeight="1">
      <c r="B118" s="3">
        <f>IFERROR(__xludf.DUMMYFUNCTION("""COMPUTED_VALUE"""),39857.645833333336)</f>
        <v>39857.64583</v>
      </c>
      <c r="C118" s="2">
        <f>IFERROR(__xludf.DUMMYFUNCTION("""COMPUTED_VALUE"""),32.9)</f>
        <v>32.9</v>
      </c>
    </row>
    <row r="119" ht="15.75" customHeight="1">
      <c r="B119" s="3">
        <f>IFERROR(__xludf.DUMMYFUNCTION("""COMPUTED_VALUE"""),39864.645833333336)</f>
        <v>39864.64583</v>
      </c>
      <c r="C119" s="2">
        <f>IFERROR(__xludf.DUMMYFUNCTION("""COMPUTED_VALUE"""),32.9)</f>
        <v>32.9</v>
      </c>
    </row>
    <row r="120" ht="15.75" customHeight="1">
      <c r="B120" s="3">
        <f>IFERROR(__xludf.DUMMYFUNCTION("""COMPUTED_VALUE"""),39871.645833333336)</f>
        <v>39871.64583</v>
      </c>
      <c r="C120" s="2">
        <f>IFERROR(__xludf.DUMMYFUNCTION("""COMPUTED_VALUE"""),29.4)</f>
        <v>29.4</v>
      </c>
    </row>
    <row r="121" ht="15.75" customHeight="1">
      <c r="B121" s="3">
        <f>IFERROR(__xludf.DUMMYFUNCTION("""COMPUTED_VALUE"""),39878.645833333336)</f>
        <v>39878.64583</v>
      </c>
      <c r="C121" s="2">
        <f>IFERROR(__xludf.DUMMYFUNCTION("""COMPUTED_VALUE"""),28.35)</f>
        <v>28.35</v>
      </c>
    </row>
    <row r="122" ht="15.75" customHeight="1">
      <c r="B122" s="3">
        <f>IFERROR(__xludf.DUMMYFUNCTION("""COMPUTED_VALUE"""),39885.645833333336)</f>
        <v>39885.64583</v>
      </c>
      <c r="C122" s="2">
        <f>IFERROR(__xludf.DUMMYFUNCTION("""COMPUTED_VALUE"""),26.8)</f>
        <v>26.8</v>
      </c>
    </row>
    <row r="123" ht="15.75" customHeight="1">
      <c r="B123" s="3">
        <f>IFERROR(__xludf.DUMMYFUNCTION("""COMPUTED_VALUE"""),39892.645833333336)</f>
        <v>39892.64583</v>
      </c>
      <c r="C123" s="2">
        <f>IFERROR(__xludf.DUMMYFUNCTION("""COMPUTED_VALUE"""),27.9)</f>
        <v>27.9</v>
      </c>
    </row>
    <row r="124" ht="15.75" customHeight="1">
      <c r="B124" s="3">
        <f>IFERROR(__xludf.DUMMYFUNCTION("""COMPUTED_VALUE"""),39899.645833333336)</f>
        <v>39899.64583</v>
      </c>
      <c r="C124" s="2">
        <f>IFERROR(__xludf.DUMMYFUNCTION("""COMPUTED_VALUE"""),37.1)</f>
        <v>37.1</v>
      </c>
    </row>
    <row r="125" ht="15.75" customHeight="1">
      <c r="B125" s="3">
        <f>IFERROR(__xludf.DUMMYFUNCTION("""COMPUTED_VALUE"""),39905.645833333336)</f>
        <v>39905.64583</v>
      </c>
      <c r="C125" s="2">
        <f>IFERROR(__xludf.DUMMYFUNCTION("""COMPUTED_VALUE"""),39.7)</f>
        <v>39.7</v>
      </c>
    </row>
    <row r="126" ht="15.75" customHeight="1">
      <c r="B126" s="3">
        <f>IFERROR(__xludf.DUMMYFUNCTION("""COMPUTED_VALUE"""),39912.645833333336)</f>
        <v>39912.64583</v>
      </c>
      <c r="C126" s="2">
        <f>IFERROR(__xludf.DUMMYFUNCTION("""COMPUTED_VALUE"""),44.5)</f>
        <v>44.5</v>
      </c>
    </row>
    <row r="127" ht="15.75" customHeight="1">
      <c r="B127" s="3">
        <f>IFERROR(__xludf.DUMMYFUNCTION("""COMPUTED_VALUE"""),39920.645833333336)</f>
        <v>39920.64583</v>
      </c>
      <c r="C127" s="2">
        <f>IFERROR(__xludf.DUMMYFUNCTION("""COMPUTED_VALUE"""),56.35)</f>
        <v>56.35</v>
      </c>
    </row>
    <row r="128" ht="15.75" customHeight="1">
      <c r="B128" s="3">
        <f>IFERROR(__xludf.DUMMYFUNCTION("""COMPUTED_VALUE"""),39927.645833333336)</f>
        <v>39927.64583</v>
      </c>
      <c r="C128" s="2">
        <f>IFERROR(__xludf.DUMMYFUNCTION("""COMPUTED_VALUE"""),57.9)</f>
        <v>57.9</v>
      </c>
    </row>
    <row r="129" ht="15.75" customHeight="1">
      <c r="B129" s="3">
        <f>IFERROR(__xludf.DUMMYFUNCTION("""COMPUTED_VALUE"""),39932.645833333336)</f>
        <v>39932.64583</v>
      </c>
      <c r="C129" s="2">
        <f>IFERROR(__xludf.DUMMYFUNCTION("""COMPUTED_VALUE"""),47.5)</f>
        <v>47.5</v>
      </c>
    </row>
    <row r="130" ht="15.75" customHeight="1">
      <c r="B130" s="3">
        <f>IFERROR(__xludf.DUMMYFUNCTION("""COMPUTED_VALUE"""),39941.645833333336)</f>
        <v>39941.64583</v>
      </c>
      <c r="C130" s="2">
        <f>IFERROR(__xludf.DUMMYFUNCTION("""COMPUTED_VALUE"""),56.55)</f>
        <v>56.55</v>
      </c>
    </row>
    <row r="131" ht="15.75" customHeight="1">
      <c r="B131" s="3">
        <f>IFERROR(__xludf.DUMMYFUNCTION("""COMPUTED_VALUE"""),39948.645833333336)</f>
        <v>39948.64583</v>
      </c>
      <c r="C131" s="2">
        <f>IFERROR(__xludf.DUMMYFUNCTION("""COMPUTED_VALUE"""),54.05)</f>
        <v>54.05</v>
      </c>
    </row>
    <row r="132" ht="15.75" customHeight="1">
      <c r="B132" s="3">
        <f>IFERROR(__xludf.DUMMYFUNCTION("""COMPUTED_VALUE"""),39955.645833333336)</f>
        <v>39955.64583</v>
      </c>
      <c r="C132" s="2">
        <f>IFERROR(__xludf.DUMMYFUNCTION("""COMPUTED_VALUE"""),77.7)</f>
        <v>77.7</v>
      </c>
    </row>
    <row r="133" ht="15.75" customHeight="1">
      <c r="B133" s="3">
        <f>IFERROR(__xludf.DUMMYFUNCTION("""COMPUTED_VALUE"""),39962.645833333336)</f>
        <v>39962.64583</v>
      </c>
      <c r="C133" s="2">
        <f>IFERROR(__xludf.DUMMYFUNCTION("""COMPUTED_VALUE"""),82.85)</f>
        <v>82.85</v>
      </c>
    </row>
    <row r="134" ht="15.75" customHeight="1">
      <c r="B134" s="3">
        <f>IFERROR(__xludf.DUMMYFUNCTION("""COMPUTED_VALUE"""),39969.645833333336)</f>
        <v>39969.64583</v>
      </c>
      <c r="C134" s="2">
        <f>IFERROR(__xludf.DUMMYFUNCTION("""COMPUTED_VALUE"""),103.9)</f>
        <v>103.9</v>
      </c>
    </row>
    <row r="135" ht="15.75" customHeight="1">
      <c r="B135" s="3">
        <f>IFERROR(__xludf.DUMMYFUNCTION("""COMPUTED_VALUE"""),39976.645833333336)</f>
        <v>39976.64583</v>
      </c>
      <c r="C135" s="2">
        <f>IFERROR(__xludf.DUMMYFUNCTION("""COMPUTED_VALUE"""),100.9)</f>
        <v>100.9</v>
      </c>
    </row>
    <row r="136" ht="15.75" customHeight="1">
      <c r="B136" s="3">
        <f>IFERROR(__xludf.DUMMYFUNCTION("""COMPUTED_VALUE"""),39983.645833333336)</f>
        <v>39983.64583</v>
      </c>
      <c r="C136" s="2">
        <f>IFERROR(__xludf.DUMMYFUNCTION("""COMPUTED_VALUE"""),92.4)</f>
        <v>92.4</v>
      </c>
    </row>
    <row r="137" ht="15.75" customHeight="1">
      <c r="B137" s="3">
        <f>IFERROR(__xludf.DUMMYFUNCTION("""COMPUTED_VALUE"""),39990.645833333336)</f>
        <v>39990.64583</v>
      </c>
      <c r="C137" s="2">
        <f>IFERROR(__xludf.DUMMYFUNCTION("""COMPUTED_VALUE"""),87.0)</f>
        <v>87</v>
      </c>
    </row>
    <row r="138" ht="15.75" customHeight="1">
      <c r="B138" s="3">
        <f>IFERROR(__xludf.DUMMYFUNCTION("""COMPUTED_VALUE"""),39997.645833333336)</f>
        <v>39997.64583</v>
      </c>
      <c r="C138" s="2">
        <f>IFERROR(__xludf.DUMMYFUNCTION("""COMPUTED_VALUE"""),87.0)</f>
        <v>87</v>
      </c>
    </row>
    <row r="139" ht="15.75" customHeight="1">
      <c r="B139" s="3">
        <f>IFERROR(__xludf.DUMMYFUNCTION("""COMPUTED_VALUE"""),40004.645833333336)</f>
        <v>40004.64583</v>
      </c>
      <c r="C139" s="2">
        <f>IFERROR(__xludf.DUMMYFUNCTION("""COMPUTED_VALUE"""),87.9)</f>
        <v>87.9</v>
      </c>
    </row>
    <row r="140" ht="15.75" customHeight="1">
      <c r="B140" s="3">
        <f>IFERROR(__xludf.DUMMYFUNCTION("""COMPUTED_VALUE"""),40011.645833333336)</f>
        <v>40011.64583</v>
      </c>
      <c r="C140" s="2">
        <f>IFERROR(__xludf.DUMMYFUNCTION("""COMPUTED_VALUE"""),77.6)</f>
        <v>77.6</v>
      </c>
    </row>
    <row r="141" ht="15.75" customHeight="1">
      <c r="B141" s="3">
        <f>IFERROR(__xludf.DUMMYFUNCTION("""COMPUTED_VALUE"""),40018.645833333336)</f>
        <v>40018.64583</v>
      </c>
      <c r="C141" s="2">
        <f>IFERROR(__xludf.DUMMYFUNCTION("""COMPUTED_VALUE"""),87.85)</f>
        <v>87.85</v>
      </c>
    </row>
    <row r="142" ht="15.75" customHeight="1">
      <c r="B142" s="3">
        <f>IFERROR(__xludf.DUMMYFUNCTION("""COMPUTED_VALUE"""),40025.645833333336)</f>
        <v>40025.64583</v>
      </c>
      <c r="C142" s="2">
        <f>IFERROR(__xludf.DUMMYFUNCTION("""COMPUTED_VALUE"""),98.0)</f>
        <v>98</v>
      </c>
    </row>
    <row r="143" ht="15.75" customHeight="1">
      <c r="B143" s="3">
        <f>IFERROR(__xludf.DUMMYFUNCTION("""COMPUTED_VALUE"""),40032.645833333336)</f>
        <v>40032.64583</v>
      </c>
      <c r="C143" s="2">
        <f>IFERROR(__xludf.DUMMYFUNCTION("""COMPUTED_VALUE"""),96.85)</f>
        <v>96.85</v>
      </c>
    </row>
    <row r="144" ht="15.75" customHeight="1">
      <c r="B144" s="3">
        <f>IFERROR(__xludf.DUMMYFUNCTION("""COMPUTED_VALUE"""),40039.645833333336)</f>
        <v>40039.64583</v>
      </c>
      <c r="C144" s="2">
        <f>IFERROR(__xludf.DUMMYFUNCTION("""COMPUTED_VALUE"""),95.5)</f>
        <v>95.5</v>
      </c>
    </row>
    <row r="145" ht="15.75" customHeight="1">
      <c r="B145" s="3">
        <f>IFERROR(__xludf.DUMMYFUNCTION("""COMPUTED_VALUE"""),40046.645833333336)</f>
        <v>40046.64583</v>
      </c>
      <c r="C145" s="2">
        <f>IFERROR(__xludf.DUMMYFUNCTION("""COMPUTED_VALUE"""),91.0)</f>
        <v>91</v>
      </c>
    </row>
    <row r="146" ht="15.75" customHeight="1">
      <c r="B146" s="3">
        <f>IFERROR(__xludf.DUMMYFUNCTION("""COMPUTED_VALUE"""),40053.645833333336)</f>
        <v>40053.64583</v>
      </c>
      <c r="C146" s="2">
        <f>IFERROR(__xludf.DUMMYFUNCTION("""COMPUTED_VALUE"""),99.65)</f>
        <v>99.65</v>
      </c>
    </row>
    <row r="147" ht="15.75" customHeight="1">
      <c r="B147" s="3">
        <f>IFERROR(__xludf.DUMMYFUNCTION("""COMPUTED_VALUE"""),40060.645833333336)</f>
        <v>40060.64583</v>
      </c>
      <c r="C147" s="2">
        <f>IFERROR(__xludf.DUMMYFUNCTION("""COMPUTED_VALUE"""),109.6)</f>
        <v>109.6</v>
      </c>
    </row>
    <row r="148" ht="15.75" customHeight="1">
      <c r="B148" s="3">
        <f>IFERROR(__xludf.DUMMYFUNCTION("""COMPUTED_VALUE"""),40067.645833333336)</f>
        <v>40067.64583</v>
      </c>
      <c r="C148" s="2">
        <f>IFERROR(__xludf.DUMMYFUNCTION("""COMPUTED_VALUE"""),116.65)</f>
        <v>116.65</v>
      </c>
    </row>
    <row r="149" ht="15.75" customHeight="1">
      <c r="B149" s="3">
        <f>IFERROR(__xludf.DUMMYFUNCTION("""COMPUTED_VALUE"""),40074.645833333336)</f>
        <v>40074.64583</v>
      </c>
      <c r="C149" s="2">
        <f>IFERROR(__xludf.DUMMYFUNCTION("""COMPUTED_VALUE"""),115.0)</f>
        <v>115</v>
      </c>
    </row>
    <row r="150" ht="15.75" customHeight="1">
      <c r="B150" s="3">
        <f>IFERROR(__xludf.DUMMYFUNCTION("""COMPUTED_VALUE"""),40081.645833333336)</f>
        <v>40081.64583</v>
      </c>
      <c r="C150" s="2">
        <f>IFERROR(__xludf.DUMMYFUNCTION("""COMPUTED_VALUE"""),114.0)</f>
        <v>114</v>
      </c>
    </row>
    <row r="151" ht="15.75" customHeight="1">
      <c r="B151" s="3">
        <f>IFERROR(__xludf.DUMMYFUNCTION("""COMPUTED_VALUE"""),40087.645833333336)</f>
        <v>40087.64583</v>
      </c>
      <c r="C151" s="2">
        <f>IFERROR(__xludf.DUMMYFUNCTION("""COMPUTED_VALUE"""),111.6)</f>
        <v>111.6</v>
      </c>
    </row>
    <row r="152" ht="15.75" customHeight="1">
      <c r="B152" s="3">
        <f>IFERROR(__xludf.DUMMYFUNCTION("""COMPUTED_VALUE"""),40095.645833333336)</f>
        <v>40095.64583</v>
      </c>
      <c r="C152" s="2">
        <f>IFERROR(__xludf.DUMMYFUNCTION("""COMPUTED_VALUE"""),105.2)</f>
        <v>105.2</v>
      </c>
    </row>
    <row r="153" ht="15.75" customHeight="1">
      <c r="B153" s="3">
        <f>IFERROR(__xludf.DUMMYFUNCTION("""COMPUTED_VALUE"""),40109.645833333336)</f>
        <v>40109.64583</v>
      </c>
      <c r="C153" s="2">
        <f>IFERROR(__xludf.DUMMYFUNCTION("""COMPUTED_VALUE"""),112.9)</f>
        <v>112.9</v>
      </c>
    </row>
    <row r="154" ht="15.75" customHeight="1">
      <c r="B154" s="3">
        <f>IFERROR(__xludf.DUMMYFUNCTION("""COMPUTED_VALUE"""),40116.645833333336)</f>
        <v>40116.64583</v>
      </c>
      <c r="C154" s="2">
        <f>IFERROR(__xludf.DUMMYFUNCTION("""COMPUTED_VALUE"""),99.45)</f>
        <v>99.45</v>
      </c>
    </row>
    <row r="155" ht="15.75" customHeight="1">
      <c r="B155" s="3">
        <f>IFERROR(__xludf.DUMMYFUNCTION("""COMPUTED_VALUE"""),40123.645833333336)</f>
        <v>40123.64583</v>
      </c>
      <c r="C155" s="2">
        <f>IFERROR(__xludf.DUMMYFUNCTION("""COMPUTED_VALUE"""),88.4)</f>
        <v>88.4</v>
      </c>
    </row>
    <row r="156" ht="15.75" customHeight="1">
      <c r="B156" s="3">
        <f>IFERROR(__xludf.DUMMYFUNCTION("""COMPUTED_VALUE"""),40130.645833333336)</f>
        <v>40130.64583</v>
      </c>
      <c r="C156" s="2">
        <f>IFERROR(__xludf.DUMMYFUNCTION("""COMPUTED_VALUE"""),90.25)</f>
        <v>90.25</v>
      </c>
    </row>
    <row r="157" ht="15.75" customHeight="1">
      <c r="B157" s="3">
        <f>IFERROR(__xludf.DUMMYFUNCTION("""COMPUTED_VALUE"""),40137.645833333336)</f>
        <v>40137.64583</v>
      </c>
      <c r="C157" s="2">
        <f>IFERROR(__xludf.DUMMYFUNCTION("""COMPUTED_VALUE"""),87.55)</f>
        <v>87.55</v>
      </c>
    </row>
    <row r="158" ht="15.75" customHeight="1">
      <c r="B158" s="3">
        <f>IFERROR(__xludf.DUMMYFUNCTION("""COMPUTED_VALUE"""),40144.645833333336)</f>
        <v>40144.64583</v>
      </c>
      <c r="C158" s="2">
        <f>IFERROR(__xludf.DUMMYFUNCTION("""COMPUTED_VALUE"""),82.7)</f>
        <v>82.7</v>
      </c>
    </row>
    <row r="159" ht="15.75" customHeight="1">
      <c r="B159" s="3">
        <f>IFERROR(__xludf.DUMMYFUNCTION("""COMPUTED_VALUE"""),40151.645833333336)</f>
        <v>40151.64583</v>
      </c>
      <c r="C159" s="2">
        <f>IFERROR(__xludf.DUMMYFUNCTION("""COMPUTED_VALUE"""),92.0)</f>
        <v>92</v>
      </c>
    </row>
    <row r="160" ht="15.75" customHeight="1">
      <c r="B160" s="3">
        <f>IFERROR(__xludf.DUMMYFUNCTION("""COMPUTED_VALUE"""),40158.645833333336)</f>
        <v>40158.64583</v>
      </c>
      <c r="C160" s="2">
        <f>IFERROR(__xludf.DUMMYFUNCTION("""COMPUTED_VALUE"""),91.8)</f>
        <v>91.8</v>
      </c>
    </row>
    <row r="161" ht="15.75" customHeight="1">
      <c r="B161" s="3">
        <f>IFERROR(__xludf.DUMMYFUNCTION("""COMPUTED_VALUE"""),40165.645833333336)</f>
        <v>40165.64583</v>
      </c>
      <c r="C161" s="2">
        <f>IFERROR(__xludf.DUMMYFUNCTION("""COMPUTED_VALUE"""),88.25)</f>
        <v>88.25</v>
      </c>
    </row>
    <row r="162" ht="15.75" customHeight="1">
      <c r="B162" s="3">
        <f>IFERROR(__xludf.DUMMYFUNCTION("""COMPUTED_VALUE"""),40171.645833333336)</f>
        <v>40171.64583</v>
      </c>
      <c r="C162" s="2">
        <f>IFERROR(__xludf.DUMMYFUNCTION("""COMPUTED_VALUE"""),83.45)</f>
        <v>83.45</v>
      </c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IFERROR(__xludf.DUMMYFUNCTION("GOOGLEFINANCE(""NSE:IDEA"", ""high"",DATE(2008,1,1),DATE(2009,1,1),""weekly"")"),"Date")</f>
        <v>Date</v>
      </c>
      <c r="C1" s="2" t="str">
        <f>IFERROR(__xludf.DUMMYFUNCTION("""COMPUTED_VALUE"""),"High")</f>
        <v>High</v>
      </c>
    </row>
    <row r="2">
      <c r="A2" s="2" t="s">
        <v>7</v>
      </c>
      <c r="B2" s="3">
        <f>IFERROR(__xludf.DUMMYFUNCTION("""COMPUTED_VALUE"""),39451.645833333336)</f>
        <v>39451.64583</v>
      </c>
      <c r="C2" s="2">
        <f>IFERROR(__xludf.DUMMYFUNCTION("""COMPUTED_VALUE"""),85.1)</f>
        <v>85.1</v>
      </c>
    </row>
    <row r="3">
      <c r="A3" s="2" t="s">
        <v>8</v>
      </c>
      <c r="B3" s="3">
        <f>IFERROR(__xludf.DUMMYFUNCTION("""COMPUTED_VALUE"""),39458.645833333336)</f>
        <v>39458.64583</v>
      </c>
      <c r="C3" s="2">
        <f>IFERROR(__xludf.DUMMYFUNCTION("""COMPUTED_VALUE"""),85.41)</f>
        <v>85.41</v>
      </c>
    </row>
    <row r="4">
      <c r="A4" s="2" t="s">
        <v>14</v>
      </c>
      <c r="B4" s="3">
        <f>IFERROR(__xludf.DUMMYFUNCTION("""COMPUTED_VALUE"""),39464.645833333336)</f>
        <v>39464.64583</v>
      </c>
      <c r="C4" s="2">
        <f>IFERROR(__xludf.DUMMYFUNCTION("""COMPUTED_VALUE"""),90.3)</f>
        <v>90.3</v>
      </c>
    </row>
    <row r="5">
      <c r="A5" s="2" t="s">
        <v>15</v>
      </c>
      <c r="B5" s="3">
        <f>IFERROR(__xludf.DUMMYFUNCTION("""COMPUTED_VALUE"""),39472.645833333336)</f>
        <v>39472.64583</v>
      </c>
      <c r="C5" s="2">
        <f>IFERROR(__xludf.DUMMYFUNCTION("""COMPUTED_VALUE"""),84.62)</f>
        <v>84.62</v>
      </c>
    </row>
    <row r="6">
      <c r="B6" s="3">
        <f>IFERROR(__xludf.DUMMYFUNCTION("""COMPUTED_VALUE"""),39479.645833333336)</f>
        <v>39479.64583</v>
      </c>
      <c r="C6" s="2">
        <f>IFERROR(__xludf.DUMMYFUNCTION("""COMPUTED_VALUE"""),78.52)</f>
        <v>78.52</v>
      </c>
    </row>
    <row r="7">
      <c r="B7" s="3">
        <f>IFERROR(__xludf.DUMMYFUNCTION("""COMPUTED_VALUE"""),39486.645833333336)</f>
        <v>39486.64583</v>
      </c>
      <c r="C7" s="2">
        <f>IFERROR(__xludf.DUMMYFUNCTION("""COMPUTED_VALUE"""),78.22)</f>
        <v>78.22</v>
      </c>
    </row>
    <row r="8">
      <c r="B8" s="3">
        <f>IFERROR(__xludf.DUMMYFUNCTION("""COMPUTED_VALUE"""),39493.645833333336)</f>
        <v>39493.64583</v>
      </c>
      <c r="C8" s="2">
        <f>IFERROR(__xludf.DUMMYFUNCTION("""COMPUTED_VALUE"""),69.97)</f>
        <v>69.97</v>
      </c>
    </row>
    <row r="9">
      <c r="B9" s="3">
        <f>IFERROR(__xludf.DUMMYFUNCTION("""COMPUTED_VALUE"""),39500.645833333336)</f>
        <v>39500.64583</v>
      </c>
      <c r="C9" s="2">
        <f>IFERROR(__xludf.DUMMYFUNCTION("""COMPUTED_VALUE"""),69.1)</f>
        <v>69.1</v>
      </c>
    </row>
    <row r="10">
      <c r="B10" s="3">
        <f>IFERROR(__xludf.DUMMYFUNCTION("""COMPUTED_VALUE"""),39507.645833333336)</f>
        <v>39507.64583</v>
      </c>
      <c r="C10" s="2">
        <f>IFERROR(__xludf.DUMMYFUNCTION("""COMPUTED_VALUE"""),70.55)</f>
        <v>70.55</v>
      </c>
    </row>
    <row r="11">
      <c r="B11" s="3">
        <f>IFERROR(__xludf.DUMMYFUNCTION("""COMPUTED_VALUE"""),39514.645833333336)</f>
        <v>39514.64583</v>
      </c>
      <c r="C11" s="2">
        <f>IFERROR(__xludf.DUMMYFUNCTION("""COMPUTED_VALUE"""),65.23)</f>
        <v>65.23</v>
      </c>
    </row>
    <row r="12">
      <c r="B12" s="3">
        <f>IFERROR(__xludf.DUMMYFUNCTION("""COMPUTED_VALUE"""),39521.645833333336)</f>
        <v>39521.64583</v>
      </c>
      <c r="C12" s="2">
        <f>IFERROR(__xludf.DUMMYFUNCTION("""COMPUTED_VALUE"""),62.79)</f>
        <v>62.79</v>
      </c>
    </row>
    <row r="13">
      <c r="B13" s="3">
        <f>IFERROR(__xludf.DUMMYFUNCTION("""COMPUTED_VALUE"""),39526.645833333336)</f>
        <v>39526.64583</v>
      </c>
      <c r="C13" s="2">
        <f>IFERROR(__xludf.DUMMYFUNCTION("""COMPUTED_VALUE"""),59.49)</f>
        <v>59.49</v>
      </c>
    </row>
    <row r="14">
      <c r="B14" s="3">
        <f>IFERROR(__xludf.DUMMYFUNCTION("""COMPUTED_VALUE"""),39535.645833333336)</f>
        <v>39535.64583</v>
      </c>
      <c r="C14" s="2">
        <f>IFERROR(__xludf.DUMMYFUNCTION("""COMPUTED_VALUE"""),63.42)</f>
        <v>63.42</v>
      </c>
    </row>
    <row r="15">
      <c r="B15" s="3">
        <f>IFERROR(__xludf.DUMMYFUNCTION("""COMPUTED_VALUE"""),39542.645833333336)</f>
        <v>39542.64583</v>
      </c>
      <c r="C15" s="2">
        <f>IFERROR(__xludf.DUMMYFUNCTION("""COMPUTED_VALUE"""),64.02)</f>
        <v>64.02</v>
      </c>
    </row>
    <row r="16">
      <c r="B16" s="3">
        <f>IFERROR(__xludf.DUMMYFUNCTION("""COMPUTED_VALUE"""),39549.645833333336)</f>
        <v>39549.64583</v>
      </c>
      <c r="C16" s="2">
        <f>IFERROR(__xludf.DUMMYFUNCTION("""COMPUTED_VALUE"""),61.85)</f>
        <v>61.85</v>
      </c>
    </row>
    <row r="17">
      <c r="B17" s="3">
        <f>IFERROR(__xludf.DUMMYFUNCTION("""COMPUTED_VALUE"""),39555.645833333336)</f>
        <v>39555.64583</v>
      </c>
      <c r="C17" s="2">
        <f>IFERROR(__xludf.DUMMYFUNCTION("""COMPUTED_VALUE"""),61.55)</f>
        <v>61.55</v>
      </c>
    </row>
    <row r="18">
      <c r="B18" s="3">
        <f>IFERROR(__xludf.DUMMYFUNCTION("""COMPUTED_VALUE"""),39563.645833333336)</f>
        <v>39563.64583</v>
      </c>
      <c r="C18" s="2">
        <f>IFERROR(__xludf.DUMMYFUNCTION("""COMPUTED_VALUE"""),67.95)</f>
        <v>67.95</v>
      </c>
    </row>
    <row r="19">
      <c r="B19" s="3">
        <f>IFERROR(__xludf.DUMMYFUNCTION("""COMPUTED_VALUE"""),39570.645833333336)</f>
        <v>39570.64583</v>
      </c>
      <c r="C19" s="2">
        <f>IFERROR(__xludf.DUMMYFUNCTION("""COMPUTED_VALUE"""),67.95)</f>
        <v>67.95</v>
      </c>
    </row>
    <row r="20">
      <c r="B20" s="3">
        <f>IFERROR(__xludf.DUMMYFUNCTION("""COMPUTED_VALUE"""),39577.645833333336)</f>
        <v>39577.64583</v>
      </c>
      <c r="C20" s="2">
        <f>IFERROR(__xludf.DUMMYFUNCTION("""COMPUTED_VALUE"""),66.44)</f>
        <v>66.44</v>
      </c>
    </row>
    <row r="21" ht="15.75" customHeight="1">
      <c r="B21" s="3">
        <f>IFERROR(__xludf.DUMMYFUNCTION("""COMPUTED_VALUE"""),39584.645833333336)</f>
        <v>39584.64583</v>
      </c>
      <c r="C21" s="2">
        <f>IFERROR(__xludf.DUMMYFUNCTION("""COMPUTED_VALUE"""),67.04)</f>
        <v>67.04</v>
      </c>
    </row>
    <row r="22" ht="15.75" customHeight="1">
      <c r="B22" s="3">
        <f>IFERROR(__xludf.DUMMYFUNCTION("""COMPUTED_VALUE"""),39591.645833333336)</f>
        <v>39591.64583</v>
      </c>
      <c r="C22" s="2">
        <f>IFERROR(__xludf.DUMMYFUNCTION("""COMPUTED_VALUE"""),68.86)</f>
        <v>68.86</v>
      </c>
    </row>
    <row r="23" ht="15.75" customHeight="1">
      <c r="B23" s="3">
        <f>IFERROR(__xludf.DUMMYFUNCTION("""COMPUTED_VALUE"""),39598.645833333336)</f>
        <v>39598.64583</v>
      </c>
      <c r="C23" s="2">
        <f>IFERROR(__xludf.DUMMYFUNCTION("""COMPUTED_VALUE"""),67.83)</f>
        <v>67.83</v>
      </c>
    </row>
    <row r="24" ht="15.75" customHeight="1">
      <c r="B24" s="3">
        <f>IFERROR(__xludf.DUMMYFUNCTION("""COMPUTED_VALUE"""),39605.645833333336)</f>
        <v>39605.64583</v>
      </c>
      <c r="C24" s="2">
        <f>IFERROR(__xludf.DUMMYFUNCTION("""COMPUTED_VALUE"""),66.29)</f>
        <v>66.29</v>
      </c>
    </row>
    <row r="25" ht="15.75" customHeight="1">
      <c r="B25" s="3">
        <f>IFERROR(__xludf.DUMMYFUNCTION("""COMPUTED_VALUE"""),39612.645833333336)</f>
        <v>39612.64583</v>
      </c>
      <c r="C25" s="2">
        <f>IFERROR(__xludf.DUMMYFUNCTION("""COMPUTED_VALUE"""),67.65)</f>
        <v>67.65</v>
      </c>
    </row>
    <row r="26" ht="15.75" customHeight="1">
      <c r="B26" s="3">
        <f>IFERROR(__xludf.DUMMYFUNCTION("""COMPUTED_VALUE"""),39619.645833333336)</f>
        <v>39619.64583</v>
      </c>
      <c r="C26" s="2">
        <f>IFERROR(__xludf.DUMMYFUNCTION("""COMPUTED_VALUE"""),67.65)</f>
        <v>67.65</v>
      </c>
    </row>
    <row r="27" ht="15.75" customHeight="1">
      <c r="B27" s="3">
        <f>IFERROR(__xludf.DUMMYFUNCTION("""COMPUTED_VALUE"""),39626.645833333336)</f>
        <v>39626.64583</v>
      </c>
      <c r="C27" s="2">
        <f>IFERROR(__xludf.DUMMYFUNCTION("""COMPUTED_VALUE"""),63.96)</f>
        <v>63.96</v>
      </c>
    </row>
    <row r="28" ht="15.75" customHeight="1">
      <c r="B28" s="3">
        <f>IFERROR(__xludf.DUMMYFUNCTION("""COMPUTED_VALUE"""),39633.645833333336)</f>
        <v>39633.64583</v>
      </c>
      <c r="C28" s="2">
        <f>IFERROR(__xludf.DUMMYFUNCTION("""COMPUTED_VALUE"""),59.43)</f>
        <v>59.43</v>
      </c>
    </row>
    <row r="29" ht="15.75" customHeight="1">
      <c r="B29" s="3">
        <f>IFERROR(__xludf.DUMMYFUNCTION("""COMPUTED_VALUE"""),39640.645833333336)</f>
        <v>39640.64583</v>
      </c>
      <c r="C29" s="2">
        <f>IFERROR(__xludf.DUMMYFUNCTION("""COMPUTED_VALUE"""),57.02)</f>
        <v>57.02</v>
      </c>
    </row>
    <row r="30" ht="15.75" customHeight="1">
      <c r="B30" s="3">
        <f>IFERROR(__xludf.DUMMYFUNCTION("""COMPUTED_VALUE"""),39647.645833333336)</f>
        <v>39647.64583</v>
      </c>
      <c r="C30" s="2">
        <f>IFERROR(__xludf.DUMMYFUNCTION("""COMPUTED_VALUE"""),51.28)</f>
        <v>51.28</v>
      </c>
    </row>
    <row r="31" ht="15.75" customHeight="1">
      <c r="B31" s="3">
        <f>IFERROR(__xludf.DUMMYFUNCTION("""COMPUTED_VALUE"""),39654.645833333336)</f>
        <v>39654.64583</v>
      </c>
      <c r="C31" s="2">
        <f>IFERROR(__xludf.DUMMYFUNCTION("""COMPUTED_VALUE"""),56.69)</f>
        <v>56.69</v>
      </c>
    </row>
    <row r="32" ht="15.75" customHeight="1">
      <c r="B32" s="3">
        <f>IFERROR(__xludf.DUMMYFUNCTION("""COMPUTED_VALUE"""),39661.645833333336)</f>
        <v>39661.64583</v>
      </c>
      <c r="C32" s="2">
        <f>IFERROR(__xludf.DUMMYFUNCTION("""COMPUTED_VALUE"""),55.08)</f>
        <v>55.08</v>
      </c>
    </row>
    <row r="33" ht="15.75" customHeight="1">
      <c r="B33" s="3">
        <f>IFERROR(__xludf.DUMMYFUNCTION("""COMPUTED_VALUE"""),39668.645833333336)</f>
        <v>39668.64583</v>
      </c>
      <c r="C33" s="2">
        <f>IFERROR(__xludf.DUMMYFUNCTION("""COMPUTED_VALUE"""),56.44)</f>
        <v>56.44</v>
      </c>
    </row>
    <row r="34" ht="15.75" customHeight="1">
      <c r="B34" s="3">
        <f>IFERROR(__xludf.DUMMYFUNCTION("""COMPUTED_VALUE"""),39674.645833333336)</f>
        <v>39674.64583</v>
      </c>
      <c r="C34" s="2">
        <f>IFERROR(__xludf.DUMMYFUNCTION("""COMPUTED_VALUE"""),55.51)</f>
        <v>55.51</v>
      </c>
    </row>
    <row r="35" ht="15.75" customHeight="1">
      <c r="B35" s="3">
        <f>IFERROR(__xludf.DUMMYFUNCTION("""COMPUTED_VALUE"""),39682.645833333336)</f>
        <v>39682.64583</v>
      </c>
      <c r="C35" s="2">
        <f>IFERROR(__xludf.DUMMYFUNCTION("""COMPUTED_VALUE"""),52.85)</f>
        <v>52.85</v>
      </c>
    </row>
    <row r="36" ht="15.75" customHeight="1">
      <c r="B36" s="3">
        <f>IFERROR(__xludf.DUMMYFUNCTION("""COMPUTED_VALUE"""),39689.645833333336)</f>
        <v>39689.64583</v>
      </c>
      <c r="C36" s="2">
        <f>IFERROR(__xludf.DUMMYFUNCTION("""COMPUTED_VALUE"""),51.25)</f>
        <v>51.25</v>
      </c>
    </row>
    <row r="37" ht="15.75" customHeight="1">
      <c r="B37" s="3">
        <f>IFERROR(__xludf.DUMMYFUNCTION("""COMPUTED_VALUE"""),39696.645833333336)</f>
        <v>39696.64583</v>
      </c>
      <c r="C37" s="2">
        <f>IFERROR(__xludf.DUMMYFUNCTION("""COMPUTED_VALUE"""),50.74)</f>
        <v>50.74</v>
      </c>
    </row>
    <row r="38" ht="15.75" customHeight="1">
      <c r="B38" s="3">
        <f>IFERROR(__xludf.DUMMYFUNCTION("""COMPUTED_VALUE"""),39703.645833333336)</f>
        <v>39703.64583</v>
      </c>
      <c r="C38" s="2">
        <f>IFERROR(__xludf.DUMMYFUNCTION("""COMPUTED_VALUE"""),52.97)</f>
        <v>52.97</v>
      </c>
    </row>
    <row r="39" ht="15.75" customHeight="1">
      <c r="B39" s="3">
        <f>IFERROR(__xludf.DUMMYFUNCTION("""COMPUTED_VALUE"""),39710.645833333336)</f>
        <v>39710.64583</v>
      </c>
      <c r="C39" s="2">
        <f>IFERROR(__xludf.DUMMYFUNCTION("""COMPUTED_VALUE"""),50.22)</f>
        <v>50.22</v>
      </c>
    </row>
    <row r="40" ht="15.75" customHeight="1">
      <c r="B40" s="3">
        <f>IFERROR(__xludf.DUMMYFUNCTION("""COMPUTED_VALUE"""),39717.645833333336)</f>
        <v>39717.64583</v>
      </c>
      <c r="C40" s="2">
        <f>IFERROR(__xludf.DUMMYFUNCTION("""COMPUTED_VALUE"""),50.74)</f>
        <v>50.74</v>
      </c>
    </row>
    <row r="41" ht="15.75" customHeight="1">
      <c r="B41" s="3">
        <f>IFERROR(__xludf.DUMMYFUNCTION("""COMPUTED_VALUE"""),39724.645833333336)</f>
        <v>39724.64583</v>
      </c>
      <c r="C41" s="2">
        <f>IFERROR(__xludf.DUMMYFUNCTION("""COMPUTED_VALUE"""),48.2)</f>
        <v>48.2</v>
      </c>
    </row>
    <row r="42" ht="15.75" customHeight="1">
      <c r="B42" s="3">
        <f>IFERROR(__xludf.DUMMYFUNCTION("""COMPUTED_VALUE"""),39731.645833333336)</f>
        <v>39731.64583</v>
      </c>
      <c r="C42" s="2">
        <f>IFERROR(__xludf.DUMMYFUNCTION("""COMPUTED_VALUE"""),43.61)</f>
        <v>43.61</v>
      </c>
    </row>
    <row r="43" ht="15.75" customHeight="1">
      <c r="B43" s="3">
        <f>IFERROR(__xludf.DUMMYFUNCTION("""COMPUTED_VALUE"""),39738.645833333336)</f>
        <v>39738.64583</v>
      </c>
      <c r="C43" s="2">
        <f>IFERROR(__xludf.DUMMYFUNCTION("""COMPUTED_VALUE"""),47.35)</f>
        <v>47.35</v>
      </c>
    </row>
    <row r="44" ht="15.75" customHeight="1">
      <c r="B44" s="3">
        <f>IFERROR(__xludf.DUMMYFUNCTION("""COMPUTED_VALUE"""),39745.645833333336)</f>
        <v>39745.64583</v>
      </c>
      <c r="C44" s="2">
        <f>IFERROR(__xludf.DUMMYFUNCTION("""COMPUTED_VALUE"""),39.71)</f>
        <v>39.71</v>
      </c>
    </row>
    <row r="45" ht="15.75" customHeight="1">
      <c r="B45" s="3">
        <f>IFERROR(__xludf.DUMMYFUNCTION("""COMPUTED_VALUE"""),39752.645833333336)</f>
        <v>39752.64583</v>
      </c>
      <c r="C45" s="2">
        <f>IFERROR(__xludf.DUMMYFUNCTION("""COMPUTED_VALUE"""),27.03)</f>
        <v>27.03</v>
      </c>
    </row>
    <row r="46" ht="15.75" customHeight="1">
      <c r="B46" s="3">
        <f>IFERROR(__xludf.DUMMYFUNCTION("""COMPUTED_VALUE"""),39759.645833333336)</f>
        <v>39759.64583</v>
      </c>
      <c r="C46" s="2">
        <f>IFERROR(__xludf.DUMMYFUNCTION("""COMPUTED_VALUE"""),32.01)</f>
        <v>32.01</v>
      </c>
    </row>
    <row r="47" ht="15.75" customHeight="1">
      <c r="B47" s="3">
        <f>IFERROR(__xludf.DUMMYFUNCTION("""COMPUTED_VALUE"""),39766.645833333336)</f>
        <v>39766.64583</v>
      </c>
      <c r="C47" s="2">
        <f>IFERROR(__xludf.DUMMYFUNCTION("""COMPUTED_VALUE"""),32.25)</f>
        <v>32.25</v>
      </c>
    </row>
    <row r="48" ht="15.75" customHeight="1">
      <c r="B48" s="3">
        <f>IFERROR(__xludf.DUMMYFUNCTION("""COMPUTED_VALUE"""),39773.645833333336)</f>
        <v>39773.64583</v>
      </c>
      <c r="C48" s="2">
        <f>IFERROR(__xludf.DUMMYFUNCTION("""COMPUTED_VALUE"""),30.38)</f>
        <v>30.38</v>
      </c>
    </row>
    <row r="49" ht="15.75" customHeight="1">
      <c r="B49" s="3">
        <f>IFERROR(__xludf.DUMMYFUNCTION("""COMPUTED_VALUE"""),39780.645833333336)</f>
        <v>39780.64583</v>
      </c>
      <c r="C49" s="2">
        <f>IFERROR(__xludf.DUMMYFUNCTION("""COMPUTED_VALUE"""),29.29)</f>
        <v>29.29</v>
      </c>
    </row>
    <row r="50" ht="15.75" customHeight="1">
      <c r="B50" s="3">
        <f>IFERROR(__xludf.DUMMYFUNCTION("""COMPUTED_VALUE"""),39787.645833333336)</f>
        <v>39787.64583</v>
      </c>
      <c r="C50" s="2">
        <f>IFERROR(__xludf.DUMMYFUNCTION("""COMPUTED_VALUE"""),31.35)</f>
        <v>31.35</v>
      </c>
    </row>
    <row r="51" ht="15.75" customHeight="1">
      <c r="B51" s="3">
        <f>IFERROR(__xludf.DUMMYFUNCTION("""COMPUTED_VALUE"""),39794.645833333336)</f>
        <v>39794.64583</v>
      </c>
      <c r="C51" s="2">
        <f>IFERROR(__xludf.DUMMYFUNCTION("""COMPUTED_VALUE"""),33.52)</f>
        <v>33.52</v>
      </c>
    </row>
    <row r="52" ht="15.75" customHeight="1">
      <c r="B52" s="3">
        <f>IFERROR(__xludf.DUMMYFUNCTION("""COMPUTED_VALUE"""),39801.645833333336)</f>
        <v>39801.64583</v>
      </c>
      <c r="C52" s="2">
        <f>IFERROR(__xludf.DUMMYFUNCTION("""COMPUTED_VALUE"""),35.27)</f>
        <v>35.27</v>
      </c>
    </row>
    <row r="53" ht="15.75" customHeight="1">
      <c r="B53" s="3">
        <f>IFERROR(__xludf.DUMMYFUNCTION("""COMPUTED_VALUE"""),39808.645833333336)</f>
        <v>39808.64583</v>
      </c>
      <c r="C53" s="2">
        <f>IFERROR(__xludf.DUMMYFUNCTION("""COMPUTED_VALUE"""),32.53)</f>
        <v>32.53</v>
      </c>
    </row>
    <row r="54" ht="15.75" customHeight="1"/>
    <row r="55" ht="15.75" customHeight="1"/>
    <row r="56" ht="15.75" customHeight="1">
      <c r="B56" s="2" t="str">
        <f>IFERROR(__xludf.DUMMYFUNCTION("GOOGLEFINANCE(""NSE:IDEA"", ""high"",DATE(2009,1,1),DATE(2010,1,1),""weekly"")"),"Date")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IFERROR(__xludf.DUMMYFUNCTION("""COMPUTED_VALUE"""),39815.645833333336)</f>
        <v>39815.64583</v>
      </c>
      <c r="C57" s="2">
        <f>IFERROR(__xludf.DUMMYFUNCTION("""COMPUTED_VALUE"""),33.43)</f>
        <v>33.43</v>
      </c>
    </row>
    <row r="58" ht="15.75" customHeight="1">
      <c r="B58" s="3">
        <f>IFERROR(__xludf.DUMMYFUNCTION("""COMPUTED_VALUE"""),39822.645833333336)</f>
        <v>39822.64583</v>
      </c>
      <c r="C58" s="2">
        <f>IFERROR(__xludf.DUMMYFUNCTION("""COMPUTED_VALUE"""),33.16)</f>
        <v>33.16</v>
      </c>
    </row>
    <row r="59" ht="15.75" customHeight="1">
      <c r="B59" s="3">
        <f>IFERROR(__xludf.DUMMYFUNCTION("""COMPUTED_VALUE"""),39829.645833333336)</f>
        <v>39829.64583</v>
      </c>
      <c r="C59" s="2">
        <f>IFERROR(__xludf.DUMMYFUNCTION("""COMPUTED_VALUE"""),28.27)</f>
        <v>28.27</v>
      </c>
    </row>
    <row r="60" ht="15.75" customHeight="1">
      <c r="B60" s="3">
        <f>IFERROR(__xludf.DUMMYFUNCTION("""COMPUTED_VALUE"""),39836.645833333336)</f>
        <v>39836.64583</v>
      </c>
      <c r="C60" s="2">
        <f>IFERROR(__xludf.DUMMYFUNCTION("""COMPUTED_VALUE"""),27.12)</f>
        <v>27.12</v>
      </c>
    </row>
    <row r="61" ht="15.75" customHeight="1">
      <c r="B61" s="3">
        <f>IFERROR(__xludf.DUMMYFUNCTION("""COMPUTED_VALUE"""),39843.645833333336)</f>
        <v>39843.64583</v>
      </c>
      <c r="C61" s="2">
        <f>IFERROR(__xludf.DUMMYFUNCTION("""COMPUTED_VALUE"""),28.75)</f>
        <v>28.75</v>
      </c>
    </row>
    <row r="62" ht="15.75" customHeight="1">
      <c r="B62" s="3">
        <f>IFERROR(__xludf.DUMMYFUNCTION("""COMPUTED_VALUE"""),39850.645833333336)</f>
        <v>39850.64583</v>
      </c>
      <c r="C62" s="2">
        <f>IFERROR(__xludf.DUMMYFUNCTION("""COMPUTED_VALUE"""),28.81)</f>
        <v>28.81</v>
      </c>
    </row>
    <row r="63" ht="15.75" customHeight="1">
      <c r="B63" s="3">
        <f>IFERROR(__xludf.DUMMYFUNCTION("""COMPUTED_VALUE"""),39857.645833333336)</f>
        <v>39857.64583</v>
      </c>
      <c r="C63" s="2">
        <f>IFERROR(__xludf.DUMMYFUNCTION("""COMPUTED_VALUE"""),31.71)</f>
        <v>31.71</v>
      </c>
    </row>
    <row r="64" ht="15.75" customHeight="1">
      <c r="B64" s="3">
        <f>IFERROR(__xludf.DUMMYFUNCTION("""COMPUTED_VALUE"""),39864.645833333336)</f>
        <v>39864.64583</v>
      </c>
      <c r="C64" s="2">
        <f>IFERROR(__xludf.DUMMYFUNCTION("""COMPUTED_VALUE"""),31.41)</f>
        <v>31.41</v>
      </c>
    </row>
    <row r="65" ht="15.75" customHeight="1">
      <c r="B65" s="3">
        <f>IFERROR(__xludf.DUMMYFUNCTION("""COMPUTED_VALUE"""),39871.645833333336)</f>
        <v>39871.64583</v>
      </c>
      <c r="C65" s="2">
        <f>IFERROR(__xludf.DUMMYFUNCTION("""COMPUTED_VALUE"""),30.47)</f>
        <v>30.47</v>
      </c>
    </row>
    <row r="66" ht="15.75" customHeight="1">
      <c r="B66" s="3">
        <f>IFERROR(__xludf.DUMMYFUNCTION("""COMPUTED_VALUE"""),39878.645833333336)</f>
        <v>39878.64583</v>
      </c>
      <c r="C66" s="2">
        <f>IFERROR(__xludf.DUMMYFUNCTION("""COMPUTED_VALUE"""),28.36)</f>
        <v>28.36</v>
      </c>
    </row>
    <row r="67" ht="15.75" customHeight="1">
      <c r="B67" s="3">
        <f>IFERROR(__xludf.DUMMYFUNCTION("""COMPUTED_VALUE"""),39885.645833333336)</f>
        <v>39885.64583</v>
      </c>
      <c r="C67" s="2">
        <f>IFERROR(__xludf.DUMMYFUNCTION("""COMPUTED_VALUE"""),27.97)</f>
        <v>27.97</v>
      </c>
    </row>
    <row r="68" ht="15.75" customHeight="1">
      <c r="B68" s="3">
        <f>IFERROR(__xludf.DUMMYFUNCTION("""COMPUTED_VALUE"""),39892.645833333336)</f>
        <v>39892.64583</v>
      </c>
      <c r="C68" s="2">
        <f>IFERROR(__xludf.DUMMYFUNCTION("""COMPUTED_VALUE"""),29.54)</f>
        <v>29.54</v>
      </c>
    </row>
    <row r="69" ht="15.75" customHeight="1">
      <c r="B69" s="3">
        <f>IFERROR(__xludf.DUMMYFUNCTION("""COMPUTED_VALUE"""),39899.645833333336)</f>
        <v>39899.64583</v>
      </c>
      <c r="C69" s="2">
        <f>IFERROR(__xludf.DUMMYFUNCTION("""COMPUTED_VALUE"""),32.22)</f>
        <v>32.22</v>
      </c>
    </row>
    <row r="70" ht="15.75" customHeight="1">
      <c r="B70" s="3">
        <f>IFERROR(__xludf.DUMMYFUNCTION("""COMPUTED_VALUE"""),39905.645833333336)</f>
        <v>39905.64583</v>
      </c>
      <c r="C70" s="2">
        <f>IFERROR(__xludf.DUMMYFUNCTION("""COMPUTED_VALUE"""),31.56)</f>
        <v>31.56</v>
      </c>
    </row>
    <row r="71" ht="15.75" customHeight="1">
      <c r="B71" s="3">
        <f>IFERROR(__xludf.DUMMYFUNCTION("""COMPUTED_VALUE"""),39912.645833333336)</f>
        <v>39912.64583</v>
      </c>
      <c r="C71" s="2">
        <f>IFERROR(__xludf.DUMMYFUNCTION("""COMPUTED_VALUE"""),34.25)</f>
        <v>34.25</v>
      </c>
    </row>
    <row r="72" ht="15.75" customHeight="1">
      <c r="B72" s="3">
        <f>IFERROR(__xludf.DUMMYFUNCTION("""COMPUTED_VALUE"""),39920.645833333336)</f>
        <v>39920.64583</v>
      </c>
      <c r="C72" s="2">
        <f>IFERROR(__xludf.DUMMYFUNCTION("""COMPUTED_VALUE"""),35.33)</f>
        <v>35.33</v>
      </c>
    </row>
    <row r="73" ht="15.75" customHeight="1">
      <c r="B73" s="3">
        <f>IFERROR(__xludf.DUMMYFUNCTION("""COMPUTED_VALUE"""),39927.645833333336)</f>
        <v>39927.64583</v>
      </c>
      <c r="C73" s="2">
        <f>IFERROR(__xludf.DUMMYFUNCTION("""COMPUTED_VALUE"""),37.66)</f>
        <v>37.66</v>
      </c>
    </row>
    <row r="74" ht="15.75" customHeight="1">
      <c r="B74" s="3">
        <f>IFERROR(__xludf.DUMMYFUNCTION("""COMPUTED_VALUE"""),39932.645833333336)</f>
        <v>39932.64583</v>
      </c>
      <c r="C74" s="2">
        <f>IFERROR(__xludf.DUMMYFUNCTION("""COMPUTED_VALUE"""),39.14)</f>
        <v>39.14</v>
      </c>
    </row>
    <row r="75" ht="15.75" customHeight="1">
      <c r="B75" s="3">
        <f>IFERROR(__xludf.DUMMYFUNCTION("""COMPUTED_VALUE"""),39941.645833333336)</f>
        <v>39941.64583</v>
      </c>
      <c r="C75" s="2">
        <f>IFERROR(__xludf.DUMMYFUNCTION("""COMPUTED_VALUE"""),38.14)</f>
        <v>38.14</v>
      </c>
    </row>
    <row r="76" ht="15.75" customHeight="1">
      <c r="B76" s="3">
        <f>IFERROR(__xludf.DUMMYFUNCTION("""COMPUTED_VALUE"""),39948.645833333336)</f>
        <v>39948.64583</v>
      </c>
      <c r="C76" s="2">
        <f>IFERROR(__xludf.DUMMYFUNCTION("""COMPUTED_VALUE"""),40.35)</f>
        <v>40.35</v>
      </c>
    </row>
    <row r="77" ht="15.75" customHeight="1">
      <c r="B77" s="3">
        <f>IFERROR(__xludf.DUMMYFUNCTION("""COMPUTED_VALUE"""),39955.645833333336)</f>
        <v>39955.64583</v>
      </c>
      <c r="C77" s="2">
        <f>IFERROR(__xludf.DUMMYFUNCTION("""COMPUTED_VALUE"""),49.53)</f>
        <v>49.53</v>
      </c>
    </row>
    <row r="78" ht="15.75" customHeight="1">
      <c r="B78" s="3">
        <f>IFERROR(__xludf.DUMMYFUNCTION("""COMPUTED_VALUE"""),39962.645833333336)</f>
        <v>39962.64583</v>
      </c>
      <c r="C78" s="2">
        <f>IFERROR(__xludf.DUMMYFUNCTION("""COMPUTED_VALUE"""),52.1)</f>
        <v>52.1</v>
      </c>
    </row>
    <row r="79" ht="15.75" customHeight="1">
      <c r="B79" s="3">
        <f>IFERROR(__xludf.DUMMYFUNCTION("""COMPUTED_VALUE"""),39969.645833333336)</f>
        <v>39969.64583</v>
      </c>
      <c r="C79" s="2">
        <f>IFERROR(__xludf.DUMMYFUNCTION("""COMPUTED_VALUE"""),52.37)</f>
        <v>52.37</v>
      </c>
    </row>
    <row r="80" ht="15.75" customHeight="1">
      <c r="B80" s="3">
        <f>IFERROR(__xludf.DUMMYFUNCTION("""COMPUTED_VALUE"""),39976.645833333336)</f>
        <v>39976.64583</v>
      </c>
      <c r="C80" s="2">
        <f>IFERROR(__xludf.DUMMYFUNCTION("""COMPUTED_VALUE"""),55.45)</f>
        <v>55.45</v>
      </c>
    </row>
    <row r="81" ht="15.75" customHeight="1">
      <c r="B81" s="3">
        <f>IFERROR(__xludf.DUMMYFUNCTION("""COMPUTED_VALUE"""),39983.645833333336)</f>
        <v>39983.64583</v>
      </c>
      <c r="C81" s="2">
        <f>IFERROR(__xludf.DUMMYFUNCTION("""COMPUTED_VALUE"""),53.51)</f>
        <v>53.51</v>
      </c>
    </row>
    <row r="82" ht="15.75" customHeight="1">
      <c r="B82" s="3">
        <f>IFERROR(__xludf.DUMMYFUNCTION("""COMPUTED_VALUE"""),39990.645833333336)</f>
        <v>39990.64583</v>
      </c>
      <c r="C82" s="2">
        <f>IFERROR(__xludf.DUMMYFUNCTION("""COMPUTED_VALUE"""),50.1)</f>
        <v>50.1</v>
      </c>
    </row>
    <row r="83" ht="15.75" customHeight="1">
      <c r="B83" s="3">
        <f>IFERROR(__xludf.DUMMYFUNCTION("""COMPUTED_VALUE"""),39997.645833333336)</f>
        <v>39997.64583</v>
      </c>
      <c r="C83" s="2">
        <f>IFERROR(__xludf.DUMMYFUNCTION("""COMPUTED_VALUE"""),48.5)</f>
        <v>48.5</v>
      </c>
    </row>
    <row r="84" ht="15.75" customHeight="1">
      <c r="B84" s="3">
        <f>IFERROR(__xludf.DUMMYFUNCTION("""COMPUTED_VALUE"""),40004.645833333336)</f>
        <v>40004.64583</v>
      </c>
      <c r="C84" s="2">
        <f>IFERROR(__xludf.DUMMYFUNCTION("""COMPUTED_VALUE"""),45.72)</f>
        <v>45.72</v>
      </c>
    </row>
    <row r="85" ht="15.75" customHeight="1">
      <c r="B85" s="3">
        <f>IFERROR(__xludf.DUMMYFUNCTION("""COMPUTED_VALUE"""),40011.645833333336)</f>
        <v>40011.64583</v>
      </c>
      <c r="C85" s="2">
        <f>IFERROR(__xludf.DUMMYFUNCTION("""COMPUTED_VALUE"""),46.15)</f>
        <v>46.15</v>
      </c>
    </row>
    <row r="86" ht="15.75" customHeight="1">
      <c r="B86" s="3">
        <f>IFERROR(__xludf.DUMMYFUNCTION("""COMPUTED_VALUE"""),40018.645833333336)</f>
        <v>40018.64583</v>
      </c>
      <c r="C86" s="2">
        <f>IFERROR(__xludf.DUMMYFUNCTION("""COMPUTED_VALUE"""),50.01)</f>
        <v>50.01</v>
      </c>
    </row>
    <row r="87" ht="15.75" customHeight="1">
      <c r="B87" s="3">
        <f>IFERROR(__xludf.DUMMYFUNCTION("""COMPUTED_VALUE"""),40025.645833333336)</f>
        <v>40025.64583</v>
      </c>
      <c r="C87" s="2">
        <f>IFERROR(__xludf.DUMMYFUNCTION("""COMPUTED_VALUE"""),50.01)</f>
        <v>50.01</v>
      </c>
    </row>
    <row r="88" ht="15.75" customHeight="1">
      <c r="B88" s="3">
        <f>IFERROR(__xludf.DUMMYFUNCTION("""COMPUTED_VALUE"""),40032.645833333336)</f>
        <v>40032.64583</v>
      </c>
      <c r="C88" s="2">
        <f>IFERROR(__xludf.DUMMYFUNCTION("""COMPUTED_VALUE"""),48.98)</f>
        <v>48.98</v>
      </c>
    </row>
    <row r="89" ht="15.75" customHeight="1">
      <c r="B89" s="3">
        <f>IFERROR(__xludf.DUMMYFUNCTION("""COMPUTED_VALUE"""),40039.645833333336)</f>
        <v>40039.64583</v>
      </c>
      <c r="C89" s="2">
        <f>IFERROR(__xludf.DUMMYFUNCTION("""COMPUTED_VALUE"""),47.96)</f>
        <v>47.96</v>
      </c>
    </row>
    <row r="90" ht="15.75" customHeight="1">
      <c r="B90" s="3">
        <f>IFERROR(__xludf.DUMMYFUNCTION("""COMPUTED_VALUE"""),40046.645833333336)</f>
        <v>40046.64583</v>
      </c>
      <c r="C90" s="2">
        <f>IFERROR(__xludf.DUMMYFUNCTION("""COMPUTED_VALUE"""),50.43)</f>
        <v>50.43</v>
      </c>
    </row>
    <row r="91" ht="15.75" customHeight="1">
      <c r="B91" s="3">
        <f>IFERROR(__xludf.DUMMYFUNCTION("""COMPUTED_VALUE"""),40053.645833333336)</f>
        <v>40053.64583</v>
      </c>
      <c r="C91" s="2">
        <f>IFERROR(__xludf.DUMMYFUNCTION("""COMPUTED_VALUE"""),51.22)</f>
        <v>51.22</v>
      </c>
    </row>
    <row r="92" ht="15.75" customHeight="1">
      <c r="B92" s="3">
        <f>IFERROR(__xludf.DUMMYFUNCTION("""COMPUTED_VALUE"""),40060.645833333336)</f>
        <v>40060.64583</v>
      </c>
      <c r="C92" s="2">
        <f>IFERROR(__xludf.DUMMYFUNCTION("""COMPUTED_VALUE"""),49.53)</f>
        <v>49.53</v>
      </c>
    </row>
    <row r="93" ht="15.75" customHeight="1">
      <c r="B93" s="3">
        <f>IFERROR(__xludf.DUMMYFUNCTION("""COMPUTED_VALUE"""),40067.645833333336)</f>
        <v>40067.64583</v>
      </c>
      <c r="C93" s="2">
        <f>IFERROR(__xludf.DUMMYFUNCTION("""COMPUTED_VALUE"""),50.25)</f>
        <v>50.25</v>
      </c>
    </row>
    <row r="94" ht="15.75" customHeight="1">
      <c r="B94" s="3">
        <f>IFERROR(__xludf.DUMMYFUNCTION("""COMPUTED_VALUE"""),40074.645833333336)</f>
        <v>40074.64583</v>
      </c>
      <c r="C94" s="2">
        <f>IFERROR(__xludf.DUMMYFUNCTION("""COMPUTED_VALUE"""),46.63)</f>
        <v>46.63</v>
      </c>
    </row>
    <row r="95" ht="15.75" customHeight="1">
      <c r="B95" s="3">
        <f>IFERROR(__xludf.DUMMYFUNCTION("""COMPUTED_VALUE"""),40081.645833333336)</f>
        <v>40081.64583</v>
      </c>
      <c r="C95" s="2">
        <f>IFERROR(__xludf.DUMMYFUNCTION("""COMPUTED_VALUE"""),47.35)</f>
        <v>47.35</v>
      </c>
    </row>
    <row r="96" ht="15.75" customHeight="1">
      <c r="B96" s="3">
        <f>IFERROR(__xludf.DUMMYFUNCTION("""COMPUTED_VALUE"""),40087.645833333336)</f>
        <v>40087.64583</v>
      </c>
      <c r="C96" s="2">
        <f>IFERROR(__xludf.DUMMYFUNCTION("""COMPUTED_VALUE"""),46.72)</f>
        <v>46.72</v>
      </c>
    </row>
    <row r="97" ht="15.75" customHeight="1">
      <c r="B97" s="3">
        <f>IFERROR(__xludf.DUMMYFUNCTION("""COMPUTED_VALUE"""),40095.645833333336)</f>
        <v>40095.64583</v>
      </c>
      <c r="C97" s="2">
        <f>IFERROR(__xludf.DUMMYFUNCTION("""COMPUTED_VALUE"""),44.39)</f>
        <v>44.39</v>
      </c>
    </row>
    <row r="98" ht="15.75" customHeight="1">
      <c r="B98" s="3">
        <f>IFERROR(__xludf.DUMMYFUNCTION("""COMPUTED_VALUE"""),40109.645833333336)</f>
        <v>40109.64583</v>
      </c>
      <c r="C98" s="2">
        <f>IFERROR(__xludf.DUMMYFUNCTION("""COMPUTED_VALUE"""),38.9)</f>
        <v>38.9</v>
      </c>
    </row>
    <row r="99" ht="15.75" customHeight="1">
      <c r="B99" s="3">
        <f>IFERROR(__xludf.DUMMYFUNCTION("""COMPUTED_VALUE"""),40116.645833333336)</f>
        <v>40116.64583</v>
      </c>
      <c r="C99" s="2">
        <f>IFERROR(__xludf.DUMMYFUNCTION("""COMPUTED_VALUE"""),36.0)</f>
        <v>36</v>
      </c>
    </row>
    <row r="100" ht="15.75" customHeight="1">
      <c r="B100" s="3">
        <f>IFERROR(__xludf.DUMMYFUNCTION("""COMPUTED_VALUE"""),40123.645833333336)</f>
        <v>40123.64583</v>
      </c>
      <c r="C100" s="2">
        <f>IFERROR(__xludf.DUMMYFUNCTION("""COMPUTED_VALUE"""),33.04)</f>
        <v>33.04</v>
      </c>
    </row>
    <row r="101" ht="15.75" customHeight="1">
      <c r="B101" s="3">
        <f>IFERROR(__xludf.DUMMYFUNCTION("""COMPUTED_VALUE"""),40130.645833333336)</f>
        <v>40130.64583</v>
      </c>
      <c r="C101" s="2">
        <f>IFERROR(__xludf.DUMMYFUNCTION("""COMPUTED_VALUE"""),31.2)</f>
        <v>31.2</v>
      </c>
    </row>
    <row r="102" ht="15.75" customHeight="1">
      <c r="B102" s="3">
        <f>IFERROR(__xludf.DUMMYFUNCTION("""COMPUTED_VALUE"""),40137.645833333336)</f>
        <v>40137.64583</v>
      </c>
      <c r="C102" s="2">
        <f>IFERROR(__xludf.DUMMYFUNCTION("""COMPUTED_VALUE"""),31.59)</f>
        <v>31.59</v>
      </c>
    </row>
    <row r="103" ht="15.75" customHeight="1">
      <c r="B103" s="3">
        <f>IFERROR(__xludf.DUMMYFUNCTION("""COMPUTED_VALUE"""),40144.645833333336)</f>
        <v>40144.64583</v>
      </c>
      <c r="C103" s="2">
        <f>IFERROR(__xludf.DUMMYFUNCTION("""COMPUTED_VALUE"""),30.96)</f>
        <v>30.96</v>
      </c>
    </row>
    <row r="104" ht="15.75" customHeight="1">
      <c r="B104" s="3">
        <f>IFERROR(__xludf.DUMMYFUNCTION("""COMPUTED_VALUE"""),40151.645833333336)</f>
        <v>40151.64583</v>
      </c>
      <c r="C104" s="2">
        <f>IFERROR(__xludf.DUMMYFUNCTION("""COMPUTED_VALUE"""),33.46)</f>
        <v>33.46</v>
      </c>
    </row>
    <row r="105" ht="15.75" customHeight="1">
      <c r="B105" s="3">
        <f>IFERROR(__xludf.DUMMYFUNCTION("""COMPUTED_VALUE"""),40158.645833333336)</f>
        <v>40158.64583</v>
      </c>
      <c r="C105" s="2">
        <f>IFERROR(__xludf.DUMMYFUNCTION("""COMPUTED_VALUE"""),37.15)</f>
        <v>37.15</v>
      </c>
    </row>
    <row r="106" ht="15.75" customHeight="1">
      <c r="B106" s="3">
        <f>IFERROR(__xludf.DUMMYFUNCTION("""COMPUTED_VALUE"""),40165.645833333336)</f>
        <v>40165.64583</v>
      </c>
      <c r="C106" s="2">
        <f>IFERROR(__xludf.DUMMYFUNCTION("""COMPUTED_VALUE"""),36.06)</f>
        <v>36.06</v>
      </c>
    </row>
    <row r="107" ht="15.75" customHeight="1">
      <c r="B107" s="3">
        <f>IFERROR(__xludf.DUMMYFUNCTION("""COMPUTED_VALUE"""),40171.645833333336)</f>
        <v>40171.64583</v>
      </c>
      <c r="C107" s="2">
        <f>IFERROR(__xludf.DUMMYFUNCTION("""COMPUTED_VALUE"""),36.66)</f>
        <v>36.66</v>
      </c>
    </row>
    <row r="108" ht="15.75" customHeight="1">
      <c r="B108" s="3">
        <f>IFERROR(__xludf.DUMMYFUNCTION("""COMPUTED_VALUE"""),40178.645833333336)</f>
        <v>40178.64583</v>
      </c>
      <c r="C108" s="2">
        <f>IFERROR(__xludf.DUMMYFUNCTION("""COMPUTED_VALUE"""),36.24)</f>
        <v>36.24</v>
      </c>
    </row>
    <row r="109" ht="15.75" customHeight="1"/>
    <row r="110" ht="15.75" customHeight="1"/>
    <row r="111" ht="15.75" customHeight="1">
      <c r="B111" s="2" t="str">
        <f>IFERROR(__xludf.DUMMYFUNCTION("GOOGLEFINANCE(""NSE:IDEA"", ""high"",DATE(2015,1,1),DATE(2016,1,1),""weekly"")"),"Date")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IFERROR(__xludf.DUMMYFUNCTION("""COMPUTED_VALUE"""),42006.64583333333)</f>
        <v>42006.64583</v>
      </c>
      <c r="C112" s="2">
        <f>IFERROR(__xludf.DUMMYFUNCTION("""COMPUTED_VALUE"""),97.21)</f>
        <v>97.21</v>
      </c>
    </row>
    <row r="113" ht="15.75" customHeight="1">
      <c r="B113" s="3">
        <f>IFERROR(__xludf.DUMMYFUNCTION("""COMPUTED_VALUE"""),42013.64583333333)</f>
        <v>42013.64583</v>
      </c>
      <c r="C113" s="2">
        <f>IFERROR(__xludf.DUMMYFUNCTION("""COMPUTED_VALUE"""),97.55)</f>
        <v>97.55</v>
      </c>
    </row>
    <row r="114" ht="15.75" customHeight="1">
      <c r="B114" s="3">
        <f>IFERROR(__xludf.DUMMYFUNCTION("""COMPUTED_VALUE"""),42020.64583333333)</f>
        <v>42020.64583</v>
      </c>
      <c r="C114" s="2">
        <f>IFERROR(__xludf.DUMMYFUNCTION("""COMPUTED_VALUE"""),92.77)</f>
        <v>92.77</v>
      </c>
    </row>
    <row r="115" ht="15.75" customHeight="1">
      <c r="B115" s="3">
        <f>IFERROR(__xludf.DUMMYFUNCTION("""COMPUTED_VALUE"""),42027.64583333333)</f>
        <v>42027.64583</v>
      </c>
      <c r="C115" s="2">
        <f>IFERROR(__xludf.DUMMYFUNCTION("""COMPUTED_VALUE"""),102.35)</f>
        <v>102.35</v>
      </c>
    </row>
    <row r="116" ht="15.75" customHeight="1">
      <c r="B116" s="3">
        <f>IFERROR(__xludf.DUMMYFUNCTION("""COMPUTED_VALUE"""),42034.64583333333)</f>
        <v>42034.64583</v>
      </c>
      <c r="C116" s="2">
        <f>IFERROR(__xludf.DUMMYFUNCTION("""COMPUTED_VALUE"""),103.95)</f>
        <v>103.95</v>
      </c>
    </row>
    <row r="117" ht="15.75" customHeight="1">
      <c r="B117" s="3">
        <f>IFERROR(__xludf.DUMMYFUNCTION("""COMPUTED_VALUE"""),42041.64583333333)</f>
        <v>42041.64583</v>
      </c>
      <c r="C117" s="2">
        <f>IFERROR(__xludf.DUMMYFUNCTION("""COMPUTED_VALUE"""),95.43)</f>
        <v>95.43</v>
      </c>
    </row>
    <row r="118" ht="15.75" customHeight="1">
      <c r="B118" s="3">
        <f>IFERROR(__xludf.DUMMYFUNCTION("""COMPUTED_VALUE"""),42048.64583333333)</f>
        <v>42048.64583</v>
      </c>
      <c r="C118" s="2">
        <f>IFERROR(__xludf.DUMMYFUNCTION("""COMPUTED_VALUE"""),94.01)</f>
        <v>94.01</v>
      </c>
    </row>
    <row r="119" ht="15.75" customHeight="1">
      <c r="B119" s="3">
        <f>IFERROR(__xludf.DUMMYFUNCTION("""COMPUTED_VALUE"""),42055.64583333333)</f>
        <v>42055.64583</v>
      </c>
      <c r="C119" s="2">
        <f>IFERROR(__xludf.DUMMYFUNCTION("""COMPUTED_VALUE"""),97.3)</f>
        <v>97.3</v>
      </c>
    </row>
    <row r="120" ht="15.75" customHeight="1">
      <c r="B120" s="3">
        <f>IFERROR(__xludf.DUMMYFUNCTION("""COMPUTED_VALUE"""),42068.64583333333)</f>
        <v>42068.64583</v>
      </c>
      <c r="C120" s="2">
        <f>IFERROR(__xludf.DUMMYFUNCTION("""COMPUTED_VALUE"""),97.24)</f>
        <v>97.24</v>
      </c>
    </row>
    <row r="121" ht="15.75" customHeight="1">
      <c r="B121" s="3">
        <f>IFERROR(__xludf.DUMMYFUNCTION("""COMPUTED_VALUE"""),42076.64583333333)</f>
        <v>42076.64583</v>
      </c>
      <c r="C121" s="2">
        <f>IFERROR(__xludf.DUMMYFUNCTION("""COMPUTED_VALUE"""),110.86)</f>
        <v>110.86</v>
      </c>
    </row>
    <row r="122" ht="15.75" customHeight="1">
      <c r="B122" s="3">
        <f>IFERROR(__xludf.DUMMYFUNCTION("""COMPUTED_VALUE"""),42083.64583333333)</f>
        <v>42083.64583</v>
      </c>
      <c r="C122" s="2">
        <f>IFERROR(__xludf.DUMMYFUNCTION("""COMPUTED_VALUE"""),109.81)</f>
        <v>109.81</v>
      </c>
    </row>
    <row r="123" ht="15.75" customHeight="1">
      <c r="B123" s="3">
        <f>IFERROR(__xludf.DUMMYFUNCTION("""COMPUTED_VALUE"""),42090.64583333333)</f>
        <v>42090.64583</v>
      </c>
      <c r="C123" s="2">
        <f>IFERROR(__xludf.DUMMYFUNCTION("""COMPUTED_VALUE"""),112.95)</f>
        <v>112.95</v>
      </c>
    </row>
    <row r="124" ht="15.75" customHeight="1">
      <c r="B124" s="3">
        <f>IFERROR(__xludf.DUMMYFUNCTION("""COMPUTED_VALUE"""),42095.64583333333)</f>
        <v>42095.64583</v>
      </c>
      <c r="C124" s="2">
        <f>IFERROR(__xludf.DUMMYFUNCTION("""COMPUTED_VALUE"""),115.03)</f>
        <v>115.03</v>
      </c>
    </row>
    <row r="125" ht="15.75" customHeight="1">
      <c r="B125" s="3">
        <f>IFERROR(__xludf.DUMMYFUNCTION("""COMPUTED_VALUE"""),42104.64583333333)</f>
        <v>42104.64583</v>
      </c>
      <c r="C125" s="2">
        <f>IFERROR(__xludf.DUMMYFUNCTION("""COMPUTED_VALUE"""),120.2)</f>
        <v>120.2</v>
      </c>
    </row>
    <row r="126" ht="15.75" customHeight="1">
      <c r="B126" s="3">
        <f>IFERROR(__xludf.DUMMYFUNCTION("""COMPUTED_VALUE"""),42111.64583333333)</f>
        <v>42111.64583</v>
      </c>
      <c r="C126" s="2">
        <f>IFERROR(__xludf.DUMMYFUNCTION("""COMPUTED_VALUE"""),123.22)</f>
        <v>123.22</v>
      </c>
    </row>
    <row r="127" ht="15.75" customHeight="1">
      <c r="B127" s="3">
        <f>IFERROR(__xludf.DUMMYFUNCTION("""COMPUTED_VALUE"""),42118.64583333333)</f>
        <v>42118.64583</v>
      </c>
      <c r="C127" s="2">
        <f>IFERROR(__xludf.DUMMYFUNCTION("""COMPUTED_VALUE"""),119.14)</f>
        <v>119.14</v>
      </c>
    </row>
    <row r="128" ht="15.75" customHeight="1">
      <c r="B128" s="3">
        <f>IFERROR(__xludf.DUMMYFUNCTION("""COMPUTED_VALUE"""),42124.64583333333)</f>
        <v>42124.64583</v>
      </c>
      <c r="C128" s="2">
        <f>IFERROR(__xludf.DUMMYFUNCTION("""COMPUTED_VALUE"""),120.5)</f>
        <v>120.5</v>
      </c>
    </row>
    <row r="129" ht="15.75" customHeight="1">
      <c r="B129" s="3">
        <f>IFERROR(__xludf.DUMMYFUNCTION("""COMPUTED_VALUE"""),42132.64583333333)</f>
        <v>42132.64583</v>
      </c>
      <c r="C129" s="2">
        <f>IFERROR(__xludf.DUMMYFUNCTION("""COMPUTED_VALUE"""),109.99)</f>
        <v>109.99</v>
      </c>
    </row>
    <row r="130" ht="15.75" customHeight="1">
      <c r="B130" s="3">
        <f>IFERROR(__xludf.DUMMYFUNCTION("""COMPUTED_VALUE"""),42139.64583333333)</f>
        <v>42139.64583</v>
      </c>
      <c r="C130" s="2">
        <f>IFERROR(__xludf.DUMMYFUNCTION("""COMPUTED_VALUE"""),106.18)</f>
        <v>106.18</v>
      </c>
    </row>
    <row r="131" ht="15.75" customHeight="1">
      <c r="B131" s="3">
        <f>IFERROR(__xludf.DUMMYFUNCTION("""COMPUTED_VALUE"""),42146.64583333333)</f>
        <v>42146.64583</v>
      </c>
      <c r="C131" s="2">
        <f>IFERROR(__xludf.DUMMYFUNCTION("""COMPUTED_VALUE"""),108.72)</f>
        <v>108.72</v>
      </c>
    </row>
    <row r="132" ht="15.75" customHeight="1">
      <c r="B132" s="3">
        <f>IFERROR(__xludf.DUMMYFUNCTION("""COMPUTED_VALUE"""),42153.64583333333)</f>
        <v>42153.64583</v>
      </c>
      <c r="C132" s="2">
        <f>IFERROR(__xludf.DUMMYFUNCTION("""COMPUTED_VALUE"""),106.0)</f>
        <v>106</v>
      </c>
    </row>
    <row r="133" ht="15.75" customHeight="1">
      <c r="B133" s="3">
        <f>IFERROR(__xludf.DUMMYFUNCTION("""COMPUTED_VALUE"""),42160.64583333333)</f>
        <v>42160.64583</v>
      </c>
      <c r="C133" s="2">
        <f>IFERROR(__xludf.DUMMYFUNCTION("""COMPUTED_VALUE"""),108.42)</f>
        <v>108.42</v>
      </c>
    </row>
    <row r="134" ht="15.75" customHeight="1">
      <c r="B134" s="3">
        <f>IFERROR(__xludf.DUMMYFUNCTION("""COMPUTED_VALUE"""),42167.64583333333)</f>
        <v>42167.64583</v>
      </c>
      <c r="C134" s="2">
        <f>IFERROR(__xludf.DUMMYFUNCTION("""COMPUTED_VALUE"""),108.96)</f>
        <v>108.96</v>
      </c>
    </row>
    <row r="135" ht="15.75" customHeight="1">
      <c r="B135" s="3">
        <f>IFERROR(__xludf.DUMMYFUNCTION("""COMPUTED_VALUE"""),42174.64583333333)</f>
        <v>42174.64583</v>
      </c>
      <c r="C135" s="2">
        <f>IFERROR(__xludf.DUMMYFUNCTION("""COMPUTED_VALUE"""),106.91)</f>
        <v>106.91</v>
      </c>
    </row>
    <row r="136" ht="15.75" customHeight="1">
      <c r="B136" s="3">
        <f>IFERROR(__xludf.DUMMYFUNCTION("""COMPUTED_VALUE"""),42181.64583333333)</f>
        <v>42181.64583</v>
      </c>
      <c r="C136" s="2">
        <f>IFERROR(__xludf.DUMMYFUNCTION("""COMPUTED_VALUE"""),107.45)</f>
        <v>107.45</v>
      </c>
    </row>
    <row r="137" ht="15.75" customHeight="1">
      <c r="B137" s="3">
        <f>IFERROR(__xludf.DUMMYFUNCTION("""COMPUTED_VALUE"""),42188.64583333333)</f>
        <v>42188.64583</v>
      </c>
      <c r="C137" s="2">
        <f>IFERROR(__xludf.DUMMYFUNCTION("""COMPUTED_VALUE"""),111.26)</f>
        <v>111.26</v>
      </c>
    </row>
    <row r="138" ht="15.75" customHeight="1">
      <c r="B138" s="3">
        <f>IFERROR(__xludf.DUMMYFUNCTION("""COMPUTED_VALUE"""),42195.64583333333)</f>
        <v>42195.64583</v>
      </c>
      <c r="C138" s="2">
        <f>IFERROR(__xludf.DUMMYFUNCTION("""COMPUTED_VALUE"""),110.23)</f>
        <v>110.23</v>
      </c>
    </row>
    <row r="139" ht="15.75" customHeight="1">
      <c r="B139" s="3">
        <f>IFERROR(__xludf.DUMMYFUNCTION("""COMPUTED_VALUE"""),42202.64583333333)</f>
        <v>42202.64583</v>
      </c>
      <c r="C139" s="2">
        <f>IFERROR(__xludf.DUMMYFUNCTION("""COMPUTED_VALUE"""),110.53)</f>
        <v>110.53</v>
      </c>
    </row>
    <row r="140" ht="15.75" customHeight="1">
      <c r="B140" s="3">
        <f>IFERROR(__xludf.DUMMYFUNCTION("""COMPUTED_VALUE"""),42209.64583333333)</f>
        <v>42209.64583</v>
      </c>
      <c r="C140" s="2">
        <f>IFERROR(__xludf.DUMMYFUNCTION("""COMPUTED_VALUE"""),112.65)</f>
        <v>112.65</v>
      </c>
    </row>
    <row r="141" ht="15.75" customHeight="1">
      <c r="B141" s="3">
        <f>IFERROR(__xludf.DUMMYFUNCTION("""COMPUTED_VALUE"""),42216.64583333333)</f>
        <v>42216.64583</v>
      </c>
      <c r="C141" s="2">
        <f>IFERROR(__xludf.DUMMYFUNCTION("""COMPUTED_VALUE"""),107.09)</f>
        <v>107.09</v>
      </c>
    </row>
    <row r="142" ht="15.75" customHeight="1">
      <c r="B142" s="3">
        <f>IFERROR(__xludf.DUMMYFUNCTION("""COMPUTED_VALUE"""),42223.64583333333)</f>
        <v>42223.64583</v>
      </c>
      <c r="C142" s="2">
        <f>IFERROR(__xludf.DUMMYFUNCTION("""COMPUTED_VALUE"""),105.7)</f>
        <v>105.7</v>
      </c>
    </row>
    <row r="143" ht="15.75" customHeight="1">
      <c r="B143" s="3">
        <f>IFERROR(__xludf.DUMMYFUNCTION("""COMPUTED_VALUE"""),42230.64583333333)</f>
        <v>42230.64583</v>
      </c>
      <c r="C143" s="2">
        <f>IFERROR(__xludf.DUMMYFUNCTION("""COMPUTED_VALUE"""),101.47)</f>
        <v>101.47</v>
      </c>
    </row>
    <row r="144" ht="15.75" customHeight="1">
      <c r="B144" s="3">
        <f>IFERROR(__xludf.DUMMYFUNCTION("""COMPUTED_VALUE"""),42237.64583333333)</f>
        <v>42237.64583</v>
      </c>
      <c r="C144" s="2">
        <f>IFERROR(__xludf.DUMMYFUNCTION("""COMPUTED_VALUE"""),98.91)</f>
        <v>98.91</v>
      </c>
    </row>
    <row r="145" ht="15.75" customHeight="1">
      <c r="B145" s="3">
        <f>IFERROR(__xludf.DUMMYFUNCTION("""COMPUTED_VALUE"""),42244.64583333333)</f>
        <v>42244.64583</v>
      </c>
      <c r="C145" s="2">
        <f>IFERROR(__xludf.DUMMYFUNCTION("""COMPUTED_VALUE"""),93.92)</f>
        <v>93.92</v>
      </c>
    </row>
    <row r="146" ht="15.75" customHeight="1">
      <c r="B146" s="3">
        <f>IFERROR(__xludf.DUMMYFUNCTION("""COMPUTED_VALUE"""),42251.64583333333)</f>
        <v>42251.64583</v>
      </c>
      <c r="C146" s="2">
        <f>IFERROR(__xludf.DUMMYFUNCTION("""COMPUTED_VALUE"""),94.8)</f>
        <v>94.8</v>
      </c>
    </row>
    <row r="147" ht="15.75" customHeight="1">
      <c r="B147" s="3">
        <f>IFERROR(__xludf.DUMMYFUNCTION("""COMPUTED_VALUE"""),42258.64583333333)</f>
        <v>42258.64583</v>
      </c>
      <c r="C147" s="2">
        <f>IFERROR(__xludf.DUMMYFUNCTION("""COMPUTED_VALUE"""),93.77)</f>
        <v>93.77</v>
      </c>
    </row>
    <row r="148" ht="15.75" customHeight="1">
      <c r="B148" s="3">
        <f>IFERROR(__xludf.DUMMYFUNCTION("""COMPUTED_VALUE"""),42265.64583333333)</f>
        <v>42265.64583</v>
      </c>
      <c r="C148" s="2">
        <f>IFERROR(__xludf.DUMMYFUNCTION("""COMPUTED_VALUE"""),90.48)</f>
        <v>90.48</v>
      </c>
    </row>
    <row r="149" ht="15.75" customHeight="1">
      <c r="B149" s="3">
        <f>IFERROR(__xludf.DUMMYFUNCTION("""COMPUTED_VALUE"""),42271.64583333333)</f>
        <v>42271.64583</v>
      </c>
      <c r="C149" s="2">
        <f>IFERROR(__xludf.DUMMYFUNCTION("""COMPUTED_VALUE"""),89.09)</f>
        <v>89.09</v>
      </c>
    </row>
    <row r="150" ht="15.75" customHeight="1">
      <c r="B150" s="3">
        <f>IFERROR(__xludf.DUMMYFUNCTION("""COMPUTED_VALUE"""),42278.64583333333)</f>
        <v>42278.64583</v>
      </c>
      <c r="C150" s="2">
        <f>IFERROR(__xludf.DUMMYFUNCTION("""COMPUTED_VALUE"""),92.9)</f>
        <v>92.9</v>
      </c>
    </row>
    <row r="151" ht="15.75" customHeight="1">
      <c r="B151" s="3">
        <f>IFERROR(__xludf.DUMMYFUNCTION("""COMPUTED_VALUE"""),42286.64583333333)</f>
        <v>42286.64583</v>
      </c>
      <c r="C151" s="2">
        <f>IFERROR(__xludf.DUMMYFUNCTION("""COMPUTED_VALUE"""),96.79)</f>
        <v>96.79</v>
      </c>
    </row>
    <row r="152" ht="15.75" customHeight="1">
      <c r="B152" s="3">
        <f>IFERROR(__xludf.DUMMYFUNCTION("""COMPUTED_VALUE"""),42300.64583333333)</f>
        <v>42300.64583</v>
      </c>
      <c r="C152" s="2">
        <f>IFERROR(__xludf.DUMMYFUNCTION("""COMPUTED_VALUE"""),92.71)</f>
        <v>92.71</v>
      </c>
    </row>
    <row r="153" ht="15.75" customHeight="1">
      <c r="B153" s="3">
        <f>IFERROR(__xludf.DUMMYFUNCTION("""COMPUTED_VALUE"""),42307.64583333333)</f>
        <v>42307.64583</v>
      </c>
      <c r="C153" s="2">
        <f>IFERROR(__xludf.DUMMYFUNCTION("""COMPUTED_VALUE"""),86.49)</f>
        <v>86.49</v>
      </c>
    </row>
    <row r="154" ht="15.75" customHeight="1">
      <c r="B154" s="3">
        <f>IFERROR(__xludf.DUMMYFUNCTION("""COMPUTED_VALUE"""),42314.64583333333)</f>
        <v>42314.64583</v>
      </c>
      <c r="C154" s="2">
        <f>IFERROR(__xludf.DUMMYFUNCTION("""COMPUTED_VALUE"""),85.71)</f>
        <v>85.71</v>
      </c>
    </row>
    <row r="155" ht="15.75" customHeight="1">
      <c r="B155" s="3">
        <f>IFERROR(__xludf.DUMMYFUNCTION("""COMPUTED_VALUE"""),42321.64583333333)</f>
        <v>42321.64583</v>
      </c>
      <c r="C155" s="2">
        <f>IFERROR(__xludf.DUMMYFUNCTION("""COMPUTED_VALUE"""),82.66)</f>
        <v>82.66</v>
      </c>
    </row>
    <row r="156" ht="15.75" customHeight="1">
      <c r="B156" s="3">
        <f>IFERROR(__xludf.DUMMYFUNCTION("""COMPUTED_VALUE"""),42328.64583333333)</f>
        <v>42328.64583</v>
      </c>
      <c r="C156" s="2">
        <f>IFERROR(__xludf.DUMMYFUNCTION("""COMPUTED_VALUE"""),83.77)</f>
        <v>83.77</v>
      </c>
    </row>
    <row r="157" ht="15.75" customHeight="1">
      <c r="B157" s="3">
        <f>IFERROR(__xludf.DUMMYFUNCTION("""COMPUTED_VALUE"""),42335.64583333333)</f>
        <v>42335.64583</v>
      </c>
      <c r="C157" s="2">
        <f>IFERROR(__xludf.DUMMYFUNCTION("""COMPUTED_VALUE"""),90.45)</f>
        <v>90.45</v>
      </c>
    </row>
    <row r="158" ht="15.75" customHeight="1">
      <c r="B158" s="3">
        <f>IFERROR(__xludf.DUMMYFUNCTION("""COMPUTED_VALUE"""),42342.64583333333)</f>
        <v>42342.64583</v>
      </c>
      <c r="C158" s="2">
        <f>IFERROR(__xludf.DUMMYFUNCTION("""COMPUTED_VALUE"""),87.7)</f>
        <v>87.7</v>
      </c>
    </row>
    <row r="159" ht="15.75" customHeight="1">
      <c r="B159" s="3">
        <f>IFERROR(__xludf.DUMMYFUNCTION("""COMPUTED_VALUE"""),42349.64583333333)</f>
        <v>42349.64583</v>
      </c>
      <c r="C159" s="2">
        <f>IFERROR(__xludf.DUMMYFUNCTION("""COMPUTED_VALUE"""),84.44)</f>
        <v>84.44</v>
      </c>
    </row>
    <row r="160" ht="15.75" customHeight="1">
      <c r="B160" s="3">
        <f>IFERROR(__xludf.DUMMYFUNCTION("""COMPUTED_VALUE"""),42356.64583333333)</f>
        <v>42356.64583</v>
      </c>
      <c r="C160" s="2">
        <f>IFERROR(__xludf.DUMMYFUNCTION("""COMPUTED_VALUE"""),82.14)</f>
        <v>82.14</v>
      </c>
    </row>
    <row r="161" ht="15.75" customHeight="1">
      <c r="B161" s="3">
        <f>IFERROR(__xludf.DUMMYFUNCTION("""COMPUTED_VALUE"""),42362.64583333333)</f>
        <v>42362.64583</v>
      </c>
      <c r="C161" s="2">
        <f>IFERROR(__xludf.DUMMYFUNCTION("""COMPUTED_VALUE"""),86.01)</f>
        <v>86.01</v>
      </c>
    </row>
    <row r="162" ht="15.75" customHeight="1">
      <c r="B162" s="3">
        <f>IFERROR(__xludf.DUMMYFUNCTION("""COMPUTED_VALUE"""),42370.64583333333)</f>
        <v>42370.64583</v>
      </c>
      <c r="C162" s="2">
        <f>IFERROR(__xludf.DUMMYFUNCTION("""COMPUTED_VALUE"""),87.55)</f>
        <v>87.55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IFERROR(__xludf.DUMMYFUNCTION("GOOGLEFINANCE(""NSE:IDEA"", ""high"",DATE(2016,1,1),DATE(2017,1,1),""weekly"")"),"Date")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IFERROR(__xludf.DUMMYFUNCTION("""COMPUTED_VALUE"""),42377.64583333333)</f>
        <v>42377.64583</v>
      </c>
      <c r="C167" s="2">
        <f>IFERROR(__xludf.DUMMYFUNCTION("""COMPUTED_VALUE"""),86.01)</f>
        <v>86.01</v>
      </c>
    </row>
    <row r="168" ht="15.75" customHeight="1">
      <c r="B168" s="3">
        <f>IFERROR(__xludf.DUMMYFUNCTION("""COMPUTED_VALUE"""),42384.64583333333)</f>
        <v>42384.64583</v>
      </c>
      <c r="C168" s="2">
        <f>IFERROR(__xludf.DUMMYFUNCTION("""COMPUTED_VALUE"""),80.06)</f>
        <v>80.06</v>
      </c>
    </row>
    <row r="169" ht="15.75" customHeight="1">
      <c r="B169" s="3">
        <f>IFERROR(__xludf.DUMMYFUNCTION("""COMPUTED_VALUE"""),42391.64583333333)</f>
        <v>42391.64583</v>
      </c>
      <c r="C169" s="2">
        <f>IFERROR(__xludf.DUMMYFUNCTION("""COMPUTED_VALUE"""),72.48)</f>
        <v>72.48</v>
      </c>
    </row>
    <row r="170" ht="15.75" customHeight="1">
      <c r="B170" s="3">
        <f>IFERROR(__xludf.DUMMYFUNCTION("""COMPUTED_VALUE"""),42398.64583333333)</f>
        <v>42398.64583</v>
      </c>
      <c r="C170" s="2">
        <f>IFERROR(__xludf.DUMMYFUNCTION("""COMPUTED_VALUE"""),66.8)</f>
        <v>66.8</v>
      </c>
    </row>
    <row r="171" ht="15.75" customHeight="1">
      <c r="B171" s="3">
        <f>IFERROR(__xludf.DUMMYFUNCTION("""COMPUTED_VALUE"""),42405.64583333333)</f>
        <v>42405.64583</v>
      </c>
      <c r="C171" s="2">
        <f>IFERROR(__xludf.DUMMYFUNCTION("""COMPUTED_VALUE"""),64.54)</f>
        <v>64.54</v>
      </c>
    </row>
    <row r="172" ht="15.75" customHeight="1">
      <c r="B172" s="3">
        <f>IFERROR(__xludf.DUMMYFUNCTION("""COMPUTED_VALUE"""),42419.64583333333)</f>
        <v>42419.64583</v>
      </c>
      <c r="C172" s="2">
        <f>IFERROR(__xludf.DUMMYFUNCTION("""COMPUTED_VALUE"""),67.86)</f>
        <v>67.86</v>
      </c>
    </row>
    <row r="173" ht="15.75" customHeight="1">
      <c r="B173" s="3">
        <f>IFERROR(__xludf.DUMMYFUNCTION("""COMPUTED_VALUE"""),42426.64583333333)</f>
        <v>42426.64583</v>
      </c>
      <c r="C173" s="2">
        <f>IFERROR(__xludf.DUMMYFUNCTION("""COMPUTED_VALUE"""),67.01)</f>
        <v>67.01</v>
      </c>
    </row>
    <row r="174" ht="15.75" customHeight="1">
      <c r="B174" s="3">
        <f>IFERROR(__xludf.DUMMYFUNCTION("""COMPUTED_VALUE"""),42433.64583333333)</f>
        <v>42433.64583</v>
      </c>
      <c r="C174" s="2">
        <f>IFERROR(__xludf.DUMMYFUNCTION("""COMPUTED_VALUE"""),66.26)</f>
        <v>66.26</v>
      </c>
    </row>
    <row r="175" ht="15.75" customHeight="1">
      <c r="B175" s="3">
        <f>IFERROR(__xludf.DUMMYFUNCTION("""COMPUTED_VALUE"""),42440.64583333333)</f>
        <v>42440.64583</v>
      </c>
      <c r="C175" s="2">
        <f>IFERROR(__xludf.DUMMYFUNCTION("""COMPUTED_VALUE"""),64.78)</f>
        <v>64.78</v>
      </c>
    </row>
    <row r="176" ht="15.75" customHeight="1">
      <c r="B176" s="3">
        <f>IFERROR(__xludf.DUMMYFUNCTION("""COMPUTED_VALUE"""),42447.64583333333)</f>
        <v>42447.64583</v>
      </c>
      <c r="C176" s="2">
        <f>IFERROR(__xludf.DUMMYFUNCTION("""COMPUTED_VALUE"""),62.51)</f>
        <v>62.51</v>
      </c>
    </row>
    <row r="177" ht="15.75" customHeight="1">
      <c r="B177" s="3">
        <f>IFERROR(__xludf.DUMMYFUNCTION("""COMPUTED_VALUE"""),42452.64583333333)</f>
        <v>42452.64583</v>
      </c>
      <c r="C177" s="2">
        <f>IFERROR(__xludf.DUMMYFUNCTION("""COMPUTED_VALUE"""),64.33)</f>
        <v>64.33</v>
      </c>
    </row>
    <row r="178" ht="15.75" customHeight="1">
      <c r="B178" s="3">
        <f>IFERROR(__xludf.DUMMYFUNCTION("""COMPUTED_VALUE"""),42461.64583333333)</f>
        <v>42461.64583</v>
      </c>
      <c r="C178" s="2">
        <f>IFERROR(__xludf.DUMMYFUNCTION("""COMPUTED_VALUE"""),69.52)</f>
        <v>69.52</v>
      </c>
    </row>
    <row r="179" ht="15.75" customHeight="1">
      <c r="B179" s="3">
        <f>IFERROR(__xludf.DUMMYFUNCTION("""COMPUTED_VALUE"""),42468.64583333333)</f>
        <v>42468.64583</v>
      </c>
      <c r="C179" s="2">
        <f>IFERROR(__xludf.DUMMYFUNCTION("""COMPUTED_VALUE"""),69.04)</f>
        <v>69.04</v>
      </c>
    </row>
    <row r="180" ht="15.75" customHeight="1">
      <c r="B180" s="3">
        <f>IFERROR(__xludf.DUMMYFUNCTION("""COMPUTED_VALUE"""),42473.64583333333)</f>
        <v>42473.64583</v>
      </c>
      <c r="C180" s="2">
        <f>IFERROR(__xludf.DUMMYFUNCTION("""COMPUTED_VALUE"""),70.55)</f>
        <v>70.55</v>
      </c>
    </row>
    <row r="181" ht="15.75" customHeight="1">
      <c r="B181" s="3">
        <f>IFERROR(__xludf.DUMMYFUNCTION("""COMPUTED_VALUE"""),42482.64583333333)</f>
        <v>42482.64583</v>
      </c>
      <c r="C181" s="2">
        <f>IFERROR(__xludf.DUMMYFUNCTION("""COMPUTED_VALUE"""),73.69)</f>
        <v>73.69</v>
      </c>
    </row>
    <row r="182" ht="15.75" customHeight="1">
      <c r="B182" s="3">
        <f>IFERROR(__xludf.DUMMYFUNCTION("""COMPUTED_VALUE"""),42489.64583333333)</f>
        <v>42489.64583</v>
      </c>
      <c r="C182" s="2">
        <f>IFERROR(__xludf.DUMMYFUNCTION("""COMPUTED_VALUE"""),77.52)</f>
        <v>77.52</v>
      </c>
    </row>
    <row r="183" ht="15.75" customHeight="1">
      <c r="B183" s="3">
        <f>IFERROR(__xludf.DUMMYFUNCTION("""COMPUTED_VALUE"""),42496.64583333333)</f>
        <v>42496.64583</v>
      </c>
      <c r="C183" s="2">
        <f>IFERROR(__xludf.DUMMYFUNCTION("""COMPUTED_VALUE"""),73.24)</f>
        <v>73.24</v>
      </c>
    </row>
    <row r="184" ht="15.75" customHeight="1">
      <c r="B184" s="3">
        <f>IFERROR(__xludf.DUMMYFUNCTION("""COMPUTED_VALUE"""),42503.64583333333)</f>
        <v>42503.64583</v>
      </c>
      <c r="C184" s="2">
        <f>IFERROR(__xludf.DUMMYFUNCTION("""COMPUTED_VALUE"""),70.94)</f>
        <v>70.94</v>
      </c>
    </row>
    <row r="185" ht="15.75" customHeight="1">
      <c r="B185" s="3">
        <f>IFERROR(__xludf.DUMMYFUNCTION("""COMPUTED_VALUE"""),42510.64583333333)</f>
        <v>42510.64583</v>
      </c>
      <c r="C185" s="2">
        <f>IFERROR(__xludf.DUMMYFUNCTION("""COMPUTED_VALUE"""),69.25)</f>
        <v>69.25</v>
      </c>
    </row>
    <row r="186" ht="15.75" customHeight="1">
      <c r="B186" s="3">
        <f>IFERROR(__xludf.DUMMYFUNCTION("""COMPUTED_VALUE"""),42517.64583333333)</f>
        <v>42517.64583</v>
      </c>
      <c r="C186" s="2">
        <f>IFERROR(__xludf.DUMMYFUNCTION("""COMPUTED_VALUE"""),69.7)</f>
        <v>69.7</v>
      </c>
    </row>
    <row r="187" ht="15.75" customHeight="1">
      <c r="B187" s="3">
        <f>IFERROR(__xludf.DUMMYFUNCTION("""COMPUTED_VALUE"""),42524.64583333333)</f>
        <v>42524.64583</v>
      </c>
      <c r="C187" s="2">
        <f>IFERROR(__xludf.DUMMYFUNCTION("""COMPUTED_VALUE"""),73.57)</f>
        <v>73.57</v>
      </c>
    </row>
    <row r="188" ht="15.75" customHeight="1">
      <c r="B188" s="3">
        <f>IFERROR(__xludf.DUMMYFUNCTION("""COMPUTED_VALUE"""),42531.64583333333)</f>
        <v>42531.64583</v>
      </c>
      <c r="C188" s="2">
        <f>IFERROR(__xludf.DUMMYFUNCTION("""COMPUTED_VALUE"""),64.57)</f>
        <v>64.57</v>
      </c>
    </row>
    <row r="189" ht="15.75" customHeight="1">
      <c r="B189" s="3">
        <f>IFERROR(__xludf.DUMMYFUNCTION("""COMPUTED_VALUE"""),42538.64583333333)</f>
        <v>42538.64583</v>
      </c>
      <c r="C189" s="2">
        <f>IFERROR(__xludf.DUMMYFUNCTION("""COMPUTED_VALUE"""),62.15)</f>
        <v>62.15</v>
      </c>
    </row>
    <row r="190" ht="15.75" customHeight="1">
      <c r="B190" s="3">
        <f>IFERROR(__xludf.DUMMYFUNCTION("""COMPUTED_VALUE"""),42545.64583333333)</f>
        <v>42545.64583</v>
      </c>
      <c r="C190" s="2">
        <f>IFERROR(__xludf.DUMMYFUNCTION("""COMPUTED_VALUE"""),62.54)</f>
        <v>62.54</v>
      </c>
    </row>
    <row r="191" ht="15.75" customHeight="1">
      <c r="B191" s="3">
        <f>IFERROR(__xludf.DUMMYFUNCTION("""COMPUTED_VALUE"""),42552.64583333333)</f>
        <v>42552.64583</v>
      </c>
      <c r="C191" s="2">
        <f>IFERROR(__xludf.DUMMYFUNCTION("""COMPUTED_VALUE"""),65.32)</f>
        <v>65.32</v>
      </c>
    </row>
    <row r="192" ht="15.75" customHeight="1">
      <c r="B192" s="3">
        <f>IFERROR(__xludf.DUMMYFUNCTION("""COMPUTED_VALUE"""),42559.64583333333)</f>
        <v>42559.64583</v>
      </c>
      <c r="C192" s="2">
        <f>IFERROR(__xludf.DUMMYFUNCTION("""COMPUTED_VALUE"""),65.11)</f>
        <v>65.11</v>
      </c>
    </row>
    <row r="193" ht="15.75" customHeight="1">
      <c r="B193" s="3">
        <f>IFERROR(__xludf.DUMMYFUNCTION("""COMPUTED_VALUE"""),42566.64583333333)</f>
        <v>42566.64583</v>
      </c>
      <c r="C193" s="2">
        <f>IFERROR(__xludf.DUMMYFUNCTION("""COMPUTED_VALUE"""),67.44)</f>
        <v>67.44</v>
      </c>
    </row>
    <row r="194" ht="15.75" customHeight="1">
      <c r="B194" s="3">
        <f>IFERROR(__xludf.DUMMYFUNCTION("""COMPUTED_VALUE"""),42573.64583333333)</f>
        <v>42573.64583</v>
      </c>
      <c r="C194" s="2">
        <f>IFERROR(__xludf.DUMMYFUNCTION("""COMPUTED_VALUE"""),68.04)</f>
        <v>68.04</v>
      </c>
    </row>
    <row r="195" ht="15.75" customHeight="1">
      <c r="B195" s="3">
        <f>IFERROR(__xludf.DUMMYFUNCTION("""COMPUTED_VALUE"""),42580.64583333333)</f>
        <v>42580.64583</v>
      </c>
      <c r="C195" s="2">
        <f>IFERROR(__xludf.DUMMYFUNCTION("""COMPUTED_VALUE"""),65.96)</f>
        <v>65.96</v>
      </c>
    </row>
    <row r="196" ht="15.75" customHeight="1">
      <c r="B196" s="3">
        <f>IFERROR(__xludf.DUMMYFUNCTION("""COMPUTED_VALUE"""),42587.64583333333)</f>
        <v>42587.64583</v>
      </c>
      <c r="C196" s="2">
        <f>IFERROR(__xludf.DUMMYFUNCTION("""COMPUTED_VALUE"""),64.63)</f>
        <v>64.63</v>
      </c>
    </row>
    <row r="197" ht="15.75" customHeight="1">
      <c r="B197" s="3">
        <f>IFERROR(__xludf.DUMMYFUNCTION("""COMPUTED_VALUE"""),42594.64583333333)</f>
        <v>42594.64583</v>
      </c>
      <c r="C197" s="2">
        <f>IFERROR(__xludf.DUMMYFUNCTION("""COMPUTED_VALUE"""),64.18)</f>
        <v>64.18</v>
      </c>
    </row>
    <row r="198" ht="15.75" customHeight="1">
      <c r="B198" s="3">
        <f>IFERROR(__xludf.DUMMYFUNCTION("""COMPUTED_VALUE"""),42601.64583333333)</f>
        <v>42601.64583</v>
      </c>
      <c r="C198" s="2">
        <f>IFERROR(__xludf.DUMMYFUNCTION("""COMPUTED_VALUE"""),57.56)</f>
        <v>57.56</v>
      </c>
    </row>
    <row r="199" ht="15.75" customHeight="1">
      <c r="B199" s="3">
        <f>IFERROR(__xludf.DUMMYFUNCTION("""COMPUTED_VALUE"""),42608.64583333333)</f>
        <v>42608.64583</v>
      </c>
      <c r="C199" s="2">
        <f>IFERROR(__xludf.DUMMYFUNCTION("""COMPUTED_VALUE"""),61.61)</f>
        <v>61.61</v>
      </c>
    </row>
    <row r="200" ht="15.75" customHeight="1">
      <c r="B200" s="3">
        <f>IFERROR(__xludf.DUMMYFUNCTION("""COMPUTED_VALUE"""),42615.64583333333)</f>
        <v>42615.64583</v>
      </c>
      <c r="C200" s="2">
        <f>IFERROR(__xludf.DUMMYFUNCTION("""COMPUTED_VALUE"""),57.53)</f>
        <v>57.53</v>
      </c>
    </row>
    <row r="201" ht="15.75" customHeight="1">
      <c r="B201" s="3">
        <f>IFERROR(__xludf.DUMMYFUNCTION("""COMPUTED_VALUE"""),42622.64583333333)</f>
        <v>42622.64583</v>
      </c>
      <c r="C201" s="2">
        <f>IFERROR(__xludf.DUMMYFUNCTION("""COMPUTED_VALUE"""),51.55)</f>
        <v>51.55</v>
      </c>
    </row>
    <row r="202" ht="15.75" customHeight="1">
      <c r="B202" s="3">
        <f>IFERROR(__xludf.DUMMYFUNCTION("""COMPUTED_VALUE"""),42629.64583333333)</f>
        <v>42629.64583</v>
      </c>
      <c r="C202" s="2">
        <f>IFERROR(__xludf.DUMMYFUNCTION("""COMPUTED_VALUE"""),51.97)</f>
        <v>51.97</v>
      </c>
    </row>
    <row r="203" ht="15.75" customHeight="1">
      <c r="B203" s="3">
        <f>IFERROR(__xludf.DUMMYFUNCTION("""COMPUTED_VALUE"""),42636.64583333333)</f>
        <v>42636.64583</v>
      </c>
      <c r="C203" s="2">
        <f>IFERROR(__xludf.DUMMYFUNCTION("""COMPUTED_VALUE"""),51.76)</f>
        <v>51.76</v>
      </c>
    </row>
    <row r="204" ht="15.75" customHeight="1">
      <c r="B204" s="3">
        <f>IFERROR(__xludf.DUMMYFUNCTION("""COMPUTED_VALUE"""),42643.64583333333)</f>
        <v>42643.64583</v>
      </c>
      <c r="C204" s="2">
        <f>IFERROR(__xludf.DUMMYFUNCTION("""COMPUTED_VALUE"""),50.25)</f>
        <v>50.25</v>
      </c>
    </row>
    <row r="205" ht="15.75" customHeight="1">
      <c r="B205" s="3">
        <f>IFERROR(__xludf.DUMMYFUNCTION("""COMPUTED_VALUE"""),42650.64583333333)</f>
        <v>42650.64583</v>
      </c>
      <c r="C205" s="2">
        <f>IFERROR(__xludf.DUMMYFUNCTION("""COMPUTED_VALUE"""),49.89)</f>
        <v>49.89</v>
      </c>
    </row>
    <row r="206" ht="15.75" customHeight="1">
      <c r="B206" s="3">
        <f>IFERROR(__xludf.DUMMYFUNCTION("""COMPUTED_VALUE"""),42657.64583333333)</f>
        <v>42657.64583</v>
      </c>
      <c r="C206" s="2">
        <f>IFERROR(__xludf.DUMMYFUNCTION("""COMPUTED_VALUE"""),48.77)</f>
        <v>48.77</v>
      </c>
    </row>
    <row r="207" ht="15.75" customHeight="1">
      <c r="B207" s="3">
        <f>IFERROR(__xludf.DUMMYFUNCTION("""COMPUTED_VALUE"""),42664.64583333333)</f>
        <v>42664.64583</v>
      </c>
      <c r="C207" s="2">
        <f>IFERROR(__xludf.DUMMYFUNCTION("""COMPUTED_VALUE"""),48.68)</f>
        <v>48.68</v>
      </c>
    </row>
    <row r="208" ht="15.75" customHeight="1">
      <c r="B208" s="3">
        <f>IFERROR(__xludf.DUMMYFUNCTION("""COMPUTED_VALUE"""),42671.64583333333)</f>
        <v>42671.64583</v>
      </c>
      <c r="C208" s="2">
        <f>IFERROR(__xludf.DUMMYFUNCTION("""COMPUTED_VALUE"""),48.14)</f>
        <v>48.14</v>
      </c>
    </row>
    <row r="209" ht="15.75" customHeight="1">
      <c r="B209" s="3">
        <f>IFERROR(__xludf.DUMMYFUNCTION("""COMPUTED_VALUE"""),42678.64583333333)</f>
        <v>42678.64583</v>
      </c>
      <c r="C209" s="2">
        <f>IFERROR(__xludf.DUMMYFUNCTION("""COMPUTED_VALUE"""),47.02)</f>
        <v>47.02</v>
      </c>
    </row>
    <row r="210" ht="15.75" customHeight="1">
      <c r="B210" s="3">
        <f>IFERROR(__xludf.DUMMYFUNCTION("""COMPUTED_VALUE"""),42685.64583333333)</f>
        <v>42685.64583</v>
      </c>
      <c r="C210" s="2">
        <f>IFERROR(__xludf.DUMMYFUNCTION("""COMPUTED_VALUE"""),44.97)</f>
        <v>44.97</v>
      </c>
    </row>
    <row r="211" ht="15.75" customHeight="1">
      <c r="B211" s="3">
        <f>IFERROR(__xludf.DUMMYFUNCTION("""COMPUTED_VALUE"""),42692.64583333333)</f>
        <v>42692.64583</v>
      </c>
      <c r="C211" s="2">
        <f>IFERROR(__xludf.DUMMYFUNCTION("""COMPUTED_VALUE"""),43.97)</f>
        <v>43.97</v>
      </c>
    </row>
    <row r="212" ht="15.75" customHeight="1">
      <c r="B212" s="3">
        <f>IFERROR(__xludf.DUMMYFUNCTION("""COMPUTED_VALUE"""),42699.64583333333)</f>
        <v>42699.64583</v>
      </c>
      <c r="C212" s="2">
        <f>IFERROR(__xludf.DUMMYFUNCTION("""COMPUTED_VALUE"""),44.7)</f>
        <v>44.7</v>
      </c>
    </row>
    <row r="213" ht="15.75" customHeight="1">
      <c r="B213" s="3">
        <f>IFERROR(__xludf.DUMMYFUNCTION("""COMPUTED_VALUE"""),42706.64583333333)</f>
        <v>42706.64583</v>
      </c>
      <c r="C213" s="2">
        <f>IFERROR(__xludf.DUMMYFUNCTION("""COMPUTED_VALUE"""),48.26)</f>
        <v>48.26</v>
      </c>
    </row>
    <row r="214" ht="15.75" customHeight="1">
      <c r="B214" s="3">
        <f>IFERROR(__xludf.DUMMYFUNCTION("""COMPUTED_VALUE"""),42713.64583333333)</f>
        <v>42713.64583</v>
      </c>
      <c r="C214" s="2">
        <f>IFERROR(__xludf.DUMMYFUNCTION("""COMPUTED_VALUE"""),46.75)</f>
        <v>46.75</v>
      </c>
    </row>
    <row r="215" ht="15.75" customHeight="1">
      <c r="B215" s="3">
        <f>IFERROR(__xludf.DUMMYFUNCTION("""COMPUTED_VALUE"""),42720.64583333333)</f>
        <v>42720.64583</v>
      </c>
      <c r="C215" s="2">
        <f>IFERROR(__xludf.DUMMYFUNCTION("""COMPUTED_VALUE"""),47.02)</f>
        <v>47.02</v>
      </c>
    </row>
    <row r="216" ht="15.75" customHeight="1">
      <c r="B216" s="3">
        <f>IFERROR(__xludf.DUMMYFUNCTION("""COMPUTED_VALUE"""),42727.64583333333)</f>
        <v>42727.64583</v>
      </c>
      <c r="C216" s="2">
        <f>IFERROR(__xludf.DUMMYFUNCTION("""COMPUTED_VALUE"""),46.6)</f>
        <v>46.6</v>
      </c>
    </row>
    <row r="217" ht="15.75" customHeight="1">
      <c r="B217" s="3">
        <f>IFERROR(__xludf.DUMMYFUNCTION("""COMPUTED_VALUE"""),42734.64583333333)</f>
        <v>42734.64583</v>
      </c>
      <c r="C217" s="2">
        <f>IFERROR(__xludf.DUMMYFUNCTION("""COMPUTED_VALUE"""),45.03)</f>
        <v>45.03</v>
      </c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IFERROR(__xludf.DUMMYFUNCTION("GOOGLEFINANCE(""NSE:DLF"", ""high"",DATE(2008,1,1),DATE(2009,1,1),""weekly"")"),"Date")</f>
        <v>Date</v>
      </c>
      <c r="C1" s="2" t="str">
        <f>IFERROR(__xludf.DUMMYFUNCTION("""COMPUTED_VALUE"""),"High")</f>
        <v>High</v>
      </c>
    </row>
    <row r="2">
      <c r="A2" s="2" t="s">
        <v>7</v>
      </c>
      <c r="B2" s="3">
        <f>IFERROR(__xludf.DUMMYFUNCTION("""COMPUTED_VALUE"""),39451.645833333336)</f>
        <v>39451.64583</v>
      </c>
      <c r="C2" s="2">
        <f>IFERROR(__xludf.DUMMYFUNCTION("""COMPUTED_VALUE"""),1121.0)</f>
        <v>1121</v>
      </c>
    </row>
    <row r="3">
      <c r="A3" s="2" t="s">
        <v>8</v>
      </c>
      <c r="B3" s="3">
        <f>IFERROR(__xludf.DUMMYFUNCTION("""COMPUTED_VALUE"""),39458.645833333336)</f>
        <v>39458.64583</v>
      </c>
      <c r="C3" s="2">
        <f>IFERROR(__xludf.DUMMYFUNCTION("""COMPUTED_VALUE"""),1209.7)</f>
        <v>1209.7</v>
      </c>
    </row>
    <row r="4">
      <c r="A4" s="2" t="s">
        <v>9</v>
      </c>
      <c r="B4" s="3">
        <f>IFERROR(__xludf.DUMMYFUNCTION("""COMPUTED_VALUE"""),39464.645833333336)</f>
        <v>39464.64583</v>
      </c>
      <c r="C4" s="2">
        <f>IFERROR(__xludf.DUMMYFUNCTION("""COMPUTED_VALUE"""),1225.0)</f>
        <v>1225</v>
      </c>
    </row>
    <row r="5">
      <c r="A5" s="2" t="s">
        <v>10</v>
      </c>
      <c r="B5" s="3">
        <f>IFERROR(__xludf.DUMMYFUNCTION("""COMPUTED_VALUE"""),39472.645833333336)</f>
        <v>39472.64583</v>
      </c>
      <c r="C5" s="2">
        <f>IFERROR(__xludf.DUMMYFUNCTION("""COMPUTED_VALUE"""),1005.0)</f>
        <v>1005</v>
      </c>
    </row>
    <row r="6">
      <c r="A6" s="2" t="s">
        <v>11</v>
      </c>
      <c r="B6" s="3">
        <f>IFERROR(__xludf.DUMMYFUNCTION("""COMPUTED_VALUE"""),39479.645833333336)</f>
        <v>39479.64583</v>
      </c>
      <c r="C6" s="2">
        <f>IFERROR(__xludf.DUMMYFUNCTION("""COMPUTED_VALUE"""),949.0)</f>
        <v>949</v>
      </c>
    </row>
    <row r="7">
      <c r="A7" s="2" t="s">
        <v>12</v>
      </c>
      <c r="B7" s="3">
        <f>IFERROR(__xludf.DUMMYFUNCTION("""COMPUTED_VALUE"""),39486.645833333336)</f>
        <v>39486.64583</v>
      </c>
      <c r="C7" s="2">
        <f>IFERROR(__xludf.DUMMYFUNCTION("""COMPUTED_VALUE"""),901.0)</f>
        <v>901</v>
      </c>
    </row>
    <row r="8">
      <c r="A8" s="2" t="s">
        <v>13</v>
      </c>
      <c r="B8" s="3">
        <f>IFERROR(__xludf.DUMMYFUNCTION("""COMPUTED_VALUE"""),39493.645833333336)</f>
        <v>39493.64583</v>
      </c>
      <c r="C8" s="2">
        <f>IFERROR(__xludf.DUMMYFUNCTION("""COMPUTED_VALUE"""),891.8)</f>
        <v>891.8</v>
      </c>
    </row>
    <row r="9">
      <c r="B9" s="3">
        <f>IFERROR(__xludf.DUMMYFUNCTION("""COMPUTED_VALUE"""),39500.645833333336)</f>
        <v>39500.64583</v>
      </c>
      <c r="C9" s="2">
        <f>IFERROR(__xludf.DUMMYFUNCTION("""COMPUTED_VALUE"""),898.4)</f>
        <v>898.4</v>
      </c>
    </row>
    <row r="10">
      <c r="B10" s="3">
        <f>IFERROR(__xludf.DUMMYFUNCTION("""COMPUTED_VALUE"""),39507.645833333336)</f>
        <v>39507.64583</v>
      </c>
      <c r="C10" s="2">
        <f>IFERROR(__xludf.DUMMYFUNCTION("""COMPUTED_VALUE"""),849.9)</f>
        <v>849.9</v>
      </c>
    </row>
    <row r="11">
      <c r="B11" s="3">
        <f>IFERROR(__xludf.DUMMYFUNCTION("""COMPUTED_VALUE"""),39514.645833333336)</f>
        <v>39514.64583</v>
      </c>
      <c r="C11" s="2">
        <f>IFERROR(__xludf.DUMMYFUNCTION("""COMPUTED_VALUE"""),770.0)</f>
        <v>770</v>
      </c>
    </row>
    <row r="12">
      <c r="B12" s="3">
        <f>IFERROR(__xludf.DUMMYFUNCTION("""COMPUTED_VALUE"""),39521.645833333336)</f>
        <v>39521.64583</v>
      </c>
      <c r="C12" s="2">
        <f>IFERROR(__xludf.DUMMYFUNCTION("""COMPUTED_VALUE"""),799.0)</f>
        <v>799</v>
      </c>
    </row>
    <row r="13">
      <c r="B13" s="3">
        <f>IFERROR(__xludf.DUMMYFUNCTION("""COMPUTED_VALUE"""),39526.645833333336)</f>
        <v>39526.64583</v>
      </c>
      <c r="C13" s="2">
        <f>IFERROR(__xludf.DUMMYFUNCTION("""COMPUTED_VALUE"""),678.0)</f>
        <v>678</v>
      </c>
    </row>
    <row r="14">
      <c r="B14" s="3">
        <f>IFERROR(__xludf.DUMMYFUNCTION("""COMPUTED_VALUE"""),39535.645833333336)</f>
        <v>39535.64583</v>
      </c>
      <c r="C14" s="2">
        <f>IFERROR(__xludf.DUMMYFUNCTION("""COMPUTED_VALUE"""),701.85)</f>
        <v>701.85</v>
      </c>
    </row>
    <row r="15">
      <c r="B15" s="3">
        <f>IFERROR(__xludf.DUMMYFUNCTION("""COMPUTED_VALUE"""),39542.645833333336)</f>
        <v>39542.64583</v>
      </c>
      <c r="C15" s="2">
        <f>IFERROR(__xludf.DUMMYFUNCTION("""COMPUTED_VALUE"""),695.7)</f>
        <v>695.7</v>
      </c>
    </row>
    <row r="16">
      <c r="B16" s="3">
        <f>IFERROR(__xludf.DUMMYFUNCTION("""COMPUTED_VALUE"""),39549.645833333336)</f>
        <v>39549.64583</v>
      </c>
      <c r="C16" s="2">
        <f>IFERROR(__xludf.DUMMYFUNCTION("""COMPUTED_VALUE"""),636.0)</f>
        <v>636</v>
      </c>
    </row>
    <row r="17">
      <c r="B17" s="3">
        <f>IFERROR(__xludf.DUMMYFUNCTION("""COMPUTED_VALUE"""),39555.645833333336)</f>
        <v>39555.64583</v>
      </c>
      <c r="C17" s="2">
        <f>IFERROR(__xludf.DUMMYFUNCTION("""COMPUTED_VALUE"""),653.8)</f>
        <v>653.8</v>
      </c>
    </row>
    <row r="18">
      <c r="B18" s="3">
        <f>IFERROR(__xludf.DUMMYFUNCTION("""COMPUTED_VALUE"""),39563.645833333336)</f>
        <v>39563.64583</v>
      </c>
      <c r="C18" s="2">
        <f>IFERROR(__xludf.DUMMYFUNCTION("""COMPUTED_VALUE"""),697.0)</f>
        <v>697</v>
      </c>
    </row>
    <row r="19">
      <c r="B19" s="3">
        <f>IFERROR(__xludf.DUMMYFUNCTION("""COMPUTED_VALUE"""),39570.645833333336)</f>
        <v>39570.64583</v>
      </c>
      <c r="C19" s="2">
        <f>IFERROR(__xludf.DUMMYFUNCTION("""COMPUTED_VALUE"""),735.0)</f>
        <v>735</v>
      </c>
    </row>
    <row r="20">
      <c r="B20" s="3">
        <f>IFERROR(__xludf.DUMMYFUNCTION("""COMPUTED_VALUE"""),39577.645833333336)</f>
        <v>39577.64583</v>
      </c>
      <c r="C20" s="2">
        <f>IFERROR(__xludf.DUMMYFUNCTION("""COMPUTED_VALUE"""),739.0)</f>
        <v>739</v>
      </c>
    </row>
    <row r="21" ht="15.75" customHeight="1">
      <c r="B21" s="3">
        <f>IFERROR(__xludf.DUMMYFUNCTION("""COMPUTED_VALUE"""),39584.645833333336)</f>
        <v>39584.64583</v>
      </c>
      <c r="C21" s="2">
        <f>IFERROR(__xludf.DUMMYFUNCTION("""COMPUTED_VALUE"""),656.8)</f>
        <v>656.8</v>
      </c>
    </row>
    <row r="22" ht="15.75" customHeight="1">
      <c r="B22" s="3">
        <f>IFERROR(__xludf.DUMMYFUNCTION("""COMPUTED_VALUE"""),39591.645833333336)</f>
        <v>39591.64583</v>
      </c>
      <c r="C22" s="2">
        <f>IFERROR(__xludf.DUMMYFUNCTION("""COMPUTED_VALUE"""),649.5)</f>
        <v>649.5</v>
      </c>
    </row>
    <row r="23" ht="15.75" customHeight="1">
      <c r="B23" s="3">
        <f>IFERROR(__xludf.DUMMYFUNCTION("""COMPUTED_VALUE"""),39598.645833333336)</f>
        <v>39598.64583</v>
      </c>
      <c r="C23" s="2">
        <f>IFERROR(__xludf.DUMMYFUNCTION("""COMPUTED_VALUE"""),614.9)</f>
        <v>614.9</v>
      </c>
    </row>
    <row r="24" ht="15.75" customHeight="1">
      <c r="B24" s="3">
        <f>IFERROR(__xludf.DUMMYFUNCTION("""COMPUTED_VALUE"""),39605.645833333336)</f>
        <v>39605.64583</v>
      </c>
      <c r="C24" s="2">
        <f>IFERROR(__xludf.DUMMYFUNCTION("""COMPUTED_VALUE"""),598.0)</f>
        <v>598</v>
      </c>
    </row>
    <row r="25" ht="15.75" customHeight="1">
      <c r="B25" s="3">
        <f>IFERROR(__xludf.DUMMYFUNCTION("""COMPUTED_VALUE"""),39612.645833333336)</f>
        <v>39612.64583</v>
      </c>
      <c r="C25" s="2">
        <f>IFERROR(__xludf.DUMMYFUNCTION("""COMPUTED_VALUE"""),522.3)</f>
        <v>522.3</v>
      </c>
    </row>
    <row r="26" ht="15.75" customHeight="1">
      <c r="B26" s="3">
        <f>IFERROR(__xludf.DUMMYFUNCTION("""COMPUTED_VALUE"""),39619.645833333336)</f>
        <v>39619.64583</v>
      </c>
      <c r="C26" s="2">
        <f>IFERROR(__xludf.DUMMYFUNCTION("""COMPUTED_VALUE"""),518.9)</f>
        <v>518.9</v>
      </c>
    </row>
    <row r="27" ht="15.75" customHeight="1">
      <c r="B27" s="3">
        <f>IFERROR(__xludf.DUMMYFUNCTION("""COMPUTED_VALUE"""),39626.645833333336)</f>
        <v>39626.64583</v>
      </c>
      <c r="C27" s="2">
        <f>IFERROR(__xludf.DUMMYFUNCTION("""COMPUTED_VALUE"""),469.4)</f>
        <v>469.4</v>
      </c>
    </row>
    <row r="28" ht="15.75" customHeight="1">
      <c r="B28" s="3">
        <f>IFERROR(__xludf.DUMMYFUNCTION("""COMPUTED_VALUE"""),39633.645833333336)</f>
        <v>39633.64583</v>
      </c>
      <c r="C28" s="2">
        <f>IFERROR(__xludf.DUMMYFUNCTION("""COMPUTED_VALUE"""),439.0)</f>
        <v>439</v>
      </c>
    </row>
    <row r="29" ht="15.75" customHeight="1">
      <c r="B29" s="3">
        <f>IFERROR(__xludf.DUMMYFUNCTION("""COMPUTED_VALUE"""),39640.645833333336)</f>
        <v>39640.64583</v>
      </c>
      <c r="C29" s="2">
        <f>IFERROR(__xludf.DUMMYFUNCTION("""COMPUTED_VALUE"""),474.8)</f>
        <v>474.8</v>
      </c>
    </row>
    <row r="30" ht="15.75" customHeight="1">
      <c r="B30" s="3">
        <f>IFERROR(__xludf.DUMMYFUNCTION("""COMPUTED_VALUE"""),39647.645833333336)</f>
        <v>39647.64583</v>
      </c>
      <c r="C30" s="2">
        <f>IFERROR(__xludf.DUMMYFUNCTION("""COMPUTED_VALUE"""),469.9)</f>
        <v>469.9</v>
      </c>
    </row>
    <row r="31" ht="15.75" customHeight="1">
      <c r="B31" s="3">
        <f>IFERROR(__xludf.DUMMYFUNCTION("""COMPUTED_VALUE"""),39654.645833333336)</f>
        <v>39654.64583</v>
      </c>
      <c r="C31" s="2">
        <f>IFERROR(__xludf.DUMMYFUNCTION("""COMPUTED_VALUE"""),518.9)</f>
        <v>518.9</v>
      </c>
    </row>
    <row r="32" ht="15.75" customHeight="1">
      <c r="B32" s="3">
        <f>IFERROR(__xludf.DUMMYFUNCTION("""COMPUTED_VALUE"""),39661.645833333336)</f>
        <v>39661.64583</v>
      </c>
      <c r="C32" s="2">
        <f>IFERROR(__xludf.DUMMYFUNCTION("""COMPUTED_VALUE"""),525.0)</f>
        <v>525</v>
      </c>
    </row>
    <row r="33" ht="15.75" customHeight="1">
      <c r="B33" s="3">
        <f>IFERROR(__xludf.DUMMYFUNCTION("""COMPUTED_VALUE"""),39668.645833333336)</f>
        <v>39668.64583</v>
      </c>
      <c r="C33" s="2">
        <f>IFERROR(__xludf.DUMMYFUNCTION("""COMPUTED_VALUE"""),573.0)</f>
        <v>573</v>
      </c>
    </row>
    <row r="34" ht="15.75" customHeight="1">
      <c r="B34" s="3">
        <f>IFERROR(__xludf.DUMMYFUNCTION("""COMPUTED_VALUE"""),39674.645833333336)</f>
        <v>39674.64583</v>
      </c>
      <c r="C34" s="2">
        <f>IFERROR(__xludf.DUMMYFUNCTION("""COMPUTED_VALUE"""),579.9)</f>
        <v>579.9</v>
      </c>
    </row>
    <row r="35" ht="15.75" customHeight="1">
      <c r="B35" s="3">
        <f>IFERROR(__xludf.DUMMYFUNCTION("""COMPUTED_VALUE"""),39682.645833333336)</f>
        <v>39682.64583</v>
      </c>
      <c r="C35" s="2">
        <f>IFERROR(__xludf.DUMMYFUNCTION("""COMPUTED_VALUE"""),515.0)</f>
        <v>515</v>
      </c>
    </row>
    <row r="36" ht="15.75" customHeight="1">
      <c r="B36" s="3">
        <f>IFERROR(__xludf.DUMMYFUNCTION("""COMPUTED_VALUE"""),39689.645833333336)</f>
        <v>39689.64583</v>
      </c>
      <c r="C36" s="2">
        <f>IFERROR(__xludf.DUMMYFUNCTION("""COMPUTED_VALUE"""),509.85)</f>
        <v>509.85</v>
      </c>
    </row>
    <row r="37" ht="15.75" customHeight="1">
      <c r="B37" s="3">
        <f>IFERROR(__xludf.DUMMYFUNCTION("""COMPUTED_VALUE"""),39696.645833333336)</f>
        <v>39696.64583</v>
      </c>
      <c r="C37" s="2">
        <f>IFERROR(__xludf.DUMMYFUNCTION("""COMPUTED_VALUE"""),546.05)</f>
        <v>546.05</v>
      </c>
    </row>
    <row r="38" ht="15.75" customHeight="1">
      <c r="B38" s="3">
        <f>IFERROR(__xludf.DUMMYFUNCTION("""COMPUTED_VALUE"""),39703.645833333336)</f>
        <v>39703.64583</v>
      </c>
      <c r="C38" s="2">
        <f>IFERROR(__xludf.DUMMYFUNCTION("""COMPUTED_VALUE"""),524.0)</f>
        <v>524</v>
      </c>
    </row>
    <row r="39" ht="15.75" customHeight="1">
      <c r="B39" s="3">
        <f>IFERROR(__xludf.DUMMYFUNCTION("""COMPUTED_VALUE"""),39710.645833333336)</f>
        <v>39710.64583</v>
      </c>
      <c r="C39" s="2">
        <f>IFERROR(__xludf.DUMMYFUNCTION("""COMPUTED_VALUE"""),454.7)</f>
        <v>454.7</v>
      </c>
    </row>
    <row r="40" ht="15.75" customHeight="1">
      <c r="B40" s="3">
        <f>IFERROR(__xludf.DUMMYFUNCTION("""COMPUTED_VALUE"""),39717.645833333336)</f>
        <v>39717.64583</v>
      </c>
      <c r="C40" s="2">
        <f>IFERROR(__xludf.DUMMYFUNCTION("""COMPUTED_VALUE"""),441.0)</f>
        <v>441</v>
      </c>
    </row>
    <row r="41" ht="15.75" customHeight="1">
      <c r="B41" s="3">
        <f>IFERROR(__xludf.DUMMYFUNCTION("""COMPUTED_VALUE"""),39724.645833333336)</f>
        <v>39724.64583</v>
      </c>
      <c r="C41" s="2">
        <f>IFERROR(__xludf.DUMMYFUNCTION("""COMPUTED_VALUE"""),371.7)</f>
        <v>371.7</v>
      </c>
    </row>
    <row r="42" ht="15.75" customHeight="1">
      <c r="B42" s="3">
        <f>IFERROR(__xludf.DUMMYFUNCTION("""COMPUTED_VALUE"""),39731.645833333336)</f>
        <v>39731.64583</v>
      </c>
      <c r="C42" s="2">
        <f>IFERROR(__xludf.DUMMYFUNCTION("""COMPUTED_VALUE"""),333.0)</f>
        <v>333</v>
      </c>
    </row>
    <row r="43" ht="15.75" customHeight="1">
      <c r="B43" s="3">
        <f>IFERROR(__xludf.DUMMYFUNCTION("""COMPUTED_VALUE"""),39738.645833333336)</f>
        <v>39738.64583</v>
      </c>
      <c r="C43" s="2">
        <f>IFERROR(__xludf.DUMMYFUNCTION("""COMPUTED_VALUE"""),354.7)</f>
        <v>354.7</v>
      </c>
    </row>
    <row r="44" ht="15.75" customHeight="1">
      <c r="B44" s="3">
        <f>IFERROR(__xludf.DUMMYFUNCTION("""COMPUTED_VALUE"""),39745.645833333336)</f>
        <v>39745.64583</v>
      </c>
      <c r="C44" s="2">
        <f>IFERROR(__xludf.DUMMYFUNCTION("""COMPUTED_VALUE"""),305.0)</f>
        <v>305</v>
      </c>
    </row>
    <row r="45" ht="15.75" customHeight="1">
      <c r="B45" s="3">
        <f>IFERROR(__xludf.DUMMYFUNCTION("""COMPUTED_VALUE"""),39752.645833333336)</f>
        <v>39752.64583</v>
      </c>
      <c r="C45" s="2">
        <f>IFERROR(__xludf.DUMMYFUNCTION("""COMPUTED_VALUE"""),230.5)</f>
        <v>230.5</v>
      </c>
    </row>
    <row r="46" ht="15.75" customHeight="1">
      <c r="B46" s="3">
        <f>IFERROR(__xludf.DUMMYFUNCTION("""COMPUTED_VALUE"""),39759.645833333336)</f>
        <v>39759.64583</v>
      </c>
      <c r="C46" s="2">
        <f>IFERROR(__xludf.DUMMYFUNCTION("""COMPUTED_VALUE"""),309.8)</f>
        <v>309.8</v>
      </c>
    </row>
    <row r="47" ht="15.75" customHeight="1">
      <c r="B47" s="3">
        <f>IFERROR(__xludf.DUMMYFUNCTION("""COMPUTED_VALUE"""),39766.645833333336)</f>
        <v>39766.64583</v>
      </c>
      <c r="C47" s="2">
        <f>IFERROR(__xludf.DUMMYFUNCTION("""COMPUTED_VALUE"""),301.35)</f>
        <v>301.35</v>
      </c>
    </row>
    <row r="48" ht="15.75" customHeight="1">
      <c r="B48" s="3">
        <f>IFERROR(__xludf.DUMMYFUNCTION("""COMPUTED_VALUE"""),39773.645833333336)</f>
        <v>39773.64583</v>
      </c>
      <c r="C48" s="2">
        <f>IFERROR(__xludf.DUMMYFUNCTION("""COMPUTED_VALUE"""),249.9)</f>
        <v>249.9</v>
      </c>
    </row>
    <row r="49" ht="15.75" customHeight="1">
      <c r="B49" s="3">
        <f>IFERROR(__xludf.DUMMYFUNCTION("""COMPUTED_VALUE"""),39780.645833333336)</f>
        <v>39780.64583</v>
      </c>
      <c r="C49" s="2">
        <f>IFERROR(__xludf.DUMMYFUNCTION("""COMPUTED_VALUE"""),205.0)</f>
        <v>205</v>
      </c>
    </row>
    <row r="50" ht="15.75" customHeight="1">
      <c r="B50" s="3">
        <f>IFERROR(__xludf.DUMMYFUNCTION("""COMPUTED_VALUE"""),39787.645833333336)</f>
        <v>39787.64583</v>
      </c>
      <c r="C50" s="2">
        <f>IFERROR(__xludf.DUMMYFUNCTION("""COMPUTED_VALUE"""),221.45)</f>
        <v>221.45</v>
      </c>
    </row>
    <row r="51" ht="15.75" customHeight="1">
      <c r="B51" s="3">
        <f>IFERROR(__xludf.DUMMYFUNCTION("""COMPUTED_VALUE"""),39794.645833333336)</f>
        <v>39794.64583</v>
      </c>
      <c r="C51" s="2">
        <f>IFERROR(__xludf.DUMMYFUNCTION("""COMPUTED_VALUE"""),288.05)</f>
        <v>288.05</v>
      </c>
    </row>
    <row r="52" ht="15.75" customHeight="1">
      <c r="B52" s="3">
        <f>IFERROR(__xludf.DUMMYFUNCTION("""COMPUTED_VALUE"""),39801.645833333336)</f>
        <v>39801.64583</v>
      </c>
      <c r="C52" s="2">
        <f>IFERROR(__xludf.DUMMYFUNCTION("""COMPUTED_VALUE"""),314.7)</f>
        <v>314.7</v>
      </c>
    </row>
    <row r="53" ht="15.75" customHeight="1">
      <c r="B53" s="3">
        <f>IFERROR(__xludf.DUMMYFUNCTION("""COMPUTED_VALUE"""),39808.645833333336)</f>
        <v>39808.64583</v>
      </c>
      <c r="C53" s="2">
        <f>IFERROR(__xludf.DUMMYFUNCTION("""COMPUTED_VALUE"""),326.0)</f>
        <v>326</v>
      </c>
    </row>
    <row r="54" ht="15.75" customHeight="1"/>
    <row r="55" ht="15.75" customHeight="1"/>
    <row r="56" ht="15.75" customHeight="1">
      <c r="B56" s="2" t="str">
        <f>IFERROR(__xludf.DUMMYFUNCTION("GOOGLEFINANCE(""NSE:DLF"", ""high"",DATE(2009,1,1),DATE(2010,1,1),""weekly"")"),"Date")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IFERROR(__xludf.DUMMYFUNCTION("""COMPUTED_VALUE"""),39815.645833333336)</f>
        <v>39815.64583</v>
      </c>
      <c r="C57" s="2">
        <f>IFERROR(__xludf.DUMMYFUNCTION("""COMPUTED_VALUE"""),308.35)</f>
        <v>308.35</v>
      </c>
    </row>
    <row r="58" ht="15.75" customHeight="1">
      <c r="B58" s="3">
        <f>IFERROR(__xludf.DUMMYFUNCTION("""COMPUTED_VALUE"""),39822.645833333336)</f>
        <v>39822.64583</v>
      </c>
      <c r="C58" s="2">
        <f>IFERROR(__xludf.DUMMYFUNCTION("""COMPUTED_VALUE"""),311.5)</f>
        <v>311.5</v>
      </c>
    </row>
    <row r="59" ht="15.75" customHeight="1">
      <c r="B59" s="3">
        <f>IFERROR(__xludf.DUMMYFUNCTION("""COMPUTED_VALUE"""),39829.645833333336)</f>
        <v>39829.64583</v>
      </c>
      <c r="C59" s="2">
        <f>IFERROR(__xludf.DUMMYFUNCTION("""COMPUTED_VALUE"""),218.9)</f>
        <v>218.9</v>
      </c>
    </row>
    <row r="60" ht="15.75" customHeight="1">
      <c r="B60" s="3">
        <f>IFERROR(__xludf.DUMMYFUNCTION("""COMPUTED_VALUE"""),39836.645833333336)</f>
        <v>39836.64583</v>
      </c>
      <c r="C60" s="2">
        <f>IFERROR(__xludf.DUMMYFUNCTION("""COMPUTED_VALUE"""),199.7)</f>
        <v>199.7</v>
      </c>
    </row>
    <row r="61" ht="15.75" customHeight="1">
      <c r="B61" s="3">
        <f>IFERROR(__xludf.DUMMYFUNCTION("""COMPUTED_VALUE"""),39843.645833333336)</f>
        <v>39843.64583</v>
      </c>
      <c r="C61" s="2">
        <f>IFERROR(__xludf.DUMMYFUNCTION("""COMPUTED_VALUE"""),185.8)</f>
        <v>185.8</v>
      </c>
    </row>
    <row r="62" ht="15.75" customHeight="1">
      <c r="B62" s="3">
        <f>IFERROR(__xludf.DUMMYFUNCTION("""COMPUTED_VALUE"""),39850.645833333336)</f>
        <v>39850.64583</v>
      </c>
      <c r="C62" s="2">
        <f>IFERROR(__xludf.DUMMYFUNCTION("""COMPUTED_VALUE"""),167.7)</f>
        <v>167.7</v>
      </c>
    </row>
    <row r="63" ht="15.75" customHeight="1">
      <c r="B63" s="3">
        <f>IFERROR(__xludf.DUMMYFUNCTION("""COMPUTED_VALUE"""),39857.645833333336)</f>
        <v>39857.64583</v>
      </c>
      <c r="C63" s="2">
        <f>IFERROR(__xludf.DUMMYFUNCTION("""COMPUTED_VALUE"""),162.25)</f>
        <v>162.25</v>
      </c>
    </row>
    <row r="64" ht="15.75" customHeight="1">
      <c r="B64" s="3">
        <f>IFERROR(__xludf.DUMMYFUNCTION("""COMPUTED_VALUE"""),39864.645833333336)</f>
        <v>39864.64583</v>
      </c>
      <c r="C64" s="2">
        <f>IFERROR(__xludf.DUMMYFUNCTION("""COMPUTED_VALUE"""),178.7)</f>
        <v>178.7</v>
      </c>
    </row>
    <row r="65" ht="15.75" customHeight="1">
      <c r="B65" s="3">
        <f>IFERROR(__xludf.DUMMYFUNCTION("""COMPUTED_VALUE"""),39871.645833333336)</f>
        <v>39871.64583</v>
      </c>
      <c r="C65" s="2">
        <f>IFERROR(__xludf.DUMMYFUNCTION("""COMPUTED_VALUE"""),162.7)</f>
        <v>162.7</v>
      </c>
    </row>
    <row r="66" ht="15.75" customHeight="1">
      <c r="B66" s="3">
        <f>IFERROR(__xludf.DUMMYFUNCTION("""COMPUTED_VALUE"""),39878.645833333336)</f>
        <v>39878.64583</v>
      </c>
      <c r="C66" s="2">
        <f>IFERROR(__xludf.DUMMYFUNCTION("""COMPUTED_VALUE"""),152.4)</f>
        <v>152.4</v>
      </c>
    </row>
    <row r="67" ht="15.75" customHeight="1">
      <c r="B67" s="3">
        <f>IFERROR(__xludf.DUMMYFUNCTION("""COMPUTED_VALUE"""),39885.645833333336)</f>
        <v>39885.64583</v>
      </c>
      <c r="C67" s="2">
        <f>IFERROR(__xludf.DUMMYFUNCTION("""COMPUTED_VALUE"""),153.45)</f>
        <v>153.45</v>
      </c>
    </row>
    <row r="68" ht="15.75" customHeight="1">
      <c r="B68" s="3">
        <f>IFERROR(__xludf.DUMMYFUNCTION("""COMPUTED_VALUE"""),39892.645833333336)</f>
        <v>39892.64583</v>
      </c>
      <c r="C68" s="2">
        <f>IFERROR(__xludf.DUMMYFUNCTION("""COMPUTED_VALUE"""),177.5)</f>
        <v>177.5</v>
      </c>
    </row>
    <row r="69" ht="15.75" customHeight="1">
      <c r="B69" s="3">
        <f>IFERROR(__xludf.DUMMYFUNCTION("""COMPUTED_VALUE"""),39899.645833333336)</f>
        <v>39899.64583</v>
      </c>
      <c r="C69" s="2">
        <f>IFERROR(__xludf.DUMMYFUNCTION("""COMPUTED_VALUE"""),187.0)</f>
        <v>187</v>
      </c>
    </row>
    <row r="70" ht="15.75" customHeight="1">
      <c r="B70" s="3">
        <f>IFERROR(__xludf.DUMMYFUNCTION("""COMPUTED_VALUE"""),39905.645833333336)</f>
        <v>39905.64583</v>
      </c>
      <c r="C70" s="2">
        <f>IFERROR(__xludf.DUMMYFUNCTION("""COMPUTED_VALUE"""),208.8)</f>
        <v>208.8</v>
      </c>
    </row>
    <row r="71" ht="15.75" customHeight="1">
      <c r="B71" s="3">
        <f>IFERROR(__xludf.DUMMYFUNCTION("""COMPUTED_VALUE"""),39912.645833333336)</f>
        <v>39912.64583</v>
      </c>
      <c r="C71" s="2">
        <f>IFERROR(__xludf.DUMMYFUNCTION("""COMPUTED_VALUE"""),227.0)</f>
        <v>227</v>
      </c>
    </row>
    <row r="72" ht="15.75" customHeight="1">
      <c r="B72" s="3">
        <f>IFERROR(__xludf.DUMMYFUNCTION("""COMPUTED_VALUE"""),39920.645833333336)</f>
        <v>39920.64583</v>
      </c>
      <c r="C72" s="2">
        <f>IFERROR(__xludf.DUMMYFUNCTION("""COMPUTED_VALUE"""),276.8)</f>
        <v>276.8</v>
      </c>
    </row>
    <row r="73" ht="15.75" customHeight="1">
      <c r="B73" s="3">
        <f>IFERROR(__xludf.DUMMYFUNCTION("""COMPUTED_VALUE"""),39927.645833333336)</f>
        <v>39927.64583</v>
      </c>
      <c r="C73" s="2">
        <f>IFERROR(__xludf.DUMMYFUNCTION("""COMPUTED_VALUE"""),248.8)</f>
        <v>248.8</v>
      </c>
    </row>
    <row r="74" ht="15.75" customHeight="1">
      <c r="B74" s="3">
        <f>IFERROR(__xludf.DUMMYFUNCTION("""COMPUTED_VALUE"""),39932.645833333336)</f>
        <v>39932.64583</v>
      </c>
      <c r="C74" s="2">
        <f>IFERROR(__xludf.DUMMYFUNCTION("""COMPUTED_VALUE"""),251.95)</f>
        <v>251.95</v>
      </c>
    </row>
    <row r="75" ht="15.75" customHeight="1">
      <c r="B75" s="3">
        <f>IFERROR(__xludf.DUMMYFUNCTION("""COMPUTED_VALUE"""),39941.645833333336)</f>
        <v>39941.64583</v>
      </c>
      <c r="C75" s="2">
        <f>IFERROR(__xludf.DUMMYFUNCTION("""COMPUTED_VALUE"""),269.5)</f>
        <v>269.5</v>
      </c>
    </row>
    <row r="76" ht="15.75" customHeight="1">
      <c r="B76" s="3">
        <f>IFERROR(__xludf.DUMMYFUNCTION("""COMPUTED_VALUE"""),39948.645833333336)</f>
        <v>39948.64583</v>
      </c>
      <c r="C76" s="2">
        <f>IFERROR(__xludf.DUMMYFUNCTION("""COMPUTED_VALUE"""),264.9)</f>
        <v>264.9</v>
      </c>
    </row>
    <row r="77" ht="15.75" customHeight="1">
      <c r="B77" s="3">
        <f>IFERROR(__xludf.DUMMYFUNCTION("""COMPUTED_VALUE"""),39955.645833333336)</f>
        <v>39955.64583</v>
      </c>
      <c r="C77" s="2">
        <f>IFERROR(__xludf.DUMMYFUNCTION("""COMPUTED_VALUE"""),421.7)</f>
        <v>421.7</v>
      </c>
    </row>
    <row r="78" ht="15.75" customHeight="1">
      <c r="B78" s="3">
        <f>IFERROR(__xludf.DUMMYFUNCTION("""COMPUTED_VALUE"""),39962.645833333336)</f>
        <v>39962.64583</v>
      </c>
      <c r="C78" s="2">
        <f>IFERROR(__xludf.DUMMYFUNCTION("""COMPUTED_VALUE"""),420.35)</f>
        <v>420.35</v>
      </c>
    </row>
    <row r="79" ht="15.75" customHeight="1">
      <c r="B79" s="3">
        <f>IFERROR(__xludf.DUMMYFUNCTION("""COMPUTED_VALUE"""),39969.645833333336)</f>
        <v>39969.64583</v>
      </c>
      <c r="C79" s="2">
        <f>IFERROR(__xludf.DUMMYFUNCTION("""COMPUTED_VALUE"""),426.8)</f>
        <v>426.8</v>
      </c>
    </row>
    <row r="80" ht="15.75" customHeight="1">
      <c r="B80" s="3">
        <f>IFERROR(__xludf.DUMMYFUNCTION("""COMPUTED_VALUE"""),39976.645833333336)</f>
        <v>39976.64583</v>
      </c>
      <c r="C80" s="2">
        <f>IFERROR(__xludf.DUMMYFUNCTION("""COMPUTED_VALUE"""),416.9)</f>
        <v>416.9</v>
      </c>
    </row>
    <row r="81" ht="15.75" customHeight="1">
      <c r="B81" s="3">
        <f>IFERROR(__xludf.DUMMYFUNCTION("""COMPUTED_VALUE"""),39983.645833333336)</f>
        <v>39983.64583</v>
      </c>
      <c r="C81" s="2">
        <f>IFERROR(__xludf.DUMMYFUNCTION("""COMPUTED_VALUE"""),377.45)</f>
        <v>377.45</v>
      </c>
    </row>
    <row r="82" ht="15.75" customHeight="1">
      <c r="B82" s="3">
        <f>IFERROR(__xludf.DUMMYFUNCTION("""COMPUTED_VALUE"""),39990.645833333336)</f>
        <v>39990.64583</v>
      </c>
      <c r="C82" s="2">
        <f>IFERROR(__xludf.DUMMYFUNCTION("""COMPUTED_VALUE"""),344.4)</f>
        <v>344.4</v>
      </c>
    </row>
    <row r="83" ht="15.75" customHeight="1">
      <c r="B83" s="3">
        <f>IFERROR(__xludf.DUMMYFUNCTION("""COMPUTED_VALUE"""),39997.645833333336)</f>
        <v>39997.64583</v>
      </c>
      <c r="C83" s="2">
        <f>IFERROR(__xludf.DUMMYFUNCTION("""COMPUTED_VALUE"""),345.5)</f>
        <v>345.5</v>
      </c>
    </row>
    <row r="84" ht="15.75" customHeight="1">
      <c r="B84" s="3">
        <f>IFERROR(__xludf.DUMMYFUNCTION("""COMPUTED_VALUE"""),40004.645833333336)</f>
        <v>40004.64583</v>
      </c>
      <c r="C84" s="2">
        <f>IFERROR(__xludf.DUMMYFUNCTION("""COMPUTED_VALUE"""),356.9)</f>
        <v>356.9</v>
      </c>
    </row>
    <row r="85" ht="15.75" customHeight="1">
      <c r="B85" s="3">
        <f>IFERROR(__xludf.DUMMYFUNCTION("""COMPUTED_VALUE"""),40011.645833333336)</f>
        <v>40011.64583</v>
      </c>
      <c r="C85" s="2">
        <f>IFERROR(__xludf.DUMMYFUNCTION("""COMPUTED_VALUE"""),337.85)</f>
        <v>337.85</v>
      </c>
    </row>
    <row r="86" ht="15.75" customHeight="1">
      <c r="B86" s="3">
        <f>IFERROR(__xludf.DUMMYFUNCTION("""COMPUTED_VALUE"""),40018.645833333336)</f>
        <v>40018.64583</v>
      </c>
      <c r="C86" s="2">
        <f>IFERROR(__xludf.DUMMYFUNCTION("""COMPUTED_VALUE"""),396.75)</f>
        <v>396.75</v>
      </c>
    </row>
    <row r="87" ht="15.75" customHeight="1">
      <c r="B87" s="3">
        <f>IFERROR(__xludf.DUMMYFUNCTION("""COMPUTED_VALUE"""),40025.645833333336)</f>
        <v>40025.64583</v>
      </c>
      <c r="C87" s="2">
        <f>IFERROR(__xludf.DUMMYFUNCTION("""COMPUTED_VALUE"""),433.7)</f>
        <v>433.7</v>
      </c>
    </row>
    <row r="88" ht="15.75" customHeight="1">
      <c r="B88" s="3">
        <f>IFERROR(__xludf.DUMMYFUNCTION("""COMPUTED_VALUE"""),40032.645833333336)</f>
        <v>40032.64583</v>
      </c>
      <c r="C88" s="2">
        <f>IFERROR(__xludf.DUMMYFUNCTION("""COMPUTED_VALUE"""),409.1)</f>
        <v>409.1</v>
      </c>
    </row>
    <row r="89" ht="15.75" customHeight="1">
      <c r="B89" s="3">
        <f>IFERROR(__xludf.DUMMYFUNCTION("""COMPUTED_VALUE"""),40039.645833333336)</f>
        <v>40039.64583</v>
      </c>
      <c r="C89" s="2">
        <f>IFERROR(__xludf.DUMMYFUNCTION("""COMPUTED_VALUE"""),406.75)</f>
        <v>406.75</v>
      </c>
    </row>
    <row r="90" ht="15.75" customHeight="1">
      <c r="B90" s="3">
        <f>IFERROR(__xludf.DUMMYFUNCTION("""COMPUTED_VALUE"""),40046.645833333336)</f>
        <v>40046.64583</v>
      </c>
      <c r="C90" s="2">
        <f>IFERROR(__xludf.DUMMYFUNCTION("""COMPUTED_VALUE"""),388.7)</f>
        <v>388.7</v>
      </c>
    </row>
    <row r="91" ht="15.75" customHeight="1">
      <c r="B91" s="3">
        <f>IFERROR(__xludf.DUMMYFUNCTION("""COMPUTED_VALUE"""),40053.645833333336)</f>
        <v>40053.64583</v>
      </c>
      <c r="C91" s="2">
        <f>IFERROR(__xludf.DUMMYFUNCTION("""COMPUTED_VALUE"""),415.0)</f>
        <v>415</v>
      </c>
    </row>
    <row r="92" ht="15.75" customHeight="1">
      <c r="B92" s="3">
        <f>IFERROR(__xludf.DUMMYFUNCTION("""COMPUTED_VALUE"""),40060.645833333336)</f>
        <v>40060.64583</v>
      </c>
      <c r="C92" s="2">
        <f>IFERROR(__xludf.DUMMYFUNCTION("""COMPUTED_VALUE"""),441.95)</f>
        <v>441.95</v>
      </c>
    </row>
    <row r="93" ht="15.75" customHeight="1">
      <c r="B93" s="3">
        <f>IFERROR(__xludf.DUMMYFUNCTION("""COMPUTED_VALUE"""),40067.645833333336)</f>
        <v>40067.64583</v>
      </c>
      <c r="C93" s="2">
        <f>IFERROR(__xludf.DUMMYFUNCTION("""COMPUTED_VALUE"""),447.3)</f>
        <v>447.3</v>
      </c>
    </row>
    <row r="94" ht="15.75" customHeight="1">
      <c r="B94" s="3">
        <f>IFERROR(__xludf.DUMMYFUNCTION("""COMPUTED_VALUE"""),40074.645833333336)</f>
        <v>40074.64583</v>
      </c>
      <c r="C94" s="2">
        <f>IFERROR(__xludf.DUMMYFUNCTION("""COMPUTED_VALUE"""),430.5)</f>
        <v>430.5</v>
      </c>
    </row>
    <row r="95" ht="15.75" customHeight="1">
      <c r="B95" s="3">
        <f>IFERROR(__xludf.DUMMYFUNCTION("""COMPUTED_VALUE"""),40081.645833333336)</f>
        <v>40081.64583</v>
      </c>
      <c r="C95" s="2">
        <f>IFERROR(__xludf.DUMMYFUNCTION("""COMPUTED_VALUE"""),439.2)</f>
        <v>439.2</v>
      </c>
    </row>
    <row r="96" ht="15.75" customHeight="1">
      <c r="B96" s="3">
        <f>IFERROR(__xludf.DUMMYFUNCTION("""COMPUTED_VALUE"""),40087.645833333336)</f>
        <v>40087.64583</v>
      </c>
      <c r="C96" s="2">
        <f>IFERROR(__xludf.DUMMYFUNCTION("""COMPUTED_VALUE"""),445.5)</f>
        <v>445.5</v>
      </c>
    </row>
    <row r="97" ht="15.75" customHeight="1">
      <c r="B97" s="3">
        <f>IFERROR(__xludf.DUMMYFUNCTION("""COMPUTED_VALUE"""),40095.645833333336)</f>
        <v>40095.64583</v>
      </c>
      <c r="C97" s="2">
        <f>IFERROR(__xludf.DUMMYFUNCTION("""COMPUTED_VALUE"""),436.0)</f>
        <v>436</v>
      </c>
    </row>
    <row r="98" ht="15.75" customHeight="1">
      <c r="B98" s="3">
        <f>IFERROR(__xludf.DUMMYFUNCTION("""COMPUTED_VALUE"""),40109.645833333336)</f>
        <v>40109.64583</v>
      </c>
      <c r="C98" s="2">
        <f>IFERROR(__xludf.DUMMYFUNCTION("""COMPUTED_VALUE"""),519.9)</f>
        <v>519.9</v>
      </c>
    </row>
    <row r="99" ht="15.75" customHeight="1">
      <c r="B99" s="3">
        <f>IFERROR(__xludf.DUMMYFUNCTION("""COMPUTED_VALUE"""),40116.645833333336)</f>
        <v>40116.64583</v>
      </c>
      <c r="C99" s="2">
        <f>IFERROR(__xludf.DUMMYFUNCTION("""COMPUTED_VALUE"""),459.0)</f>
        <v>459</v>
      </c>
    </row>
    <row r="100" ht="15.75" customHeight="1">
      <c r="B100" s="3">
        <f>IFERROR(__xludf.DUMMYFUNCTION("""COMPUTED_VALUE"""),40123.645833333336)</f>
        <v>40123.64583</v>
      </c>
      <c r="C100" s="2">
        <f>IFERROR(__xludf.DUMMYFUNCTION("""COMPUTED_VALUE"""),390.8)</f>
        <v>390.8</v>
      </c>
    </row>
    <row r="101" ht="15.75" customHeight="1">
      <c r="B101" s="3">
        <f>IFERROR(__xludf.DUMMYFUNCTION("""COMPUTED_VALUE"""),40130.645833333336)</f>
        <v>40130.64583</v>
      </c>
      <c r="C101" s="2">
        <f>IFERROR(__xludf.DUMMYFUNCTION("""COMPUTED_VALUE"""),397.7)</f>
        <v>397.7</v>
      </c>
    </row>
    <row r="102" ht="15.75" customHeight="1">
      <c r="B102" s="3">
        <f>IFERROR(__xludf.DUMMYFUNCTION("""COMPUTED_VALUE"""),40137.645833333336)</f>
        <v>40137.64583</v>
      </c>
      <c r="C102" s="2">
        <f>IFERROR(__xludf.DUMMYFUNCTION("""COMPUTED_VALUE"""),388.9)</f>
        <v>388.9</v>
      </c>
    </row>
    <row r="103" ht="15.75" customHeight="1">
      <c r="B103" s="3">
        <f>IFERROR(__xludf.DUMMYFUNCTION("""COMPUTED_VALUE"""),40144.645833333336)</f>
        <v>40144.64583</v>
      </c>
      <c r="C103" s="2">
        <f>IFERROR(__xludf.DUMMYFUNCTION("""COMPUTED_VALUE"""),382.7)</f>
        <v>382.7</v>
      </c>
    </row>
    <row r="104" ht="15.75" customHeight="1">
      <c r="B104" s="3">
        <f>IFERROR(__xludf.DUMMYFUNCTION("""COMPUTED_VALUE"""),40151.645833333336)</f>
        <v>40151.64583</v>
      </c>
      <c r="C104" s="2">
        <f>IFERROR(__xludf.DUMMYFUNCTION("""COMPUTED_VALUE"""),396.0)</f>
        <v>396</v>
      </c>
    </row>
    <row r="105" ht="15.75" customHeight="1">
      <c r="B105" s="3">
        <f>IFERROR(__xludf.DUMMYFUNCTION("""COMPUTED_VALUE"""),40158.645833333336)</f>
        <v>40158.64583</v>
      </c>
      <c r="C105" s="2">
        <f>IFERROR(__xludf.DUMMYFUNCTION("""COMPUTED_VALUE"""),394.4)</f>
        <v>394.4</v>
      </c>
    </row>
    <row r="106" ht="15.75" customHeight="1">
      <c r="B106" s="3">
        <f>IFERROR(__xludf.DUMMYFUNCTION("""COMPUTED_VALUE"""),40165.645833333336)</f>
        <v>40165.64583</v>
      </c>
      <c r="C106" s="2">
        <f>IFERROR(__xludf.DUMMYFUNCTION("""COMPUTED_VALUE"""),387.5)</f>
        <v>387.5</v>
      </c>
    </row>
    <row r="107" ht="15.75" customHeight="1">
      <c r="B107" s="3">
        <f>IFERROR(__xludf.DUMMYFUNCTION("""COMPUTED_VALUE"""),40171.645833333336)</f>
        <v>40171.64583</v>
      </c>
      <c r="C107" s="2">
        <f>IFERROR(__xludf.DUMMYFUNCTION("""COMPUTED_VALUE"""),376.0)</f>
        <v>376</v>
      </c>
    </row>
    <row r="108" ht="15.75" customHeight="1">
      <c r="B108" s="3">
        <f>IFERROR(__xludf.DUMMYFUNCTION("""COMPUTED_VALUE"""),40178.645833333336)</f>
        <v>40178.64583</v>
      </c>
      <c r="C108" s="2">
        <f>IFERROR(__xludf.DUMMYFUNCTION("""COMPUTED_VALUE"""),374.5)</f>
        <v>374.5</v>
      </c>
    </row>
    <row r="109" ht="15.75" customHeight="1"/>
    <row r="110" ht="15.75" customHeight="1"/>
    <row r="111" ht="15.75" customHeight="1">
      <c r="B111" s="2" t="str">
        <f>IFERROR(__xludf.DUMMYFUNCTION("GOOGLEFINANCE(""NSE:DLF"", ""high"",DATE(2010,1,1),DATE(2011,1,1),""weekly"")"),"Date")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IFERROR(__xludf.DUMMYFUNCTION("""COMPUTED_VALUE"""),40186.645833333336)</f>
        <v>40186.64583</v>
      </c>
      <c r="C112" s="2">
        <f>IFERROR(__xludf.DUMMYFUNCTION("""COMPUTED_VALUE"""),393.8)</f>
        <v>393.8</v>
      </c>
    </row>
    <row r="113" ht="15.75" customHeight="1">
      <c r="B113" s="3">
        <f>IFERROR(__xludf.DUMMYFUNCTION("""COMPUTED_VALUE"""),40193.645833333336)</f>
        <v>40193.64583</v>
      </c>
      <c r="C113" s="2">
        <f>IFERROR(__xludf.DUMMYFUNCTION("""COMPUTED_VALUE"""),403.5)</f>
        <v>403.5</v>
      </c>
    </row>
    <row r="114" ht="15.75" customHeight="1">
      <c r="B114" s="3">
        <f>IFERROR(__xludf.DUMMYFUNCTION("""COMPUTED_VALUE"""),40200.645833333336)</f>
        <v>40200.64583</v>
      </c>
      <c r="C114" s="2">
        <f>IFERROR(__xludf.DUMMYFUNCTION("""COMPUTED_VALUE"""),392.0)</f>
        <v>392</v>
      </c>
    </row>
    <row r="115" ht="15.75" customHeight="1">
      <c r="B115" s="3">
        <f>IFERROR(__xludf.DUMMYFUNCTION("""COMPUTED_VALUE"""),40207.645833333336)</f>
        <v>40207.64583</v>
      </c>
      <c r="C115" s="2">
        <f>IFERROR(__xludf.DUMMYFUNCTION("""COMPUTED_VALUE"""),354.4)</f>
        <v>354.4</v>
      </c>
    </row>
    <row r="116" ht="15.75" customHeight="1">
      <c r="B116" s="3">
        <f>IFERROR(__xludf.DUMMYFUNCTION("""COMPUTED_VALUE"""),40220.645833333336)</f>
        <v>40220.64583</v>
      </c>
      <c r="C116" s="2">
        <f>IFERROR(__xludf.DUMMYFUNCTION("""COMPUTED_VALUE"""),318.3)</f>
        <v>318.3</v>
      </c>
    </row>
    <row r="117" ht="15.75" customHeight="1">
      <c r="B117" s="3">
        <f>IFERROR(__xludf.DUMMYFUNCTION("""COMPUTED_VALUE"""),40228.645833333336)</f>
        <v>40228.64583</v>
      </c>
      <c r="C117" s="2">
        <f>IFERROR(__xludf.DUMMYFUNCTION("""COMPUTED_VALUE"""),317.6)</f>
        <v>317.6</v>
      </c>
    </row>
    <row r="118" ht="15.75" customHeight="1">
      <c r="B118" s="3">
        <f>IFERROR(__xludf.DUMMYFUNCTION("""COMPUTED_VALUE"""),40235.645833333336)</f>
        <v>40235.64583</v>
      </c>
      <c r="C118" s="2">
        <f>IFERROR(__xludf.DUMMYFUNCTION("""COMPUTED_VALUE"""),315.0)</f>
        <v>315</v>
      </c>
    </row>
    <row r="119" ht="15.75" customHeight="1">
      <c r="B119" s="3">
        <f>IFERROR(__xludf.DUMMYFUNCTION("""COMPUTED_VALUE"""),40242.645833333336)</f>
        <v>40242.64583</v>
      </c>
      <c r="C119" s="2">
        <f>IFERROR(__xludf.DUMMYFUNCTION("""COMPUTED_VALUE"""),318.95)</f>
        <v>318.95</v>
      </c>
    </row>
    <row r="120" ht="15.75" customHeight="1">
      <c r="B120" s="3">
        <f>IFERROR(__xludf.DUMMYFUNCTION("""COMPUTED_VALUE"""),40249.645833333336)</f>
        <v>40249.64583</v>
      </c>
      <c r="C120" s="2">
        <f>IFERROR(__xludf.DUMMYFUNCTION("""COMPUTED_VALUE"""),325.8)</f>
        <v>325.8</v>
      </c>
    </row>
    <row r="121" ht="15.75" customHeight="1">
      <c r="B121" s="3">
        <f>IFERROR(__xludf.DUMMYFUNCTION("""COMPUTED_VALUE"""),40256.645833333336)</f>
        <v>40256.64583</v>
      </c>
      <c r="C121" s="2">
        <f>IFERROR(__xludf.DUMMYFUNCTION("""COMPUTED_VALUE"""),319.9)</f>
        <v>319.9</v>
      </c>
    </row>
    <row r="122" ht="15.75" customHeight="1">
      <c r="B122" s="3">
        <f>IFERROR(__xludf.DUMMYFUNCTION("""COMPUTED_VALUE"""),40263.645833333336)</f>
        <v>40263.64583</v>
      </c>
      <c r="C122" s="2">
        <f>IFERROR(__xludf.DUMMYFUNCTION("""COMPUTED_VALUE"""),308.9)</f>
        <v>308.9</v>
      </c>
    </row>
    <row r="123" ht="15.75" customHeight="1">
      <c r="B123" s="3">
        <f>IFERROR(__xludf.DUMMYFUNCTION("""COMPUTED_VALUE"""),40269.645833333336)</f>
        <v>40269.64583</v>
      </c>
      <c r="C123" s="2">
        <f>IFERROR(__xludf.DUMMYFUNCTION("""COMPUTED_VALUE"""),316.0)</f>
        <v>316</v>
      </c>
    </row>
    <row r="124" ht="15.75" customHeight="1">
      <c r="B124" s="3">
        <f>IFERROR(__xludf.DUMMYFUNCTION("""COMPUTED_VALUE"""),40277.645833333336)</f>
        <v>40277.64583</v>
      </c>
      <c r="C124" s="2">
        <f>IFERROR(__xludf.DUMMYFUNCTION("""COMPUTED_VALUE"""),345.0)</f>
        <v>345</v>
      </c>
    </row>
    <row r="125" ht="15.75" customHeight="1">
      <c r="B125" s="3">
        <f>IFERROR(__xludf.DUMMYFUNCTION("""COMPUTED_VALUE"""),40284.645833333336)</f>
        <v>40284.64583</v>
      </c>
      <c r="C125" s="2">
        <f>IFERROR(__xludf.DUMMYFUNCTION("""COMPUTED_VALUE"""),345.4)</f>
        <v>345.4</v>
      </c>
    </row>
    <row r="126" ht="15.75" customHeight="1">
      <c r="B126" s="3">
        <f>IFERROR(__xludf.DUMMYFUNCTION("""COMPUTED_VALUE"""),40291.645833333336)</f>
        <v>40291.64583</v>
      </c>
      <c r="C126" s="2">
        <f>IFERROR(__xludf.DUMMYFUNCTION("""COMPUTED_VALUE"""),336.0)</f>
        <v>336</v>
      </c>
    </row>
    <row r="127" ht="15.75" customHeight="1">
      <c r="B127" s="3">
        <f>IFERROR(__xludf.DUMMYFUNCTION("""COMPUTED_VALUE"""),40298.645833333336)</f>
        <v>40298.64583</v>
      </c>
      <c r="C127" s="2">
        <f>IFERROR(__xludf.DUMMYFUNCTION("""COMPUTED_VALUE"""),340.0)</f>
        <v>340</v>
      </c>
    </row>
    <row r="128" ht="15.75" customHeight="1">
      <c r="B128" s="3">
        <f>IFERROR(__xludf.DUMMYFUNCTION("""COMPUTED_VALUE"""),40305.645833333336)</f>
        <v>40305.64583</v>
      </c>
      <c r="C128" s="2">
        <f>IFERROR(__xludf.DUMMYFUNCTION("""COMPUTED_VALUE"""),312.75)</f>
        <v>312.75</v>
      </c>
    </row>
    <row r="129" ht="15.75" customHeight="1">
      <c r="B129" s="3">
        <f>IFERROR(__xludf.DUMMYFUNCTION("""COMPUTED_VALUE"""),40312.645833333336)</f>
        <v>40312.64583</v>
      </c>
      <c r="C129" s="2">
        <f>IFERROR(__xludf.DUMMYFUNCTION("""COMPUTED_VALUE"""),309.95)</f>
        <v>309.95</v>
      </c>
    </row>
    <row r="130" ht="15.75" customHeight="1">
      <c r="B130" s="3">
        <f>IFERROR(__xludf.DUMMYFUNCTION("""COMPUTED_VALUE"""),40319.645833333336)</f>
        <v>40319.64583</v>
      </c>
      <c r="C130" s="2">
        <f>IFERROR(__xludf.DUMMYFUNCTION("""COMPUTED_VALUE"""),297.0)</f>
        <v>297</v>
      </c>
    </row>
    <row r="131" ht="15.75" customHeight="1">
      <c r="B131" s="3">
        <f>IFERROR(__xludf.DUMMYFUNCTION("""COMPUTED_VALUE"""),40326.645833333336)</f>
        <v>40326.64583</v>
      </c>
      <c r="C131" s="2">
        <f>IFERROR(__xludf.DUMMYFUNCTION("""COMPUTED_VALUE"""),281.55)</f>
        <v>281.55</v>
      </c>
    </row>
    <row r="132" ht="15.75" customHeight="1">
      <c r="B132" s="3">
        <f>IFERROR(__xludf.DUMMYFUNCTION("""COMPUTED_VALUE"""),40333.645833333336)</f>
        <v>40333.64583</v>
      </c>
      <c r="C132" s="2">
        <f>IFERROR(__xludf.DUMMYFUNCTION("""COMPUTED_VALUE"""),285.6)</f>
        <v>285.6</v>
      </c>
    </row>
    <row r="133" ht="15.75" customHeight="1">
      <c r="B133" s="3">
        <f>IFERROR(__xludf.DUMMYFUNCTION("""COMPUTED_VALUE"""),40340.645833333336)</f>
        <v>40340.64583</v>
      </c>
      <c r="C133" s="2">
        <f>IFERROR(__xludf.DUMMYFUNCTION("""COMPUTED_VALUE"""),273.9)</f>
        <v>273.9</v>
      </c>
    </row>
    <row r="134" ht="15.75" customHeight="1">
      <c r="B134" s="3">
        <f>IFERROR(__xludf.DUMMYFUNCTION("""COMPUTED_VALUE"""),40347.645833333336)</f>
        <v>40347.64583</v>
      </c>
      <c r="C134" s="2">
        <f>IFERROR(__xludf.DUMMYFUNCTION("""COMPUTED_VALUE"""),284.8)</f>
        <v>284.8</v>
      </c>
    </row>
    <row r="135" ht="15.75" customHeight="1">
      <c r="B135" s="3">
        <f>IFERROR(__xludf.DUMMYFUNCTION("""COMPUTED_VALUE"""),40354.645833333336)</f>
        <v>40354.64583</v>
      </c>
      <c r="C135" s="2">
        <f>IFERROR(__xludf.DUMMYFUNCTION("""COMPUTED_VALUE"""),293.9)</f>
        <v>293.9</v>
      </c>
    </row>
    <row r="136" ht="15.75" customHeight="1">
      <c r="B136" s="3">
        <f>IFERROR(__xludf.DUMMYFUNCTION("""COMPUTED_VALUE"""),40361.645833333336)</f>
        <v>40361.64583</v>
      </c>
      <c r="C136" s="2">
        <f>IFERROR(__xludf.DUMMYFUNCTION("""COMPUTED_VALUE"""),297.25)</f>
        <v>297.25</v>
      </c>
    </row>
    <row r="137" ht="15.75" customHeight="1">
      <c r="B137" s="3">
        <f>IFERROR(__xludf.DUMMYFUNCTION("""COMPUTED_VALUE"""),40368.645833333336)</f>
        <v>40368.64583</v>
      </c>
      <c r="C137" s="2">
        <f>IFERROR(__xludf.DUMMYFUNCTION("""COMPUTED_VALUE"""),296.9)</f>
        <v>296.9</v>
      </c>
    </row>
    <row r="138" ht="15.75" customHeight="1">
      <c r="B138" s="3">
        <f>IFERROR(__xludf.DUMMYFUNCTION("""COMPUTED_VALUE"""),40375.645833333336)</f>
        <v>40375.64583</v>
      </c>
      <c r="C138" s="2">
        <f>IFERROR(__xludf.DUMMYFUNCTION("""COMPUTED_VALUE"""),325.5)</f>
        <v>325.5</v>
      </c>
    </row>
    <row r="139" ht="15.75" customHeight="1">
      <c r="B139" s="3">
        <f>IFERROR(__xludf.DUMMYFUNCTION("""COMPUTED_VALUE"""),40382.645833333336)</f>
        <v>40382.64583</v>
      </c>
      <c r="C139" s="2">
        <f>IFERROR(__xludf.DUMMYFUNCTION("""COMPUTED_VALUE"""),331.0)</f>
        <v>331</v>
      </c>
    </row>
    <row r="140" ht="15.75" customHeight="1">
      <c r="B140" s="3">
        <f>IFERROR(__xludf.DUMMYFUNCTION("""COMPUTED_VALUE"""),40389.645833333336)</f>
        <v>40389.64583</v>
      </c>
      <c r="C140" s="2">
        <f>IFERROR(__xludf.DUMMYFUNCTION("""COMPUTED_VALUE"""),325.4)</f>
        <v>325.4</v>
      </c>
    </row>
    <row r="141" ht="15.75" customHeight="1">
      <c r="B141" s="3">
        <f>IFERROR(__xludf.DUMMYFUNCTION("""COMPUTED_VALUE"""),40396.645833333336)</f>
        <v>40396.64583</v>
      </c>
      <c r="C141" s="2">
        <f>IFERROR(__xludf.DUMMYFUNCTION("""COMPUTED_VALUE"""),321.0)</f>
        <v>321</v>
      </c>
    </row>
    <row r="142" ht="15.75" customHeight="1">
      <c r="B142" s="3">
        <f>IFERROR(__xludf.DUMMYFUNCTION("""COMPUTED_VALUE"""),40403.645833333336)</f>
        <v>40403.64583</v>
      </c>
      <c r="C142" s="2">
        <f>IFERROR(__xludf.DUMMYFUNCTION("""COMPUTED_VALUE"""),324.95)</f>
        <v>324.95</v>
      </c>
    </row>
    <row r="143" ht="15.75" customHeight="1">
      <c r="B143" s="3">
        <f>IFERROR(__xludf.DUMMYFUNCTION("""COMPUTED_VALUE"""),40410.645833333336)</f>
        <v>40410.64583</v>
      </c>
      <c r="C143" s="2">
        <f>IFERROR(__xludf.DUMMYFUNCTION("""COMPUTED_VALUE"""),335.0)</f>
        <v>335</v>
      </c>
    </row>
    <row r="144" ht="15.75" customHeight="1">
      <c r="B144" s="3">
        <f>IFERROR(__xludf.DUMMYFUNCTION("""COMPUTED_VALUE"""),40417.645833333336)</f>
        <v>40417.64583</v>
      </c>
      <c r="C144" s="2">
        <f>IFERROR(__xludf.DUMMYFUNCTION("""COMPUTED_VALUE"""),336.75)</f>
        <v>336.75</v>
      </c>
    </row>
    <row r="145" ht="15.75" customHeight="1">
      <c r="B145" s="3">
        <f>IFERROR(__xludf.DUMMYFUNCTION("""COMPUTED_VALUE"""),40424.645833333336)</f>
        <v>40424.64583</v>
      </c>
      <c r="C145" s="2">
        <f>IFERROR(__xludf.DUMMYFUNCTION("""COMPUTED_VALUE"""),315.4)</f>
        <v>315.4</v>
      </c>
    </row>
    <row r="146" ht="15.75" customHeight="1">
      <c r="B146" s="3">
        <f>IFERROR(__xludf.DUMMYFUNCTION("""COMPUTED_VALUE"""),40430.645833333336)</f>
        <v>40430.64583</v>
      </c>
      <c r="C146" s="2">
        <f>IFERROR(__xludf.DUMMYFUNCTION("""COMPUTED_VALUE"""),323.65)</f>
        <v>323.65</v>
      </c>
    </row>
    <row r="147" ht="15.75" customHeight="1">
      <c r="B147" s="3">
        <f>IFERROR(__xludf.DUMMYFUNCTION("""COMPUTED_VALUE"""),40438.645833333336)</f>
        <v>40438.64583</v>
      </c>
      <c r="C147" s="2">
        <f>IFERROR(__xludf.DUMMYFUNCTION("""COMPUTED_VALUE"""),358.65)</f>
        <v>358.65</v>
      </c>
    </row>
    <row r="148" ht="15.75" customHeight="1">
      <c r="B148" s="3">
        <f>IFERROR(__xludf.DUMMYFUNCTION("""COMPUTED_VALUE"""),40445.645833333336)</f>
        <v>40445.64583</v>
      </c>
      <c r="C148" s="2">
        <f>IFERROR(__xludf.DUMMYFUNCTION("""COMPUTED_VALUE"""),367.5)</f>
        <v>367.5</v>
      </c>
    </row>
    <row r="149" ht="15.75" customHeight="1">
      <c r="B149" s="3">
        <f>IFERROR(__xludf.DUMMYFUNCTION("""COMPUTED_VALUE"""),40452.645833333336)</f>
        <v>40452.64583</v>
      </c>
      <c r="C149" s="2">
        <f>IFERROR(__xludf.DUMMYFUNCTION("""COMPUTED_VALUE"""),393.4)</f>
        <v>393.4</v>
      </c>
    </row>
    <row r="150" ht="15.75" customHeight="1">
      <c r="B150" s="3">
        <f>IFERROR(__xludf.DUMMYFUNCTION("""COMPUTED_VALUE"""),40459.645833333336)</f>
        <v>40459.64583</v>
      </c>
      <c r="C150" s="2">
        <f>IFERROR(__xludf.DUMMYFUNCTION("""COMPUTED_VALUE"""),397.5)</f>
        <v>397.5</v>
      </c>
    </row>
    <row r="151" ht="15.75" customHeight="1">
      <c r="B151" s="3">
        <f>IFERROR(__xludf.DUMMYFUNCTION("""COMPUTED_VALUE"""),40466.645833333336)</f>
        <v>40466.64583</v>
      </c>
      <c r="C151" s="2">
        <f>IFERROR(__xludf.DUMMYFUNCTION("""COMPUTED_VALUE"""),393.0)</f>
        <v>393</v>
      </c>
    </row>
    <row r="152" ht="15.75" customHeight="1">
      <c r="B152" s="3">
        <f>IFERROR(__xludf.DUMMYFUNCTION("""COMPUTED_VALUE"""),40473.645833333336)</f>
        <v>40473.64583</v>
      </c>
      <c r="C152" s="2">
        <f>IFERROR(__xludf.DUMMYFUNCTION("""COMPUTED_VALUE"""),381.35)</f>
        <v>381.35</v>
      </c>
    </row>
    <row r="153" ht="15.75" customHeight="1">
      <c r="B153" s="3">
        <f>IFERROR(__xludf.DUMMYFUNCTION("""COMPUTED_VALUE"""),40480.645833333336)</f>
        <v>40480.64583</v>
      </c>
      <c r="C153" s="2">
        <f>IFERROR(__xludf.DUMMYFUNCTION("""COMPUTED_VALUE"""),374.35)</f>
        <v>374.35</v>
      </c>
    </row>
    <row r="154" ht="15.75" customHeight="1">
      <c r="B154" s="3">
        <f>IFERROR(__xludf.DUMMYFUNCTION("""COMPUTED_VALUE"""),40487.645833333336)</f>
        <v>40487.64583</v>
      </c>
      <c r="C154" s="2">
        <f>IFERROR(__xludf.DUMMYFUNCTION("""COMPUTED_VALUE"""),364.4)</f>
        <v>364.4</v>
      </c>
    </row>
    <row r="155" ht="15.75" customHeight="1">
      <c r="B155" s="3">
        <f>IFERROR(__xludf.DUMMYFUNCTION("""COMPUTED_VALUE"""),40494.645833333336)</f>
        <v>40494.64583</v>
      </c>
      <c r="C155" s="2">
        <f>IFERROR(__xludf.DUMMYFUNCTION("""COMPUTED_VALUE"""),366.4)</f>
        <v>366.4</v>
      </c>
    </row>
    <row r="156" ht="15.75" customHeight="1">
      <c r="B156" s="3">
        <f>IFERROR(__xludf.DUMMYFUNCTION("""COMPUTED_VALUE"""),40501.645833333336)</f>
        <v>40501.64583</v>
      </c>
      <c r="C156" s="2">
        <f>IFERROR(__xludf.DUMMYFUNCTION("""COMPUTED_VALUE"""),330.0)</f>
        <v>330</v>
      </c>
    </row>
    <row r="157" ht="15.75" customHeight="1">
      <c r="B157" s="3">
        <f>IFERROR(__xludf.DUMMYFUNCTION("""COMPUTED_VALUE"""),40508.645833333336)</f>
        <v>40508.64583</v>
      </c>
      <c r="C157" s="2">
        <f>IFERROR(__xludf.DUMMYFUNCTION("""COMPUTED_VALUE"""),322.8)</f>
        <v>322.8</v>
      </c>
    </row>
    <row r="158" ht="15.75" customHeight="1">
      <c r="B158" s="3">
        <f>IFERROR(__xludf.DUMMYFUNCTION("""COMPUTED_VALUE"""),40515.645833333336)</f>
        <v>40515.64583</v>
      </c>
      <c r="C158" s="2">
        <f>IFERROR(__xludf.DUMMYFUNCTION("""COMPUTED_VALUE"""),325.3)</f>
        <v>325.3</v>
      </c>
    </row>
    <row r="159" ht="15.75" customHeight="1">
      <c r="B159" s="3">
        <f>IFERROR(__xludf.DUMMYFUNCTION("""COMPUTED_VALUE"""),40522.645833333336)</f>
        <v>40522.64583</v>
      </c>
      <c r="C159" s="2">
        <f>IFERROR(__xludf.DUMMYFUNCTION("""COMPUTED_VALUE"""),314.9)</f>
        <v>314.9</v>
      </c>
    </row>
    <row r="160" ht="15.75" customHeight="1">
      <c r="B160" s="3">
        <f>IFERROR(__xludf.DUMMYFUNCTION("""COMPUTED_VALUE"""),40528.645833333336)</f>
        <v>40528.64583</v>
      </c>
      <c r="C160" s="2">
        <f>IFERROR(__xludf.DUMMYFUNCTION("""COMPUTED_VALUE"""),296.35)</f>
        <v>296.35</v>
      </c>
    </row>
    <row r="161" ht="15.75" customHeight="1">
      <c r="B161" s="3">
        <f>IFERROR(__xludf.DUMMYFUNCTION("""COMPUTED_VALUE"""),40536.645833333336)</f>
        <v>40536.64583</v>
      </c>
      <c r="C161" s="2">
        <f>IFERROR(__xludf.DUMMYFUNCTION("""COMPUTED_VALUE"""),289.45)</f>
        <v>289.45</v>
      </c>
    </row>
    <row r="162" ht="15.75" customHeight="1">
      <c r="B162" s="3">
        <f>IFERROR(__xludf.DUMMYFUNCTION("""COMPUTED_VALUE"""),40543.645833333336)</f>
        <v>40543.64583</v>
      </c>
      <c r="C162" s="2">
        <f>IFERROR(__xludf.DUMMYFUNCTION("""COMPUTED_VALUE"""),295.0)</f>
        <v>295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IFERROR(__xludf.DUMMYFUNCTION("GOOGLEFINANCE(""NSE:DLF"", ""high"",DATE(2011,1,1),DATE(2012,1,1),""weekly"")"),"Date")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IFERROR(__xludf.DUMMYFUNCTION("""COMPUTED_VALUE"""),40550.645833333336)</f>
        <v>40550.64583</v>
      </c>
      <c r="C167" s="2">
        <f>IFERROR(__xludf.DUMMYFUNCTION("""COMPUTED_VALUE"""),298.5)</f>
        <v>298.5</v>
      </c>
    </row>
    <row r="168" ht="15.75" customHeight="1">
      <c r="B168" s="3">
        <f>IFERROR(__xludf.DUMMYFUNCTION("""COMPUTED_VALUE"""),40557.645833333336)</f>
        <v>40557.64583</v>
      </c>
      <c r="C168" s="2">
        <f>IFERROR(__xludf.DUMMYFUNCTION("""COMPUTED_VALUE"""),271.7)</f>
        <v>271.7</v>
      </c>
    </row>
    <row r="169" ht="15.75" customHeight="1">
      <c r="B169" s="3">
        <f>IFERROR(__xludf.DUMMYFUNCTION("""COMPUTED_VALUE"""),40564.645833333336)</f>
        <v>40564.64583</v>
      </c>
      <c r="C169" s="2">
        <f>IFERROR(__xludf.DUMMYFUNCTION("""COMPUTED_VALUE"""),259.9)</f>
        <v>259.9</v>
      </c>
    </row>
    <row r="170" ht="15.75" customHeight="1">
      <c r="B170" s="3">
        <f>IFERROR(__xludf.DUMMYFUNCTION("""COMPUTED_VALUE"""),40571.645833333336)</f>
        <v>40571.64583</v>
      </c>
      <c r="C170" s="2">
        <f>IFERROR(__xludf.DUMMYFUNCTION("""COMPUTED_VALUE"""),260.3)</f>
        <v>260.3</v>
      </c>
    </row>
    <row r="171" ht="15.75" customHeight="1">
      <c r="B171" s="3">
        <f>IFERROR(__xludf.DUMMYFUNCTION("""COMPUTED_VALUE"""),40578.645833333336)</f>
        <v>40578.64583</v>
      </c>
      <c r="C171" s="2">
        <f>IFERROR(__xludf.DUMMYFUNCTION("""COMPUTED_VALUE"""),246.9)</f>
        <v>246.9</v>
      </c>
    </row>
    <row r="172" ht="15.75" customHeight="1">
      <c r="B172" s="3">
        <f>IFERROR(__xludf.DUMMYFUNCTION("""COMPUTED_VALUE"""),40585.645833333336)</f>
        <v>40585.64583</v>
      </c>
      <c r="C172" s="2">
        <f>IFERROR(__xludf.DUMMYFUNCTION("""COMPUTED_VALUE"""),249.55)</f>
        <v>249.55</v>
      </c>
    </row>
    <row r="173" ht="15.75" customHeight="1">
      <c r="B173" s="3">
        <f>IFERROR(__xludf.DUMMYFUNCTION("""COMPUTED_VALUE"""),40592.645833333336)</f>
        <v>40592.64583</v>
      </c>
      <c r="C173" s="2">
        <f>IFERROR(__xludf.DUMMYFUNCTION("""COMPUTED_VALUE"""),252.95)</f>
        <v>252.95</v>
      </c>
    </row>
    <row r="174" ht="15.75" customHeight="1">
      <c r="B174" s="3">
        <f>IFERROR(__xludf.DUMMYFUNCTION("""COMPUTED_VALUE"""),40599.645833333336)</f>
        <v>40599.64583</v>
      </c>
      <c r="C174" s="2">
        <f>IFERROR(__xludf.DUMMYFUNCTION("""COMPUTED_VALUE"""),233.0)</f>
        <v>233</v>
      </c>
    </row>
    <row r="175" ht="15.75" customHeight="1">
      <c r="B175" s="3">
        <f>IFERROR(__xludf.DUMMYFUNCTION("""COMPUTED_VALUE"""),40606.645833333336)</f>
        <v>40606.64583</v>
      </c>
      <c r="C175" s="2">
        <f>IFERROR(__xludf.DUMMYFUNCTION("""COMPUTED_VALUE"""),229.2)</f>
        <v>229.2</v>
      </c>
    </row>
    <row r="176" ht="15.75" customHeight="1">
      <c r="B176" s="3">
        <f>IFERROR(__xludf.DUMMYFUNCTION("""COMPUTED_VALUE"""),40613.645833333336)</f>
        <v>40613.64583</v>
      </c>
      <c r="C176" s="2">
        <f>IFERROR(__xludf.DUMMYFUNCTION("""COMPUTED_VALUE"""),231.45)</f>
        <v>231.45</v>
      </c>
    </row>
    <row r="177" ht="15.75" customHeight="1">
      <c r="B177" s="3">
        <f>IFERROR(__xludf.DUMMYFUNCTION("""COMPUTED_VALUE"""),40620.645833333336)</f>
        <v>40620.64583</v>
      </c>
      <c r="C177" s="2">
        <f>IFERROR(__xludf.DUMMYFUNCTION("""COMPUTED_VALUE"""),229.0)</f>
        <v>229</v>
      </c>
    </row>
    <row r="178" ht="15.75" customHeight="1">
      <c r="B178" s="3">
        <f>IFERROR(__xludf.DUMMYFUNCTION("""COMPUTED_VALUE"""),40627.645833333336)</f>
        <v>40627.64583</v>
      </c>
      <c r="C178" s="2">
        <f>IFERROR(__xludf.DUMMYFUNCTION("""COMPUTED_VALUE"""),250.9)</f>
        <v>250.9</v>
      </c>
    </row>
    <row r="179" ht="15.75" customHeight="1">
      <c r="B179" s="3">
        <f>IFERROR(__xludf.DUMMYFUNCTION("""COMPUTED_VALUE"""),40634.645833333336)</f>
        <v>40634.64583</v>
      </c>
      <c r="C179" s="2">
        <f>IFERROR(__xludf.DUMMYFUNCTION("""COMPUTED_VALUE"""),273.9)</f>
        <v>273.9</v>
      </c>
    </row>
    <row r="180" ht="15.75" customHeight="1">
      <c r="B180" s="3">
        <f>IFERROR(__xludf.DUMMYFUNCTION("""COMPUTED_VALUE"""),40641.645833333336)</f>
        <v>40641.64583</v>
      </c>
      <c r="C180" s="2">
        <f>IFERROR(__xludf.DUMMYFUNCTION("""COMPUTED_VALUE"""),274.7)</f>
        <v>274.7</v>
      </c>
    </row>
    <row r="181" ht="15.75" customHeight="1">
      <c r="B181" s="3">
        <f>IFERROR(__xludf.DUMMYFUNCTION("""COMPUTED_VALUE"""),40648.645833333336)</f>
        <v>40648.64583</v>
      </c>
      <c r="C181" s="2">
        <f>IFERROR(__xludf.DUMMYFUNCTION("""COMPUTED_VALUE"""),258.85)</f>
        <v>258.85</v>
      </c>
    </row>
    <row r="182" ht="15.75" customHeight="1">
      <c r="B182" s="3">
        <f>IFERROR(__xludf.DUMMYFUNCTION("""COMPUTED_VALUE"""),40654.645833333336)</f>
        <v>40654.64583</v>
      </c>
      <c r="C182" s="2">
        <f>IFERROR(__xludf.DUMMYFUNCTION("""COMPUTED_VALUE"""),250.4)</f>
        <v>250.4</v>
      </c>
    </row>
    <row r="183" ht="15.75" customHeight="1">
      <c r="B183" s="3">
        <f>IFERROR(__xludf.DUMMYFUNCTION("""COMPUTED_VALUE"""),40662.645833333336)</f>
        <v>40662.64583</v>
      </c>
      <c r="C183" s="2">
        <f>IFERROR(__xludf.DUMMYFUNCTION("""COMPUTED_VALUE"""),248.35)</f>
        <v>248.35</v>
      </c>
    </row>
    <row r="184" ht="15.75" customHeight="1">
      <c r="B184" s="3">
        <f>IFERROR(__xludf.DUMMYFUNCTION("""COMPUTED_VALUE"""),40669.645833333336)</f>
        <v>40669.64583</v>
      </c>
      <c r="C184" s="2">
        <f>IFERROR(__xludf.DUMMYFUNCTION("""COMPUTED_VALUE"""),229.9)</f>
        <v>229.9</v>
      </c>
    </row>
    <row r="185" ht="15.75" customHeight="1">
      <c r="B185" s="3">
        <f>IFERROR(__xludf.DUMMYFUNCTION("""COMPUTED_VALUE"""),40676.645833333336)</f>
        <v>40676.64583</v>
      </c>
      <c r="C185" s="2">
        <f>IFERROR(__xludf.DUMMYFUNCTION("""COMPUTED_VALUE"""),234.9)</f>
        <v>234.9</v>
      </c>
    </row>
    <row r="186" ht="15.75" customHeight="1">
      <c r="B186" s="3">
        <f>IFERROR(__xludf.DUMMYFUNCTION("""COMPUTED_VALUE"""),40683.645833333336)</f>
        <v>40683.64583</v>
      </c>
      <c r="C186" s="2">
        <f>IFERROR(__xludf.DUMMYFUNCTION("""COMPUTED_VALUE"""),232.0)</f>
        <v>232</v>
      </c>
    </row>
    <row r="187" ht="15.75" customHeight="1">
      <c r="B187" s="3">
        <f>IFERROR(__xludf.DUMMYFUNCTION("""COMPUTED_VALUE"""),40690.645833333336)</f>
        <v>40690.64583</v>
      </c>
      <c r="C187" s="2">
        <f>IFERROR(__xludf.DUMMYFUNCTION("""COMPUTED_VALUE"""),227.6)</f>
        <v>227.6</v>
      </c>
    </row>
    <row r="188" ht="15.75" customHeight="1">
      <c r="B188" s="3">
        <f>IFERROR(__xludf.DUMMYFUNCTION("""COMPUTED_VALUE"""),40697.645833333336)</f>
        <v>40697.64583</v>
      </c>
      <c r="C188" s="2">
        <f>IFERROR(__xludf.DUMMYFUNCTION("""COMPUTED_VALUE"""),241.15)</f>
        <v>241.15</v>
      </c>
    </row>
    <row r="189" ht="15.75" customHeight="1">
      <c r="B189" s="3">
        <f>IFERROR(__xludf.DUMMYFUNCTION("""COMPUTED_VALUE"""),40704.645833333336)</f>
        <v>40704.64583</v>
      </c>
      <c r="C189" s="2">
        <f>IFERROR(__xludf.DUMMYFUNCTION("""COMPUTED_VALUE"""),237.7)</f>
        <v>237.7</v>
      </c>
    </row>
    <row r="190" ht="15.75" customHeight="1">
      <c r="B190" s="3">
        <f>IFERROR(__xludf.DUMMYFUNCTION("""COMPUTED_VALUE"""),40711.645833333336)</f>
        <v>40711.64583</v>
      </c>
      <c r="C190" s="2">
        <f>IFERROR(__xludf.DUMMYFUNCTION("""COMPUTED_VALUE"""),234.5)</f>
        <v>234.5</v>
      </c>
    </row>
    <row r="191" ht="15.75" customHeight="1">
      <c r="B191" s="3">
        <f>IFERROR(__xludf.DUMMYFUNCTION("""COMPUTED_VALUE"""),40718.645833333336)</f>
        <v>40718.64583</v>
      </c>
      <c r="C191" s="2">
        <f>IFERROR(__xludf.DUMMYFUNCTION("""COMPUTED_VALUE"""),226.4)</f>
        <v>226.4</v>
      </c>
    </row>
    <row r="192" ht="15.75" customHeight="1">
      <c r="B192" s="3">
        <f>IFERROR(__xludf.DUMMYFUNCTION("""COMPUTED_VALUE"""),40725.645833333336)</f>
        <v>40725.64583</v>
      </c>
      <c r="C192" s="2">
        <f>IFERROR(__xludf.DUMMYFUNCTION("""COMPUTED_VALUE"""),221.1)</f>
        <v>221.1</v>
      </c>
    </row>
    <row r="193" ht="15.75" customHeight="1">
      <c r="B193" s="3">
        <f>IFERROR(__xludf.DUMMYFUNCTION("""COMPUTED_VALUE"""),40732.645833333336)</f>
        <v>40732.64583</v>
      </c>
      <c r="C193" s="2">
        <f>IFERROR(__xludf.DUMMYFUNCTION("""COMPUTED_VALUE"""),242.5)</f>
        <v>242.5</v>
      </c>
    </row>
    <row r="194" ht="15.75" customHeight="1">
      <c r="B194" s="3">
        <f>IFERROR(__xludf.DUMMYFUNCTION("""COMPUTED_VALUE"""),40739.645833333336)</f>
        <v>40739.64583</v>
      </c>
      <c r="C194" s="2">
        <f>IFERROR(__xludf.DUMMYFUNCTION("""COMPUTED_VALUE"""),239.9)</f>
        <v>239.9</v>
      </c>
    </row>
    <row r="195" ht="15.75" customHeight="1">
      <c r="B195" s="3">
        <f>IFERROR(__xludf.DUMMYFUNCTION("""COMPUTED_VALUE"""),40746.645833333336)</f>
        <v>40746.64583</v>
      </c>
      <c r="C195" s="2">
        <f>IFERROR(__xludf.DUMMYFUNCTION("""COMPUTED_VALUE"""),245.95)</f>
        <v>245.95</v>
      </c>
    </row>
    <row r="196" ht="15.75" customHeight="1">
      <c r="B196" s="3">
        <f>IFERROR(__xludf.DUMMYFUNCTION("""COMPUTED_VALUE"""),40753.645833333336)</f>
        <v>40753.64583</v>
      </c>
      <c r="C196" s="2">
        <f>IFERROR(__xludf.DUMMYFUNCTION("""COMPUTED_VALUE"""),247.9)</f>
        <v>247.9</v>
      </c>
    </row>
    <row r="197" ht="15.75" customHeight="1">
      <c r="B197" s="3">
        <f>IFERROR(__xludf.DUMMYFUNCTION("""COMPUTED_VALUE"""),40760.645833333336)</f>
        <v>40760.64583</v>
      </c>
      <c r="C197" s="2">
        <f>IFERROR(__xludf.DUMMYFUNCTION("""COMPUTED_VALUE"""),237.8)</f>
        <v>237.8</v>
      </c>
    </row>
    <row r="198" ht="15.75" customHeight="1">
      <c r="B198" s="3">
        <f>IFERROR(__xludf.DUMMYFUNCTION("""COMPUTED_VALUE"""),40767.645833333336)</f>
        <v>40767.64583</v>
      </c>
      <c r="C198" s="2">
        <f>IFERROR(__xludf.DUMMYFUNCTION("""COMPUTED_VALUE"""),211.8)</f>
        <v>211.8</v>
      </c>
    </row>
    <row r="199" ht="15.75" customHeight="1">
      <c r="B199" s="3">
        <f>IFERROR(__xludf.DUMMYFUNCTION("""COMPUTED_VALUE"""),40774.645833333336)</f>
        <v>40774.64583</v>
      </c>
      <c r="C199" s="2">
        <f>IFERROR(__xludf.DUMMYFUNCTION("""COMPUTED_VALUE"""),204.4)</f>
        <v>204.4</v>
      </c>
    </row>
    <row r="200" ht="15.75" customHeight="1">
      <c r="B200" s="3">
        <f>IFERROR(__xludf.DUMMYFUNCTION("""COMPUTED_VALUE"""),40781.645833333336)</f>
        <v>40781.64583</v>
      </c>
      <c r="C200" s="2">
        <f>IFERROR(__xludf.DUMMYFUNCTION("""COMPUTED_VALUE"""),190.0)</f>
        <v>190</v>
      </c>
    </row>
    <row r="201" ht="15.75" customHeight="1">
      <c r="B201" s="3">
        <f>IFERROR(__xludf.DUMMYFUNCTION("""COMPUTED_VALUE"""),40788.645833333336)</f>
        <v>40788.64583</v>
      </c>
      <c r="C201" s="2">
        <f>IFERROR(__xludf.DUMMYFUNCTION("""COMPUTED_VALUE"""),209.9)</f>
        <v>209.9</v>
      </c>
    </row>
    <row r="202" ht="15.75" customHeight="1">
      <c r="B202" s="3">
        <f>IFERROR(__xludf.DUMMYFUNCTION("""COMPUTED_VALUE"""),40795.645833333336)</f>
        <v>40795.64583</v>
      </c>
      <c r="C202" s="2">
        <f>IFERROR(__xludf.DUMMYFUNCTION("""COMPUTED_VALUE"""),209.0)</f>
        <v>209</v>
      </c>
    </row>
    <row r="203" ht="15.75" customHeight="1">
      <c r="B203" s="3">
        <f>IFERROR(__xludf.DUMMYFUNCTION("""COMPUTED_VALUE"""),40802.645833333336)</f>
        <v>40802.64583</v>
      </c>
      <c r="C203" s="2">
        <f>IFERROR(__xludf.DUMMYFUNCTION("""COMPUTED_VALUE"""),213.55)</f>
        <v>213.55</v>
      </c>
    </row>
    <row r="204" ht="15.75" customHeight="1">
      <c r="B204" s="3">
        <f>IFERROR(__xludf.DUMMYFUNCTION("""COMPUTED_VALUE"""),40809.645833333336)</f>
        <v>40809.64583</v>
      </c>
      <c r="C204" s="2">
        <f>IFERROR(__xludf.DUMMYFUNCTION("""COMPUTED_VALUE"""),215.5)</f>
        <v>215.5</v>
      </c>
    </row>
    <row r="205" ht="15.75" customHeight="1">
      <c r="B205" s="3">
        <f>IFERROR(__xludf.DUMMYFUNCTION("""COMPUTED_VALUE"""),40816.645833333336)</f>
        <v>40816.64583</v>
      </c>
      <c r="C205" s="2">
        <f>IFERROR(__xludf.DUMMYFUNCTION("""COMPUTED_VALUE"""),225.8)</f>
        <v>225.8</v>
      </c>
    </row>
    <row r="206" ht="15.75" customHeight="1">
      <c r="B206" s="3">
        <f>IFERROR(__xludf.DUMMYFUNCTION("""COMPUTED_VALUE"""),40823.645833333336)</f>
        <v>40823.64583</v>
      </c>
      <c r="C206" s="2">
        <f>IFERROR(__xludf.DUMMYFUNCTION("""COMPUTED_VALUE"""),220.75)</f>
        <v>220.75</v>
      </c>
    </row>
    <row r="207" ht="15.75" customHeight="1">
      <c r="B207" s="3">
        <f>IFERROR(__xludf.DUMMYFUNCTION("""COMPUTED_VALUE"""),40830.645833333336)</f>
        <v>40830.64583</v>
      </c>
      <c r="C207" s="2">
        <f>IFERROR(__xludf.DUMMYFUNCTION("""COMPUTED_VALUE"""),242.7)</f>
        <v>242.7</v>
      </c>
    </row>
    <row r="208" ht="15.75" customHeight="1">
      <c r="B208" s="3">
        <f>IFERROR(__xludf.DUMMYFUNCTION("""COMPUTED_VALUE"""),40837.645833333336)</f>
        <v>40837.64583</v>
      </c>
      <c r="C208" s="2">
        <f>IFERROR(__xludf.DUMMYFUNCTION("""COMPUTED_VALUE"""),240.25)</f>
        <v>240.25</v>
      </c>
    </row>
    <row r="209" ht="15.75" customHeight="1">
      <c r="B209" s="3">
        <f>IFERROR(__xludf.DUMMYFUNCTION("""COMPUTED_VALUE"""),40844.645833333336)</f>
        <v>40844.64583</v>
      </c>
      <c r="C209" s="2">
        <f>IFERROR(__xludf.DUMMYFUNCTION("""COMPUTED_VALUE"""),251.0)</f>
        <v>251</v>
      </c>
    </row>
    <row r="210" ht="15.75" customHeight="1">
      <c r="B210" s="3">
        <f>IFERROR(__xludf.DUMMYFUNCTION("""COMPUTED_VALUE"""),40851.645833333336)</f>
        <v>40851.64583</v>
      </c>
      <c r="C210" s="2">
        <f>IFERROR(__xludf.DUMMYFUNCTION("""COMPUTED_VALUE"""),251.35)</f>
        <v>251.35</v>
      </c>
    </row>
    <row r="211" ht="15.75" customHeight="1">
      <c r="B211" s="3">
        <f>IFERROR(__xludf.DUMMYFUNCTION("""COMPUTED_VALUE"""),40858.645833333336)</f>
        <v>40858.64583</v>
      </c>
      <c r="C211" s="2">
        <f>IFERROR(__xludf.DUMMYFUNCTION("""COMPUTED_VALUE"""),249.55)</f>
        <v>249.55</v>
      </c>
    </row>
    <row r="212" ht="15.75" customHeight="1">
      <c r="B212" s="3">
        <f>IFERROR(__xludf.DUMMYFUNCTION("""COMPUTED_VALUE"""),40865.645833333336)</f>
        <v>40865.64583</v>
      </c>
      <c r="C212" s="2">
        <f>IFERROR(__xludf.DUMMYFUNCTION("""COMPUTED_VALUE"""),234.45)</f>
        <v>234.45</v>
      </c>
    </row>
    <row r="213" ht="15.75" customHeight="1">
      <c r="B213" s="3">
        <f>IFERROR(__xludf.DUMMYFUNCTION("""COMPUTED_VALUE"""),40872.645833333336)</f>
        <v>40872.64583</v>
      </c>
      <c r="C213" s="2">
        <f>IFERROR(__xludf.DUMMYFUNCTION("""COMPUTED_VALUE"""),211.2)</f>
        <v>211.2</v>
      </c>
    </row>
    <row r="214" ht="15.75" customHeight="1">
      <c r="B214" s="3">
        <f>IFERROR(__xludf.DUMMYFUNCTION("""COMPUTED_VALUE"""),40879.645833333336)</f>
        <v>40879.64583</v>
      </c>
      <c r="C214" s="2">
        <f>IFERROR(__xludf.DUMMYFUNCTION("""COMPUTED_VALUE"""),224.9)</f>
        <v>224.9</v>
      </c>
    </row>
    <row r="215" ht="15.75" customHeight="1">
      <c r="B215" s="3">
        <f>IFERROR(__xludf.DUMMYFUNCTION("""COMPUTED_VALUE"""),40886.645833333336)</f>
        <v>40886.64583</v>
      </c>
      <c r="C215" s="2">
        <f>IFERROR(__xludf.DUMMYFUNCTION("""COMPUTED_VALUE"""),227.3)</f>
        <v>227.3</v>
      </c>
    </row>
    <row r="216" ht="15.75" customHeight="1">
      <c r="B216" s="3">
        <f>IFERROR(__xludf.DUMMYFUNCTION("""COMPUTED_VALUE"""),40893.645833333336)</f>
        <v>40893.64583</v>
      </c>
      <c r="C216" s="2">
        <f>IFERROR(__xludf.DUMMYFUNCTION("""COMPUTED_VALUE"""),218.0)</f>
        <v>218</v>
      </c>
    </row>
    <row r="217" ht="15.75" customHeight="1">
      <c r="B217" s="3">
        <f>IFERROR(__xludf.DUMMYFUNCTION("""COMPUTED_VALUE"""),40900.645833333336)</f>
        <v>40900.64583</v>
      </c>
      <c r="C217" s="2">
        <f>IFERROR(__xludf.DUMMYFUNCTION("""COMPUTED_VALUE"""),201.8)</f>
        <v>201.8</v>
      </c>
    </row>
    <row r="218" ht="15.75" customHeight="1">
      <c r="B218" s="3">
        <f>IFERROR(__xludf.DUMMYFUNCTION("""COMPUTED_VALUE"""),40907.645833333336)</f>
        <v>40907.64583</v>
      </c>
      <c r="C218" s="2">
        <f>IFERROR(__xludf.DUMMYFUNCTION("""COMPUTED_VALUE"""),198.75)</f>
        <v>198.75</v>
      </c>
    </row>
    <row r="219" ht="15.75" customHeight="1"/>
    <row r="220" ht="15.75" customHeight="1"/>
    <row r="221" ht="15.75" customHeight="1">
      <c r="B221" s="2" t="str">
        <f>IFERROR(__xludf.DUMMYFUNCTION("GOOGLEFINANCE(""NSE:DLF"", ""high"",DATE(2012,1,1),DATE(2013,1,1),""weekly"")"),"Date")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IFERROR(__xludf.DUMMYFUNCTION("""COMPUTED_VALUE"""),40921.645833333336)</f>
        <v>40921.64583</v>
      </c>
      <c r="C222" s="2">
        <f>IFERROR(__xludf.DUMMYFUNCTION("""COMPUTED_VALUE"""),200.85)</f>
        <v>200.85</v>
      </c>
    </row>
    <row r="223" ht="15.75" customHeight="1">
      <c r="B223" s="3">
        <f>IFERROR(__xludf.DUMMYFUNCTION("""COMPUTED_VALUE"""),40928.645833333336)</f>
        <v>40928.64583</v>
      </c>
      <c r="C223" s="2">
        <f>IFERROR(__xludf.DUMMYFUNCTION("""COMPUTED_VALUE"""),217.0)</f>
        <v>217</v>
      </c>
    </row>
    <row r="224" ht="15.75" customHeight="1">
      <c r="B224" s="3">
        <f>IFERROR(__xludf.DUMMYFUNCTION("""COMPUTED_VALUE"""),40935.645833333336)</f>
        <v>40935.64583</v>
      </c>
      <c r="C224" s="2">
        <f>IFERROR(__xludf.DUMMYFUNCTION("""COMPUTED_VALUE"""),224.5)</f>
        <v>224.5</v>
      </c>
    </row>
    <row r="225" ht="15.75" customHeight="1">
      <c r="B225" s="3">
        <f>IFERROR(__xludf.DUMMYFUNCTION("""COMPUTED_VALUE"""),40942.645833333336)</f>
        <v>40942.64583</v>
      </c>
      <c r="C225" s="2">
        <f>IFERROR(__xludf.DUMMYFUNCTION("""COMPUTED_VALUE"""),231.9)</f>
        <v>231.9</v>
      </c>
    </row>
    <row r="226" ht="15.75" customHeight="1">
      <c r="B226" s="3">
        <f>IFERROR(__xludf.DUMMYFUNCTION("""COMPUTED_VALUE"""),40949.645833333336)</f>
        <v>40949.64583</v>
      </c>
      <c r="C226" s="2">
        <f>IFERROR(__xludf.DUMMYFUNCTION("""COMPUTED_VALUE"""),240.7)</f>
        <v>240.7</v>
      </c>
    </row>
    <row r="227" ht="15.75" customHeight="1">
      <c r="B227" s="3">
        <f>IFERROR(__xludf.DUMMYFUNCTION("""COMPUTED_VALUE"""),40956.645833333336)</f>
        <v>40956.64583</v>
      </c>
      <c r="C227" s="2">
        <f>IFERROR(__xludf.DUMMYFUNCTION("""COMPUTED_VALUE"""),259.85)</f>
        <v>259.85</v>
      </c>
    </row>
    <row r="228" ht="15.75" customHeight="1">
      <c r="B228" s="3">
        <f>IFERROR(__xludf.DUMMYFUNCTION("""COMPUTED_VALUE"""),40963.645833333336)</f>
        <v>40963.64583</v>
      </c>
      <c r="C228" s="2">
        <f>IFERROR(__xludf.DUMMYFUNCTION("""COMPUTED_VALUE"""),261.2)</f>
        <v>261.2</v>
      </c>
    </row>
    <row r="229" ht="15.75" customHeight="1">
      <c r="B229" s="3">
        <f>IFERROR(__xludf.DUMMYFUNCTION("""COMPUTED_VALUE"""),40977.645833333336)</f>
        <v>40977.64583</v>
      </c>
      <c r="C229" s="2">
        <f>IFERROR(__xludf.DUMMYFUNCTION("""COMPUTED_VALUE"""),206.5)</f>
        <v>206.5</v>
      </c>
    </row>
    <row r="230" ht="15.75" customHeight="1">
      <c r="B230" s="3">
        <f>IFERROR(__xludf.DUMMYFUNCTION("""COMPUTED_VALUE"""),40984.645833333336)</f>
        <v>40984.64583</v>
      </c>
      <c r="C230" s="2">
        <f>IFERROR(__xludf.DUMMYFUNCTION("""COMPUTED_VALUE"""),212.3)</f>
        <v>212.3</v>
      </c>
    </row>
    <row r="231" ht="15.75" customHeight="1">
      <c r="B231" s="3">
        <f>IFERROR(__xludf.DUMMYFUNCTION("""COMPUTED_VALUE"""),40991.645833333336)</f>
        <v>40991.64583</v>
      </c>
      <c r="C231" s="2">
        <f>IFERROR(__xludf.DUMMYFUNCTION("""COMPUTED_VALUE"""),205.7)</f>
        <v>205.7</v>
      </c>
    </row>
    <row r="232" ht="15.75" customHeight="1">
      <c r="B232" s="3">
        <f>IFERROR(__xludf.DUMMYFUNCTION("""COMPUTED_VALUE"""),40998.645833333336)</f>
        <v>40998.64583</v>
      </c>
      <c r="C232" s="2">
        <f>IFERROR(__xludf.DUMMYFUNCTION("""COMPUTED_VALUE"""),203.5)</f>
        <v>203.5</v>
      </c>
    </row>
    <row r="233" ht="15.75" customHeight="1">
      <c r="B233" s="3">
        <f>IFERROR(__xludf.DUMMYFUNCTION("""COMPUTED_VALUE"""),41003.645833333336)</f>
        <v>41003.64583</v>
      </c>
      <c r="C233" s="2">
        <f>IFERROR(__xludf.DUMMYFUNCTION("""COMPUTED_VALUE"""),211.0)</f>
        <v>211</v>
      </c>
    </row>
    <row r="234" ht="15.75" customHeight="1">
      <c r="B234" s="3">
        <f>IFERROR(__xludf.DUMMYFUNCTION("""COMPUTED_VALUE"""),41012.645833333336)</f>
        <v>41012.64583</v>
      </c>
      <c r="C234" s="2">
        <f>IFERROR(__xludf.DUMMYFUNCTION("""COMPUTED_VALUE"""),207.7)</f>
        <v>207.7</v>
      </c>
    </row>
    <row r="235" ht="15.75" customHeight="1">
      <c r="B235" s="3">
        <f>IFERROR(__xludf.DUMMYFUNCTION("""COMPUTED_VALUE"""),41019.645833333336)</f>
        <v>41019.64583</v>
      </c>
      <c r="C235" s="2">
        <f>IFERROR(__xludf.DUMMYFUNCTION("""COMPUTED_VALUE"""),207.7)</f>
        <v>207.7</v>
      </c>
    </row>
    <row r="236" ht="15.75" customHeight="1">
      <c r="B236" s="3">
        <f>IFERROR(__xludf.DUMMYFUNCTION("""COMPUTED_VALUE"""),41033.645833333336)</f>
        <v>41033.64583</v>
      </c>
      <c r="C236" s="2">
        <f>IFERROR(__xludf.DUMMYFUNCTION("""COMPUTED_VALUE"""),193.9)</f>
        <v>193.9</v>
      </c>
    </row>
    <row r="237" ht="15.75" customHeight="1">
      <c r="B237" s="3">
        <f>IFERROR(__xludf.DUMMYFUNCTION("""COMPUTED_VALUE"""),41040.645833333336)</f>
        <v>41040.64583</v>
      </c>
      <c r="C237" s="2">
        <f>IFERROR(__xludf.DUMMYFUNCTION("""COMPUTED_VALUE"""),196.45)</f>
        <v>196.45</v>
      </c>
    </row>
    <row r="238" ht="15.75" customHeight="1">
      <c r="B238" s="3">
        <f>IFERROR(__xludf.DUMMYFUNCTION("""COMPUTED_VALUE"""),41047.645833333336)</f>
        <v>41047.64583</v>
      </c>
      <c r="C238" s="2">
        <f>IFERROR(__xludf.DUMMYFUNCTION("""COMPUTED_VALUE"""),189.7)</f>
        <v>189.7</v>
      </c>
    </row>
    <row r="239" ht="15.75" customHeight="1">
      <c r="B239" s="3">
        <f>IFERROR(__xludf.DUMMYFUNCTION("""COMPUTED_VALUE"""),41054.645833333336)</f>
        <v>41054.64583</v>
      </c>
      <c r="C239" s="2">
        <f>IFERROR(__xludf.DUMMYFUNCTION("""COMPUTED_VALUE"""),193.4)</f>
        <v>193.4</v>
      </c>
    </row>
    <row r="240" ht="15.75" customHeight="1">
      <c r="B240" s="3">
        <f>IFERROR(__xludf.DUMMYFUNCTION("""COMPUTED_VALUE"""),41061.645833333336)</f>
        <v>41061.64583</v>
      </c>
      <c r="C240" s="2">
        <f>IFERROR(__xludf.DUMMYFUNCTION("""COMPUTED_VALUE"""),190.95)</f>
        <v>190.95</v>
      </c>
    </row>
    <row r="241" ht="15.75" customHeight="1">
      <c r="B241" s="3">
        <f>IFERROR(__xludf.DUMMYFUNCTION("""COMPUTED_VALUE"""),41068.645833333336)</f>
        <v>41068.64583</v>
      </c>
      <c r="C241" s="2">
        <f>IFERROR(__xludf.DUMMYFUNCTION("""COMPUTED_VALUE"""),197.25)</f>
        <v>197.25</v>
      </c>
    </row>
    <row r="242" ht="15.75" customHeight="1">
      <c r="B242" s="3">
        <f>IFERROR(__xludf.DUMMYFUNCTION("""COMPUTED_VALUE"""),41075.645833333336)</f>
        <v>41075.64583</v>
      </c>
      <c r="C242" s="2">
        <f>IFERROR(__xludf.DUMMYFUNCTION("""COMPUTED_VALUE"""),199.8)</f>
        <v>199.8</v>
      </c>
    </row>
    <row r="243" ht="15.75" customHeight="1">
      <c r="B243" s="3">
        <f>IFERROR(__xludf.DUMMYFUNCTION("""COMPUTED_VALUE"""),41082.645833333336)</f>
        <v>41082.64583</v>
      </c>
      <c r="C243" s="2">
        <f>IFERROR(__xludf.DUMMYFUNCTION("""COMPUTED_VALUE"""),201.25)</f>
        <v>201.25</v>
      </c>
    </row>
    <row r="244" ht="15.75" customHeight="1">
      <c r="B244" s="3">
        <f>IFERROR(__xludf.DUMMYFUNCTION("""COMPUTED_VALUE"""),41089.645833333336)</f>
        <v>41089.64583</v>
      </c>
      <c r="C244" s="2">
        <f>IFERROR(__xludf.DUMMYFUNCTION("""COMPUTED_VALUE"""),200.0)</f>
        <v>200</v>
      </c>
    </row>
    <row r="245" ht="15.75" customHeight="1">
      <c r="B245" s="3">
        <f>IFERROR(__xludf.DUMMYFUNCTION("""COMPUTED_VALUE"""),41096.645833333336)</f>
        <v>41096.64583</v>
      </c>
      <c r="C245" s="2">
        <f>IFERROR(__xludf.DUMMYFUNCTION("""COMPUTED_VALUE"""),218.3)</f>
        <v>218.3</v>
      </c>
    </row>
    <row r="246" ht="15.75" customHeight="1">
      <c r="B246" s="3">
        <f>IFERROR(__xludf.DUMMYFUNCTION("""COMPUTED_VALUE"""),41103.645833333336)</f>
        <v>41103.64583</v>
      </c>
      <c r="C246" s="2">
        <f>IFERROR(__xludf.DUMMYFUNCTION("""COMPUTED_VALUE"""),215.75)</f>
        <v>215.75</v>
      </c>
    </row>
    <row r="247" ht="15.75" customHeight="1">
      <c r="B247" s="3">
        <f>IFERROR(__xludf.DUMMYFUNCTION("""COMPUTED_VALUE"""),41110.645833333336)</f>
        <v>41110.64583</v>
      </c>
      <c r="C247" s="2">
        <f>IFERROR(__xludf.DUMMYFUNCTION("""COMPUTED_VALUE"""),210.4)</f>
        <v>210.4</v>
      </c>
    </row>
    <row r="248" ht="15.75" customHeight="1">
      <c r="B248" s="3">
        <f>IFERROR(__xludf.DUMMYFUNCTION("""COMPUTED_VALUE"""),41117.645833333336)</f>
        <v>41117.64583</v>
      </c>
      <c r="C248" s="2">
        <f>IFERROR(__xludf.DUMMYFUNCTION("""COMPUTED_VALUE"""),205.4)</f>
        <v>205.4</v>
      </c>
    </row>
    <row r="249" ht="15.75" customHeight="1">
      <c r="B249" s="3">
        <f>IFERROR(__xludf.DUMMYFUNCTION("""COMPUTED_VALUE"""),41124.645833333336)</f>
        <v>41124.64583</v>
      </c>
      <c r="C249" s="2">
        <f>IFERROR(__xludf.DUMMYFUNCTION("""COMPUTED_VALUE"""),210.95)</f>
        <v>210.95</v>
      </c>
    </row>
    <row r="250" ht="15.75" customHeight="1">
      <c r="B250" s="3">
        <f>IFERROR(__xludf.DUMMYFUNCTION("""COMPUTED_VALUE"""),41131.645833333336)</f>
        <v>41131.64583</v>
      </c>
      <c r="C250" s="2">
        <f>IFERROR(__xludf.DUMMYFUNCTION("""COMPUTED_VALUE"""),220.0)</f>
        <v>220</v>
      </c>
    </row>
    <row r="251" ht="15.75" customHeight="1">
      <c r="B251" s="3">
        <f>IFERROR(__xludf.DUMMYFUNCTION("""COMPUTED_VALUE"""),41138.645833333336)</f>
        <v>41138.64583</v>
      </c>
      <c r="C251" s="2">
        <f>IFERROR(__xludf.DUMMYFUNCTION("""COMPUTED_VALUE"""),219.4)</f>
        <v>219.4</v>
      </c>
    </row>
    <row r="252" ht="15.75" customHeight="1">
      <c r="B252" s="3">
        <f>IFERROR(__xludf.DUMMYFUNCTION("""COMPUTED_VALUE"""),41145.645833333336)</f>
        <v>41145.64583</v>
      </c>
      <c r="C252" s="2">
        <f>IFERROR(__xludf.DUMMYFUNCTION("""COMPUTED_VALUE"""),217.85)</f>
        <v>217.85</v>
      </c>
    </row>
    <row r="253" ht="15.75" customHeight="1">
      <c r="B253" s="3">
        <f>IFERROR(__xludf.DUMMYFUNCTION("""COMPUTED_VALUE"""),41152.645833333336)</f>
        <v>41152.64583</v>
      </c>
      <c r="C253" s="2">
        <f>IFERROR(__xludf.DUMMYFUNCTION("""COMPUTED_VALUE"""),208.25)</f>
        <v>208.25</v>
      </c>
    </row>
    <row r="254" ht="15.75" customHeight="1">
      <c r="B254" s="3">
        <f>IFERROR(__xludf.DUMMYFUNCTION("""COMPUTED_VALUE"""),41166.645833333336)</f>
        <v>41166.64583</v>
      </c>
      <c r="C254" s="2">
        <f>IFERROR(__xludf.DUMMYFUNCTION("""COMPUTED_VALUE"""),218.0)</f>
        <v>218</v>
      </c>
    </row>
    <row r="255" ht="15.75" customHeight="1">
      <c r="B255" s="3">
        <f>IFERROR(__xludf.DUMMYFUNCTION("""COMPUTED_VALUE"""),41173.645833333336)</f>
        <v>41173.64583</v>
      </c>
      <c r="C255" s="2">
        <f>IFERROR(__xludf.DUMMYFUNCTION("""COMPUTED_VALUE"""),239.4)</f>
        <v>239.4</v>
      </c>
    </row>
    <row r="256" ht="15.75" customHeight="1">
      <c r="B256" s="3">
        <f>IFERROR(__xludf.DUMMYFUNCTION("""COMPUTED_VALUE"""),41180.645833333336)</f>
        <v>41180.64583</v>
      </c>
      <c r="C256" s="2">
        <f>IFERROR(__xludf.DUMMYFUNCTION("""COMPUTED_VALUE"""),244.7)</f>
        <v>244.7</v>
      </c>
    </row>
    <row r="257" ht="15.75" customHeight="1">
      <c r="B257" s="3">
        <f>IFERROR(__xludf.DUMMYFUNCTION("""COMPUTED_VALUE"""),41187.645833333336)</f>
        <v>41187.64583</v>
      </c>
      <c r="C257" s="2">
        <f>IFERROR(__xludf.DUMMYFUNCTION("""COMPUTED_VALUE"""),244.95)</f>
        <v>244.95</v>
      </c>
    </row>
    <row r="258" ht="15.75" customHeight="1">
      <c r="B258" s="3">
        <f>IFERROR(__xludf.DUMMYFUNCTION("""COMPUTED_VALUE"""),41194.645833333336)</f>
        <v>41194.64583</v>
      </c>
      <c r="C258" s="2">
        <f>IFERROR(__xludf.DUMMYFUNCTION("""COMPUTED_VALUE"""),237.0)</f>
        <v>237</v>
      </c>
    </row>
    <row r="259" ht="15.75" customHeight="1">
      <c r="B259" s="3">
        <f>IFERROR(__xludf.DUMMYFUNCTION("""COMPUTED_VALUE"""),41201.645833333336)</f>
        <v>41201.64583</v>
      </c>
      <c r="C259" s="2">
        <f>IFERROR(__xludf.DUMMYFUNCTION("""COMPUTED_VALUE"""),220.9)</f>
        <v>220.9</v>
      </c>
    </row>
    <row r="260" ht="15.75" customHeight="1">
      <c r="B260" s="3">
        <f>IFERROR(__xludf.DUMMYFUNCTION("""COMPUTED_VALUE"""),41208.645833333336)</f>
        <v>41208.64583</v>
      </c>
      <c r="C260" s="2">
        <f>IFERROR(__xludf.DUMMYFUNCTION("""COMPUTED_VALUE"""),209.25)</f>
        <v>209.25</v>
      </c>
    </row>
    <row r="261" ht="15.75" customHeight="1">
      <c r="B261" s="3">
        <f>IFERROR(__xludf.DUMMYFUNCTION("""COMPUTED_VALUE"""),41215.645833333336)</f>
        <v>41215.64583</v>
      </c>
      <c r="C261" s="2">
        <f>IFERROR(__xludf.DUMMYFUNCTION("""COMPUTED_VALUE"""),208.1)</f>
        <v>208.1</v>
      </c>
    </row>
    <row r="262" ht="15.75" customHeight="1">
      <c r="B262" s="3">
        <f>IFERROR(__xludf.DUMMYFUNCTION("""COMPUTED_VALUE"""),41222.645833333336)</f>
        <v>41222.64583</v>
      </c>
      <c r="C262" s="2">
        <f>IFERROR(__xludf.DUMMYFUNCTION("""COMPUTED_VALUE"""),217.4)</f>
        <v>217.4</v>
      </c>
    </row>
    <row r="263" ht="15.75" customHeight="1">
      <c r="B263" s="3">
        <f>IFERROR(__xludf.DUMMYFUNCTION("""COMPUTED_VALUE"""),41229.645833333336)</f>
        <v>41229.64583</v>
      </c>
      <c r="C263" s="2">
        <f>IFERROR(__xludf.DUMMYFUNCTION("""COMPUTED_VALUE"""),213.15)</f>
        <v>213.15</v>
      </c>
    </row>
    <row r="264" ht="15.75" customHeight="1">
      <c r="B264" s="3">
        <f>IFERROR(__xludf.DUMMYFUNCTION("""COMPUTED_VALUE"""),41236.645833333336)</f>
        <v>41236.64583</v>
      </c>
      <c r="C264" s="2">
        <f>IFERROR(__xludf.DUMMYFUNCTION("""COMPUTED_VALUE"""),207.2)</f>
        <v>207.2</v>
      </c>
    </row>
    <row r="265" ht="15.75" customHeight="1">
      <c r="B265" s="3">
        <f>IFERROR(__xludf.DUMMYFUNCTION("""COMPUTED_VALUE"""),41243.645833333336)</f>
        <v>41243.64583</v>
      </c>
      <c r="C265" s="2">
        <f>IFERROR(__xludf.DUMMYFUNCTION("""COMPUTED_VALUE"""),212.0)</f>
        <v>212</v>
      </c>
    </row>
    <row r="266" ht="15.75" customHeight="1">
      <c r="B266" s="3">
        <f>IFERROR(__xludf.DUMMYFUNCTION("""COMPUTED_VALUE"""),41250.645833333336)</f>
        <v>41250.64583</v>
      </c>
      <c r="C266" s="2">
        <f>IFERROR(__xludf.DUMMYFUNCTION("""COMPUTED_VALUE"""),229.0)</f>
        <v>229</v>
      </c>
    </row>
    <row r="267" ht="15.75" customHeight="1">
      <c r="B267" s="3">
        <f>IFERROR(__xludf.DUMMYFUNCTION("""COMPUTED_VALUE"""),41257.645833333336)</f>
        <v>41257.64583</v>
      </c>
      <c r="C267" s="2">
        <f>IFERROR(__xludf.DUMMYFUNCTION("""COMPUTED_VALUE"""),225.3)</f>
        <v>225.3</v>
      </c>
    </row>
    <row r="268" ht="15.75" customHeight="1">
      <c r="B268" s="3">
        <f>IFERROR(__xludf.DUMMYFUNCTION("""COMPUTED_VALUE"""),41264.645833333336)</f>
        <v>41264.64583</v>
      </c>
      <c r="C268" s="2">
        <f>IFERROR(__xludf.DUMMYFUNCTION("""COMPUTED_VALUE"""),228.4)</f>
        <v>228.4</v>
      </c>
    </row>
    <row r="269" ht="15.75" customHeight="1">
      <c r="B269" s="3">
        <f>IFERROR(__xludf.DUMMYFUNCTION("""COMPUTED_VALUE"""),41271.645833333336)</f>
        <v>41271.64583</v>
      </c>
      <c r="C269" s="2">
        <f>IFERROR(__xludf.DUMMYFUNCTION("""COMPUTED_VALUE"""),227.0)</f>
        <v>227</v>
      </c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IFERROR(__xludf.DUMMYFUNCTION("GOOGLEFINANCE(""NSE:DLF"", ""high"",DATE(2013,1,1),DATE(2014,1,1),""weekly"")"),"Date")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IFERROR(__xludf.DUMMYFUNCTION("""COMPUTED_VALUE"""),41278.645833333336)</f>
        <v>41278.64583</v>
      </c>
      <c r="C277" s="2">
        <f>IFERROR(__xludf.DUMMYFUNCTION("""COMPUTED_VALUE"""),240.7)</f>
        <v>240.7</v>
      </c>
    </row>
    <row r="278" ht="15.75" customHeight="1">
      <c r="B278" s="3">
        <f>IFERROR(__xludf.DUMMYFUNCTION("""COMPUTED_VALUE"""),41285.645833333336)</f>
        <v>41285.64583</v>
      </c>
      <c r="C278" s="2">
        <f>IFERROR(__xludf.DUMMYFUNCTION("""COMPUTED_VALUE"""),239.6)</f>
        <v>239.6</v>
      </c>
    </row>
    <row r="279" ht="15.75" customHeight="1">
      <c r="B279" s="3">
        <f>IFERROR(__xludf.DUMMYFUNCTION("""COMPUTED_VALUE"""),41292.645833333336)</f>
        <v>41292.64583</v>
      </c>
      <c r="C279" s="2">
        <f>IFERROR(__xludf.DUMMYFUNCTION("""COMPUTED_VALUE"""),263.75)</f>
        <v>263.75</v>
      </c>
    </row>
    <row r="280" ht="15.75" customHeight="1">
      <c r="B280" s="3">
        <f>IFERROR(__xludf.DUMMYFUNCTION("""COMPUTED_VALUE"""),41299.645833333336)</f>
        <v>41299.64583</v>
      </c>
      <c r="C280" s="2">
        <f>IFERROR(__xludf.DUMMYFUNCTION("""COMPUTED_VALUE"""),261.9)</f>
        <v>261.9</v>
      </c>
    </row>
    <row r="281" ht="15.75" customHeight="1">
      <c r="B281" s="3">
        <f>IFERROR(__xludf.DUMMYFUNCTION("""COMPUTED_VALUE"""),41306.645833333336)</f>
        <v>41306.64583</v>
      </c>
      <c r="C281" s="2">
        <f>IFERROR(__xludf.DUMMYFUNCTION("""COMPUTED_VALUE"""),279.4)</f>
        <v>279.4</v>
      </c>
    </row>
    <row r="282" ht="15.75" customHeight="1">
      <c r="B282" s="3">
        <f>IFERROR(__xludf.DUMMYFUNCTION("""COMPUTED_VALUE"""),41313.645833333336)</f>
        <v>41313.64583</v>
      </c>
      <c r="C282" s="2">
        <f>IFERROR(__xludf.DUMMYFUNCTION("""COMPUTED_VALUE"""),277.7)</f>
        <v>277.7</v>
      </c>
    </row>
    <row r="283" ht="15.75" customHeight="1">
      <c r="B283" s="3">
        <f>IFERROR(__xludf.DUMMYFUNCTION("""COMPUTED_VALUE"""),41320.645833333336)</f>
        <v>41320.64583</v>
      </c>
      <c r="C283" s="2">
        <f>IFERROR(__xludf.DUMMYFUNCTION("""COMPUTED_VALUE"""),273.75)</f>
        <v>273.75</v>
      </c>
    </row>
    <row r="284" ht="15.75" customHeight="1">
      <c r="B284" s="3">
        <f>IFERROR(__xludf.DUMMYFUNCTION("""COMPUTED_VALUE"""),41327.645833333336)</f>
        <v>41327.64583</v>
      </c>
      <c r="C284" s="2">
        <f>IFERROR(__xludf.DUMMYFUNCTION("""COMPUTED_VALUE"""),283.5)</f>
        <v>283.5</v>
      </c>
    </row>
    <row r="285" ht="15.75" customHeight="1">
      <c r="B285" s="3">
        <f>IFERROR(__xludf.DUMMYFUNCTION("""COMPUTED_VALUE"""),41334.645833333336)</f>
        <v>41334.64583</v>
      </c>
      <c r="C285" s="2">
        <f>IFERROR(__xludf.DUMMYFUNCTION("""COMPUTED_VALUE"""),287.45)</f>
        <v>287.45</v>
      </c>
    </row>
    <row r="286" ht="15.75" customHeight="1">
      <c r="B286" s="3">
        <f>IFERROR(__xludf.DUMMYFUNCTION("""COMPUTED_VALUE"""),41341.645833333336)</f>
        <v>41341.64583</v>
      </c>
      <c r="C286" s="2">
        <f>IFERROR(__xludf.DUMMYFUNCTION("""COMPUTED_VALUE"""),282.45)</f>
        <v>282.45</v>
      </c>
    </row>
    <row r="287" ht="15.75" customHeight="1">
      <c r="B287" s="3">
        <f>IFERROR(__xludf.DUMMYFUNCTION("""COMPUTED_VALUE"""),41348.645833333336)</f>
        <v>41348.64583</v>
      </c>
      <c r="C287" s="2">
        <f>IFERROR(__xludf.DUMMYFUNCTION("""COMPUTED_VALUE"""),289.25)</f>
        <v>289.25</v>
      </c>
    </row>
    <row r="288" ht="15.75" customHeight="1">
      <c r="B288" s="3">
        <f>IFERROR(__xludf.DUMMYFUNCTION("""COMPUTED_VALUE"""),41355.645833333336)</f>
        <v>41355.64583</v>
      </c>
      <c r="C288" s="2">
        <f>IFERROR(__xludf.DUMMYFUNCTION("""COMPUTED_VALUE"""),273.9)</f>
        <v>273.9</v>
      </c>
    </row>
    <row r="289" ht="15.75" customHeight="1">
      <c r="B289" s="3">
        <f>IFERROR(__xludf.DUMMYFUNCTION("""COMPUTED_VALUE"""),41361.645833333336)</f>
        <v>41361.64583</v>
      </c>
      <c r="C289" s="2">
        <f>IFERROR(__xludf.DUMMYFUNCTION("""COMPUTED_VALUE"""),246.9)</f>
        <v>246.9</v>
      </c>
    </row>
    <row r="290" ht="15.75" customHeight="1">
      <c r="B290" s="3">
        <f>IFERROR(__xludf.DUMMYFUNCTION("""COMPUTED_VALUE"""),41369.645833333336)</f>
        <v>41369.64583</v>
      </c>
      <c r="C290" s="2">
        <f>IFERROR(__xludf.DUMMYFUNCTION("""COMPUTED_VALUE"""),258.35)</f>
        <v>258.35</v>
      </c>
    </row>
    <row r="291" ht="15.75" customHeight="1">
      <c r="B291" s="3">
        <f>IFERROR(__xludf.DUMMYFUNCTION("""COMPUTED_VALUE"""),41376.645833333336)</f>
        <v>41376.64583</v>
      </c>
      <c r="C291" s="2">
        <f>IFERROR(__xludf.DUMMYFUNCTION("""COMPUTED_VALUE"""),249.6)</f>
        <v>249.6</v>
      </c>
    </row>
    <row r="292" ht="15.75" customHeight="1">
      <c r="B292" s="3">
        <f>IFERROR(__xludf.DUMMYFUNCTION("""COMPUTED_VALUE"""),41382.645833333336)</f>
        <v>41382.64583</v>
      </c>
      <c r="C292" s="2">
        <f>IFERROR(__xludf.DUMMYFUNCTION("""COMPUTED_VALUE"""),251.8)</f>
        <v>251.8</v>
      </c>
    </row>
    <row r="293" ht="15.75" customHeight="1">
      <c r="B293" s="3">
        <f>IFERROR(__xludf.DUMMYFUNCTION("""COMPUTED_VALUE"""),41390.645833333336)</f>
        <v>41390.64583</v>
      </c>
      <c r="C293" s="2">
        <f>IFERROR(__xludf.DUMMYFUNCTION("""COMPUTED_VALUE"""),253.35)</f>
        <v>253.35</v>
      </c>
    </row>
    <row r="294" ht="15.75" customHeight="1">
      <c r="B294" s="3">
        <f>IFERROR(__xludf.DUMMYFUNCTION("""COMPUTED_VALUE"""),41397.645833333336)</f>
        <v>41397.64583</v>
      </c>
      <c r="C294" s="2">
        <f>IFERROR(__xludf.DUMMYFUNCTION("""COMPUTED_VALUE"""),245.2)</f>
        <v>245.2</v>
      </c>
    </row>
    <row r="295" ht="15.75" customHeight="1">
      <c r="B295" s="3">
        <f>IFERROR(__xludf.DUMMYFUNCTION("""COMPUTED_VALUE"""),41411.645833333336)</f>
        <v>41411.64583</v>
      </c>
      <c r="C295" s="2">
        <f>IFERROR(__xludf.DUMMYFUNCTION("""COMPUTED_VALUE"""),250.8)</f>
        <v>250.8</v>
      </c>
    </row>
    <row r="296" ht="15.75" customHeight="1">
      <c r="B296" s="3">
        <f>IFERROR(__xludf.DUMMYFUNCTION("""COMPUTED_VALUE"""),41418.645833333336)</f>
        <v>41418.64583</v>
      </c>
      <c r="C296" s="2">
        <f>IFERROR(__xludf.DUMMYFUNCTION("""COMPUTED_VALUE"""),255.0)</f>
        <v>255</v>
      </c>
    </row>
    <row r="297" ht="15.75" customHeight="1">
      <c r="B297" s="3">
        <f>IFERROR(__xludf.DUMMYFUNCTION("""COMPUTED_VALUE"""),41425.645833333336)</f>
        <v>41425.64583</v>
      </c>
      <c r="C297" s="2">
        <f>IFERROR(__xludf.DUMMYFUNCTION("""COMPUTED_VALUE"""),216.9)</f>
        <v>216.9</v>
      </c>
    </row>
    <row r="298" ht="15.75" customHeight="1">
      <c r="B298" s="3">
        <f>IFERROR(__xludf.DUMMYFUNCTION("""COMPUTED_VALUE"""),41432.645833333336)</f>
        <v>41432.64583</v>
      </c>
      <c r="C298" s="2">
        <f>IFERROR(__xludf.DUMMYFUNCTION("""COMPUTED_VALUE"""),205.45)</f>
        <v>205.45</v>
      </c>
    </row>
    <row r="299" ht="15.75" customHeight="1">
      <c r="B299" s="3">
        <f>IFERROR(__xludf.DUMMYFUNCTION("""COMPUTED_VALUE"""),41439.645833333336)</f>
        <v>41439.64583</v>
      </c>
      <c r="C299" s="2">
        <f>IFERROR(__xludf.DUMMYFUNCTION("""COMPUTED_VALUE"""),202.65)</f>
        <v>202.65</v>
      </c>
    </row>
    <row r="300" ht="15.75" customHeight="1">
      <c r="B300" s="3">
        <f>IFERROR(__xludf.DUMMYFUNCTION("""COMPUTED_VALUE"""),41446.645833333336)</f>
        <v>41446.64583</v>
      </c>
      <c r="C300" s="2">
        <f>IFERROR(__xludf.DUMMYFUNCTION("""COMPUTED_VALUE"""),193.35)</f>
        <v>193.35</v>
      </c>
    </row>
    <row r="301" ht="15.75" customHeight="1">
      <c r="B301" s="3">
        <f>IFERROR(__xludf.DUMMYFUNCTION("""COMPUTED_VALUE"""),41453.645833333336)</f>
        <v>41453.64583</v>
      </c>
      <c r="C301" s="2">
        <f>IFERROR(__xludf.DUMMYFUNCTION("""COMPUTED_VALUE"""),182.5)</f>
        <v>182.5</v>
      </c>
    </row>
    <row r="302" ht="15.75" customHeight="1">
      <c r="B302" s="3">
        <f>IFERROR(__xludf.DUMMYFUNCTION("""COMPUTED_VALUE"""),41460.645833333336)</f>
        <v>41460.64583</v>
      </c>
      <c r="C302" s="2">
        <f>IFERROR(__xludf.DUMMYFUNCTION("""COMPUTED_VALUE"""),189.85)</f>
        <v>189.85</v>
      </c>
    </row>
    <row r="303" ht="15.75" customHeight="1">
      <c r="B303" s="3">
        <f>IFERROR(__xludf.DUMMYFUNCTION("""COMPUTED_VALUE"""),41467.645833333336)</f>
        <v>41467.64583</v>
      </c>
      <c r="C303" s="2">
        <f>IFERROR(__xludf.DUMMYFUNCTION("""COMPUTED_VALUE"""),180.2)</f>
        <v>180.2</v>
      </c>
    </row>
    <row r="304" ht="15.75" customHeight="1">
      <c r="B304" s="3">
        <f>IFERROR(__xludf.DUMMYFUNCTION("""COMPUTED_VALUE"""),41474.645833333336)</f>
        <v>41474.64583</v>
      </c>
      <c r="C304" s="2">
        <f>IFERROR(__xludf.DUMMYFUNCTION("""COMPUTED_VALUE"""),180.5)</f>
        <v>180.5</v>
      </c>
    </row>
    <row r="305" ht="15.75" customHeight="1">
      <c r="B305" s="3">
        <f>IFERROR(__xludf.DUMMYFUNCTION("""COMPUTED_VALUE"""),41481.645833333336)</f>
        <v>41481.64583</v>
      </c>
      <c r="C305" s="2">
        <f>IFERROR(__xludf.DUMMYFUNCTION("""COMPUTED_VALUE"""),179.55)</f>
        <v>179.55</v>
      </c>
    </row>
    <row r="306" ht="15.75" customHeight="1">
      <c r="B306" s="3">
        <f>IFERROR(__xludf.DUMMYFUNCTION("""COMPUTED_VALUE"""),41488.645833333336)</f>
        <v>41488.64583</v>
      </c>
      <c r="C306" s="2">
        <f>IFERROR(__xludf.DUMMYFUNCTION("""COMPUTED_VALUE"""),172.0)</f>
        <v>172</v>
      </c>
    </row>
    <row r="307" ht="15.75" customHeight="1">
      <c r="B307" s="3">
        <f>IFERROR(__xludf.DUMMYFUNCTION("""COMPUTED_VALUE"""),41494.645833333336)</f>
        <v>41494.64583</v>
      </c>
      <c r="C307" s="2">
        <f>IFERROR(__xludf.DUMMYFUNCTION("""COMPUTED_VALUE"""),139.7)</f>
        <v>139.7</v>
      </c>
    </row>
    <row r="308" ht="15.75" customHeight="1">
      <c r="B308" s="3">
        <f>IFERROR(__xludf.DUMMYFUNCTION("""COMPUTED_VALUE"""),41502.645833333336)</f>
        <v>41502.64583</v>
      </c>
      <c r="C308" s="2">
        <f>IFERROR(__xludf.DUMMYFUNCTION("""COMPUTED_VALUE"""),160.3)</f>
        <v>160.3</v>
      </c>
    </row>
    <row r="309" ht="15.75" customHeight="1">
      <c r="B309" s="3">
        <f>IFERROR(__xludf.DUMMYFUNCTION("""COMPUTED_VALUE"""),41509.645833333336)</f>
        <v>41509.64583</v>
      </c>
      <c r="C309" s="2">
        <f>IFERROR(__xludf.DUMMYFUNCTION("""COMPUTED_VALUE"""),162.9)</f>
        <v>162.9</v>
      </c>
    </row>
    <row r="310" ht="15.75" customHeight="1">
      <c r="B310" s="3">
        <f>IFERROR(__xludf.DUMMYFUNCTION("""COMPUTED_VALUE"""),41516.645833333336)</f>
        <v>41516.64583</v>
      </c>
      <c r="C310" s="2">
        <f>IFERROR(__xludf.DUMMYFUNCTION("""COMPUTED_VALUE"""),141.0)</f>
        <v>141</v>
      </c>
    </row>
    <row r="311" ht="15.75" customHeight="1">
      <c r="B311" s="3">
        <f>IFERROR(__xludf.DUMMYFUNCTION("""COMPUTED_VALUE"""),41523.645833333336)</f>
        <v>41523.64583</v>
      </c>
      <c r="C311" s="2">
        <f>IFERROR(__xludf.DUMMYFUNCTION("""COMPUTED_VALUE"""),141.55)</f>
        <v>141.55</v>
      </c>
    </row>
    <row r="312" ht="15.75" customHeight="1">
      <c r="B312" s="3">
        <f>IFERROR(__xludf.DUMMYFUNCTION("""COMPUTED_VALUE"""),41530.645833333336)</f>
        <v>41530.64583</v>
      </c>
      <c r="C312" s="2">
        <f>IFERROR(__xludf.DUMMYFUNCTION("""COMPUTED_VALUE"""),157.5)</f>
        <v>157.5</v>
      </c>
    </row>
    <row r="313" ht="15.75" customHeight="1">
      <c r="B313" s="3">
        <f>IFERROR(__xludf.DUMMYFUNCTION("""COMPUTED_VALUE"""),41537.645833333336)</f>
        <v>41537.64583</v>
      </c>
      <c r="C313" s="2">
        <f>IFERROR(__xludf.DUMMYFUNCTION("""COMPUTED_VALUE"""),173.9)</f>
        <v>173.9</v>
      </c>
    </row>
    <row r="314" ht="15.75" customHeight="1">
      <c r="B314" s="3">
        <f>IFERROR(__xludf.DUMMYFUNCTION("""COMPUTED_VALUE"""),41544.645833333336)</f>
        <v>41544.64583</v>
      </c>
      <c r="C314" s="2">
        <f>IFERROR(__xludf.DUMMYFUNCTION("""COMPUTED_VALUE"""),149.4)</f>
        <v>149.4</v>
      </c>
    </row>
    <row r="315" ht="15.75" customHeight="1">
      <c r="B315" s="3">
        <f>IFERROR(__xludf.DUMMYFUNCTION("""COMPUTED_VALUE"""),41551.645833333336)</f>
        <v>41551.64583</v>
      </c>
      <c r="C315" s="2">
        <f>IFERROR(__xludf.DUMMYFUNCTION("""COMPUTED_VALUE"""),142.65)</f>
        <v>142.65</v>
      </c>
    </row>
    <row r="316" ht="15.75" customHeight="1">
      <c r="B316" s="3">
        <f>IFERROR(__xludf.DUMMYFUNCTION("""COMPUTED_VALUE"""),41558.645833333336)</f>
        <v>41558.64583</v>
      </c>
      <c r="C316" s="2">
        <f>IFERROR(__xludf.DUMMYFUNCTION("""COMPUTED_VALUE"""),156.9)</f>
        <v>156.9</v>
      </c>
    </row>
    <row r="317" ht="15.75" customHeight="1">
      <c r="B317" s="3">
        <f>IFERROR(__xludf.DUMMYFUNCTION("""COMPUTED_VALUE"""),41565.645833333336)</f>
        <v>41565.64583</v>
      </c>
      <c r="C317" s="2">
        <f>IFERROR(__xludf.DUMMYFUNCTION("""COMPUTED_VALUE"""),159.9)</f>
        <v>159.9</v>
      </c>
    </row>
    <row r="318" ht="15.75" customHeight="1">
      <c r="B318" s="3">
        <f>IFERROR(__xludf.DUMMYFUNCTION("""COMPUTED_VALUE"""),41572.645833333336)</f>
        <v>41572.64583</v>
      </c>
      <c r="C318" s="2">
        <f>IFERROR(__xludf.DUMMYFUNCTION("""COMPUTED_VALUE"""),167.4)</f>
        <v>167.4</v>
      </c>
    </row>
    <row r="319" ht="15.75" customHeight="1">
      <c r="B319" s="3">
        <f>IFERROR(__xludf.DUMMYFUNCTION("""COMPUTED_VALUE"""),41579.645833333336)</f>
        <v>41579.64583</v>
      </c>
      <c r="C319" s="2">
        <f>IFERROR(__xludf.DUMMYFUNCTION("""COMPUTED_VALUE"""),159.35)</f>
        <v>159.35</v>
      </c>
    </row>
    <row r="320" ht="15.75" customHeight="1">
      <c r="B320" s="3">
        <f>IFERROR(__xludf.DUMMYFUNCTION("""COMPUTED_VALUE"""),41586.645833333336)</f>
        <v>41586.64583</v>
      </c>
      <c r="C320" s="2">
        <f>IFERROR(__xludf.DUMMYFUNCTION("""COMPUTED_VALUE"""),164.35)</f>
        <v>164.35</v>
      </c>
    </row>
    <row r="321" ht="15.75" customHeight="1">
      <c r="B321" s="3">
        <f>IFERROR(__xludf.DUMMYFUNCTION("""COMPUTED_VALUE"""),41592.645833333336)</f>
        <v>41592.64583</v>
      </c>
      <c r="C321" s="2">
        <f>IFERROR(__xludf.DUMMYFUNCTION("""COMPUTED_VALUE"""),152.65)</f>
        <v>152.65</v>
      </c>
    </row>
    <row r="322" ht="15.75" customHeight="1">
      <c r="B322" s="3">
        <f>IFERROR(__xludf.DUMMYFUNCTION("""COMPUTED_VALUE"""),41600.645833333336)</f>
        <v>41600.64583</v>
      </c>
      <c r="C322" s="2">
        <f>IFERROR(__xludf.DUMMYFUNCTION("""COMPUTED_VALUE"""),155.7)</f>
        <v>155.7</v>
      </c>
    </row>
    <row r="323" ht="15.75" customHeight="1">
      <c r="B323" s="3">
        <f>IFERROR(__xludf.DUMMYFUNCTION("""COMPUTED_VALUE"""),41607.645833333336)</f>
        <v>41607.64583</v>
      </c>
      <c r="C323" s="2">
        <f>IFERROR(__xludf.DUMMYFUNCTION("""COMPUTED_VALUE"""),153.8)</f>
        <v>153.8</v>
      </c>
    </row>
    <row r="324" ht="15.75" customHeight="1">
      <c r="B324" s="3">
        <f>IFERROR(__xludf.DUMMYFUNCTION("""COMPUTED_VALUE"""),41614.645833333336)</f>
        <v>41614.64583</v>
      </c>
      <c r="C324" s="2">
        <f>IFERROR(__xludf.DUMMYFUNCTION("""COMPUTED_VALUE"""),158.9)</f>
        <v>158.9</v>
      </c>
    </row>
    <row r="325" ht="15.75" customHeight="1">
      <c r="B325" s="3">
        <f>IFERROR(__xludf.DUMMYFUNCTION("""COMPUTED_VALUE"""),41621.645833333336)</f>
        <v>41621.64583</v>
      </c>
      <c r="C325" s="2">
        <f>IFERROR(__xludf.DUMMYFUNCTION("""COMPUTED_VALUE"""),166.2)</f>
        <v>166.2</v>
      </c>
    </row>
    <row r="326" ht="15.75" customHeight="1">
      <c r="B326" s="3">
        <f>IFERROR(__xludf.DUMMYFUNCTION("""COMPUTED_VALUE"""),41628.645833333336)</f>
        <v>41628.64583</v>
      </c>
      <c r="C326" s="2">
        <f>IFERROR(__xludf.DUMMYFUNCTION("""COMPUTED_VALUE"""),163.7)</f>
        <v>163.7</v>
      </c>
    </row>
    <row r="327" ht="15.75" customHeight="1">
      <c r="B327" s="3">
        <f>IFERROR(__xludf.DUMMYFUNCTION("""COMPUTED_VALUE"""),41635.645833333336)</f>
        <v>41635.64583</v>
      </c>
      <c r="C327" s="2">
        <f>IFERROR(__xludf.DUMMYFUNCTION("""COMPUTED_VALUE"""),175.2)</f>
        <v>175.2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IFERROR(__xludf.DUMMYFUNCTION("GOOGLEFINANCE(""NSE:DLF"", ""high"",DATE(2014,1,1),DATE(2015,1,1),""weekly"")"),"Date")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IFERROR(__xludf.DUMMYFUNCTION("""COMPUTED_VALUE"""),41642.645833333336)</f>
        <v>41642.64583</v>
      </c>
      <c r="C332" s="2">
        <f>IFERROR(__xludf.DUMMYFUNCTION("""COMPUTED_VALUE"""),174.65)</f>
        <v>174.65</v>
      </c>
    </row>
    <row r="333" ht="15.75" customHeight="1">
      <c r="B333" s="3">
        <f>IFERROR(__xludf.DUMMYFUNCTION("""COMPUTED_VALUE"""),41649.645833333336)</f>
        <v>41649.64583</v>
      </c>
      <c r="C333" s="2">
        <f>IFERROR(__xludf.DUMMYFUNCTION("""COMPUTED_VALUE"""),169.75)</f>
        <v>169.75</v>
      </c>
    </row>
    <row r="334" ht="15.75" customHeight="1">
      <c r="B334" s="3">
        <f>IFERROR(__xludf.DUMMYFUNCTION("""COMPUTED_VALUE"""),41656.645833333336)</f>
        <v>41656.64583</v>
      </c>
      <c r="C334" s="2">
        <f>IFERROR(__xludf.DUMMYFUNCTION("""COMPUTED_VALUE"""),164.2)</f>
        <v>164.2</v>
      </c>
    </row>
    <row r="335" ht="15.75" customHeight="1">
      <c r="B335" s="3">
        <f>IFERROR(__xludf.DUMMYFUNCTION("""COMPUTED_VALUE"""),41663.645833333336)</f>
        <v>41663.64583</v>
      </c>
      <c r="C335" s="2">
        <f>IFERROR(__xludf.DUMMYFUNCTION("""COMPUTED_VALUE"""),159.9)</f>
        <v>159.9</v>
      </c>
    </row>
    <row r="336" ht="15.75" customHeight="1">
      <c r="B336" s="3">
        <f>IFERROR(__xludf.DUMMYFUNCTION("""COMPUTED_VALUE"""),41670.645833333336)</f>
        <v>41670.64583</v>
      </c>
      <c r="C336" s="2">
        <f>IFERROR(__xludf.DUMMYFUNCTION("""COMPUTED_VALUE"""),150.0)</f>
        <v>150</v>
      </c>
    </row>
    <row r="337" ht="15.75" customHeight="1">
      <c r="B337" s="3">
        <f>IFERROR(__xludf.DUMMYFUNCTION("""COMPUTED_VALUE"""),41677.645833333336)</f>
        <v>41677.64583</v>
      </c>
      <c r="C337" s="2">
        <f>IFERROR(__xludf.DUMMYFUNCTION("""COMPUTED_VALUE"""),139.9)</f>
        <v>139.9</v>
      </c>
    </row>
    <row r="338" ht="15.75" customHeight="1">
      <c r="B338" s="3">
        <f>IFERROR(__xludf.DUMMYFUNCTION("""COMPUTED_VALUE"""),41684.645833333336)</f>
        <v>41684.64583</v>
      </c>
      <c r="C338" s="2">
        <f>IFERROR(__xludf.DUMMYFUNCTION("""COMPUTED_VALUE"""),146.0)</f>
        <v>146</v>
      </c>
    </row>
    <row r="339" ht="15.75" customHeight="1">
      <c r="B339" s="3">
        <f>IFERROR(__xludf.DUMMYFUNCTION("""COMPUTED_VALUE"""),41691.645833333336)</f>
        <v>41691.64583</v>
      </c>
      <c r="C339" s="2">
        <f>IFERROR(__xludf.DUMMYFUNCTION("""COMPUTED_VALUE"""),147.9)</f>
        <v>147.9</v>
      </c>
    </row>
    <row r="340" ht="15.75" customHeight="1">
      <c r="B340" s="3">
        <f>IFERROR(__xludf.DUMMYFUNCTION("""COMPUTED_VALUE"""),41698.645833333336)</f>
        <v>41698.64583</v>
      </c>
      <c r="C340" s="2">
        <f>IFERROR(__xludf.DUMMYFUNCTION("""COMPUTED_VALUE"""),144.5)</f>
        <v>144.5</v>
      </c>
    </row>
    <row r="341" ht="15.75" customHeight="1">
      <c r="B341" s="3">
        <f>IFERROR(__xludf.DUMMYFUNCTION("""COMPUTED_VALUE"""),41705.645833333336)</f>
        <v>41705.64583</v>
      </c>
      <c r="C341" s="2">
        <f>IFERROR(__xludf.DUMMYFUNCTION("""COMPUTED_VALUE"""),167.95)</f>
        <v>167.95</v>
      </c>
    </row>
    <row r="342" ht="15.75" customHeight="1">
      <c r="B342" s="3">
        <f>IFERROR(__xludf.DUMMYFUNCTION("""COMPUTED_VALUE"""),41712.645833333336)</f>
        <v>41712.64583</v>
      </c>
      <c r="C342" s="2">
        <f>IFERROR(__xludf.DUMMYFUNCTION("""COMPUTED_VALUE"""),186.7)</f>
        <v>186.7</v>
      </c>
    </row>
    <row r="343" ht="15.75" customHeight="1">
      <c r="B343" s="3">
        <f>IFERROR(__xludf.DUMMYFUNCTION("""COMPUTED_VALUE"""),41726.645833333336)</f>
        <v>41726.64583</v>
      </c>
      <c r="C343" s="2">
        <f>IFERROR(__xludf.DUMMYFUNCTION("""COMPUTED_VALUE"""),181.45)</f>
        <v>181.45</v>
      </c>
    </row>
    <row r="344" ht="15.75" customHeight="1">
      <c r="B344" s="3">
        <f>IFERROR(__xludf.DUMMYFUNCTION("""COMPUTED_VALUE"""),41733.645833333336)</f>
        <v>41733.64583</v>
      </c>
      <c r="C344" s="2">
        <f>IFERROR(__xludf.DUMMYFUNCTION("""COMPUTED_VALUE"""),179.0)</f>
        <v>179</v>
      </c>
    </row>
    <row r="345" ht="15.75" customHeight="1">
      <c r="B345" s="3">
        <f>IFERROR(__xludf.DUMMYFUNCTION("""COMPUTED_VALUE"""),41740.645833333336)</f>
        <v>41740.64583</v>
      </c>
      <c r="C345" s="2">
        <f>IFERROR(__xludf.DUMMYFUNCTION("""COMPUTED_VALUE"""),185.0)</f>
        <v>185</v>
      </c>
    </row>
    <row r="346" ht="15.75" customHeight="1">
      <c r="B346" s="3">
        <f>IFERROR(__xludf.DUMMYFUNCTION("""COMPUTED_VALUE"""),41746.645833333336)</f>
        <v>41746.64583</v>
      </c>
      <c r="C346" s="2">
        <f>IFERROR(__xludf.DUMMYFUNCTION("""COMPUTED_VALUE"""),177.7)</f>
        <v>177.7</v>
      </c>
    </row>
    <row r="347" ht="15.75" customHeight="1">
      <c r="B347" s="3">
        <f>IFERROR(__xludf.DUMMYFUNCTION("""COMPUTED_VALUE"""),41754.645833333336)</f>
        <v>41754.64583</v>
      </c>
      <c r="C347" s="2">
        <f>IFERROR(__xludf.DUMMYFUNCTION("""COMPUTED_VALUE"""),160.9)</f>
        <v>160.9</v>
      </c>
    </row>
    <row r="348" ht="15.75" customHeight="1">
      <c r="B348" s="3">
        <f>IFERROR(__xludf.DUMMYFUNCTION("""COMPUTED_VALUE"""),41761.645833333336)</f>
        <v>41761.64583</v>
      </c>
      <c r="C348" s="2">
        <f>IFERROR(__xludf.DUMMYFUNCTION("""COMPUTED_VALUE"""),156.85)</f>
        <v>156.85</v>
      </c>
    </row>
    <row r="349" ht="15.75" customHeight="1">
      <c r="B349" s="3">
        <f>IFERROR(__xludf.DUMMYFUNCTION("""COMPUTED_VALUE"""),41768.645833333336)</f>
        <v>41768.64583</v>
      </c>
      <c r="C349" s="2">
        <f>IFERROR(__xludf.DUMMYFUNCTION("""COMPUTED_VALUE"""),145.9)</f>
        <v>145.9</v>
      </c>
    </row>
    <row r="350" ht="15.75" customHeight="1">
      <c r="B350" s="3">
        <f>IFERROR(__xludf.DUMMYFUNCTION("""COMPUTED_VALUE"""),41775.645833333336)</f>
        <v>41775.64583</v>
      </c>
      <c r="C350" s="2">
        <f>IFERROR(__xludf.DUMMYFUNCTION("""COMPUTED_VALUE"""),179.7)</f>
        <v>179.7</v>
      </c>
    </row>
    <row r="351" ht="15.75" customHeight="1">
      <c r="B351" s="3">
        <f>IFERROR(__xludf.DUMMYFUNCTION("""COMPUTED_VALUE"""),41782.645833333336)</f>
        <v>41782.64583</v>
      </c>
      <c r="C351" s="2">
        <f>IFERROR(__xludf.DUMMYFUNCTION("""COMPUTED_VALUE"""),222.35)</f>
        <v>222.35</v>
      </c>
    </row>
    <row r="352" ht="15.75" customHeight="1">
      <c r="B352" s="3">
        <f>IFERROR(__xludf.DUMMYFUNCTION("""COMPUTED_VALUE"""),41789.645833333336)</f>
        <v>41789.64583</v>
      </c>
      <c r="C352" s="2">
        <f>IFERROR(__xludf.DUMMYFUNCTION("""COMPUTED_VALUE"""),224.8)</f>
        <v>224.8</v>
      </c>
    </row>
    <row r="353" ht="15.75" customHeight="1">
      <c r="B353" s="3">
        <f>IFERROR(__xludf.DUMMYFUNCTION("""COMPUTED_VALUE"""),41796.645833333336)</f>
        <v>41796.64583</v>
      </c>
      <c r="C353" s="2">
        <f>IFERROR(__xludf.DUMMYFUNCTION("""COMPUTED_VALUE"""),234.3)</f>
        <v>234.3</v>
      </c>
    </row>
    <row r="354" ht="15.75" customHeight="1">
      <c r="B354" s="3">
        <f>IFERROR(__xludf.DUMMYFUNCTION("""COMPUTED_VALUE"""),41803.645833333336)</f>
        <v>41803.64583</v>
      </c>
      <c r="C354" s="2">
        <f>IFERROR(__xludf.DUMMYFUNCTION("""COMPUTED_VALUE"""),242.95)</f>
        <v>242.95</v>
      </c>
    </row>
    <row r="355" ht="15.75" customHeight="1">
      <c r="B355" s="3">
        <f>IFERROR(__xludf.DUMMYFUNCTION("""COMPUTED_VALUE"""),41810.645833333336)</f>
        <v>41810.64583</v>
      </c>
      <c r="C355" s="2">
        <f>IFERROR(__xludf.DUMMYFUNCTION("""COMPUTED_VALUE"""),216.55)</f>
        <v>216.55</v>
      </c>
    </row>
    <row r="356" ht="15.75" customHeight="1">
      <c r="B356" s="3">
        <f>IFERROR(__xludf.DUMMYFUNCTION("""COMPUTED_VALUE"""),41817.645833333336)</f>
        <v>41817.64583</v>
      </c>
      <c r="C356" s="2">
        <f>IFERROR(__xludf.DUMMYFUNCTION("""COMPUTED_VALUE"""),221.45)</f>
        <v>221.45</v>
      </c>
    </row>
    <row r="357" ht="15.75" customHeight="1">
      <c r="B357" s="3">
        <f>IFERROR(__xludf.DUMMYFUNCTION("""COMPUTED_VALUE"""),41824.645833333336)</f>
        <v>41824.64583</v>
      </c>
      <c r="C357" s="2">
        <f>IFERROR(__xludf.DUMMYFUNCTION("""COMPUTED_VALUE"""),222.3)</f>
        <v>222.3</v>
      </c>
    </row>
    <row r="358" ht="15.75" customHeight="1">
      <c r="B358" s="3">
        <f>IFERROR(__xludf.DUMMYFUNCTION("""COMPUTED_VALUE"""),41831.645833333336)</f>
        <v>41831.64583</v>
      </c>
      <c r="C358" s="2">
        <f>IFERROR(__xludf.DUMMYFUNCTION("""COMPUTED_VALUE"""),233.8)</f>
        <v>233.8</v>
      </c>
    </row>
    <row r="359" ht="15.75" customHeight="1">
      <c r="B359" s="3">
        <f>IFERROR(__xludf.DUMMYFUNCTION("""COMPUTED_VALUE"""),41838.645833333336)</f>
        <v>41838.64583</v>
      </c>
      <c r="C359" s="2">
        <f>IFERROR(__xludf.DUMMYFUNCTION("""COMPUTED_VALUE"""),228.9)</f>
        <v>228.9</v>
      </c>
    </row>
    <row r="360" ht="15.75" customHeight="1">
      <c r="B360" s="3">
        <f>IFERROR(__xludf.DUMMYFUNCTION("""COMPUTED_VALUE"""),41845.645833333336)</f>
        <v>41845.64583</v>
      </c>
      <c r="C360" s="2">
        <f>IFERROR(__xludf.DUMMYFUNCTION("""COMPUTED_VALUE"""),222.8)</f>
        <v>222.8</v>
      </c>
    </row>
    <row r="361" ht="15.75" customHeight="1">
      <c r="B361" s="3">
        <f>IFERROR(__xludf.DUMMYFUNCTION("""COMPUTED_VALUE"""),41852.645833333336)</f>
        <v>41852.64583</v>
      </c>
      <c r="C361" s="2">
        <f>IFERROR(__xludf.DUMMYFUNCTION("""COMPUTED_VALUE"""),205.8)</f>
        <v>205.8</v>
      </c>
    </row>
    <row r="362" ht="15.75" customHeight="1">
      <c r="B362" s="3">
        <f>IFERROR(__xludf.DUMMYFUNCTION("""COMPUTED_VALUE"""),41859.645833333336)</f>
        <v>41859.64583</v>
      </c>
      <c r="C362" s="2">
        <f>IFERROR(__xludf.DUMMYFUNCTION("""COMPUTED_VALUE"""),208.0)</f>
        <v>208</v>
      </c>
    </row>
    <row r="363" ht="15.75" customHeight="1">
      <c r="B363" s="3">
        <f>IFERROR(__xludf.DUMMYFUNCTION("""COMPUTED_VALUE"""),41865.645833333336)</f>
        <v>41865.64583</v>
      </c>
      <c r="C363" s="2">
        <f>IFERROR(__xludf.DUMMYFUNCTION("""COMPUTED_VALUE"""),202.9)</f>
        <v>202.9</v>
      </c>
    </row>
    <row r="364" ht="15.75" customHeight="1">
      <c r="B364" s="3">
        <f>IFERROR(__xludf.DUMMYFUNCTION("""COMPUTED_VALUE"""),41873.645833333336)</f>
        <v>41873.64583</v>
      </c>
      <c r="C364" s="2">
        <f>IFERROR(__xludf.DUMMYFUNCTION("""COMPUTED_VALUE"""),203.15)</f>
        <v>203.15</v>
      </c>
    </row>
    <row r="365" ht="15.75" customHeight="1">
      <c r="B365" s="3">
        <f>IFERROR(__xludf.DUMMYFUNCTION("""COMPUTED_VALUE"""),41879.645833333336)</f>
        <v>41879.64583</v>
      </c>
      <c r="C365" s="2">
        <f>IFERROR(__xludf.DUMMYFUNCTION("""COMPUTED_VALUE"""),196.45)</f>
        <v>196.45</v>
      </c>
    </row>
    <row r="366" ht="15.75" customHeight="1">
      <c r="B366" s="3">
        <f>IFERROR(__xludf.DUMMYFUNCTION("""COMPUTED_VALUE"""),41887.645833333336)</f>
        <v>41887.64583</v>
      </c>
      <c r="C366" s="2">
        <f>IFERROR(__xludf.DUMMYFUNCTION("""COMPUTED_VALUE"""),186.9)</f>
        <v>186.9</v>
      </c>
    </row>
    <row r="367" ht="15.75" customHeight="1">
      <c r="B367" s="3">
        <f>IFERROR(__xludf.DUMMYFUNCTION("""COMPUTED_VALUE"""),41894.645833333336)</f>
        <v>41894.64583</v>
      </c>
      <c r="C367" s="2">
        <f>IFERROR(__xludf.DUMMYFUNCTION("""COMPUTED_VALUE"""),179.1)</f>
        <v>179.1</v>
      </c>
    </row>
    <row r="368" ht="15.75" customHeight="1">
      <c r="B368" s="3">
        <f>IFERROR(__xludf.DUMMYFUNCTION("""COMPUTED_VALUE"""),41901.645833333336)</f>
        <v>41901.64583</v>
      </c>
      <c r="C368" s="2">
        <f>IFERROR(__xludf.DUMMYFUNCTION("""COMPUTED_VALUE"""),177.95)</f>
        <v>177.95</v>
      </c>
    </row>
    <row r="369" ht="15.75" customHeight="1">
      <c r="B369" s="3">
        <f>IFERROR(__xludf.DUMMYFUNCTION("""COMPUTED_VALUE"""),41908.645833333336)</f>
        <v>41908.64583</v>
      </c>
      <c r="C369" s="2">
        <f>IFERROR(__xludf.DUMMYFUNCTION("""COMPUTED_VALUE"""),173.3)</f>
        <v>173.3</v>
      </c>
    </row>
    <row r="370" ht="15.75" customHeight="1">
      <c r="B370" s="3">
        <f>IFERROR(__xludf.DUMMYFUNCTION("""COMPUTED_VALUE"""),41913.645833333336)</f>
        <v>41913.64583</v>
      </c>
      <c r="C370" s="2">
        <f>IFERROR(__xludf.DUMMYFUNCTION("""COMPUTED_VALUE"""),164.3)</f>
        <v>164.3</v>
      </c>
    </row>
    <row r="371" ht="15.75" customHeight="1">
      <c r="B371" s="3">
        <f>IFERROR(__xludf.DUMMYFUNCTION("""COMPUTED_VALUE"""),41922.645833333336)</f>
        <v>41922.64583</v>
      </c>
      <c r="C371" s="2">
        <f>IFERROR(__xludf.DUMMYFUNCTION("""COMPUTED_VALUE"""),155.9)</f>
        <v>155.9</v>
      </c>
    </row>
    <row r="372" ht="15.75" customHeight="1">
      <c r="B372" s="3">
        <f>IFERROR(__xludf.DUMMYFUNCTION("""COMPUTED_VALUE"""),41929.645833333336)</f>
        <v>41929.64583</v>
      </c>
      <c r="C372" s="2">
        <f>IFERROR(__xludf.DUMMYFUNCTION("""COMPUTED_VALUE"""),151.75)</f>
        <v>151.75</v>
      </c>
    </row>
    <row r="373" ht="15.75" customHeight="1">
      <c r="B373" s="3">
        <f>IFERROR(__xludf.DUMMYFUNCTION("""COMPUTED_VALUE"""),41935.645833333336)</f>
        <v>41935.64583</v>
      </c>
      <c r="C373" s="2">
        <f>IFERROR(__xludf.DUMMYFUNCTION("""COMPUTED_VALUE"""),123.0)</f>
        <v>123</v>
      </c>
    </row>
    <row r="374" ht="15.75" customHeight="1">
      <c r="B374" s="3">
        <f>IFERROR(__xludf.DUMMYFUNCTION("""COMPUTED_VALUE"""),41943.645833333336)</f>
        <v>41943.64583</v>
      </c>
      <c r="C374" s="2">
        <f>IFERROR(__xludf.DUMMYFUNCTION("""COMPUTED_VALUE"""),127.0)</f>
        <v>127</v>
      </c>
    </row>
    <row r="375" ht="15.75" customHeight="1">
      <c r="B375" s="3">
        <f>IFERROR(__xludf.DUMMYFUNCTION("""COMPUTED_VALUE"""),41950.645833333336)</f>
        <v>41950.64583</v>
      </c>
      <c r="C375" s="2">
        <f>IFERROR(__xludf.DUMMYFUNCTION("""COMPUTED_VALUE"""),135.0)</f>
        <v>135</v>
      </c>
    </row>
    <row r="376" ht="15.75" customHeight="1">
      <c r="B376" s="3">
        <f>IFERROR(__xludf.DUMMYFUNCTION("""COMPUTED_VALUE"""),41957.64583333333)</f>
        <v>41957.64583</v>
      </c>
      <c r="C376" s="2">
        <f>IFERROR(__xludf.DUMMYFUNCTION("""COMPUTED_VALUE"""),143.25)</f>
        <v>143.25</v>
      </c>
    </row>
    <row r="377" ht="15.75" customHeight="1">
      <c r="B377" s="3">
        <f>IFERROR(__xludf.DUMMYFUNCTION("""COMPUTED_VALUE"""),41964.64583333333)</f>
        <v>41964.64583</v>
      </c>
      <c r="C377" s="2">
        <f>IFERROR(__xludf.DUMMYFUNCTION("""COMPUTED_VALUE"""),144.2)</f>
        <v>144.2</v>
      </c>
    </row>
    <row r="378" ht="15.75" customHeight="1">
      <c r="B378" s="3">
        <f>IFERROR(__xludf.DUMMYFUNCTION("""COMPUTED_VALUE"""),41971.64583333333)</f>
        <v>41971.64583</v>
      </c>
      <c r="C378" s="2">
        <f>IFERROR(__xludf.DUMMYFUNCTION("""COMPUTED_VALUE"""),155.0)</f>
        <v>155</v>
      </c>
    </row>
    <row r="379" ht="15.75" customHeight="1">
      <c r="B379" s="3">
        <f>IFERROR(__xludf.DUMMYFUNCTION("""COMPUTED_VALUE"""),41978.64583333333)</f>
        <v>41978.64583</v>
      </c>
      <c r="C379" s="2">
        <f>IFERROR(__xludf.DUMMYFUNCTION("""COMPUTED_VALUE"""),163.65)</f>
        <v>163.65</v>
      </c>
    </row>
    <row r="380" ht="15.75" customHeight="1">
      <c r="B380" s="3">
        <f>IFERROR(__xludf.DUMMYFUNCTION("""COMPUTED_VALUE"""),41985.64583333333)</f>
        <v>41985.64583</v>
      </c>
      <c r="C380" s="2">
        <f>IFERROR(__xludf.DUMMYFUNCTION("""COMPUTED_VALUE"""),166.0)</f>
        <v>166</v>
      </c>
    </row>
    <row r="381" ht="15.75" customHeight="1">
      <c r="B381" s="3">
        <f>IFERROR(__xludf.DUMMYFUNCTION("""COMPUTED_VALUE"""),41992.64583333333)</f>
        <v>41992.64583</v>
      </c>
      <c r="C381" s="2">
        <f>IFERROR(__xludf.DUMMYFUNCTION("""COMPUTED_VALUE"""),154.15)</f>
        <v>154.15</v>
      </c>
    </row>
    <row r="382" ht="15.75" customHeight="1">
      <c r="B382" s="3">
        <f>IFERROR(__xludf.DUMMYFUNCTION("""COMPUTED_VALUE"""),41999.64583333333)</f>
        <v>41999.64583</v>
      </c>
      <c r="C382" s="2">
        <f>IFERROR(__xludf.DUMMYFUNCTION("""COMPUTED_VALUE"""),136.9)</f>
        <v>136.9</v>
      </c>
    </row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IFERROR(__xludf.DUMMYFUNCTION("GOOGLEFINANCE(""NSE:POWERGRID"", ""high"",DATE(2008,1,1),DATE(2009,1,1),""weekly"")"),"Date")</f>
        <v>Date</v>
      </c>
      <c r="C1" s="2" t="str">
        <f>IFERROR(__xludf.DUMMYFUNCTION("""COMPUTED_VALUE"""),"High")</f>
        <v>High</v>
      </c>
    </row>
    <row r="2">
      <c r="A2" s="2" t="s">
        <v>7</v>
      </c>
      <c r="B2" s="3">
        <f>IFERROR(__xludf.DUMMYFUNCTION("""COMPUTED_VALUE"""),39451.645833333336)</f>
        <v>39451.64583</v>
      </c>
      <c r="C2" s="2">
        <f>IFERROR(__xludf.DUMMYFUNCTION("""COMPUTED_VALUE"""),156.0)</f>
        <v>156</v>
      </c>
    </row>
    <row r="3">
      <c r="A3" s="2" t="s">
        <v>8</v>
      </c>
      <c r="B3" s="3">
        <f>IFERROR(__xludf.DUMMYFUNCTION("""COMPUTED_VALUE"""),39458.645833333336)</f>
        <v>39458.64583</v>
      </c>
      <c r="C3" s="2">
        <f>IFERROR(__xludf.DUMMYFUNCTION("""COMPUTED_VALUE"""),153.2)</f>
        <v>153.2</v>
      </c>
    </row>
    <row r="4">
      <c r="A4" s="2" t="s">
        <v>9</v>
      </c>
      <c r="B4" s="3">
        <f>IFERROR(__xludf.DUMMYFUNCTION("""COMPUTED_VALUE"""),39465.645833333336)</f>
        <v>39465.64583</v>
      </c>
      <c r="C4" s="2">
        <f>IFERROR(__xludf.DUMMYFUNCTION("""COMPUTED_VALUE"""),146.1)</f>
        <v>146.1</v>
      </c>
    </row>
    <row r="5">
      <c r="A5" s="2" t="s">
        <v>10</v>
      </c>
      <c r="B5" s="3">
        <f>IFERROR(__xludf.DUMMYFUNCTION("""COMPUTED_VALUE"""),39472.645833333336)</f>
        <v>39472.64583</v>
      </c>
      <c r="C5" s="2">
        <f>IFERROR(__xludf.DUMMYFUNCTION("""COMPUTED_VALUE"""),132.0)</f>
        <v>132</v>
      </c>
    </row>
    <row r="6">
      <c r="A6" s="2" t="s">
        <v>11</v>
      </c>
      <c r="B6" s="3">
        <f>IFERROR(__xludf.DUMMYFUNCTION("""COMPUTED_VALUE"""),39479.645833333336)</f>
        <v>39479.64583</v>
      </c>
      <c r="C6" s="2">
        <f>IFERROR(__xludf.DUMMYFUNCTION("""COMPUTED_VALUE"""),119.7)</f>
        <v>119.7</v>
      </c>
    </row>
    <row r="7">
      <c r="A7" s="2" t="s">
        <v>12</v>
      </c>
      <c r="B7" s="3">
        <f>IFERROR(__xludf.DUMMYFUNCTION("""COMPUTED_VALUE"""),39486.645833333336)</f>
        <v>39486.64583</v>
      </c>
      <c r="C7" s="2">
        <f>IFERROR(__xludf.DUMMYFUNCTION("""COMPUTED_VALUE"""),116.15)</f>
        <v>116.15</v>
      </c>
    </row>
    <row r="8">
      <c r="A8" s="2" t="s">
        <v>13</v>
      </c>
      <c r="B8" s="3">
        <f>IFERROR(__xludf.DUMMYFUNCTION("""COMPUTED_VALUE"""),39493.645833333336)</f>
        <v>39493.64583</v>
      </c>
      <c r="C8" s="2">
        <f>IFERROR(__xludf.DUMMYFUNCTION("""COMPUTED_VALUE"""),107.0)</f>
        <v>107</v>
      </c>
    </row>
    <row r="9">
      <c r="A9" s="2" t="s">
        <v>14</v>
      </c>
      <c r="B9" s="3">
        <f>IFERROR(__xludf.DUMMYFUNCTION("""COMPUTED_VALUE"""),39500.645833333336)</f>
        <v>39500.64583</v>
      </c>
      <c r="C9" s="2">
        <f>IFERROR(__xludf.DUMMYFUNCTION("""COMPUTED_VALUE"""),108.55)</f>
        <v>108.55</v>
      </c>
    </row>
    <row r="10">
      <c r="A10" s="2" t="s">
        <v>15</v>
      </c>
      <c r="B10" s="3">
        <f>IFERROR(__xludf.DUMMYFUNCTION("""COMPUTED_VALUE"""),39507.645833333336)</f>
        <v>39507.64583</v>
      </c>
      <c r="C10" s="2">
        <f>IFERROR(__xludf.DUMMYFUNCTION("""COMPUTED_VALUE"""),113.8)</f>
        <v>113.8</v>
      </c>
    </row>
    <row r="11">
      <c r="A11" s="2" t="s">
        <v>16</v>
      </c>
      <c r="B11" s="3">
        <f>IFERROR(__xludf.DUMMYFUNCTION("""COMPUTED_VALUE"""),39514.645833333336)</f>
        <v>39514.64583</v>
      </c>
      <c r="C11" s="2">
        <f>IFERROR(__xludf.DUMMYFUNCTION("""COMPUTED_VALUE"""),108.8)</f>
        <v>108.8</v>
      </c>
    </row>
    <row r="12">
      <c r="A12" s="2" t="s">
        <v>17</v>
      </c>
      <c r="B12" s="3">
        <f>IFERROR(__xludf.DUMMYFUNCTION("""COMPUTED_VALUE"""),39521.645833333336)</f>
        <v>39521.64583</v>
      </c>
      <c r="C12" s="2">
        <f>IFERROR(__xludf.DUMMYFUNCTION("""COMPUTED_VALUE"""),107.4)</f>
        <v>107.4</v>
      </c>
    </row>
    <row r="13">
      <c r="A13" s="2" t="s">
        <v>18</v>
      </c>
      <c r="B13" s="3">
        <f>IFERROR(__xludf.DUMMYFUNCTION("""COMPUTED_VALUE"""),39526.645833333336)</f>
        <v>39526.64583</v>
      </c>
      <c r="C13" s="2">
        <f>IFERROR(__xludf.DUMMYFUNCTION("""COMPUTED_VALUE"""),103.8)</f>
        <v>103.8</v>
      </c>
    </row>
    <row r="14">
      <c r="A14" s="2" t="s">
        <v>19</v>
      </c>
      <c r="B14" s="3">
        <f>IFERROR(__xludf.DUMMYFUNCTION("""COMPUTED_VALUE"""),39535.645833333336)</f>
        <v>39535.64583</v>
      </c>
      <c r="C14" s="2">
        <f>IFERROR(__xludf.DUMMYFUNCTION("""COMPUTED_VALUE"""),99.75)</f>
        <v>99.75</v>
      </c>
    </row>
    <row r="15">
      <c r="B15" s="3">
        <f>IFERROR(__xludf.DUMMYFUNCTION("""COMPUTED_VALUE"""),39542.645833333336)</f>
        <v>39542.64583</v>
      </c>
      <c r="C15" s="2">
        <f>IFERROR(__xludf.DUMMYFUNCTION("""COMPUTED_VALUE"""),103.0)</f>
        <v>103</v>
      </c>
    </row>
    <row r="16">
      <c r="B16" s="3">
        <f>IFERROR(__xludf.DUMMYFUNCTION("""COMPUTED_VALUE"""),39549.645833333336)</f>
        <v>39549.64583</v>
      </c>
      <c r="C16" s="2">
        <f>IFERROR(__xludf.DUMMYFUNCTION("""COMPUTED_VALUE"""),99.5)</f>
        <v>99.5</v>
      </c>
    </row>
    <row r="17">
      <c r="B17" s="3">
        <f>IFERROR(__xludf.DUMMYFUNCTION("""COMPUTED_VALUE"""),39555.645833333336)</f>
        <v>39555.64583</v>
      </c>
      <c r="C17" s="2">
        <f>IFERROR(__xludf.DUMMYFUNCTION("""COMPUTED_VALUE"""),104.8)</f>
        <v>104.8</v>
      </c>
    </row>
    <row r="18">
      <c r="B18" s="3">
        <f>IFERROR(__xludf.DUMMYFUNCTION("""COMPUTED_VALUE"""),39563.645833333336)</f>
        <v>39563.64583</v>
      </c>
      <c r="C18" s="2">
        <f>IFERROR(__xludf.DUMMYFUNCTION("""COMPUTED_VALUE"""),107.2)</f>
        <v>107.2</v>
      </c>
    </row>
    <row r="19">
      <c r="B19" s="3">
        <f>IFERROR(__xludf.DUMMYFUNCTION("""COMPUTED_VALUE"""),39570.645833333336)</f>
        <v>39570.64583</v>
      </c>
      <c r="C19" s="2">
        <f>IFERROR(__xludf.DUMMYFUNCTION("""COMPUTED_VALUE"""),109.5)</f>
        <v>109.5</v>
      </c>
    </row>
    <row r="20">
      <c r="B20" s="3">
        <f>IFERROR(__xludf.DUMMYFUNCTION("""COMPUTED_VALUE"""),39577.645833333336)</f>
        <v>39577.64583</v>
      </c>
      <c r="C20" s="2">
        <f>IFERROR(__xludf.DUMMYFUNCTION("""COMPUTED_VALUE"""),108.5)</f>
        <v>108.5</v>
      </c>
    </row>
    <row r="21" ht="15.75" customHeight="1">
      <c r="B21" s="3">
        <f>IFERROR(__xludf.DUMMYFUNCTION("""COMPUTED_VALUE"""),39584.645833333336)</f>
        <v>39584.64583</v>
      </c>
      <c r="C21" s="2">
        <f>IFERROR(__xludf.DUMMYFUNCTION("""COMPUTED_VALUE"""),103.4)</f>
        <v>103.4</v>
      </c>
    </row>
    <row r="22" ht="15.75" customHeight="1">
      <c r="B22" s="3">
        <f>IFERROR(__xludf.DUMMYFUNCTION("""COMPUTED_VALUE"""),39591.645833333336)</f>
        <v>39591.64583</v>
      </c>
      <c r="C22" s="2">
        <f>IFERROR(__xludf.DUMMYFUNCTION("""COMPUTED_VALUE"""),105.0)</f>
        <v>105</v>
      </c>
    </row>
    <row r="23" ht="15.75" customHeight="1">
      <c r="B23" s="3">
        <f>IFERROR(__xludf.DUMMYFUNCTION("""COMPUTED_VALUE"""),39598.645833333336)</f>
        <v>39598.64583</v>
      </c>
      <c r="C23" s="2">
        <f>IFERROR(__xludf.DUMMYFUNCTION("""COMPUTED_VALUE"""),103.0)</f>
        <v>103</v>
      </c>
    </row>
    <row r="24" ht="15.75" customHeight="1">
      <c r="B24" s="3">
        <f>IFERROR(__xludf.DUMMYFUNCTION("""COMPUTED_VALUE"""),39605.645833333336)</f>
        <v>39605.64583</v>
      </c>
      <c r="C24" s="2">
        <f>IFERROR(__xludf.DUMMYFUNCTION("""COMPUTED_VALUE"""),100.0)</f>
        <v>100</v>
      </c>
    </row>
    <row r="25" ht="15.75" customHeight="1">
      <c r="B25" s="3">
        <f>IFERROR(__xludf.DUMMYFUNCTION("""COMPUTED_VALUE"""),39612.645833333336)</f>
        <v>39612.64583</v>
      </c>
      <c r="C25" s="2">
        <f>IFERROR(__xludf.DUMMYFUNCTION("""COMPUTED_VALUE"""),87.9)</f>
        <v>87.9</v>
      </c>
    </row>
    <row r="26" ht="15.75" customHeight="1">
      <c r="B26" s="3">
        <f>IFERROR(__xludf.DUMMYFUNCTION("""COMPUTED_VALUE"""),39619.645833333336)</f>
        <v>39619.64583</v>
      </c>
      <c r="C26" s="2">
        <f>IFERROR(__xludf.DUMMYFUNCTION("""COMPUTED_VALUE"""),93.2)</f>
        <v>93.2</v>
      </c>
    </row>
    <row r="27" ht="15.75" customHeight="1">
      <c r="B27" s="3">
        <f>IFERROR(__xludf.DUMMYFUNCTION("""COMPUTED_VALUE"""),39626.645833333336)</f>
        <v>39626.64583</v>
      </c>
      <c r="C27" s="2">
        <f>IFERROR(__xludf.DUMMYFUNCTION("""COMPUTED_VALUE"""),87.4)</f>
        <v>87.4</v>
      </c>
    </row>
    <row r="28" ht="15.75" customHeight="1">
      <c r="B28" s="3">
        <f>IFERROR(__xludf.DUMMYFUNCTION("""COMPUTED_VALUE"""),39633.645833333336)</f>
        <v>39633.64583</v>
      </c>
      <c r="C28" s="2">
        <f>IFERROR(__xludf.DUMMYFUNCTION("""COMPUTED_VALUE"""),80.8)</f>
        <v>80.8</v>
      </c>
    </row>
    <row r="29" ht="15.75" customHeight="1">
      <c r="B29" s="3">
        <f>IFERROR(__xludf.DUMMYFUNCTION("""COMPUTED_VALUE"""),39640.645833333336)</f>
        <v>39640.64583</v>
      </c>
      <c r="C29" s="2">
        <f>IFERROR(__xludf.DUMMYFUNCTION("""COMPUTED_VALUE"""),90.2)</f>
        <v>90.2</v>
      </c>
    </row>
    <row r="30" ht="15.75" customHeight="1">
      <c r="B30" s="3">
        <f>IFERROR(__xludf.DUMMYFUNCTION("""COMPUTED_VALUE"""),39647.645833333336)</f>
        <v>39647.64583</v>
      </c>
      <c r="C30" s="2">
        <f>IFERROR(__xludf.DUMMYFUNCTION("""COMPUTED_VALUE"""),87.7)</f>
        <v>87.7</v>
      </c>
    </row>
    <row r="31" ht="15.75" customHeight="1">
      <c r="B31" s="3">
        <f>IFERROR(__xludf.DUMMYFUNCTION("""COMPUTED_VALUE"""),39654.645833333336)</f>
        <v>39654.64583</v>
      </c>
      <c r="C31" s="2">
        <f>IFERROR(__xludf.DUMMYFUNCTION("""COMPUTED_VALUE"""),104.4)</f>
        <v>104.4</v>
      </c>
    </row>
    <row r="32" ht="15.75" customHeight="1">
      <c r="B32" s="3">
        <f>IFERROR(__xludf.DUMMYFUNCTION("""COMPUTED_VALUE"""),39661.645833333336)</f>
        <v>39661.64583</v>
      </c>
      <c r="C32" s="2">
        <f>IFERROR(__xludf.DUMMYFUNCTION("""COMPUTED_VALUE"""),100.95)</f>
        <v>100.95</v>
      </c>
    </row>
    <row r="33" ht="15.75" customHeight="1">
      <c r="B33" s="3">
        <f>IFERROR(__xludf.DUMMYFUNCTION("""COMPUTED_VALUE"""),39668.645833333336)</f>
        <v>39668.64583</v>
      </c>
      <c r="C33" s="2">
        <f>IFERROR(__xludf.DUMMYFUNCTION("""COMPUTED_VALUE"""),106.15)</f>
        <v>106.15</v>
      </c>
    </row>
    <row r="34" ht="15.75" customHeight="1">
      <c r="B34" s="3">
        <f>IFERROR(__xludf.DUMMYFUNCTION("""COMPUTED_VALUE"""),39674.645833333336)</f>
        <v>39674.64583</v>
      </c>
      <c r="C34" s="2">
        <f>IFERROR(__xludf.DUMMYFUNCTION("""COMPUTED_VALUE"""),100.3)</f>
        <v>100.3</v>
      </c>
    </row>
    <row r="35" ht="15.75" customHeight="1">
      <c r="B35" s="3">
        <f>IFERROR(__xludf.DUMMYFUNCTION("""COMPUTED_VALUE"""),39682.645833333336)</f>
        <v>39682.64583</v>
      </c>
      <c r="C35" s="2">
        <f>IFERROR(__xludf.DUMMYFUNCTION("""COMPUTED_VALUE"""),97.0)</f>
        <v>97</v>
      </c>
    </row>
    <row r="36" ht="15.75" customHeight="1">
      <c r="B36" s="3">
        <f>IFERROR(__xludf.DUMMYFUNCTION("""COMPUTED_VALUE"""),39689.645833333336)</f>
        <v>39689.64583</v>
      </c>
      <c r="C36" s="2">
        <f>IFERROR(__xludf.DUMMYFUNCTION("""COMPUTED_VALUE"""),93.75)</f>
        <v>93.75</v>
      </c>
    </row>
    <row r="37" ht="15.75" customHeight="1">
      <c r="B37" s="3">
        <f>IFERROR(__xludf.DUMMYFUNCTION("""COMPUTED_VALUE"""),39696.645833333336)</f>
        <v>39696.64583</v>
      </c>
      <c r="C37" s="2">
        <f>IFERROR(__xludf.DUMMYFUNCTION("""COMPUTED_VALUE"""),97.6)</f>
        <v>97.6</v>
      </c>
    </row>
    <row r="38" ht="15.75" customHeight="1">
      <c r="B38" s="3">
        <f>IFERROR(__xludf.DUMMYFUNCTION("""COMPUTED_VALUE"""),39703.645833333336)</f>
        <v>39703.64583</v>
      </c>
      <c r="C38" s="2">
        <f>IFERROR(__xludf.DUMMYFUNCTION("""COMPUTED_VALUE"""),101.9)</f>
        <v>101.9</v>
      </c>
    </row>
    <row r="39" ht="15.75" customHeight="1">
      <c r="B39" s="3">
        <f>IFERROR(__xludf.DUMMYFUNCTION("""COMPUTED_VALUE"""),39710.645833333336)</f>
        <v>39710.64583</v>
      </c>
      <c r="C39" s="2">
        <f>IFERROR(__xludf.DUMMYFUNCTION("""COMPUTED_VALUE"""),94.85)</f>
        <v>94.85</v>
      </c>
    </row>
    <row r="40" ht="15.75" customHeight="1">
      <c r="B40" s="3">
        <f>IFERROR(__xludf.DUMMYFUNCTION("""COMPUTED_VALUE"""),39717.645833333336)</f>
        <v>39717.64583</v>
      </c>
      <c r="C40" s="2">
        <f>IFERROR(__xludf.DUMMYFUNCTION("""COMPUTED_VALUE"""),101.0)</f>
        <v>101</v>
      </c>
    </row>
    <row r="41" ht="15.75" customHeight="1">
      <c r="B41" s="3">
        <f>IFERROR(__xludf.DUMMYFUNCTION("""COMPUTED_VALUE"""),39724.645833333336)</f>
        <v>39724.64583</v>
      </c>
      <c r="C41" s="2">
        <f>IFERROR(__xludf.DUMMYFUNCTION("""COMPUTED_VALUE"""),91.5)</f>
        <v>91.5</v>
      </c>
    </row>
    <row r="42" ht="15.75" customHeight="1">
      <c r="B42" s="3">
        <f>IFERROR(__xludf.DUMMYFUNCTION("""COMPUTED_VALUE"""),39731.645833333336)</f>
        <v>39731.64583</v>
      </c>
      <c r="C42" s="2">
        <f>IFERROR(__xludf.DUMMYFUNCTION("""COMPUTED_VALUE"""),92.9)</f>
        <v>92.9</v>
      </c>
    </row>
    <row r="43" ht="15.75" customHeight="1">
      <c r="B43" s="3">
        <f>IFERROR(__xludf.DUMMYFUNCTION("""COMPUTED_VALUE"""),39738.645833333336)</f>
        <v>39738.64583</v>
      </c>
      <c r="C43" s="2">
        <f>IFERROR(__xludf.DUMMYFUNCTION("""COMPUTED_VALUE"""),94.9)</f>
        <v>94.9</v>
      </c>
    </row>
    <row r="44" ht="15.75" customHeight="1">
      <c r="B44" s="3">
        <f>IFERROR(__xludf.DUMMYFUNCTION("""COMPUTED_VALUE"""),39745.645833333336)</f>
        <v>39745.64583</v>
      </c>
      <c r="C44" s="2">
        <f>IFERROR(__xludf.DUMMYFUNCTION("""COMPUTED_VALUE"""),84.5)</f>
        <v>84.5</v>
      </c>
    </row>
    <row r="45" ht="15.75" customHeight="1">
      <c r="B45" s="3">
        <f>IFERROR(__xludf.DUMMYFUNCTION("""COMPUTED_VALUE"""),39752.645833333336)</f>
        <v>39752.64583</v>
      </c>
      <c r="C45" s="2">
        <f>IFERROR(__xludf.DUMMYFUNCTION("""COMPUTED_VALUE"""),72.0)</f>
        <v>72</v>
      </c>
    </row>
    <row r="46" ht="15.75" customHeight="1">
      <c r="B46" s="3">
        <f>IFERROR(__xludf.DUMMYFUNCTION("""COMPUTED_VALUE"""),39759.645833333336)</f>
        <v>39759.64583</v>
      </c>
      <c r="C46" s="2">
        <f>IFERROR(__xludf.DUMMYFUNCTION("""COMPUTED_VALUE"""),78.8)</f>
        <v>78.8</v>
      </c>
    </row>
    <row r="47" ht="15.75" customHeight="1">
      <c r="B47" s="3">
        <f>IFERROR(__xludf.DUMMYFUNCTION("""COMPUTED_VALUE"""),39766.645833333336)</f>
        <v>39766.64583</v>
      </c>
      <c r="C47" s="2">
        <f>IFERROR(__xludf.DUMMYFUNCTION("""COMPUTED_VALUE"""),79.45)</f>
        <v>79.45</v>
      </c>
    </row>
    <row r="48" ht="15.75" customHeight="1">
      <c r="B48" s="3">
        <f>IFERROR(__xludf.DUMMYFUNCTION("""COMPUTED_VALUE"""),39773.645833333336)</f>
        <v>39773.64583</v>
      </c>
      <c r="C48" s="2">
        <f>IFERROR(__xludf.DUMMYFUNCTION("""COMPUTED_VALUE"""),78.3)</f>
        <v>78.3</v>
      </c>
    </row>
    <row r="49" ht="15.75" customHeight="1">
      <c r="B49" s="3">
        <f>IFERROR(__xludf.DUMMYFUNCTION("""COMPUTED_VALUE"""),39780.645833333336)</f>
        <v>39780.64583</v>
      </c>
      <c r="C49" s="2">
        <f>IFERROR(__xludf.DUMMYFUNCTION("""COMPUTED_VALUE"""),77.15)</f>
        <v>77.15</v>
      </c>
    </row>
    <row r="50" ht="15.75" customHeight="1">
      <c r="B50" s="3">
        <f>IFERROR(__xludf.DUMMYFUNCTION("""COMPUTED_VALUE"""),39787.645833333336)</f>
        <v>39787.64583</v>
      </c>
      <c r="C50" s="2">
        <f>IFERROR(__xludf.DUMMYFUNCTION("""COMPUTED_VALUE"""),81.4)</f>
        <v>81.4</v>
      </c>
    </row>
    <row r="51" ht="15.75" customHeight="1">
      <c r="B51" s="3">
        <f>IFERROR(__xludf.DUMMYFUNCTION("""COMPUTED_VALUE"""),39794.645833333336)</f>
        <v>39794.64583</v>
      </c>
      <c r="C51" s="2">
        <f>IFERROR(__xludf.DUMMYFUNCTION("""COMPUTED_VALUE"""),81.5)</f>
        <v>81.5</v>
      </c>
    </row>
    <row r="52" ht="15.75" customHeight="1">
      <c r="B52" s="3">
        <f>IFERROR(__xludf.DUMMYFUNCTION("""COMPUTED_VALUE"""),39801.645833333336)</f>
        <v>39801.64583</v>
      </c>
      <c r="C52" s="2">
        <f>IFERROR(__xludf.DUMMYFUNCTION("""COMPUTED_VALUE"""),84.5)</f>
        <v>84.5</v>
      </c>
    </row>
    <row r="53" ht="15.75" customHeight="1">
      <c r="B53" s="3">
        <f>IFERROR(__xludf.DUMMYFUNCTION("""COMPUTED_VALUE"""),39808.645833333336)</f>
        <v>39808.64583</v>
      </c>
      <c r="C53" s="2">
        <f>IFERROR(__xludf.DUMMYFUNCTION("""COMPUTED_VALUE"""),84.85)</f>
        <v>84.85</v>
      </c>
    </row>
    <row r="54" ht="15.75" customHeight="1"/>
    <row r="55" ht="15.75" customHeight="1"/>
    <row r="56" ht="15.75" customHeight="1">
      <c r="B56" s="2" t="str">
        <f>IFERROR(__xludf.DUMMYFUNCTION("GOOGLEFINANCE(""NSE:POWERGRID"", ""high"",DATE(2009,1,1),DATE(2010,1,1),""weekly"")"),"Date")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IFERROR(__xludf.DUMMYFUNCTION("""COMPUTED_VALUE"""),39815.645833333336)</f>
        <v>39815.64583</v>
      </c>
      <c r="C57" s="2">
        <f>IFERROR(__xludf.DUMMYFUNCTION("""COMPUTED_VALUE"""),85.9)</f>
        <v>85.9</v>
      </c>
    </row>
    <row r="58" ht="15.75" customHeight="1">
      <c r="B58" s="3">
        <f>IFERROR(__xludf.DUMMYFUNCTION("""COMPUTED_VALUE"""),39822.645833333336)</f>
        <v>39822.64583</v>
      </c>
      <c r="C58" s="2">
        <f>IFERROR(__xludf.DUMMYFUNCTION("""COMPUTED_VALUE"""),85.75)</f>
        <v>85.75</v>
      </c>
    </row>
    <row r="59" ht="15.75" customHeight="1">
      <c r="B59" s="3">
        <f>IFERROR(__xludf.DUMMYFUNCTION("""COMPUTED_VALUE"""),39829.645833333336)</f>
        <v>39829.64583</v>
      </c>
      <c r="C59" s="2">
        <f>IFERROR(__xludf.DUMMYFUNCTION("""COMPUTED_VALUE"""),79.0)</f>
        <v>79</v>
      </c>
    </row>
    <row r="60" ht="15.75" customHeight="1">
      <c r="B60" s="3">
        <f>IFERROR(__xludf.DUMMYFUNCTION("""COMPUTED_VALUE"""),39836.645833333336)</f>
        <v>39836.64583</v>
      </c>
      <c r="C60" s="2">
        <f>IFERROR(__xludf.DUMMYFUNCTION("""COMPUTED_VALUE"""),89.0)</f>
        <v>89</v>
      </c>
    </row>
    <row r="61" ht="15.75" customHeight="1">
      <c r="B61" s="3">
        <f>IFERROR(__xludf.DUMMYFUNCTION("""COMPUTED_VALUE"""),39843.645833333336)</f>
        <v>39843.64583</v>
      </c>
      <c r="C61" s="2">
        <f>IFERROR(__xludf.DUMMYFUNCTION("""COMPUTED_VALUE"""),92.9)</f>
        <v>92.9</v>
      </c>
    </row>
    <row r="62" ht="15.75" customHeight="1">
      <c r="B62" s="3">
        <f>IFERROR(__xludf.DUMMYFUNCTION("""COMPUTED_VALUE"""),39850.645833333336)</f>
        <v>39850.64583</v>
      </c>
      <c r="C62" s="2">
        <f>IFERROR(__xludf.DUMMYFUNCTION("""COMPUTED_VALUE"""),89.6)</f>
        <v>89.6</v>
      </c>
    </row>
    <row r="63" ht="15.75" customHeight="1">
      <c r="B63" s="3">
        <f>IFERROR(__xludf.DUMMYFUNCTION("""COMPUTED_VALUE"""),39857.645833333336)</f>
        <v>39857.64583</v>
      </c>
      <c r="C63" s="2">
        <f>IFERROR(__xludf.DUMMYFUNCTION("""COMPUTED_VALUE"""),94.75)</f>
        <v>94.75</v>
      </c>
    </row>
    <row r="64" ht="15.75" customHeight="1">
      <c r="B64" s="3">
        <f>IFERROR(__xludf.DUMMYFUNCTION("""COMPUTED_VALUE"""),39864.645833333336)</f>
        <v>39864.64583</v>
      </c>
      <c r="C64" s="2">
        <f>IFERROR(__xludf.DUMMYFUNCTION("""COMPUTED_VALUE"""),95.4)</f>
        <v>95.4</v>
      </c>
    </row>
    <row r="65" ht="15.75" customHeight="1">
      <c r="B65" s="3">
        <f>IFERROR(__xludf.DUMMYFUNCTION("""COMPUTED_VALUE"""),39871.645833333336)</f>
        <v>39871.64583</v>
      </c>
      <c r="C65" s="2">
        <f>IFERROR(__xludf.DUMMYFUNCTION("""COMPUTED_VALUE"""),100.5)</f>
        <v>100.5</v>
      </c>
    </row>
    <row r="66" ht="15.75" customHeight="1">
      <c r="B66" s="3">
        <f>IFERROR(__xludf.DUMMYFUNCTION("""COMPUTED_VALUE"""),39878.645833333336)</f>
        <v>39878.64583</v>
      </c>
      <c r="C66" s="2">
        <f>IFERROR(__xludf.DUMMYFUNCTION("""COMPUTED_VALUE"""),94.55)</f>
        <v>94.55</v>
      </c>
    </row>
    <row r="67" ht="15.75" customHeight="1">
      <c r="B67" s="3">
        <f>IFERROR(__xludf.DUMMYFUNCTION("""COMPUTED_VALUE"""),39885.645833333336)</f>
        <v>39885.64583</v>
      </c>
      <c r="C67" s="2">
        <f>IFERROR(__xludf.DUMMYFUNCTION("""COMPUTED_VALUE"""),95.5)</f>
        <v>95.5</v>
      </c>
    </row>
    <row r="68" ht="15.75" customHeight="1">
      <c r="B68" s="3">
        <f>IFERROR(__xludf.DUMMYFUNCTION("""COMPUTED_VALUE"""),39892.645833333336)</f>
        <v>39892.64583</v>
      </c>
      <c r="C68" s="2">
        <f>IFERROR(__xludf.DUMMYFUNCTION("""COMPUTED_VALUE"""),98.35)</f>
        <v>98.35</v>
      </c>
    </row>
    <row r="69" ht="15.75" customHeight="1">
      <c r="B69" s="3">
        <f>IFERROR(__xludf.DUMMYFUNCTION("""COMPUTED_VALUE"""),39899.645833333336)</f>
        <v>39899.64583</v>
      </c>
      <c r="C69" s="2">
        <f>IFERROR(__xludf.DUMMYFUNCTION("""COMPUTED_VALUE"""),100.15)</f>
        <v>100.15</v>
      </c>
    </row>
    <row r="70" ht="15.75" customHeight="1">
      <c r="B70" s="3">
        <f>IFERROR(__xludf.DUMMYFUNCTION("""COMPUTED_VALUE"""),39905.645833333336)</f>
        <v>39905.64583</v>
      </c>
      <c r="C70" s="2">
        <f>IFERROR(__xludf.DUMMYFUNCTION("""COMPUTED_VALUE"""),99.9)</f>
        <v>99.9</v>
      </c>
    </row>
    <row r="71" ht="15.75" customHeight="1">
      <c r="B71" s="3">
        <f>IFERROR(__xludf.DUMMYFUNCTION("""COMPUTED_VALUE"""),39912.645833333336)</f>
        <v>39912.64583</v>
      </c>
      <c r="C71" s="2">
        <f>IFERROR(__xludf.DUMMYFUNCTION("""COMPUTED_VALUE"""),100.9)</f>
        <v>100.9</v>
      </c>
    </row>
    <row r="72" ht="15.75" customHeight="1">
      <c r="B72" s="3">
        <f>IFERROR(__xludf.DUMMYFUNCTION("""COMPUTED_VALUE"""),39920.645833333336)</f>
        <v>39920.64583</v>
      </c>
      <c r="C72" s="2">
        <f>IFERROR(__xludf.DUMMYFUNCTION("""COMPUTED_VALUE"""),101.6)</f>
        <v>101.6</v>
      </c>
    </row>
    <row r="73" ht="15.75" customHeight="1">
      <c r="B73" s="3">
        <f>IFERROR(__xludf.DUMMYFUNCTION("""COMPUTED_VALUE"""),39927.645833333336)</f>
        <v>39927.64583</v>
      </c>
      <c r="C73" s="2">
        <f>IFERROR(__xludf.DUMMYFUNCTION("""COMPUTED_VALUE"""),103.9)</f>
        <v>103.9</v>
      </c>
    </row>
    <row r="74" ht="15.75" customHeight="1">
      <c r="B74" s="3">
        <f>IFERROR(__xludf.DUMMYFUNCTION("""COMPUTED_VALUE"""),39932.645833333336)</f>
        <v>39932.64583</v>
      </c>
      <c r="C74" s="2">
        <f>IFERROR(__xludf.DUMMYFUNCTION("""COMPUTED_VALUE"""),100.0)</f>
        <v>100</v>
      </c>
    </row>
    <row r="75" ht="15.75" customHeight="1">
      <c r="B75" s="3">
        <f>IFERROR(__xludf.DUMMYFUNCTION("""COMPUTED_VALUE"""),39941.645833333336)</f>
        <v>39941.64583</v>
      </c>
      <c r="C75" s="2">
        <f>IFERROR(__xludf.DUMMYFUNCTION("""COMPUTED_VALUE"""),101.0)</f>
        <v>101</v>
      </c>
    </row>
    <row r="76" ht="15.75" customHeight="1">
      <c r="B76" s="3">
        <f>IFERROR(__xludf.DUMMYFUNCTION("""COMPUTED_VALUE"""),39948.645833333336)</f>
        <v>39948.64583</v>
      </c>
      <c r="C76" s="2">
        <f>IFERROR(__xludf.DUMMYFUNCTION("""COMPUTED_VALUE"""),102.45)</f>
        <v>102.45</v>
      </c>
    </row>
    <row r="77" ht="15.75" customHeight="1">
      <c r="B77" s="3">
        <f>IFERROR(__xludf.DUMMYFUNCTION("""COMPUTED_VALUE"""),39955.645833333336)</f>
        <v>39955.64583</v>
      </c>
      <c r="C77" s="2">
        <f>IFERROR(__xludf.DUMMYFUNCTION("""COMPUTED_VALUE"""),130.0)</f>
        <v>130</v>
      </c>
    </row>
    <row r="78" ht="15.75" customHeight="1">
      <c r="B78" s="3">
        <f>IFERROR(__xludf.DUMMYFUNCTION("""COMPUTED_VALUE"""),39962.645833333336)</f>
        <v>39962.64583</v>
      </c>
      <c r="C78" s="2">
        <f>IFERROR(__xludf.DUMMYFUNCTION("""COMPUTED_VALUE"""),120.0)</f>
        <v>120</v>
      </c>
    </row>
    <row r="79" ht="15.75" customHeight="1">
      <c r="B79" s="3">
        <f>IFERROR(__xludf.DUMMYFUNCTION("""COMPUTED_VALUE"""),39969.645833333336)</f>
        <v>39969.64583</v>
      </c>
      <c r="C79" s="2">
        <f>IFERROR(__xludf.DUMMYFUNCTION("""COMPUTED_VALUE"""),128.5)</f>
        <v>128.5</v>
      </c>
    </row>
    <row r="80" ht="15.75" customHeight="1">
      <c r="B80" s="3">
        <f>IFERROR(__xludf.DUMMYFUNCTION("""COMPUTED_VALUE"""),39976.645833333336)</f>
        <v>39976.64583</v>
      </c>
      <c r="C80" s="2">
        <f>IFERROR(__xludf.DUMMYFUNCTION("""COMPUTED_VALUE"""),127.25)</f>
        <v>127.25</v>
      </c>
    </row>
    <row r="81" ht="15.75" customHeight="1">
      <c r="B81" s="3">
        <f>IFERROR(__xludf.DUMMYFUNCTION("""COMPUTED_VALUE"""),39983.645833333336)</f>
        <v>39983.64583</v>
      </c>
      <c r="C81" s="2">
        <f>IFERROR(__xludf.DUMMYFUNCTION("""COMPUTED_VALUE"""),125.8)</f>
        <v>125.8</v>
      </c>
    </row>
    <row r="82" ht="15.75" customHeight="1">
      <c r="B82" s="3">
        <f>IFERROR(__xludf.DUMMYFUNCTION("""COMPUTED_VALUE"""),39990.645833333336)</f>
        <v>39990.64583</v>
      </c>
      <c r="C82" s="2">
        <f>IFERROR(__xludf.DUMMYFUNCTION("""COMPUTED_VALUE"""),111.5)</f>
        <v>111.5</v>
      </c>
    </row>
    <row r="83" ht="15.75" customHeight="1">
      <c r="B83" s="3">
        <f>IFERROR(__xludf.DUMMYFUNCTION("""COMPUTED_VALUE"""),39997.645833333336)</f>
        <v>39997.64583</v>
      </c>
      <c r="C83" s="2">
        <f>IFERROR(__xludf.DUMMYFUNCTION("""COMPUTED_VALUE"""),114.05)</f>
        <v>114.05</v>
      </c>
    </row>
    <row r="84" ht="15.75" customHeight="1">
      <c r="B84" s="3">
        <f>IFERROR(__xludf.DUMMYFUNCTION("""COMPUTED_VALUE"""),40004.645833333336)</f>
        <v>40004.64583</v>
      </c>
      <c r="C84" s="2">
        <f>IFERROR(__xludf.DUMMYFUNCTION("""COMPUTED_VALUE"""),117.5)</f>
        <v>117.5</v>
      </c>
    </row>
    <row r="85" ht="15.75" customHeight="1">
      <c r="B85" s="3">
        <f>IFERROR(__xludf.DUMMYFUNCTION("""COMPUTED_VALUE"""),40011.645833333336)</f>
        <v>40011.64583</v>
      </c>
      <c r="C85" s="2">
        <f>IFERROR(__xludf.DUMMYFUNCTION("""COMPUTED_VALUE"""),114.4)</f>
        <v>114.4</v>
      </c>
    </row>
    <row r="86" ht="15.75" customHeight="1">
      <c r="B86" s="3">
        <f>IFERROR(__xludf.DUMMYFUNCTION("""COMPUTED_VALUE"""),40018.645833333336)</f>
        <v>40018.64583</v>
      </c>
      <c r="C86" s="2">
        <f>IFERROR(__xludf.DUMMYFUNCTION("""COMPUTED_VALUE"""),116.45)</f>
        <v>116.45</v>
      </c>
    </row>
    <row r="87" ht="15.75" customHeight="1">
      <c r="B87" s="3">
        <f>IFERROR(__xludf.DUMMYFUNCTION("""COMPUTED_VALUE"""),40025.645833333336)</f>
        <v>40025.64583</v>
      </c>
      <c r="C87" s="2">
        <f>IFERROR(__xludf.DUMMYFUNCTION("""COMPUTED_VALUE"""),121.25)</f>
        <v>121.25</v>
      </c>
    </row>
    <row r="88" ht="15.75" customHeight="1">
      <c r="B88" s="3">
        <f>IFERROR(__xludf.DUMMYFUNCTION("""COMPUTED_VALUE"""),40032.645833333336)</f>
        <v>40032.64583</v>
      </c>
      <c r="C88" s="2">
        <f>IFERROR(__xludf.DUMMYFUNCTION("""COMPUTED_VALUE"""),119.85)</f>
        <v>119.85</v>
      </c>
    </row>
    <row r="89" ht="15.75" customHeight="1">
      <c r="B89" s="3">
        <f>IFERROR(__xludf.DUMMYFUNCTION("""COMPUTED_VALUE"""),40039.645833333336)</f>
        <v>40039.64583</v>
      </c>
      <c r="C89" s="2">
        <f>IFERROR(__xludf.DUMMYFUNCTION("""COMPUTED_VALUE"""),114.8)</f>
        <v>114.8</v>
      </c>
    </row>
    <row r="90" ht="15.75" customHeight="1">
      <c r="B90" s="3">
        <f>IFERROR(__xludf.DUMMYFUNCTION("""COMPUTED_VALUE"""),40046.645833333336)</f>
        <v>40046.64583</v>
      </c>
      <c r="C90" s="2">
        <f>IFERROR(__xludf.DUMMYFUNCTION("""COMPUTED_VALUE"""),111.4)</f>
        <v>111.4</v>
      </c>
    </row>
    <row r="91" ht="15.75" customHeight="1">
      <c r="B91" s="3">
        <f>IFERROR(__xludf.DUMMYFUNCTION("""COMPUTED_VALUE"""),40053.645833333336)</f>
        <v>40053.64583</v>
      </c>
      <c r="C91" s="2">
        <f>IFERROR(__xludf.DUMMYFUNCTION("""COMPUTED_VALUE"""),111.4)</f>
        <v>111.4</v>
      </c>
    </row>
    <row r="92" ht="15.75" customHeight="1">
      <c r="B92" s="3">
        <f>IFERROR(__xludf.DUMMYFUNCTION("""COMPUTED_VALUE"""),40060.645833333336)</f>
        <v>40060.64583</v>
      </c>
      <c r="C92" s="2">
        <f>IFERROR(__xludf.DUMMYFUNCTION("""COMPUTED_VALUE"""),109.0)</f>
        <v>109</v>
      </c>
    </row>
    <row r="93" ht="15.75" customHeight="1">
      <c r="B93" s="3">
        <f>IFERROR(__xludf.DUMMYFUNCTION("""COMPUTED_VALUE"""),40067.645833333336)</f>
        <v>40067.64583</v>
      </c>
      <c r="C93" s="2">
        <f>IFERROR(__xludf.DUMMYFUNCTION("""COMPUTED_VALUE"""),109.3)</f>
        <v>109.3</v>
      </c>
    </row>
    <row r="94" ht="15.75" customHeight="1">
      <c r="B94" s="3">
        <f>IFERROR(__xludf.DUMMYFUNCTION("""COMPUTED_VALUE"""),40074.645833333336)</f>
        <v>40074.64583</v>
      </c>
      <c r="C94" s="2">
        <f>IFERROR(__xludf.DUMMYFUNCTION("""COMPUTED_VALUE"""),108.85)</f>
        <v>108.85</v>
      </c>
    </row>
    <row r="95" ht="15.75" customHeight="1">
      <c r="B95" s="3">
        <f>IFERROR(__xludf.DUMMYFUNCTION("""COMPUTED_VALUE"""),40081.645833333336)</f>
        <v>40081.64583</v>
      </c>
      <c r="C95" s="2">
        <f>IFERROR(__xludf.DUMMYFUNCTION("""COMPUTED_VALUE"""),113.35)</f>
        <v>113.35</v>
      </c>
    </row>
    <row r="96" ht="15.75" customHeight="1">
      <c r="B96" s="3">
        <f>IFERROR(__xludf.DUMMYFUNCTION("""COMPUTED_VALUE"""),40087.645833333336)</f>
        <v>40087.64583</v>
      </c>
      <c r="C96" s="2">
        <f>IFERROR(__xludf.DUMMYFUNCTION("""COMPUTED_VALUE"""),113.3)</f>
        <v>113.3</v>
      </c>
    </row>
    <row r="97" ht="15.75" customHeight="1">
      <c r="B97" s="3">
        <f>IFERROR(__xludf.DUMMYFUNCTION("""COMPUTED_VALUE"""),40095.645833333336)</f>
        <v>40095.64583</v>
      </c>
      <c r="C97" s="2">
        <f>IFERROR(__xludf.DUMMYFUNCTION("""COMPUTED_VALUE"""),110.4)</f>
        <v>110.4</v>
      </c>
    </row>
    <row r="98" ht="15.75" customHeight="1">
      <c r="B98" s="3">
        <f>IFERROR(__xludf.DUMMYFUNCTION("""COMPUTED_VALUE"""),40109.645833333336)</f>
        <v>40109.64583</v>
      </c>
      <c r="C98" s="2">
        <f>IFERROR(__xludf.DUMMYFUNCTION("""COMPUTED_VALUE"""),113.7)</f>
        <v>113.7</v>
      </c>
    </row>
    <row r="99" ht="15.75" customHeight="1">
      <c r="B99" s="3">
        <f>IFERROR(__xludf.DUMMYFUNCTION("""COMPUTED_VALUE"""),40116.645833333336)</f>
        <v>40116.64583</v>
      </c>
      <c r="C99" s="2">
        <f>IFERROR(__xludf.DUMMYFUNCTION("""COMPUTED_VALUE"""),111.0)</f>
        <v>111</v>
      </c>
    </row>
    <row r="100" ht="15.75" customHeight="1">
      <c r="B100" s="3">
        <f>IFERROR(__xludf.DUMMYFUNCTION("""COMPUTED_VALUE"""),40123.645833333336)</f>
        <v>40123.64583</v>
      </c>
      <c r="C100" s="2">
        <f>IFERROR(__xludf.DUMMYFUNCTION("""COMPUTED_VALUE"""),108.35)</f>
        <v>108.35</v>
      </c>
    </row>
    <row r="101" ht="15.75" customHeight="1">
      <c r="B101" s="3">
        <f>IFERROR(__xludf.DUMMYFUNCTION("""COMPUTED_VALUE"""),40130.645833333336)</f>
        <v>40130.64583</v>
      </c>
      <c r="C101" s="2">
        <f>IFERROR(__xludf.DUMMYFUNCTION("""COMPUTED_VALUE"""),110.1)</f>
        <v>110.1</v>
      </c>
    </row>
    <row r="102" ht="15.75" customHeight="1">
      <c r="B102" s="3">
        <f>IFERROR(__xludf.DUMMYFUNCTION("""COMPUTED_VALUE"""),40137.645833333336)</f>
        <v>40137.64583</v>
      </c>
      <c r="C102" s="2">
        <f>IFERROR(__xludf.DUMMYFUNCTION("""COMPUTED_VALUE"""),107.2)</f>
        <v>107.2</v>
      </c>
    </row>
    <row r="103" ht="15.75" customHeight="1">
      <c r="B103" s="3">
        <f>IFERROR(__xludf.DUMMYFUNCTION("""COMPUTED_VALUE"""),40144.645833333336)</f>
        <v>40144.64583</v>
      </c>
      <c r="C103" s="2">
        <f>IFERROR(__xludf.DUMMYFUNCTION("""COMPUTED_VALUE"""),107.2)</f>
        <v>107.2</v>
      </c>
    </row>
    <row r="104" ht="15.75" customHeight="1">
      <c r="B104" s="3">
        <f>IFERROR(__xludf.DUMMYFUNCTION("""COMPUTED_VALUE"""),40151.645833333336)</f>
        <v>40151.64583</v>
      </c>
      <c r="C104" s="2">
        <f>IFERROR(__xludf.DUMMYFUNCTION("""COMPUTED_VALUE"""),104.4)</f>
        <v>104.4</v>
      </c>
    </row>
    <row r="105" ht="15.75" customHeight="1">
      <c r="B105" s="3">
        <f>IFERROR(__xludf.DUMMYFUNCTION("""COMPUTED_VALUE"""),40158.645833333336)</f>
        <v>40158.64583</v>
      </c>
      <c r="C105" s="2">
        <f>IFERROR(__xludf.DUMMYFUNCTION("""COMPUTED_VALUE"""),106.75)</f>
        <v>106.75</v>
      </c>
    </row>
    <row r="106" ht="15.75" customHeight="1">
      <c r="B106" s="3">
        <f>IFERROR(__xludf.DUMMYFUNCTION("""COMPUTED_VALUE"""),40165.645833333336)</f>
        <v>40165.64583</v>
      </c>
      <c r="C106" s="2">
        <f>IFERROR(__xludf.DUMMYFUNCTION("""COMPUTED_VALUE"""),105.9)</f>
        <v>105.9</v>
      </c>
    </row>
    <row r="107" ht="15.75" customHeight="1">
      <c r="B107" s="3">
        <f>IFERROR(__xludf.DUMMYFUNCTION("""COMPUTED_VALUE"""),40171.645833333336)</f>
        <v>40171.64583</v>
      </c>
      <c r="C107" s="2">
        <f>IFERROR(__xludf.DUMMYFUNCTION("""COMPUTED_VALUE"""),111.25)</f>
        <v>111.25</v>
      </c>
    </row>
    <row r="108" ht="15.75" customHeight="1">
      <c r="B108" s="3">
        <f>IFERROR(__xludf.DUMMYFUNCTION("""COMPUTED_VALUE"""),40178.645833333336)</f>
        <v>40178.64583</v>
      </c>
      <c r="C108" s="2">
        <f>IFERROR(__xludf.DUMMYFUNCTION("""COMPUTED_VALUE"""),112.9)</f>
        <v>112.9</v>
      </c>
    </row>
    <row r="109" ht="15.75" customHeight="1"/>
    <row r="110" ht="15.75" customHeight="1"/>
    <row r="111" ht="15.75" customHeight="1">
      <c r="B111" s="2" t="str">
        <f>IFERROR(__xludf.DUMMYFUNCTION("GOOGLEFINANCE(""NSE:POWERGRID"", ""high"",DATE(2010,1,1),DATE(2011,1,1),""weekly"")"),"Date")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IFERROR(__xludf.DUMMYFUNCTION("""COMPUTED_VALUE"""),40186.645833333336)</f>
        <v>40186.64583</v>
      </c>
      <c r="C112" s="2">
        <f>IFERROR(__xludf.DUMMYFUNCTION("""COMPUTED_VALUE"""),115.8)</f>
        <v>115.8</v>
      </c>
    </row>
    <row r="113" ht="15.75" customHeight="1">
      <c r="B113" s="3">
        <f>IFERROR(__xludf.DUMMYFUNCTION("""COMPUTED_VALUE"""),40193.645833333336)</f>
        <v>40193.64583</v>
      </c>
      <c r="C113" s="2">
        <f>IFERROR(__xludf.DUMMYFUNCTION("""COMPUTED_VALUE"""),121.45)</f>
        <v>121.45</v>
      </c>
    </row>
    <row r="114" ht="15.75" customHeight="1">
      <c r="B114" s="3">
        <f>IFERROR(__xludf.DUMMYFUNCTION("""COMPUTED_VALUE"""),40200.645833333336)</f>
        <v>40200.64583</v>
      </c>
      <c r="C114" s="2">
        <f>IFERROR(__xludf.DUMMYFUNCTION("""COMPUTED_VALUE"""),120.0)</f>
        <v>120</v>
      </c>
    </row>
    <row r="115" ht="15.75" customHeight="1">
      <c r="B115" s="3">
        <f>IFERROR(__xludf.DUMMYFUNCTION("""COMPUTED_VALUE"""),40207.645833333336)</f>
        <v>40207.64583</v>
      </c>
      <c r="C115" s="2">
        <f>IFERROR(__xludf.DUMMYFUNCTION("""COMPUTED_VALUE"""),117.95)</f>
        <v>117.95</v>
      </c>
    </row>
    <row r="116" ht="15.75" customHeight="1">
      <c r="B116" s="3">
        <f>IFERROR(__xludf.DUMMYFUNCTION("""COMPUTED_VALUE"""),40220.645833333336)</f>
        <v>40220.64583</v>
      </c>
      <c r="C116" s="2">
        <f>IFERROR(__xludf.DUMMYFUNCTION("""COMPUTED_VALUE"""),109.0)</f>
        <v>109</v>
      </c>
    </row>
    <row r="117" ht="15.75" customHeight="1">
      <c r="B117" s="3">
        <f>IFERROR(__xludf.DUMMYFUNCTION("""COMPUTED_VALUE"""),40228.645833333336)</f>
        <v>40228.64583</v>
      </c>
      <c r="C117" s="2">
        <f>IFERROR(__xludf.DUMMYFUNCTION("""COMPUTED_VALUE"""),109.45)</f>
        <v>109.45</v>
      </c>
    </row>
    <row r="118" ht="15.75" customHeight="1">
      <c r="B118" s="3">
        <f>IFERROR(__xludf.DUMMYFUNCTION("""COMPUTED_VALUE"""),40235.645833333336)</f>
        <v>40235.64583</v>
      </c>
      <c r="C118" s="2">
        <f>IFERROR(__xludf.DUMMYFUNCTION("""COMPUTED_VALUE"""),108.9)</f>
        <v>108.9</v>
      </c>
    </row>
    <row r="119" ht="15.75" customHeight="1">
      <c r="B119" s="3">
        <f>IFERROR(__xludf.DUMMYFUNCTION("""COMPUTED_VALUE"""),40242.645833333336)</f>
        <v>40242.64583</v>
      </c>
      <c r="C119" s="2">
        <f>IFERROR(__xludf.DUMMYFUNCTION("""COMPUTED_VALUE"""),109.65)</f>
        <v>109.65</v>
      </c>
    </row>
    <row r="120" ht="15.75" customHeight="1">
      <c r="B120" s="3">
        <f>IFERROR(__xludf.DUMMYFUNCTION("""COMPUTED_VALUE"""),40249.645833333336)</f>
        <v>40249.64583</v>
      </c>
      <c r="C120" s="2">
        <f>IFERROR(__xludf.DUMMYFUNCTION("""COMPUTED_VALUE"""),110.7)</f>
        <v>110.7</v>
      </c>
    </row>
    <row r="121" ht="15.75" customHeight="1">
      <c r="B121" s="3">
        <f>IFERROR(__xludf.DUMMYFUNCTION("""COMPUTED_VALUE"""),40256.645833333336)</f>
        <v>40256.64583</v>
      </c>
      <c r="C121" s="2">
        <f>IFERROR(__xludf.DUMMYFUNCTION("""COMPUTED_VALUE"""),109.25)</f>
        <v>109.25</v>
      </c>
    </row>
    <row r="122" ht="15.75" customHeight="1">
      <c r="B122" s="3">
        <f>IFERROR(__xludf.DUMMYFUNCTION("""COMPUTED_VALUE"""),40263.645833333336)</f>
        <v>40263.64583</v>
      </c>
      <c r="C122" s="2">
        <f>IFERROR(__xludf.DUMMYFUNCTION("""COMPUTED_VALUE"""),109.1)</f>
        <v>109.1</v>
      </c>
    </row>
    <row r="123" ht="15.75" customHeight="1">
      <c r="B123" s="3">
        <f>IFERROR(__xludf.DUMMYFUNCTION("""COMPUTED_VALUE"""),40269.645833333336)</f>
        <v>40269.64583</v>
      </c>
      <c r="C123" s="2">
        <f>IFERROR(__xludf.DUMMYFUNCTION("""COMPUTED_VALUE"""),107.65)</f>
        <v>107.65</v>
      </c>
    </row>
    <row r="124" ht="15.75" customHeight="1">
      <c r="B124" s="3">
        <f>IFERROR(__xludf.DUMMYFUNCTION("""COMPUTED_VALUE"""),40277.645833333336)</f>
        <v>40277.64583</v>
      </c>
      <c r="C124" s="2">
        <f>IFERROR(__xludf.DUMMYFUNCTION("""COMPUTED_VALUE"""),112.9)</f>
        <v>112.9</v>
      </c>
    </row>
    <row r="125" ht="15.75" customHeight="1">
      <c r="B125" s="3">
        <f>IFERROR(__xludf.DUMMYFUNCTION("""COMPUTED_VALUE"""),40284.645833333336)</f>
        <v>40284.64583</v>
      </c>
      <c r="C125" s="2">
        <f>IFERROR(__xludf.DUMMYFUNCTION("""COMPUTED_VALUE"""),110.5)</f>
        <v>110.5</v>
      </c>
    </row>
    <row r="126" ht="15.75" customHeight="1">
      <c r="B126" s="3">
        <f>IFERROR(__xludf.DUMMYFUNCTION("""COMPUTED_VALUE"""),40291.645833333336)</f>
        <v>40291.64583</v>
      </c>
      <c r="C126" s="2">
        <f>IFERROR(__xludf.DUMMYFUNCTION("""COMPUTED_VALUE"""),111.65)</f>
        <v>111.65</v>
      </c>
    </row>
    <row r="127" ht="15.75" customHeight="1">
      <c r="B127" s="3">
        <f>IFERROR(__xludf.DUMMYFUNCTION("""COMPUTED_VALUE"""),40298.645833333336)</f>
        <v>40298.64583</v>
      </c>
      <c r="C127" s="2">
        <f>IFERROR(__xludf.DUMMYFUNCTION("""COMPUTED_VALUE"""),120.5)</f>
        <v>120.5</v>
      </c>
    </row>
    <row r="128" ht="15.75" customHeight="1">
      <c r="B128" s="3">
        <f>IFERROR(__xludf.DUMMYFUNCTION("""COMPUTED_VALUE"""),40305.645833333336)</f>
        <v>40305.64583</v>
      </c>
      <c r="C128" s="2">
        <f>IFERROR(__xludf.DUMMYFUNCTION("""COMPUTED_VALUE"""),109.95)</f>
        <v>109.95</v>
      </c>
    </row>
    <row r="129" ht="15.75" customHeight="1">
      <c r="B129" s="3">
        <f>IFERROR(__xludf.DUMMYFUNCTION("""COMPUTED_VALUE"""),40312.645833333336)</f>
        <v>40312.64583</v>
      </c>
      <c r="C129" s="2">
        <f>IFERROR(__xludf.DUMMYFUNCTION("""COMPUTED_VALUE"""),108.9)</f>
        <v>108.9</v>
      </c>
    </row>
    <row r="130" ht="15.75" customHeight="1">
      <c r="B130" s="3">
        <f>IFERROR(__xludf.DUMMYFUNCTION("""COMPUTED_VALUE"""),40319.645833333336)</f>
        <v>40319.64583</v>
      </c>
      <c r="C130" s="2">
        <f>IFERROR(__xludf.DUMMYFUNCTION("""COMPUTED_VALUE"""),105.9)</f>
        <v>105.9</v>
      </c>
    </row>
    <row r="131" ht="15.75" customHeight="1">
      <c r="B131" s="3">
        <f>IFERROR(__xludf.DUMMYFUNCTION("""COMPUTED_VALUE"""),40326.645833333336)</f>
        <v>40326.64583</v>
      </c>
      <c r="C131" s="2">
        <f>IFERROR(__xludf.DUMMYFUNCTION("""COMPUTED_VALUE"""),104.5)</f>
        <v>104.5</v>
      </c>
    </row>
    <row r="132" ht="15.75" customHeight="1">
      <c r="B132" s="3">
        <f>IFERROR(__xludf.DUMMYFUNCTION("""COMPUTED_VALUE"""),40333.645833333336)</f>
        <v>40333.64583</v>
      </c>
      <c r="C132" s="2">
        <f>IFERROR(__xludf.DUMMYFUNCTION("""COMPUTED_VALUE"""),106.15)</f>
        <v>106.15</v>
      </c>
    </row>
    <row r="133" ht="15.75" customHeight="1">
      <c r="B133" s="3">
        <f>IFERROR(__xludf.DUMMYFUNCTION("""COMPUTED_VALUE"""),40340.645833333336)</f>
        <v>40340.64583</v>
      </c>
      <c r="C133" s="2">
        <f>IFERROR(__xludf.DUMMYFUNCTION("""COMPUTED_VALUE"""),105.0)</f>
        <v>105</v>
      </c>
    </row>
    <row r="134" ht="15.75" customHeight="1">
      <c r="B134" s="3">
        <f>IFERROR(__xludf.DUMMYFUNCTION("""COMPUTED_VALUE"""),40347.645833333336)</f>
        <v>40347.64583</v>
      </c>
      <c r="C134" s="2">
        <f>IFERROR(__xludf.DUMMYFUNCTION("""COMPUTED_VALUE"""),104.2)</f>
        <v>104.2</v>
      </c>
    </row>
    <row r="135" ht="15.75" customHeight="1">
      <c r="B135" s="3">
        <f>IFERROR(__xludf.DUMMYFUNCTION("""COMPUTED_VALUE"""),40354.645833333336)</f>
        <v>40354.64583</v>
      </c>
      <c r="C135" s="2">
        <f>IFERROR(__xludf.DUMMYFUNCTION("""COMPUTED_VALUE"""),103.75)</f>
        <v>103.75</v>
      </c>
    </row>
    <row r="136" ht="15.75" customHeight="1">
      <c r="B136" s="3">
        <f>IFERROR(__xludf.DUMMYFUNCTION("""COMPUTED_VALUE"""),40361.645833333336)</f>
        <v>40361.64583</v>
      </c>
      <c r="C136" s="2">
        <f>IFERROR(__xludf.DUMMYFUNCTION("""COMPUTED_VALUE"""),104.75)</f>
        <v>104.75</v>
      </c>
    </row>
    <row r="137" ht="15.75" customHeight="1">
      <c r="B137" s="3">
        <f>IFERROR(__xludf.DUMMYFUNCTION("""COMPUTED_VALUE"""),40368.645833333336)</f>
        <v>40368.64583</v>
      </c>
      <c r="C137" s="2">
        <f>IFERROR(__xludf.DUMMYFUNCTION("""COMPUTED_VALUE"""),104.8)</f>
        <v>104.8</v>
      </c>
    </row>
    <row r="138" ht="15.75" customHeight="1">
      <c r="B138" s="3">
        <f>IFERROR(__xludf.DUMMYFUNCTION("""COMPUTED_VALUE"""),40375.645833333336)</f>
        <v>40375.64583</v>
      </c>
      <c r="C138" s="2">
        <f>IFERROR(__xludf.DUMMYFUNCTION("""COMPUTED_VALUE"""),102.5)</f>
        <v>102.5</v>
      </c>
    </row>
    <row r="139" ht="15.75" customHeight="1">
      <c r="B139" s="3">
        <f>IFERROR(__xludf.DUMMYFUNCTION("""COMPUTED_VALUE"""),40382.645833333336)</f>
        <v>40382.64583</v>
      </c>
      <c r="C139" s="2">
        <f>IFERROR(__xludf.DUMMYFUNCTION("""COMPUTED_VALUE"""),102.7)</f>
        <v>102.7</v>
      </c>
    </row>
    <row r="140" ht="15.75" customHeight="1">
      <c r="B140" s="3">
        <f>IFERROR(__xludf.DUMMYFUNCTION("""COMPUTED_VALUE"""),40389.645833333336)</f>
        <v>40389.64583</v>
      </c>
      <c r="C140" s="2">
        <f>IFERROR(__xludf.DUMMYFUNCTION("""COMPUTED_VALUE"""),102.6)</f>
        <v>102.6</v>
      </c>
    </row>
    <row r="141" ht="15.75" customHeight="1">
      <c r="B141" s="3">
        <f>IFERROR(__xludf.DUMMYFUNCTION("""COMPUTED_VALUE"""),40396.645833333336)</f>
        <v>40396.64583</v>
      </c>
      <c r="C141" s="2">
        <f>IFERROR(__xludf.DUMMYFUNCTION("""COMPUTED_VALUE"""),101.4)</f>
        <v>101.4</v>
      </c>
    </row>
    <row r="142" ht="15.75" customHeight="1">
      <c r="B142" s="3">
        <f>IFERROR(__xludf.DUMMYFUNCTION("""COMPUTED_VALUE"""),40403.645833333336)</f>
        <v>40403.64583</v>
      </c>
      <c r="C142" s="2">
        <f>IFERROR(__xludf.DUMMYFUNCTION("""COMPUTED_VALUE"""),102.95)</f>
        <v>102.95</v>
      </c>
    </row>
    <row r="143" ht="15.75" customHeight="1">
      <c r="B143" s="3">
        <f>IFERROR(__xludf.DUMMYFUNCTION("""COMPUTED_VALUE"""),40410.645833333336)</f>
        <v>40410.64583</v>
      </c>
      <c r="C143" s="2">
        <f>IFERROR(__xludf.DUMMYFUNCTION("""COMPUTED_VALUE"""),107.5)</f>
        <v>107.5</v>
      </c>
    </row>
    <row r="144" ht="15.75" customHeight="1">
      <c r="B144" s="3">
        <f>IFERROR(__xludf.DUMMYFUNCTION("""COMPUTED_VALUE"""),40417.645833333336)</f>
        <v>40417.64583</v>
      </c>
      <c r="C144" s="2">
        <f>IFERROR(__xludf.DUMMYFUNCTION("""COMPUTED_VALUE"""),106.5)</f>
        <v>106.5</v>
      </c>
    </row>
    <row r="145" ht="15.75" customHeight="1">
      <c r="B145" s="3">
        <f>IFERROR(__xludf.DUMMYFUNCTION("""COMPUTED_VALUE"""),40424.645833333336)</f>
        <v>40424.64583</v>
      </c>
      <c r="C145" s="2">
        <f>IFERROR(__xludf.DUMMYFUNCTION("""COMPUTED_VALUE"""),110.75)</f>
        <v>110.75</v>
      </c>
    </row>
    <row r="146" ht="15.75" customHeight="1">
      <c r="B146" s="3">
        <f>IFERROR(__xludf.DUMMYFUNCTION("""COMPUTED_VALUE"""),40430.645833333336)</f>
        <v>40430.64583</v>
      </c>
      <c r="C146" s="2">
        <f>IFERROR(__xludf.DUMMYFUNCTION("""COMPUTED_VALUE"""),108.8)</f>
        <v>108.8</v>
      </c>
    </row>
    <row r="147" ht="15.75" customHeight="1">
      <c r="B147" s="3">
        <f>IFERROR(__xludf.DUMMYFUNCTION("""COMPUTED_VALUE"""),40438.645833333336)</f>
        <v>40438.64583</v>
      </c>
      <c r="C147" s="2">
        <f>IFERROR(__xludf.DUMMYFUNCTION("""COMPUTED_VALUE"""),107.9)</f>
        <v>107.9</v>
      </c>
    </row>
    <row r="148" ht="15.75" customHeight="1">
      <c r="B148" s="3">
        <f>IFERROR(__xludf.DUMMYFUNCTION("""COMPUTED_VALUE"""),40445.645833333336)</f>
        <v>40445.64583</v>
      </c>
      <c r="C148" s="2">
        <f>IFERROR(__xludf.DUMMYFUNCTION("""COMPUTED_VALUE"""),107.0)</f>
        <v>107</v>
      </c>
    </row>
    <row r="149" ht="15.75" customHeight="1">
      <c r="B149" s="3">
        <f>IFERROR(__xludf.DUMMYFUNCTION("""COMPUTED_VALUE"""),40452.645833333336)</f>
        <v>40452.64583</v>
      </c>
      <c r="C149" s="2">
        <f>IFERROR(__xludf.DUMMYFUNCTION("""COMPUTED_VALUE"""),110.45)</f>
        <v>110.45</v>
      </c>
    </row>
    <row r="150" ht="15.75" customHeight="1">
      <c r="B150" s="3">
        <f>IFERROR(__xludf.DUMMYFUNCTION("""COMPUTED_VALUE"""),40459.645833333336)</f>
        <v>40459.64583</v>
      </c>
      <c r="C150" s="2">
        <f>IFERROR(__xludf.DUMMYFUNCTION("""COMPUTED_VALUE"""),113.65)</f>
        <v>113.65</v>
      </c>
    </row>
    <row r="151" ht="15.75" customHeight="1">
      <c r="B151" s="3">
        <f>IFERROR(__xludf.DUMMYFUNCTION("""COMPUTED_VALUE"""),40466.645833333336)</f>
        <v>40466.64583</v>
      </c>
      <c r="C151" s="2">
        <f>IFERROR(__xludf.DUMMYFUNCTION("""COMPUTED_VALUE"""),111.75)</f>
        <v>111.75</v>
      </c>
    </row>
    <row r="152" ht="15.75" customHeight="1">
      <c r="B152" s="3">
        <f>IFERROR(__xludf.DUMMYFUNCTION("""COMPUTED_VALUE"""),40473.645833333336)</f>
        <v>40473.64583</v>
      </c>
      <c r="C152" s="2">
        <f>IFERROR(__xludf.DUMMYFUNCTION("""COMPUTED_VALUE"""),108.8)</f>
        <v>108.8</v>
      </c>
    </row>
    <row r="153" ht="15.75" customHeight="1">
      <c r="B153" s="3">
        <f>IFERROR(__xludf.DUMMYFUNCTION("""COMPUTED_VALUE"""),40480.645833333336)</f>
        <v>40480.64583</v>
      </c>
      <c r="C153" s="2">
        <f>IFERROR(__xludf.DUMMYFUNCTION("""COMPUTED_VALUE"""),107.9)</f>
        <v>107.9</v>
      </c>
    </row>
    <row r="154" ht="15.75" customHeight="1">
      <c r="B154" s="3">
        <f>IFERROR(__xludf.DUMMYFUNCTION("""COMPUTED_VALUE"""),40487.645833333336)</f>
        <v>40487.64583</v>
      </c>
      <c r="C154" s="2">
        <f>IFERROR(__xludf.DUMMYFUNCTION("""COMPUTED_VALUE"""),104.35)</f>
        <v>104.35</v>
      </c>
    </row>
    <row r="155" ht="15.75" customHeight="1">
      <c r="B155" s="3">
        <f>IFERROR(__xludf.DUMMYFUNCTION("""COMPUTED_VALUE"""),40494.645833333336)</f>
        <v>40494.64583</v>
      </c>
      <c r="C155" s="2">
        <f>IFERROR(__xludf.DUMMYFUNCTION("""COMPUTED_VALUE"""),105.25)</f>
        <v>105.25</v>
      </c>
    </row>
    <row r="156" ht="15.75" customHeight="1">
      <c r="B156" s="3">
        <f>IFERROR(__xludf.DUMMYFUNCTION("""COMPUTED_VALUE"""),40501.645833333336)</f>
        <v>40501.64583</v>
      </c>
      <c r="C156" s="2">
        <f>IFERROR(__xludf.DUMMYFUNCTION("""COMPUTED_VALUE"""),103.25)</f>
        <v>103.25</v>
      </c>
    </row>
    <row r="157" ht="15.75" customHeight="1">
      <c r="B157" s="3">
        <f>IFERROR(__xludf.DUMMYFUNCTION("""COMPUTED_VALUE"""),40508.645833333336)</f>
        <v>40508.64583</v>
      </c>
      <c r="C157" s="2">
        <f>IFERROR(__xludf.DUMMYFUNCTION("""COMPUTED_VALUE"""),101.9)</f>
        <v>101.9</v>
      </c>
    </row>
    <row r="158" ht="15.75" customHeight="1">
      <c r="B158" s="3">
        <f>IFERROR(__xludf.DUMMYFUNCTION("""COMPUTED_VALUE"""),40515.645833333336)</f>
        <v>40515.64583</v>
      </c>
      <c r="C158" s="2">
        <f>IFERROR(__xludf.DUMMYFUNCTION("""COMPUTED_VALUE"""),100.35)</f>
        <v>100.35</v>
      </c>
    </row>
    <row r="159" ht="15.75" customHeight="1">
      <c r="B159" s="3">
        <f>IFERROR(__xludf.DUMMYFUNCTION("""COMPUTED_VALUE"""),40522.645833333336)</f>
        <v>40522.64583</v>
      </c>
      <c r="C159" s="2">
        <f>IFERROR(__xludf.DUMMYFUNCTION("""COMPUTED_VALUE"""),100.3)</f>
        <v>100.3</v>
      </c>
    </row>
    <row r="160" ht="15.75" customHeight="1">
      <c r="B160" s="3">
        <f>IFERROR(__xludf.DUMMYFUNCTION("""COMPUTED_VALUE"""),40528.645833333336)</f>
        <v>40528.64583</v>
      </c>
      <c r="C160" s="2">
        <f>IFERROR(__xludf.DUMMYFUNCTION("""COMPUTED_VALUE"""),98.5)</f>
        <v>98.5</v>
      </c>
    </row>
    <row r="161" ht="15.75" customHeight="1">
      <c r="B161" s="3">
        <f>IFERROR(__xludf.DUMMYFUNCTION("""COMPUTED_VALUE"""),40536.645833333336)</f>
        <v>40536.64583</v>
      </c>
      <c r="C161" s="2">
        <f>IFERROR(__xludf.DUMMYFUNCTION("""COMPUTED_VALUE"""),98.3)</f>
        <v>98.3</v>
      </c>
    </row>
    <row r="162" ht="15.75" customHeight="1">
      <c r="B162" s="3">
        <f>IFERROR(__xludf.DUMMYFUNCTION("""COMPUTED_VALUE"""),40543.645833333336)</f>
        <v>40543.64583</v>
      </c>
      <c r="C162" s="2">
        <f>IFERROR(__xludf.DUMMYFUNCTION("""COMPUTED_VALUE"""),98.5)</f>
        <v>98.5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IFERROR(__xludf.DUMMYFUNCTION("GOOGLEFINANCE(""NSE:POWERGRID"", ""high"",DATE(2011,1,1),DATE(2012,1,1),""weekly"")"),"Date")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IFERROR(__xludf.DUMMYFUNCTION("""COMPUTED_VALUE"""),40550.645833333336)</f>
        <v>40550.64583</v>
      </c>
      <c r="C167" s="2">
        <f>IFERROR(__xludf.DUMMYFUNCTION("""COMPUTED_VALUE"""),99.9)</f>
        <v>99.9</v>
      </c>
    </row>
    <row r="168" ht="15.75" customHeight="1">
      <c r="B168" s="3">
        <f>IFERROR(__xludf.DUMMYFUNCTION("""COMPUTED_VALUE"""),40557.645833333336)</f>
        <v>40557.64583</v>
      </c>
      <c r="C168" s="2">
        <f>IFERROR(__xludf.DUMMYFUNCTION("""COMPUTED_VALUE"""),99.15)</f>
        <v>99.15</v>
      </c>
    </row>
    <row r="169" ht="15.75" customHeight="1">
      <c r="B169" s="3">
        <f>IFERROR(__xludf.DUMMYFUNCTION("""COMPUTED_VALUE"""),40564.645833333336)</f>
        <v>40564.64583</v>
      </c>
      <c r="C169" s="2">
        <f>IFERROR(__xludf.DUMMYFUNCTION("""COMPUTED_VALUE"""),99.0)</f>
        <v>99</v>
      </c>
    </row>
    <row r="170" ht="15.75" customHeight="1">
      <c r="B170" s="3">
        <f>IFERROR(__xludf.DUMMYFUNCTION("""COMPUTED_VALUE"""),40571.645833333336)</f>
        <v>40571.64583</v>
      </c>
      <c r="C170" s="2">
        <f>IFERROR(__xludf.DUMMYFUNCTION("""COMPUTED_VALUE"""),99.5)</f>
        <v>99.5</v>
      </c>
    </row>
    <row r="171" ht="15.75" customHeight="1">
      <c r="B171" s="3">
        <f>IFERROR(__xludf.DUMMYFUNCTION("""COMPUTED_VALUE"""),40578.645833333336)</f>
        <v>40578.64583</v>
      </c>
      <c r="C171" s="2">
        <f>IFERROR(__xludf.DUMMYFUNCTION("""COMPUTED_VALUE"""),100.2)</f>
        <v>100.2</v>
      </c>
    </row>
    <row r="172" ht="15.75" customHeight="1">
      <c r="B172" s="3">
        <f>IFERROR(__xludf.DUMMYFUNCTION("""COMPUTED_VALUE"""),40585.645833333336)</f>
        <v>40585.64583</v>
      </c>
      <c r="C172" s="2">
        <f>IFERROR(__xludf.DUMMYFUNCTION("""COMPUTED_VALUE"""),99.0)</f>
        <v>99</v>
      </c>
    </row>
    <row r="173" ht="15.75" customHeight="1">
      <c r="B173" s="3">
        <f>IFERROR(__xludf.DUMMYFUNCTION("""COMPUTED_VALUE"""),40592.645833333336)</f>
        <v>40592.64583</v>
      </c>
      <c r="C173" s="2">
        <f>IFERROR(__xludf.DUMMYFUNCTION("""COMPUTED_VALUE"""),99.25)</f>
        <v>99.25</v>
      </c>
    </row>
    <row r="174" ht="15.75" customHeight="1">
      <c r="B174" s="3">
        <f>IFERROR(__xludf.DUMMYFUNCTION("""COMPUTED_VALUE"""),40599.645833333336)</f>
        <v>40599.64583</v>
      </c>
      <c r="C174" s="2">
        <f>IFERROR(__xludf.DUMMYFUNCTION("""COMPUTED_VALUE"""),100.25)</f>
        <v>100.25</v>
      </c>
    </row>
    <row r="175" ht="15.75" customHeight="1">
      <c r="B175" s="3">
        <f>IFERROR(__xludf.DUMMYFUNCTION("""COMPUTED_VALUE"""),40606.645833333336)</f>
        <v>40606.64583</v>
      </c>
      <c r="C175" s="2">
        <f>IFERROR(__xludf.DUMMYFUNCTION("""COMPUTED_VALUE"""),104.4)</f>
        <v>104.4</v>
      </c>
    </row>
    <row r="176" ht="15.75" customHeight="1">
      <c r="B176" s="3">
        <f>IFERROR(__xludf.DUMMYFUNCTION("""COMPUTED_VALUE"""),40613.645833333336)</f>
        <v>40613.64583</v>
      </c>
      <c r="C176" s="2">
        <f>IFERROR(__xludf.DUMMYFUNCTION("""COMPUTED_VALUE"""),98.9)</f>
        <v>98.9</v>
      </c>
    </row>
    <row r="177" ht="15.75" customHeight="1">
      <c r="B177" s="3">
        <f>IFERROR(__xludf.DUMMYFUNCTION("""COMPUTED_VALUE"""),40620.645833333336)</f>
        <v>40620.64583</v>
      </c>
      <c r="C177" s="2">
        <f>IFERROR(__xludf.DUMMYFUNCTION("""COMPUTED_VALUE"""),99.1)</f>
        <v>99.1</v>
      </c>
    </row>
    <row r="178" ht="15.75" customHeight="1">
      <c r="B178" s="3">
        <f>IFERROR(__xludf.DUMMYFUNCTION("""COMPUTED_VALUE"""),40627.645833333336)</f>
        <v>40627.64583</v>
      </c>
      <c r="C178" s="2">
        <f>IFERROR(__xludf.DUMMYFUNCTION("""COMPUTED_VALUE"""),98.4)</f>
        <v>98.4</v>
      </c>
    </row>
    <row r="179" ht="15.75" customHeight="1">
      <c r="B179" s="3">
        <f>IFERROR(__xludf.DUMMYFUNCTION("""COMPUTED_VALUE"""),40634.645833333336)</f>
        <v>40634.64583</v>
      </c>
      <c r="C179" s="2">
        <f>IFERROR(__xludf.DUMMYFUNCTION("""COMPUTED_VALUE"""),105.5)</f>
        <v>105.5</v>
      </c>
    </row>
    <row r="180" ht="15.75" customHeight="1">
      <c r="B180" s="3">
        <f>IFERROR(__xludf.DUMMYFUNCTION("""COMPUTED_VALUE"""),40641.645833333336)</f>
        <v>40641.64583</v>
      </c>
      <c r="C180" s="2">
        <f>IFERROR(__xludf.DUMMYFUNCTION("""COMPUTED_VALUE"""),107.25)</f>
        <v>107.25</v>
      </c>
    </row>
    <row r="181" ht="15.75" customHeight="1">
      <c r="B181" s="3">
        <f>IFERROR(__xludf.DUMMYFUNCTION("""COMPUTED_VALUE"""),40648.645833333336)</f>
        <v>40648.64583</v>
      </c>
      <c r="C181" s="2">
        <f>IFERROR(__xludf.DUMMYFUNCTION("""COMPUTED_VALUE"""),105.8)</f>
        <v>105.8</v>
      </c>
    </row>
    <row r="182" ht="15.75" customHeight="1">
      <c r="B182" s="3">
        <f>IFERROR(__xludf.DUMMYFUNCTION("""COMPUTED_VALUE"""),40654.645833333336)</f>
        <v>40654.64583</v>
      </c>
      <c r="C182" s="2">
        <f>IFERROR(__xludf.DUMMYFUNCTION("""COMPUTED_VALUE"""),106.15)</f>
        <v>106.15</v>
      </c>
    </row>
    <row r="183" ht="15.75" customHeight="1">
      <c r="B183" s="3">
        <f>IFERROR(__xludf.DUMMYFUNCTION("""COMPUTED_VALUE"""),40662.645833333336)</f>
        <v>40662.64583</v>
      </c>
      <c r="C183" s="2">
        <f>IFERROR(__xludf.DUMMYFUNCTION("""COMPUTED_VALUE"""),105.5)</f>
        <v>105.5</v>
      </c>
    </row>
    <row r="184" ht="15.75" customHeight="1">
      <c r="B184" s="3">
        <f>IFERROR(__xludf.DUMMYFUNCTION("""COMPUTED_VALUE"""),40669.645833333336)</f>
        <v>40669.64583</v>
      </c>
      <c r="C184" s="2">
        <f>IFERROR(__xludf.DUMMYFUNCTION("""COMPUTED_VALUE"""),106.8)</f>
        <v>106.8</v>
      </c>
    </row>
    <row r="185" ht="15.75" customHeight="1">
      <c r="B185" s="3">
        <f>IFERROR(__xludf.DUMMYFUNCTION("""COMPUTED_VALUE"""),40676.645833333336)</f>
        <v>40676.64583</v>
      </c>
      <c r="C185" s="2">
        <f>IFERROR(__xludf.DUMMYFUNCTION("""COMPUTED_VALUE"""),104.5)</f>
        <v>104.5</v>
      </c>
    </row>
    <row r="186" ht="15.75" customHeight="1">
      <c r="B186" s="3">
        <f>IFERROR(__xludf.DUMMYFUNCTION("""COMPUTED_VALUE"""),40683.645833333336)</f>
        <v>40683.64583</v>
      </c>
      <c r="C186" s="2">
        <f>IFERROR(__xludf.DUMMYFUNCTION("""COMPUTED_VALUE"""),102.9)</f>
        <v>102.9</v>
      </c>
    </row>
    <row r="187" ht="15.75" customHeight="1">
      <c r="B187" s="3">
        <f>IFERROR(__xludf.DUMMYFUNCTION("""COMPUTED_VALUE"""),40690.645833333336)</f>
        <v>40690.64583</v>
      </c>
      <c r="C187" s="2">
        <f>IFERROR(__xludf.DUMMYFUNCTION("""COMPUTED_VALUE"""),101.4)</f>
        <v>101.4</v>
      </c>
    </row>
    <row r="188" ht="15.75" customHeight="1">
      <c r="B188" s="3">
        <f>IFERROR(__xludf.DUMMYFUNCTION("""COMPUTED_VALUE"""),40697.645833333336)</f>
        <v>40697.64583</v>
      </c>
      <c r="C188" s="2">
        <f>IFERROR(__xludf.DUMMYFUNCTION("""COMPUTED_VALUE"""),101.9)</f>
        <v>101.9</v>
      </c>
    </row>
    <row r="189" ht="15.75" customHeight="1">
      <c r="B189" s="3">
        <f>IFERROR(__xludf.DUMMYFUNCTION("""COMPUTED_VALUE"""),40704.645833333336)</f>
        <v>40704.64583</v>
      </c>
      <c r="C189" s="2">
        <f>IFERROR(__xludf.DUMMYFUNCTION("""COMPUTED_VALUE"""),101.85)</f>
        <v>101.85</v>
      </c>
    </row>
    <row r="190" ht="15.75" customHeight="1">
      <c r="B190" s="3">
        <f>IFERROR(__xludf.DUMMYFUNCTION("""COMPUTED_VALUE"""),40711.645833333336)</f>
        <v>40711.64583</v>
      </c>
      <c r="C190" s="2">
        <f>IFERROR(__xludf.DUMMYFUNCTION("""COMPUTED_VALUE"""),104.0)</f>
        <v>104</v>
      </c>
    </row>
    <row r="191" ht="15.75" customHeight="1">
      <c r="B191" s="3">
        <f>IFERROR(__xludf.DUMMYFUNCTION("""COMPUTED_VALUE"""),40718.645833333336)</f>
        <v>40718.64583</v>
      </c>
      <c r="C191" s="2">
        <f>IFERROR(__xludf.DUMMYFUNCTION("""COMPUTED_VALUE"""),104.15)</f>
        <v>104.15</v>
      </c>
    </row>
    <row r="192" ht="15.75" customHeight="1">
      <c r="B192" s="3">
        <f>IFERROR(__xludf.DUMMYFUNCTION("""COMPUTED_VALUE"""),40725.645833333336)</f>
        <v>40725.64583</v>
      </c>
      <c r="C192" s="2">
        <f>IFERROR(__xludf.DUMMYFUNCTION("""COMPUTED_VALUE"""),111.5)</f>
        <v>111.5</v>
      </c>
    </row>
    <row r="193" ht="15.75" customHeight="1">
      <c r="B193" s="3">
        <f>IFERROR(__xludf.DUMMYFUNCTION("""COMPUTED_VALUE"""),40732.645833333336)</f>
        <v>40732.64583</v>
      </c>
      <c r="C193" s="2">
        <f>IFERROR(__xludf.DUMMYFUNCTION("""COMPUTED_VALUE"""),111.4)</f>
        <v>111.4</v>
      </c>
    </row>
    <row r="194" ht="15.75" customHeight="1">
      <c r="B194" s="3">
        <f>IFERROR(__xludf.DUMMYFUNCTION("""COMPUTED_VALUE"""),40739.645833333336)</f>
        <v>40739.64583</v>
      </c>
      <c r="C194" s="2">
        <f>IFERROR(__xludf.DUMMYFUNCTION("""COMPUTED_VALUE"""),112.2)</f>
        <v>112.2</v>
      </c>
    </row>
    <row r="195" ht="15.75" customHeight="1">
      <c r="B195" s="3">
        <f>IFERROR(__xludf.DUMMYFUNCTION("""COMPUTED_VALUE"""),40746.645833333336)</f>
        <v>40746.64583</v>
      </c>
      <c r="C195" s="2">
        <f>IFERROR(__xludf.DUMMYFUNCTION("""COMPUTED_VALUE"""),110.9)</f>
        <v>110.9</v>
      </c>
    </row>
    <row r="196" ht="15.75" customHeight="1">
      <c r="B196" s="3">
        <f>IFERROR(__xludf.DUMMYFUNCTION("""COMPUTED_VALUE"""),40753.645833333336)</f>
        <v>40753.64583</v>
      </c>
      <c r="C196" s="2">
        <f>IFERROR(__xludf.DUMMYFUNCTION("""COMPUTED_VALUE"""),109.85)</f>
        <v>109.85</v>
      </c>
    </row>
    <row r="197" ht="15.75" customHeight="1">
      <c r="B197" s="3">
        <f>IFERROR(__xludf.DUMMYFUNCTION("""COMPUTED_VALUE"""),40760.645833333336)</f>
        <v>40760.64583</v>
      </c>
      <c r="C197" s="2">
        <f>IFERROR(__xludf.DUMMYFUNCTION("""COMPUTED_VALUE"""),108.7)</f>
        <v>108.7</v>
      </c>
    </row>
    <row r="198" ht="15.75" customHeight="1">
      <c r="B198" s="3">
        <f>IFERROR(__xludf.DUMMYFUNCTION("""COMPUTED_VALUE"""),40767.645833333336)</f>
        <v>40767.64583</v>
      </c>
      <c r="C198" s="2">
        <f>IFERROR(__xludf.DUMMYFUNCTION("""COMPUTED_VALUE"""),104.6)</f>
        <v>104.6</v>
      </c>
    </row>
    <row r="199" ht="15.75" customHeight="1">
      <c r="B199" s="3">
        <f>IFERROR(__xludf.DUMMYFUNCTION("""COMPUTED_VALUE"""),40774.645833333336)</f>
        <v>40774.64583</v>
      </c>
      <c r="C199" s="2">
        <f>IFERROR(__xludf.DUMMYFUNCTION("""COMPUTED_VALUE"""),104.9)</f>
        <v>104.9</v>
      </c>
    </row>
    <row r="200" ht="15.75" customHeight="1">
      <c r="B200" s="3">
        <f>IFERROR(__xludf.DUMMYFUNCTION("""COMPUTED_VALUE"""),40781.645833333336)</f>
        <v>40781.64583</v>
      </c>
      <c r="C200" s="2">
        <f>IFERROR(__xludf.DUMMYFUNCTION("""COMPUTED_VALUE"""),104.4)</f>
        <v>104.4</v>
      </c>
    </row>
    <row r="201" ht="15.75" customHeight="1">
      <c r="B201" s="3">
        <f>IFERROR(__xludf.DUMMYFUNCTION("""COMPUTED_VALUE"""),40788.645833333336)</f>
        <v>40788.64583</v>
      </c>
      <c r="C201" s="2">
        <f>IFERROR(__xludf.DUMMYFUNCTION("""COMPUTED_VALUE"""),105.0)</f>
        <v>105</v>
      </c>
    </row>
    <row r="202" ht="15.75" customHeight="1">
      <c r="B202" s="3">
        <f>IFERROR(__xludf.DUMMYFUNCTION("""COMPUTED_VALUE"""),40795.645833333336)</f>
        <v>40795.64583</v>
      </c>
      <c r="C202" s="2">
        <f>IFERROR(__xludf.DUMMYFUNCTION("""COMPUTED_VALUE"""),99.5)</f>
        <v>99.5</v>
      </c>
    </row>
    <row r="203" ht="15.75" customHeight="1">
      <c r="B203" s="3">
        <f>IFERROR(__xludf.DUMMYFUNCTION("""COMPUTED_VALUE"""),40802.645833333336)</f>
        <v>40802.64583</v>
      </c>
      <c r="C203" s="2">
        <f>IFERROR(__xludf.DUMMYFUNCTION("""COMPUTED_VALUE"""),100.25)</f>
        <v>100.25</v>
      </c>
    </row>
    <row r="204" ht="15.75" customHeight="1">
      <c r="B204" s="3">
        <f>IFERROR(__xludf.DUMMYFUNCTION("""COMPUTED_VALUE"""),40809.645833333336)</f>
        <v>40809.64583</v>
      </c>
      <c r="C204" s="2">
        <f>IFERROR(__xludf.DUMMYFUNCTION("""COMPUTED_VALUE"""),100.25)</f>
        <v>100.25</v>
      </c>
    </row>
    <row r="205" ht="15.75" customHeight="1">
      <c r="B205" s="3">
        <f>IFERROR(__xludf.DUMMYFUNCTION("""COMPUTED_VALUE"""),40816.645833333336)</f>
        <v>40816.64583</v>
      </c>
      <c r="C205" s="2">
        <f>IFERROR(__xludf.DUMMYFUNCTION("""COMPUTED_VALUE"""),99.1)</f>
        <v>99.1</v>
      </c>
    </row>
    <row r="206" ht="15.75" customHeight="1">
      <c r="B206" s="3">
        <f>IFERROR(__xludf.DUMMYFUNCTION("""COMPUTED_VALUE"""),40823.645833333336)</f>
        <v>40823.64583</v>
      </c>
      <c r="C206" s="2">
        <f>IFERROR(__xludf.DUMMYFUNCTION("""COMPUTED_VALUE"""),98.85)</f>
        <v>98.85</v>
      </c>
    </row>
    <row r="207" ht="15.75" customHeight="1">
      <c r="B207" s="3">
        <f>IFERROR(__xludf.DUMMYFUNCTION("""COMPUTED_VALUE"""),40830.645833333336)</f>
        <v>40830.64583</v>
      </c>
      <c r="C207" s="2">
        <f>IFERROR(__xludf.DUMMYFUNCTION("""COMPUTED_VALUE"""),100.05)</f>
        <v>100.05</v>
      </c>
    </row>
    <row r="208" ht="15.75" customHeight="1">
      <c r="B208" s="3">
        <f>IFERROR(__xludf.DUMMYFUNCTION("""COMPUTED_VALUE"""),40837.645833333336)</f>
        <v>40837.64583</v>
      </c>
      <c r="C208" s="2">
        <f>IFERROR(__xludf.DUMMYFUNCTION("""COMPUTED_VALUE"""),100.5)</f>
        <v>100.5</v>
      </c>
    </row>
    <row r="209" ht="15.75" customHeight="1">
      <c r="B209" s="3">
        <f>IFERROR(__xludf.DUMMYFUNCTION("""COMPUTED_VALUE"""),40844.645833333336)</f>
        <v>40844.64583</v>
      </c>
      <c r="C209" s="2">
        <f>IFERROR(__xludf.DUMMYFUNCTION("""COMPUTED_VALUE"""),108.0)</f>
        <v>108</v>
      </c>
    </row>
    <row r="210" ht="15.75" customHeight="1">
      <c r="B210" s="3">
        <f>IFERROR(__xludf.DUMMYFUNCTION("""COMPUTED_VALUE"""),40851.645833333336)</f>
        <v>40851.64583</v>
      </c>
      <c r="C210" s="2">
        <f>IFERROR(__xludf.DUMMYFUNCTION("""COMPUTED_VALUE"""),105.6)</f>
        <v>105.6</v>
      </c>
    </row>
    <row r="211" ht="15.75" customHeight="1">
      <c r="B211" s="3">
        <f>IFERROR(__xludf.DUMMYFUNCTION("""COMPUTED_VALUE"""),40858.645833333336)</f>
        <v>40858.64583</v>
      </c>
      <c r="C211" s="2">
        <f>IFERROR(__xludf.DUMMYFUNCTION("""COMPUTED_VALUE"""),105.75)</f>
        <v>105.75</v>
      </c>
    </row>
    <row r="212" ht="15.75" customHeight="1">
      <c r="B212" s="3">
        <f>IFERROR(__xludf.DUMMYFUNCTION("""COMPUTED_VALUE"""),40865.645833333336)</f>
        <v>40865.64583</v>
      </c>
      <c r="C212" s="2">
        <f>IFERROR(__xludf.DUMMYFUNCTION("""COMPUTED_VALUE"""),107.0)</f>
        <v>107</v>
      </c>
    </row>
    <row r="213" ht="15.75" customHeight="1">
      <c r="B213" s="3">
        <f>IFERROR(__xludf.DUMMYFUNCTION("""COMPUTED_VALUE"""),40872.645833333336)</f>
        <v>40872.64583</v>
      </c>
      <c r="C213" s="2">
        <f>IFERROR(__xludf.DUMMYFUNCTION("""COMPUTED_VALUE"""),101.0)</f>
        <v>101</v>
      </c>
    </row>
    <row r="214" ht="15.75" customHeight="1">
      <c r="B214" s="3">
        <f>IFERROR(__xludf.DUMMYFUNCTION("""COMPUTED_VALUE"""),40879.645833333336)</f>
        <v>40879.64583</v>
      </c>
      <c r="C214" s="2">
        <f>IFERROR(__xludf.DUMMYFUNCTION("""COMPUTED_VALUE"""),104.0)</f>
        <v>104</v>
      </c>
    </row>
    <row r="215" ht="15.75" customHeight="1">
      <c r="B215" s="3">
        <f>IFERROR(__xludf.DUMMYFUNCTION("""COMPUTED_VALUE"""),40886.645833333336)</f>
        <v>40886.64583</v>
      </c>
      <c r="C215" s="2">
        <f>IFERROR(__xludf.DUMMYFUNCTION("""COMPUTED_VALUE"""),104.55)</f>
        <v>104.55</v>
      </c>
    </row>
    <row r="216" ht="15.75" customHeight="1">
      <c r="B216" s="3">
        <f>IFERROR(__xludf.DUMMYFUNCTION("""COMPUTED_VALUE"""),40893.645833333336)</f>
        <v>40893.64583</v>
      </c>
      <c r="C216" s="2">
        <f>IFERROR(__xludf.DUMMYFUNCTION("""COMPUTED_VALUE"""),101.3)</f>
        <v>101.3</v>
      </c>
    </row>
    <row r="217" ht="15.75" customHeight="1">
      <c r="B217" s="3">
        <f>IFERROR(__xludf.DUMMYFUNCTION("""COMPUTED_VALUE"""),40900.645833333336)</f>
        <v>40900.64583</v>
      </c>
      <c r="C217" s="2">
        <f>IFERROR(__xludf.DUMMYFUNCTION("""COMPUTED_VALUE"""),101.95)</f>
        <v>101.95</v>
      </c>
    </row>
    <row r="218" ht="15.75" customHeight="1">
      <c r="B218" s="3">
        <f>IFERROR(__xludf.DUMMYFUNCTION("""COMPUTED_VALUE"""),40907.645833333336)</f>
        <v>40907.64583</v>
      </c>
      <c r="C218" s="2">
        <f>IFERROR(__xludf.DUMMYFUNCTION("""COMPUTED_VALUE"""),101.1)</f>
        <v>101.1</v>
      </c>
    </row>
    <row r="219" ht="15.75" customHeight="1"/>
    <row r="220" ht="15.75" customHeight="1"/>
    <row r="221" ht="15.75" customHeight="1">
      <c r="B221" s="2" t="str">
        <f>IFERROR(__xludf.DUMMYFUNCTION("GOOGLEFINANCE(""NSE:POWERGRID"", ""high"",DATE(2012,1,1),DATE(2013,1,1),""weekly"")"),"Date")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IFERROR(__xludf.DUMMYFUNCTION("""COMPUTED_VALUE"""),40921.645833333336)</f>
        <v>40921.64583</v>
      </c>
      <c r="C222" s="2">
        <f>IFERROR(__xludf.DUMMYFUNCTION("""COMPUTED_VALUE"""),103.3)</f>
        <v>103.3</v>
      </c>
    </row>
    <row r="223" ht="15.75" customHeight="1">
      <c r="B223" s="3">
        <f>IFERROR(__xludf.DUMMYFUNCTION("""COMPUTED_VALUE"""),40928.645833333336)</f>
        <v>40928.64583</v>
      </c>
      <c r="C223" s="2">
        <f>IFERROR(__xludf.DUMMYFUNCTION("""COMPUTED_VALUE"""),102.2)</f>
        <v>102.2</v>
      </c>
    </row>
    <row r="224" ht="15.75" customHeight="1">
      <c r="B224" s="3">
        <f>IFERROR(__xludf.DUMMYFUNCTION("""COMPUTED_VALUE"""),40935.645833333336)</f>
        <v>40935.64583</v>
      </c>
      <c r="C224" s="2">
        <f>IFERROR(__xludf.DUMMYFUNCTION("""COMPUTED_VALUE"""),104.95)</f>
        <v>104.95</v>
      </c>
    </row>
    <row r="225" ht="15.75" customHeight="1">
      <c r="B225" s="3">
        <f>IFERROR(__xludf.DUMMYFUNCTION("""COMPUTED_VALUE"""),40942.645833333336)</f>
        <v>40942.64583</v>
      </c>
      <c r="C225" s="2">
        <f>IFERROR(__xludf.DUMMYFUNCTION("""COMPUTED_VALUE"""),108.3)</f>
        <v>108.3</v>
      </c>
    </row>
    <row r="226" ht="15.75" customHeight="1">
      <c r="B226" s="3">
        <f>IFERROR(__xludf.DUMMYFUNCTION("""COMPUTED_VALUE"""),40949.645833333336)</f>
        <v>40949.64583</v>
      </c>
      <c r="C226" s="2">
        <f>IFERROR(__xludf.DUMMYFUNCTION("""COMPUTED_VALUE"""),110.75)</f>
        <v>110.75</v>
      </c>
    </row>
    <row r="227" ht="15.75" customHeight="1">
      <c r="B227" s="3">
        <f>IFERROR(__xludf.DUMMYFUNCTION("""COMPUTED_VALUE"""),40956.645833333336)</f>
        <v>40956.64583</v>
      </c>
      <c r="C227" s="2">
        <f>IFERROR(__xludf.DUMMYFUNCTION("""COMPUTED_VALUE"""),113.5)</f>
        <v>113.5</v>
      </c>
    </row>
    <row r="228" ht="15.75" customHeight="1">
      <c r="B228" s="3">
        <f>IFERROR(__xludf.DUMMYFUNCTION("""COMPUTED_VALUE"""),40963.645833333336)</f>
        <v>40963.64583</v>
      </c>
      <c r="C228" s="2">
        <f>IFERROR(__xludf.DUMMYFUNCTION("""COMPUTED_VALUE"""),115.2)</f>
        <v>115.2</v>
      </c>
    </row>
    <row r="229" ht="15.75" customHeight="1">
      <c r="B229" s="3">
        <f>IFERROR(__xludf.DUMMYFUNCTION("""COMPUTED_VALUE"""),40977.645833333336)</f>
        <v>40977.64583</v>
      </c>
      <c r="C229" s="2">
        <f>IFERROR(__xludf.DUMMYFUNCTION("""COMPUTED_VALUE"""),112.35)</f>
        <v>112.35</v>
      </c>
    </row>
    <row r="230" ht="15.75" customHeight="1">
      <c r="B230" s="3">
        <f>IFERROR(__xludf.DUMMYFUNCTION("""COMPUTED_VALUE"""),40984.645833333336)</f>
        <v>40984.64583</v>
      </c>
      <c r="C230" s="2">
        <f>IFERROR(__xludf.DUMMYFUNCTION("""COMPUTED_VALUE"""),113.4)</f>
        <v>113.4</v>
      </c>
    </row>
    <row r="231" ht="15.75" customHeight="1">
      <c r="B231" s="3">
        <f>IFERROR(__xludf.DUMMYFUNCTION("""COMPUTED_VALUE"""),40991.645833333336)</f>
        <v>40991.64583</v>
      </c>
      <c r="C231" s="2">
        <f>IFERROR(__xludf.DUMMYFUNCTION("""COMPUTED_VALUE"""),109.4)</f>
        <v>109.4</v>
      </c>
    </row>
    <row r="232" ht="15.75" customHeight="1">
      <c r="B232" s="3">
        <f>IFERROR(__xludf.DUMMYFUNCTION("""COMPUTED_VALUE"""),40998.645833333336)</f>
        <v>40998.64583</v>
      </c>
      <c r="C232" s="2">
        <f>IFERROR(__xludf.DUMMYFUNCTION("""COMPUTED_VALUE"""),109.35)</f>
        <v>109.35</v>
      </c>
    </row>
    <row r="233" ht="15.75" customHeight="1">
      <c r="B233" s="3">
        <f>IFERROR(__xludf.DUMMYFUNCTION("""COMPUTED_VALUE"""),41003.645833333336)</f>
        <v>41003.64583</v>
      </c>
      <c r="C233" s="2">
        <f>IFERROR(__xludf.DUMMYFUNCTION("""COMPUTED_VALUE"""),111.3)</f>
        <v>111.3</v>
      </c>
    </row>
    <row r="234" ht="15.75" customHeight="1">
      <c r="B234" s="3">
        <f>IFERROR(__xludf.DUMMYFUNCTION("""COMPUTED_VALUE"""),41012.645833333336)</f>
        <v>41012.64583</v>
      </c>
      <c r="C234" s="2">
        <f>IFERROR(__xludf.DUMMYFUNCTION("""COMPUTED_VALUE"""),113.8)</f>
        <v>113.8</v>
      </c>
    </row>
    <row r="235" ht="15.75" customHeight="1">
      <c r="B235" s="3">
        <f>IFERROR(__xludf.DUMMYFUNCTION("""COMPUTED_VALUE"""),41019.645833333336)</f>
        <v>41019.64583</v>
      </c>
      <c r="C235" s="2">
        <f>IFERROR(__xludf.DUMMYFUNCTION("""COMPUTED_VALUE"""),115.35)</f>
        <v>115.35</v>
      </c>
    </row>
    <row r="236" ht="15.75" customHeight="1">
      <c r="B236" s="3">
        <f>IFERROR(__xludf.DUMMYFUNCTION("""COMPUTED_VALUE"""),41033.645833333336)</f>
        <v>41033.64583</v>
      </c>
      <c r="C236" s="2">
        <f>IFERROR(__xludf.DUMMYFUNCTION("""COMPUTED_VALUE"""),112.05)</f>
        <v>112.05</v>
      </c>
    </row>
    <row r="237" ht="15.75" customHeight="1">
      <c r="B237" s="3">
        <f>IFERROR(__xludf.DUMMYFUNCTION("""COMPUTED_VALUE"""),41040.645833333336)</f>
        <v>41040.64583</v>
      </c>
      <c r="C237" s="2">
        <f>IFERROR(__xludf.DUMMYFUNCTION("""COMPUTED_VALUE"""),107.15)</f>
        <v>107.15</v>
      </c>
    </row>
    <row r="238" ht="15.75" customHeight="1">
      <c r="B238" s="3">
        <f>IFERROR(__xludf.DUMMYFUNCTION("""COMPUTED_VALUE"""),41047.645833333336)</f>
        <v>41047.64583</v>
      </c>
      <c r="C238" s="2">
        <f>IFERROR(__xludf.DUMMYFUNCTION("""COMPUTED_VALUE"""),106.8)</f>
        <v>106.8</v>
      </c>
    </row>
    <row r="239" ht="15.75" customHeight="1">
      <c r="B239" s="3">
        <f>IFERROR(__xludf.DUMMYFUNCTION("""COMPUTED_VALUE"""),41054.645833333336)</f>
        <v>41054.64583</v>
      </c>
      <c r="C239" s="2">
        <f>IFERROR(__xludf.DUMMYFUNCTION("""COMPUTED_VALUE"""),105.9)</f>
        <v>105.9</v>
      </c>
    </row>
    <row r="240" ht="15.75" customHeight="1">
      <c r="B240" s="3">
        <f>IFERROR(__xludf.DUMMYFUNCTION("""COMPUTED_VALUE"""),41061.645833333336)</f>
        <v>41061.64583</v>
      </c>
      <c r="C240" s="2">
        <f>IFERROR(__xludf.DUMMYFUNCTION("""COMPUTED_VALUE"""),108.25)</f>
        <v>108.25</v>
      </c>
    </row>
    <row r="241" ht="15.75" customHeight="1">
      <c r="B241" s="3">
        <f>IFERROR(__xludf.DUMMYFUNCTION("""COMPUTED_VALUE"""),41068.645833333336)</f>
        <v>41068.64583</v>
      </c>
      <c r="C241" s="2">
        <f>IFERROR(__xludf.DUMMYFUNCTION("""COMPUTED_VALUE"""),111.1)</f>
        <v>111.1</v>
      </c>
    </row>
    <row r="242" ht="15.75" customHeight="1">
      <c r="B242" s="3">
        <f>IFERROR(__xludf.DUMMYFUNCTION("""COMPUTED_VALUE"""),41075.645833333336)</f>
        <v>41075.64583</v>
      </c>
      <c r="C242" s="2">
        <f>IFERROR(__xludf.DUMMYFUNCTION("""COMPUTED_VALUE"""),108.5)</f>
        <v>108.5</v>
      </c>
    </row>
    <row r="243" ht="15.75" customHeight="1">
      <c r="B243" s="3">
        <f>IFERROR(__xludf.DUMMYFUNCTION("""COMPUTED_VALUE"""),41082.645833333336)</f>
        <v>41082.64583</v>
      </c>
      <c r="C243" s="2">
        <f>IFERROR(__xludf.DUMMYFUNCTION("""COMPUTED_VALUE"""),110.7)</f>
        <v>110.7</v>
      </c>
    </row>
    <row r="244" ht="15.75" customHeight="1">
      <c r="B244" s="3">
        <f>IFERROR(__xludf.DUMMYFUNCTION("""COMPUTED_VALUE"""),41089.645833333336)</f>
        <v>41089.64583</v>
      </c>
      <c r="C244" s="2">
        <f>IFERROR(__xludf.DUMMYFUNCTION("""COMPUTED_VALUE"""),114.6)</f>
        <v>114.6</v>
      </c>
    </row>
    <row r="245" ht="15.75" customHeight="1">
      <c r="B245" s="3">
        <f>IFERROR(__xludf.DUMMYFUNCTION("""COMPUTED_VALUE"""),41096.645833333336)</f>
        <v>41096.64583</v>
      </c>
      <c r="C245" s="2">
        <f>IFERROR(__xludf.DUMMYFUNCTION("""COMPUTED_VALUE"""),114.8)</f>
        <v>114.8</v>
      </c>
    </row>
    <row r="246" ht="15.75" customHeight="1">
      <c r="B246" s="3">
        <f>IFERROR(__xludf.DUMMYFUNCTION("""COMPUTED_VALUE"""),41103.645833333336)</f>
        <v>41103.64583</v>
      </c>
      <c r="C246" s="2">
        <f>IFERROR(__xludf.DUMMYFUNCTION("""COMPUTED_VALUE"""),114.5)</f>
        <v>114.5</v>
      </c>
    </row>
    <row r="247" ht="15.75" customHeight="1">
      <c r="B247" s="3">
        <f>IFERROR(__xludf.DUMMYFUNCTION("""COMPUTED_VALUE"""),41110.645833333336)</f>
        <v>41110.64583</v>
      </c>
      <c r="C247" s="2">
        <f>IFERROR(__xludf.DUMMYFUNCTION("""COMPUTED_VALUE"""),113.2)</f>
        <v>113.2</v>
      </c>
    </row>
    <row r="248" ht="15.75" customHeight="1">
      <c r="B248" s="3">
        <f>IFERROR(__xludf.DUMMYFUNCTION("""COMPUTED_VALUE"""),41117.645833333336)</f>
        <v>41117.64583</v>
      </c>
      <c r="C248" s="2">
        <f>IFERROR(__xludf.DUMMYFUNCTION("""COMPUTED_VALUE"""),115.0)</f>
        <v>115</v>
      </c>
    </row>
    <row r="249" ht="15.75" customHeight="1">
      <c r="B249" s="3">
        <f>IFERROR(__xludf.DUMMYFUNCTION("""COMPUTED_VALUE"""),41124.645833333336)</f>
        <v>41124.64583</v>
      </c>
      <c r="C249" s="2">
        <f>IFERROR(__xludf.DUMMYFUNCTION("""COMPUTED_VALUE"""),120.7)</f>
        <v>120.7</v>
      </c>
    </row>
    <row r="250" ht="15.75" customHeight="1">
      <c r="B250" s="3">
        <f>IFERROR(__xludf.DUMMYFUNCTION("""COMPUTED_VALUE"""),41131.645833333336)</f>
        <v>41131.64583</v>
      </c>
      <c r="C250" s="2">
        <f>IFERROR(__xludf.DUMMYFUNCTION("""COMPUTED_VALUE"""),121.55)</f>
        <v>121.55</v>
      </c>
    </row>
    <row r="251" ht="15.75" customHeight="1">
      <c r="B251" s="3">
        <f>IFERROR(__xludf.DUMMYFUNCTION("""COMPUTED_VALUE"""),41138.645833333336)</f>
        <v>41138.64583</v>
      </c>
      <c r="C251" s="2">
        <f>IFERROR(__xludf.DUMMYFUNCTION("""COMPUTED_VALUE"""),122.5)</f>
        <v>122.5</v>
      </c>
    </row>
    <row r="252" ht="15.75" customHeight="1">
      <c r="B252" s="3">
        <f>IFERROR(__xludf.DUMMYFUNCTION("""COMPUTED_VALUE"""),41145.645833333336)</f>
        <v>41145.64583</v>
      </c>
      <c r="C252" s="2">
        <f>IFERROR(__xludf.DUMMYFUNCTION("""COMPUTED_VALUE"""),120.25)</f>
        <v>120.25</v>
      </c>
    </row>
    <row r="253" ht="15.75" customHeight="1">
      <c r="B253" s="3">
        <f>IFERROR(__xludf.DUMMYFUNCTION("""COMPUTED_VALUE"""),41152.645833333336)</f>
        <v>41152.64583</v>
      </c>
      <c r="C253" s="2">
        <f>IFERROR(__xludf.DUMMYFUNCTION("""COMPUTED_VALUE"""),123.0)</f>
        <v>123</v>
      </c>
    </row>
    <row r="254" ht="15.75" customHeight="1">
      <c r="B254" s="3">
        <f>IFERROR(__xludf.DUMMYFUNCTION("""COMPUTED_VALUE"""),41166.645833333336)</f>
        <v>41166.64583</v>
      </c>
      <c r="C254" s="2">
        <f>IFERROR(__xludf.DUMMYFUNCTION("""COMPUTED_VALUE"""),123.0)</f>
        <v>123</v>
      </c>
    </row>
    <row r="255" ht="15.75" customHeight="1">
      <c r="B255" s="3">
        <f>IFERROR(__xludf.DUMMYFUNCTION("""COMPUTED_VALUE"""),41173.645833333336)</f>
        <v>41173.64583</v>
      </c>
      <c r="C255" s="2">
        <f>IFERROR(__xludf.DUMMYFUNCTION("""COMPUTED_VALUE"""),121.1)</f>
        <v>121.1</v>
      </c>
    </row>
    <row r="256" ht="15.75" customHeight="1">
      <c r="B256" s="3">
        <f>IFERROR(__xludf.DUMMYFUNCTION("""COMPUTED_VALUE"""),41180.645833333336)</f>
        <v>41180.64583</v>
      </c>
      <c r="C256" s="2">
        <f>IFERROR(__xludf.DUMMYFUNCTION("""COMPUTED_VALUE"""),121.5)</f>
        <v>121.5</v>
      </c>
    </row>
    <row r="257" ht="15.75" customHeight="1">
      <c r="B257" s="3">
        <f>IFERROR(__xludf.DUMMYFUNCTION("""COMPUTED_VALUE"""),41187.645833333336)</f>
        <v>41187.64583</v>
      </c>
      <c r="C257" s="2">
        <f>IFERROR(__xludf.DUMMYFUNCTION("""COMPUTED_VALUE"""),121.0)</f>
        <v>121</v>
      </c>
    </row>
    <row r="258" ht="15.75" customHeight="1">
      <c r="B258" s="3">
        <f>IFERROR(__xludf.DUMMYFUNCTION("""COMPUTED_VALUE"""),41194.645833333336)</f>
        <v>41194.64583</v>
      </c>
      <c r="C258" s="2">
        <f>IFERROR(__xludf.DUMMYFUNCTION("""COMPUTED_VALUE"""),120.65)</f>
        <v>120.65</v>
      </c>
    </row>
    <row r="259" ht="15.75" customHeight="1">
      <c r="B259" s="3">
        <f>IFERROR(__xludf.DUMMYFUNCTION("""COMPUTED_VALUE"""),41201.645833333336)</f>
        <v>41201.64583</v>
      </c>
      <c r="C259" s="2">
        <f>IFERROR(__xludf.DUMMYFUNCTION("""COMPUTED_VALUE"""),120.95)</f>
        <v>120.95</v>
      </c>
    </row>
    <row r="260" ht="15.75" customHeight="1">
      <c r="B260" s="3">
        <f>IFERROR(__xludf.DUMMYFUNCTION("""COMPUTED_VALUE"""),41208.645833333336)</f>
        <v>41208.64583</v>
      </c>
      <c r="C260" s="2">
        <f>IFERROR(__xludf.DUMMYFUNCTION("""COMPUTED_VALUE"""),119.2)</f>
        <v>119.2</v>
      </c>
    </row>
    <row r="261" ht="15.75" customHeight="1">
      <c r="B261" s="3">
        <f>IFERROR(__xludf.DUMMYFUNCTION("""COMPUTED_VALUE"""),41215.645833333336)</f>
        <v>41215.64583</v>
      </c>
      <c r="C261" s="2">
        <f>IFERROR(__xludf.DUMMYFUNCTION("""COMPUTED_VALUE"""),118.3)</f>
        <v>118.3</v>
      </c>
    </row>
    <row r="262" ht="15.75" customHeight="1">
      <c r="B262" s="3">
        <f>IFERROR(__xludf.DUMMYFUNCTION("""COMPUTED_VALUE"""),41222.645833333336)</f>
        <v>41222.64583</v>
      </c>
      <c r="C262" s="2">
        <f>IFERROR(__xludf.DUMMYFUNCTION("""COMPUTED_VALUE"""),120.9)</f>
        <v>120.9</v>
      </c>
    </row>
    <row r="263" ht="15.75" customHeight="1">
      <c r="B263" s="3">
        <f>IFERROR(__xludf.DUMMYFUNCTION("""COMPUTED_VALUE"""),41229.645833333336)</f>
        <v>41229.64583</v>
      </c>
      <c r="C263" s="2">
        <f>IFERROR(__xludf.DUMMYFUNCTION("""COMPUTED_VALUE"""),120.75)</f>
        <v>120.75</v>
      </c>
    </row>
    <row r="264" ht="15.75" customHeight="1">
      <c r="B264" s="3">
        <f>IFERROR(__xludf.DUMMYFUNCTION("""COMPUTED_VALUE"""),41236.645833333336)</f>
        <v>41236.64583</v>
      </c>
      <c r="C264" s="2">
        <f>IFERROR(__xludf.DUMMYFUNCTION("""COMPUTED_VALUE"""),122.45)</f>
        <v>122.45</v>
      </c>
    </row>
    <row r="265" ht="15.75" customHeight="1">
      <c r="B265" s="3">
        <f>IFERROR(__xludf.DUMMYFUNCTION("""COMPUTED_VALUE"""),41243.645833333336)</f>
        <v>41243.64583</v>
      </c>
      <c r="C265" s="2">
        <f>IFERROR(__xludf.DUMMYFUNCTION("""COMPUTED_VALUE"""),120.95)</f>
        <v>120.95</v>
      </c>
    </row>
    <row r="266" ht="15.75" customHeight="1">
      <c r="B266" s="3">
        <f>IFERROR(__xludf.DUMMYFUNCTION("""COMPUTED_VALUE"""),41250.645833333336)</f>
        <v>41250.64583</v>
      </c>
      <c r="C266" s="2">
        <f>IFERROR(__xludf.DUMMYFUNCTION("""COMPUTED_VALUE"""),121.25)</f>
        <v>121.25</v>
      </c>
    </row>
    <row r="267" ht="15.75" customHeight="1">
      <c r="B267" s="3">
        <f>IFERROR(__xludf.DUMMYFUNCTION("""COMPUTED_VALUE"""),41257.645833333336)</f>
        <v>41257.64583</v>
      </c>
      <c r="C267" s="2">
        <f>IFERROR(__xludf.DUMMYFUNCTION("""COMPUTED_VALUE"""),119.2)</f>
        <v>119.2</v>
      </c>
    </row>
    <row r="268" ht="15.75" customHeight="1">
      <c r="B268" s="3">
        <f>IFERROR(__xludf.DUMMYFUNCTION("""COMPUTED_VALUE"""),41264.645833333336)</f>
        <v>41264.64583</v>
      </c>
      <c r="C268" s="2">
        <f>IFERROR(__xludf.DUMMYFUNCTION("""COMPUTED_VALUE"""),117.9)</f>
        <v>117.9</v>
      </c>
    </row>
    <row r="269" ht="15.75" customHeight="1">
      <c r="B269" s="3">
        <f>IFERROR(__xludf.DUMMYFUNCTION("""COMPUTED_VALUE"""),41271.645833333336)</f>
        <v>41271.64583</v>
      </c>
      <c r="C269" s="2">
        <f>IFERROR(__xludf.DUMMYFUNCTION("""COMPUTED_VALUE"""),116.2)</f>
        <v>116.2</v>
      </c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IFERROR(__xludf.DUMMYFUNCTION("GOOGLEFINANCE(""NSE:POWERGRID"", ""high"",DATE(2013,1,1),DATE(2014,1,1),""weekly"")"),"Date")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IFERROR(__xludf.DUMMYFUNCTION("""COMPUTED_VALUE"""),41278.645833333336)</f>
        <v>41278.64583</v>
      </c>
      <c r="C277" s="2">
        <f>IFERROR(__xludf.DUMMYFUNCTION("""COMPUTED_VALUE"""),115.6)</f>
        <v>115.6</v>
      </c>
    </row>
    <row r="278" ht="15.75" customHeight="1">
      <c r="B278" s="3">
        <f>IFERROR(__xludf.DUMMYFUNCTION("""COMPUTED_VALUE"""),41285.645833333336)</f>
        <v>41285.64583</v>
      </c>
      <c r="C278" s="2">
        <f>IFERROR(__xludf.DUMMYFUNCTION("""COMPUTED_VALUE"""),116.95)</f>
        <v>116.95</v>
      </c>
    </row>
    <row r="279" ht="15.75" customHeight="1">
      <c r="B279" s="3">
        <f>IFERROR(__xludf.DUMMYFUNCTION("""COMPUTED_VALUE"""),41292.645833333336)</f>
        <v>41292.64583</v>
      </c>
      <c r="C279" s="2">
        <f>IFERROR(__xludf.DUMMYFUNCTION("""COMPUTED_VALUE"""),115.45)</f>
        <v>115.45</v>
      </c>
    </row>
    <row r="280" ht="15.75" customHeight="1">
      <c r="B280" s="3">
        <f>IFERROR(__xludf.DUMMYFUNCTION("""COMPUTED_VALUE"""),41299.645833333336)</f>
        <v>41299.64583</v>
      </c>
      <c r="C280" s="2">
        <f>IFERROR(__xludf.DUMMYFUNCTION("""COMPUTED_VALUE"""),115.25)</f>
        <v>115.25</v>
      </c>
    </row>
    <row r="281" ht="15.75" customHeight="1">
      <c r="B281" s="3">
        <f>IFERROR(__xludf.DUMMYFUNCTION("""COMPUTED_VALUE"""),41306.645833333336)</f>
        <v>41306.64583</v>
      </c>
      <c r="C281" s="2">
        <f>IFERROR(__xludf.DUMMYFUNCTION("""COMPUTED_VALUE"""),113.4)</f>
        <v>113.4</v>
      </c>
    </row>
    <row r="282" ht="15.75" customHeight="1">
      <c r="B282" s="3">
        <f>IFERROR(__xludf.DUMMYFUNCTION("""COMPUTED_VALUE"""),41313.645833333336)</f>
        <v>41313.64583</v>
      </c>
      <c r="C282" s="2">
        <f>IFERROR(__xludf.DUMMYFUNCTION("""COMPUTED_VALUE"""),112.8)</f>
        <v>112.8</v>
      </c>
    </row>
    <row r="283" ht="15.75" customHeight="1">
      <c r="B283" s="3">
        <f>IFERROR(__xludf.DUMMYFUNCTION("""COMPUTED_VALUE"""),41320.645833333336)</f>
        <v>41320.64583</v>
      </c>
      <c r="C283" s="2">
        <f>IFERROR(__xludf.DUMMYFUNCTION("""COMPUTED_VALUE"""),115.35)</f>
        <v>115.35</v>
      </c>
    </row>
    <row r="284" ht="15.75" customHeight="1">
      <c r="B284" s="3">
        <f>IFERROR(__xludf.DUMMYFUNCTION("""COMPUTED_VALUE"""),41327.645833333336)</f>
        <v>41327.64583</v>
      </c>
      <c r="C284" s="2">
        <f>IFERROR(__xludf.DUMMYFUNCTION("""COMPUTED_VALUE"""),109.65)</f>
        <v>109.65</v>
      </c>
    </row>
    <row r="285" ht="15.75" customHeight="1">
      <c r="B285" s="3">
        <f>IFERROR(__xludf.DUMMYFUNCTION("""COMPUTED_VALUE"""),41334.645833333336)</f>
        <v>41334.64583</v>
      </c>
      <c r="C285" s="2">
        <f>IFERROR(__xludf.DUMMYFUNCTION("""COMPUTED_VALUE"""),112.25)</f>
        <v>112.25</v>
      </c>
    </row>
    <row r="286" ht="15.75" customHeight="1">
      <c r="B286" s="3">
        <f>IFERROR(__xludf.DUMMYFUNCTION("""COMPUTED_VALUE"""),41341.645833333336)</f>
        <v>41341.64583</v>
      </c>
      <c r="C286" s="2">
        <f>IFERROR(__xludf.DUMMYFUNCTION("""COMPUTED_VALUE"""),110.15)</f>
        <v>110.15</v>
      </c>
    </row>
    <row r="287" ht="15.75" customHeight="1">
      <c r="B287" s="3">
        <f>IFERROR(__xludf.DUMMYFUNCTION("""COMPUTED_VALUE"""),41348.645833333336)</f>
        <v>41348.64583</v>
      </c>
      <c r="C287" s="2">
        <f>IFERROR(__xludf.DUMMYFUNCTION("""COMPUTED_VALUE"""),110.75)</f>
        <v>110.75</v>
      </c>
    </row>
    <row r="288" ht="15.75" customHeight="1">
      <c r="B288" s="3">
        <f>IFERROR(__xludf.DUMMYFUNCTION("""COMPUTED_VALUE"""),41355.645833333336)</f>
        <v>41355.64583</v>
      </c>
      <c r="C288" s="2">
        <f>IFERROR(__xludf.DUMMYFUNCTION("""COMPUTED_VALUE"""),109.4)</f>
        <v>109.4</v>
      </c>
    </row>
    <row r="289" ht="15.75" customHeight="1">
      <c r="B289" s="3">
        <f>IFERROR(__xludf.DUMMYFUNCTION("""COMPUTED_VALUE"""),41361.645833333336)</f>
        <v>41361.64583</v>
      </c>
      <c r="C289" s="2">
        <f>IFERROR(__xludf.DUMMYFUNCTION("""COMPUTED_VALUE"""),106.4)</f>
        <v>106.4</v>
      </c>
    </row>
    <row r="290" ht="15.75" customHeight="1">
      <c r="B290" s="3">
        <f>IFERROR(__xludf.DUMMYFUNCTION("""COMPUTED_VALUE"""),41369.645833333336)</f>
        <v>41369.64583</v>
      </c>
      <c r="C290" s="2">
        <f>IFERROR(__xludf.DUMMYFUNCTION("""COMPUTED_VALUE"""),107.65)</f>
        <v>107.65</v>
      </c>
    </row>
    <row r="291" ht="15.75" customHeight="1">
      <c r="B291" s="3">
        <f>IFERROR(__xludf.DUMMYFUNCTION("""COMPUTED_VALUE"""),41376.645833333336)</f>
        <v>41376.64583</v>
      </c>
      <c r="C291" s="2">
        <f>IFERROR(__xludf.DUMMYFUNCTION("""COMPUTED_VALUE"""),106.2)</f>
        <v>106.2</v>
      </c>
    </row>
    <row r="292" ht="15.75" customHeight="1">
      <c r="B292" s="3">
        <f>IFERROR(__xludf.DUMMYFUNCTION("""COMPUTED_VALUE"""),41382.645833333336)</f>
        <v>41382.64583</v>
      </c>
      <c r="C292" s="2">
        <f>IFERROR(__xludf.DUMMYFUNCTION("""COMPUTED_VALUE"""),108.15)</f>
        <v>108.15</v>
      </c>
    </row>
    <row r="293" ht="15.75" customHeight="1">
      <c r="B293" s="3">
        <f>IFERROR(__xludf.DUMMYFUNCTION("""COMPUTED_VALUE"""),41390.645833333336)</f>
        <v>41390.64583</v>
      </c>
      <c r="C293" s="2">
        <f>IFERROR(__xludf.DUMMYFUNCTION("""COMPUTED_VALUE"""),112.3)</f>
        <v>112.3</v>
      </c>
    </row>
    <row r="294" ht="15.75" customHeight="1">
      <c r="B294" s="3">
        <f>IFERROR(__xludf.DUMMYFUNCTION("""COMPUTED_VALUE"""),41397.645833333336)</f>
        <v>41397.64583</v>
      </c>
      <c r="C294" s="2">
        <f>IFERROR(__xludf.DUMMYFUNCTION("""COMPUTED_VALUE"""),115.5)</f>
        <v>115.5</v>
      </c>
    </row>
    <row r="295" ht="15.75" customHeight="1">
      <c r="B295" s="3">
        <f>IFERROR(__xludf.DUMMYFUNCTION("""COMPUTED_VALUE"""),41411.645833333336)</f>
        <v>41411.64583</v>
      </c>
      <c r="C295" s="2">
        <f>IFERROR(__xludf.DUMMYFUNCTION("""COMPUTED_VALUE"""),116.9)</f>
        <v>116.9</v>
      </c>
    </row>
    <row r="296" ht="15.75" customHeight="1">
      <c r="B296" s="3">
        <f>IFERROR(__xludf.DUMMYFUNCTION("""COMPUTED_VALUE"""),41418.645833333336)</f>
        <v>41418.64583</v>
      </c>
      <c r="C296" s="2">
        <f>IFERROR(__xludf.DUMMYFUNCTION("""COMPUTED_VALUE"""),116.1)</f>
        <v>116.1</v>
      </c>
    </row>
    <row r="297" ht="15.75" customHeight="1">
      <c r="B297" s="3">
        <f>IFERROR(__xludf.DUMMYFUNCTION("""COMPUTED_VALUE"""),41425.645833333336)</f>
        <v>41425.64583</v>
      </c>
      <c r="C297" s="2">
        <f>IFERROR(__xludf.DUMMYFUNCTION("""COMPUTED_VALUE"""),115.0)</f>
        <v>115</v>
      </c>
    </row>
    <row r="298" ht="15.75" customHeight="1">
      <c r="B298" s="3">
        <f>IFERROR(__xludf.DUMMYFUNCTION("""COMPUTED_VALUE"""),41432.645833333336)</f>
        <v>41432.64583</v>
      </c>
      <c r="C298" s="2">
        <f>IFERROR(__xludf.DUMMYFUNCTION("""COMPUTED_VALUE"""),113.85)</f>
        <v>113.85</v>
      </c>
    </row>
    <row r="299" ht="15.75" customHeight="1">
      <c r="B299" s="3">
        <f>IFERROR(__xludf.DUMMYFUNCTION("""COMPUTED_VALUE"""),41439.645833333336)</f>
        <v>41439.64583</v>
      </c>
      <c r="C299" s="2">
        <f>IFERROR(__xludf.DUMMYFUNCTION("""COMPUTED_VALUE"""),111.85)</f>
        <v>111.85</v>
      </c>
    </row>
    <row r="300" ht="15.75" customHeight="1">
      <c r="B300" s="3">
        <f>IFERROR(__xludf.DUMMYFUNCTION("""COMPUTED_VALUE"""),41446.645833333336)</f>
        <v>41446.64583</v>
      </c>
      <c r="C300" s="2">
        <f>IFERROR(__xludf.DUMMYFUNCTION("""COMPUTED_VALUE"""),109.7)</f>
        <v>109.7</v>
      </c>
    </row>
    <row r="301" ht="15.75" customHeight="1">
      <c r="B301" s="3">
        <f>IFERROR(__xludf.DUMMYFUNCTION("""COMPUTED_VALUE"""),41453.645833333336)</f>
        <v>41453.64583</v>
      </c>
      <c r="C301" s="2">
        <f>IFERROR(__xludf.DUMMYFUNCTION("""COMPUTED_VALUE"""),112.1)</f>
        <v>112.1</v>
      </c>
    </row>
    <row r="302" ht="15.75" customHeight="1">
      <c r="B302" s="3">
        <f>IFERROR(__xludf.DUMMYFUNCTION("""COMPUTED_VALUE"""),41460.645833333336)</f>
        <v>41460.64583</v>
      </c>
      <c r="C302" s="2">
        <f>IFERROR(__xludf.DUMMYFUNCTION("""COMPUTED_VALUE"""),113.3)</f>
        <v>113.3</v>
      </c>
    </row>
    <row r="303" ht="15.75" customHeight="1">
      <c r="B303" s="3">
        <f>IFERROR(__xludf.DUMMYFUNCTION("""COMPUTED_VALUE"""),41467.645833333336)</f>
        <v>41467.64583</v>
      </c>
      <c r="C303" s="2">
        <f>IFERROR(__xludf.DUMMYFUNCTION("""COMPUTED_VALUE"""),111.4)</f>
        <v>111.4</v>
      </c>
    </row>
    <row r="304" ht="15.75" customHeight="1">
      <c r="B304" s="3">
        <f>IFERROR(__xludf.DUMMYFUNCTION("""COMPUTED_VALUE"""),41474.645833333336)</f>
        <v>41474.64583</v>
      </c>
      <c r="C304" s="2">
        <f>IFERROR(__xludf.DUMMYFUNCTION("""COMPUTED_VALUE"""),112.2)</f>
        <v>112.2</v>
      </c>
    </row>
    <row r="305" ht="15.75" customHeight="1">
      <c r="B305" s="3">
        <f>IFERROR(__xludf.DUMMYFUNCTION("""COMPUTED_VALUE"""),41481.645833333336)</f>
        <v>41481.64583</v>
      </c>
      <c r="C305" s="2">
        <f>IFERROR(__xludf.DUMMYFUNCTION("""COMPUTED_VALUE"""),112.25)</f>
        <v>112.25</v>
      </c>
    </row>
    <row r="306" ht="15.75" customHeight="1">
      <c r="B306" s="3">
        <f>IFERROR(__xludf.DUMMYFUNCTION("""COMPUTED_VALUE"""),41488.645833333336)</f>
        <v>41488.64583</v>
      </c>
      <c r="C306" s="2">
        <f>IFERROR(__xludf.DUMMYFUNCTION("""COMPUTED_VALUE"""),109.65)</f>
        <v>109.65</v>
      </c>
    </row>
    <row r="307" ht="15.75" customHeight="1">
      <c r="B307" s="3">
        <f>IFERROR(__xludf.DUMMYFUNCTION("""COMPUTED_VALUE"""),41494.645833333336)</f>
        <v>41494.64583</v>
      </c>
      <c r="C307" s="2">
        <f>IFERROR(__xludf.DUMMYFUNCTION("""COMPUTED_VALUE"""),97.0)</f>
        <v>97</v>
      </c>
    </row>
    <row r="308" ht="15.75" customHeight="1">
      <c r="B308" s="3">
        <f>IFERROR(__xludf.DUMMYFUNCTION("""COMPUTED_VALUE"""),41502.645833333336)</f>
        <v>41502.64583</v>
      </c>
      <c r="C308" s="2">
        <f>IFERROR(__xludf.DUMMYFUNCTION("""COMPUTED_VALUE"""),99.05)</f>
        <v>99.05</v>
      </c>
    </row>
    <row r="309" ht="15.75" customHeight="1">
      <c r="B309" s="3">
        <f>IFERROR(__xludf.DUMMYFUNCTION("""COMPUTED_VALUE"""),41509.645833333336)</f>
        <v>41509.64583</v>
      </c>
      <c r="C309" s="2">
        <f>IFERROR(__xludf.DUMMYFUNCTION("""COMPUTED_VALUE"""),98.85)</f>
        <v>98.85</v>
      </c>
    </row>
    <row r="310" ht="15.75" customHeight="1">
      <c r="B310" s="3">
        <f>IFERROR(__xludf.DUMMYFUNCTION("""COMPUTED_VALUE"""),41516.645833333336)</f>
        <v>41516.64583</v>
      </c>
      <c r="C310" s="2">
        <f>IFERROR(__xludf.DUMMYFUNCTION("""COMPUTED_VALUE"""),103.25)</f>
        <v>103.25</v>
      </c>
    </row>
    <row r="311" ht="15.75" customHeight="1">
      <c r="B311" s="3">
        <f>IFERROR(__xludf.DUMMYFUNCTION("""COMPUTED_VALUE"""),41523.645833333336)</f>
        <v>41523.64583</v>
      </c>
      <c r="C311" s="2">
        <f>IFERROR(__xludf.DUMMYFUNCTION("""COMPUTED_VALUE"""),100.45)</f>
        <v>100.45</v>
      </c>
    </row>
    <row r="312" ht="15.75" customHeight="1">
      <c r="B312" s="3">
        <f>IFERROR(__xludf.DUMMYFUNCTION("""COMPUTED_VALUE"""),41530.645833333336)</f>
        <v>41530.64583</v>
      </c>
      <c r="C312" s="2">
        <f>IFERROR(__xludf.DUMMYFUNCTION("""COMPUTED_VALUE"""),103.55)</f>
        <v>103.55</v>
      </c>
    </row>
    <row r="313" ht="15.75" customHeight="1">
      <c r="B313" s="3">
        <f>IFERROR(__xludf.DUMMYFUNCTION("""COMPUTED_VALUE"""),41537.645833333336)</f>
        <v>41537.64583</v>
      </c>
      <c r="C313" s="2">
        <f>IFERROR(__xludf.DUMMYFUNCTION("""COMPUTED_VALUE"""),104.15)</f>
        <v>104.15</v>
      </c>
    </row>
    <row r="314" ht="15.75" customHeight="1">
      <c r="B314" s="3">
        <f>IFERROR(__xludf.DUMMYFUNCTION("""COMPUTED_VALUE"""),41544.645833333336)</f>
        <v>41544.64583</v>
      </c>
      <c r="C314" s="2">
        <f>IFERROR(__xludf.DUMMYFUNCTION("""COMPUTED_VALUE"""),100.9)</f>
        <v>100.9</v>
      </c>
    </row>
    <row r="315" ht="15.75" customHeight="1">
      <c r="B315" s="3">
        <f>IFERROR(__xludf.DUMMYFUNCTION("""COMPUTED_VALUE"""),41551.645833333336)</f>
        <v>41551.64583</v>
      </c>
      <c r="C315" s="2">
        <f>IFERROR(__xludf.DUMMYFUNCTION("""COMPUTED_VALUE"""),100.25)</f>
        <v>100.25</v>
      </c>
    </row>
    <row r="316" ht="15.75" customHeight="1">
      <c r="B316" s="3">
        <f>IFERROR(__xludf.DUMMYFUNCTION("""COMPUTED_VALUE"""),41558.645833333336)</f>
        <v>41558.64583</v>
      </c>
      <c r="C316" s="2">
        <f>IFERROR(__xludf.DUMMYFUNCTION("""COMPUTED_VALUE"""),99.9)</f>
        <v>99.9</v>
      </c>
    </row>
    <row r="317" ht="15.75" customHeight="1">
      <c r="B317" s="3">
        <f>IFERROR(__xludf.DUMMYFUNCTION("""COMPUTED_VALUE"""),41565.645833333336)</f>
        <v>41565.64583</v>
      </c>
      <c r="C317" s="2">
        <f>IFERROR(__xludf.DUMMYFUNCTION("""COMPUTED_VALUE"""),100.15)</f>
        <v>100.15</v>
      </c>
    </row>
    <row r="318" ht="15.75" customHeight="1">
      <c r="B318" s="3">
        <f>IFERROR(__xludf.DUMMYFUNCTION("""COMPUTED_VALUE"""),41572.645833333336)</f>
        <v>41572.64583</v>
      </c>
      <c r="C318" s="2">
        <f>IFERROR(__xludf.DUMMYFUNCTION("""COMPUTED_VALUE"""),103.6)</f>
        <v>103.6</v>
      </c>
    </row>
    <row r="319" ht="15.75" customHeight="1">
      <c r="B319" s="3">
        <f>IFERROR(__xludf.DUMMYFUNCTION("""COMPUTED_VALUE"""),41579.645833333336)</f>
        <v>41579.64583</v>
      </c>
      <c r="C319" s="2">
        <f>IFERROR(__xludf.DUMMYFUNCTION("""COMPUTED_VALUE"""),102.5)</f>
        <v>102.5</v>
      </c>
    </row>
    <row r="320" ht="15.75" customHeight="1">
      <c r="B320" s="3">
        <f>IFERROR(__xludf.DUMMYFUNCTION("""COMPUTED_VALUE"""),41586.645833333336)</f>
        <v>41586.64583</v>
      </c>
      <c r="C320" s="2">
        <f>IFERROR(__xludf.DUMMYFUNCTION("""COMPUTED_VALUE"""),98.85)</f>
        <v>98.85</v>
      </c>
    </row>
    <row r="321" ht="15.75" customHeight="1">
      <c r="B321" s="3">
        <f>IFERROR(__xludf.DUMMYFUNCTION("""COMPUTED_VALUE"""),41592.645833333336)</f>
        <v>41592.64583</v>
      </c>
      <c r="C321" s="2">
        <f>IFERROR(__xludf.DUMMYFUNCTION("""COMPUTED_VALUE"""),96.7)</f>
        <v>96.7</v>
      </c>
    </row>
    <row r="322" ht="15.75" customHeight="1">
      <c r="B322" s="3">
        <f>IFERROR(__xludf.DUMMYFUNCTION("""COMPUTED_VALUE"""),41600.645833333336)</f>
        <v>41600.64583</v>
      </c>
      <c r="C322" s="2">
        <f>IFERROR(__xludf.DUMMYFUNCTION("""COMPUTED_VALUE"""),96.7)</f>
        <v>96.7</v>
      </c>
    </row>
    <row r="323" ht="15.75" customHeight="1">
      <c r="B323" s="3">
        <f>IFERROR(__xludf.DUMMYFUNCTION("""COMPUTED_VALUE"""),41607.645833333336)</f>
        <v>41607.64583</v>
      </c>
      <c r="C323" s="2">
        <f>IFERROR(__xludf.DUMMYFUNCTION("""COMPUTED_VALUE"""),95.6)</f>
        <v>95.6</v>
      </c>
    </row>
    <row r="324" ht="15.75" customHeight="1">
      <c r="B324" s="3">
        <f>IFERROR(__xludf.DUMMYFUNCTION("""COMPUTED_VALUE"""),41614.645833333336)</f>
        <v>41614.64583</v>
      </c>
      <c r="C324" s="2">
        <f>IFERROR(__xludf.DUMMYFUNCTION("""COMPUTED_VALUE"""),99.9)</f>
        <v>99.9</v>
      </c>
    </row>
    <row r="325" ht="15.75" customHeight="1">
      <c r="B325" s="3">
        <f>IFERROR(__xludf.DUMMYFUNCTION("""COMPUTED_VALUE"""),41621.645833333336)</f>
        <v>41621.64583</v>
      </c>
      <c r="C325" s="2">
        <f>IFERROR(__xludf.DUMMYFUNCTION("""COMPUTED_VALUE"""),101.85)</f>
        <v>101.85</v>
      </c>
    </row>
    <row r="326" ht="15.75" customHeight="1">
      <c r="B326" s="3">
        <f>IFERROR(__xludf.DUMMYFUNCTION("""COMPUTED_VALUE"""),41628.645833333336)</f>
        <v>41628.64583</v>
      </c>
      <c r="C326" s="2">
        <f>IFERROR(__xludf.DUMMYFUNCTION("""COMPUTED_VALUE"""),101.7)</f>
        <v>101.7</v>
      </c>
    </row>
    <row r="327" ht="15.75" customHeight="1">
      <c r="B327" s="3">
        <f>IFERROR(__xludf.DUMMYFUNCTION("""COMPUTED_VALUE"""),41635.645833333336)</f>
        <v>41635.64583</v>
      </c>
      <c r="C327" s="2">
        <f>IFERROR(__xludf.DUMMYFUNCTION("""COMPUTED_VALUE"""),100.1)</f>
        <v>100.1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IFERROR(__xludf.DUMMYFUNCTION("GOOGLEFINANCE(""NSE:POWERGRID"", ""high"",DATE(2014,1,1),DATE(2015,1,1),""weekly"")"),"Date")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IFERROR(__xludf.DUMMYFUNCTION("""COMPUTED_VALUE"""),41642.645833333336)</f>
        <v>41642.64583</v>
      </c>
      <c r="C332" s="2">
        <f>IFERROR(__xludf.DUMMYFUNCTION("""COMPUTED_VALUE"""),102.75)</f>
        <v>102.75</v>
      </c>
    </row>
    <row r="333" ht="15.75" customHeight="1">
      <c r="B333" s="3">
        <f>IFERROR(__xludf.DUMMYFUNCTION("""COMPUTED_VALUE"""),41649.645833333336)</f>
        <v>41649.64583</v>
      </c>
      <c r="C333" s="2">
        <f>IFERROR(__xludf.DUMMYFUNCTION("""COMPUTED_VALUE"""),101.0)</f>
        <v>101</v>
      </c>
    </row>
    <row r="334" ht="15.75" customHeight="1">
      <c r="B334" s="3">
        <f>IFERROR(__xludf.DUMMYFUNCTION("""COMPUTED_VALUE"""),41656.645833333336)</f>
        <v>41656.64583</v>
      </c>
      <c r="C334" s="2">
        <f>IFERROR(__xludf.DUMMYFUNCTION("""COMPUTED_VALUE"""),99.5)</f>
        <v>99.5</v>
      </c>
    </row>
    <row r="335" ht="15.75" customHeight="1">
      <c r="B335" s="3">
        <f>IFERROR(__xludf.DUMMYFUNCTION("""COMPUTED_VALUE"""),41663.645833333336)</f>
        <v>41663.64583</v>
      </c>
      <c r="C335" s="2">
        <f>IFERROR(__xludf.DUMMYFUNCTION("""COMPUTED_VALUE"""),98.9)</f>
        <v>98.9</v>
      </c>
    </row>
    <row r="336" ht="15.75" customHeight="1">
      <c r="B336" s="3">
        <f>IFERROR(__xludf.DUMMYFUNCTION("""COMPUTED_VALUE"""),41670.645833333336)</f>
        <v>41670.64583</v>
      </c>
      <c r="C336" s="2">
        <f>IFERROR(__xludf.DUMMYFUNCTION("""COMPUTED_VALUE"""),98.9)</f>
        <v>98.9</v>
      </c>
    </row>
    <row r="337" ht="15.75" customHeight="1">
      <c r="B337" s="3">
        <f>IFERROR(__xludf.DUMMYFUNCTION("""COMPUTED_VALUE"""),41677.645833333336)</f>
        <v>41677.64583</v>
      </c>
      <c r="C337" s="2">
        <f>IFERROR(__xludf.DUMMYFUNCTION("""COMPUTED_VALUE"""),97.85)</f>
        <v>97.85</v>
      </c>
    </row>
    <row r="338" ht="15.75" customHeight="1">
      <c r="B338" s="3">
        <f>IFERROR(__xludf.DUMMYFUNCTION("""COMPUTED_VALUE"""),41684.645833333336)</f>
        <v>41684.64583</v>
      </c>
      <c r="C338" s="2">
        <f>IFERROR(__xludf.DUMMYFUNCTION("""COMPUTED_VALUE"""),98.0)</f>
        <v>98</v>
      </c>
    </row>
    <row r="339" ht="15.75" customHeight="1">
      <c r="B339" s="3">
        <f>IFERROR(__xludf.DUMMYFUNCTION("""COMPUTED_VALUE"""),41691.645833333336)</f>
        <v>41691.64583</v>
      </c>
      <c r="C339" s="2">
        <f>IFERROR(__xludf.DUMMYFUNCTION("""COMPUTED_VALUE"""),96.1)</f>
        <v>96.1</v>
      </c>
    </row>
    <row r="340" ht="15.75" customHeight="1">
      <c r="B340" s="3">
        <f>IFERROR(__xludf.DUMMYFUNCTION("""COMPUTED_VALUE"""),41698.645833333336)</f>
        <v>41698.64583</v>
      </c>
      <c r="C340" s="2">
        <f>IFERROR(__xludf.DUMMYFUNCTION("""COMPUTED_VALUE"""),96.2)</f>
        <v>96.2</v>
      </c>
    </row>
    <row r="341" ht="15.75" customHeight="1">
      <c r="B341" s="3">
        <f>IFERROR(__xludf.DUMMYFUNCTION("""COMPUTED_VALUE"""),41705.645833333336)</f>
        <v>41705.64583</v>
      </c>
      <c r="C341" s="2">
        <f>IFERROR(__xludf.DUMMYFUNCTION("""COMPUTED_VALUE"""),99.45)</f>
        <v>99.45</v>
      </c>
    </row>
    <row r="342" ht="15.75" customHeight="1">
      <c r="B342" s="3">
        <f>IFERROR(__xludf.DUMMYFUNCTION("""COMPUTED_VALUE"""),41712.645833333336)</f>
        <v>41712.64583</v>
      </c>
      <c r="C342" s="2">
        <f>IFERROR(__xludf.DUMMYFUNCTION("""COMPUTED_VALUE"""),100.0)</f>
        <v>100</v>
      </c>
    </row>
    <row r="343" ht="15.75" customHeight="1">
      <c r="B343" s="3">
        <f>IFERROR(__xludf.DUMMYFUNCTION("""COMPUTED_VALUE"""),41726.645833333336)</f>
        <v>41726.64583</v>
      </c>
      <c r="C343" s="2">
        <f>IFERROR(__xludf.DUMMYFUNCTION("""COMPUTED_VALUE"""),108.25)</f>
        <v>108.25</v>
      </c>
    </row>
    <row r="344" ht="15.75" customHeight="1">
      <c r="B344" s="3">
        <f>IFERROR(__xludf.DUMMYFUNCTION("""COMPUTED_VALUE"""),41733.645833333336)</f>
        <v>41733.64583</v>
      </c>
      <c r="C344" s="2">
        <f>IFERROR(__xludf.DUMMYFUNCTION("""COMPUTED_VALUE"""),109.6)</f>
        <v>109.6</v>
      </c>
    </row>
    <row r="345" ht="15.75" customHeight="1">
      <c r="B345" s="3">
        <f>IFERROR(__xludf.DUMMYFUNCTION("""COMPUTED_VALUE"""),41740.645833333336)</f>
        <v>41740.64583</v>
      </c>
      <c r="C345" s="2">
        <f>IFERROR(__xludf.DUMMYFUNCTION("""COMPUTED_VALUE"""),108.25)</f>
        <v>108.25</v>
      </c>
    </row>
    <row r="346" ht="15.75" customHeight="1">
      <c r="B346" s="3">
        <f>IFERROR(__xludf.DUMMYFUNCTION("""COMPUTED_VALUE"""),41746.645833333336)</f>
        <v>41746.64583</v>
      </c>
      <c r="C346" s="2">
        <f>IFERROR(__xludf.DUMMYFUNCTION("""COMPUTED_VALUE"""),108.2)</f>
        <v>108.2</v>
      </c>
    </row>
    <row r="347" ht="15.75" customHeight="1">
      <c r="B347" s="3">
        <f>IFERROR(__xludf.DUMMYFUNCTION("""COMPUTED_VALUE"""),41754.645833333336)</f>
        <v>41754.64583</v>
      </c>
      <c r="C347" s="2">
        <f>IFERROR(__xludf.DUMMYFUNCTION("""COMPUTED_VALUE"""),108.2)</f>
        <v>108.2</v>
      </c>
    </row>
    <row r="348" ht="15.75" customHeight="1">
      <c r="B348" s="3">
        <f>IFERROR(__xludf.DUMMYFUNCTION("""COMPUTED_VALUE"""),41761.645833333336)</f>
        <v>41761.64583</v>
      </c>
      <c r="C348" s="2">
        <f>IFERROR(__xludf.DUMMYFUNCTION("""COMPUTED_VALUE"""),107.9)</f>
        <v>107.9</v>
      </c>
    </row>
    <row r="349" ht="15.75" customHeight="1">
      <c r="B349" s="3">
        <f>IFERROR(__xludf.DUMMYFUNCTION("""COMPUTED_VALUE"""),41768.645833333336)</f>
        <v>41768.64583</v>
      </c>
      <c r="C349" s="2">
        <f>IFERROR(__xludf.DUMMYFUNCTION("""COMPUTED_VALUE"""),107.25)</f>
        <v>107.25</v>
      </c>
    </row>
    <row r="350" ht="15.75" customHeight="1">
      <c r="B350" s="3">
        <f>IFERROR(__xludf.DUMMYFUNCTION("""COMPUTED_VALUE"""),41775.645833333336)</f>
        <v>41775.64583</v>
      </c>
      <c r="C350" s="2">
        <f>IFERROR(__xludf.DUMMYFUNCTION("""COMPUTED_VALUE"""),125.65)</f>
        <v>125.65</v>
      </c>
    </row>
    <row r="351" ht="15.75" customHeight="1">
      <c r="B351" s="3">
        <f>IFERROR(__xludf.DUMMYFUNCTION("""COMPUTED_VALUE"""),41782.645833333336)</f>
        <v>41782.64583</v>
      </c>
      <c r="C351" s="2">
        <f>IFERROR(__xludf.DUMMYFUNCTION("""COMPUTED_VALUE"""),132.0)</f>
        <v>132</v>
      </c>
    </row>
    <row r="352" ht="15.75" customHeight="1">
      <c r="B352" s="3">
        <f>IFERROR(__xludf.DUMMYFUNCTION("""COMPUTED_VALUE"""),41789.645833333336)</f>
        <v>41789.64583</v>
      </c>
      <c r="C352" s="2">
        <f>IFERROR(__xludf.DUMMYFUNCTION("""COMPUTED_VALUE"""),134.8)</f>
        <v>134.8</v>
      </c>
    </row>
    <row r="353" ht="15.75" customHeight="1">
      <c r="B353" s="3">
        <f>IFERROR(__xludf.DUMMYFUNCTION("""COMPUTED_VALUE"""),41796.645833333336)</f>
        <v>41796.64583</v>
      </c>
      <c r="C353" s="2">
        <f>IFERROR(__xludf.DUMMYFUNCTION("""COMPUTED_VALUE"""),128.5)</f>
        <v>128.5</v>
      </c>
    </row>
    <row r="354" ht="15.75" customHeight="1">
      <c r="B354" s="3">
        <f>IFERROR(__xludf.DUMMYFUNCTION("""COMPUTED_VALUE"""),41803.645833333336)</f>
        <v>41803.64583</v>
      </c>
      <c r="C354" s="2">
        <f>IFERROR(__xludf.DUMMYFUNCTION("""COMPUTED_VALUE"""),142.6)</f>
        <v>142.6</v>
      </c>
    </row>
    <row r="355" ht="15.75" customHeight="1">
      <c r="B355" s="3">
        <f>IFERROR(__xludf.DUMMYFUNCTION("""COMPUTED_VALUE"""),41810.645833333336)</f>
        <v>41810.64583</v>
      </c>
      <c r="C355" s="2">
        <f>IFERROR(__xludf.DUMMYFUNCTION("""COMPUTED_VALUE"""),136.5)</f>
        <v>136.5</v>
      </c>
    </row>
    <row r="356" ht="15.75" customHeight="1">
      <c r="B356" s="3">
        <f>IFERROR(__xludf.DUMMYFUNCTION("""COMPUTED_VALUE"""),41817.645833333336)</f>
        <v>41817.64583</v>
      </c>
      <c r="C356" s="2">
        <f>IFERROR(__xludf.DUMMYFUNCTION("""COMPUTED_VALUE"""),137.4)</f>
        <v>137.4</v>
      </c>
    </row>
    <row r="357" ht="15.75" customHeight="1">
      <c r="B357" s="3">
        <f>IFERROR(__xludf.DUMMYFUNCTION("""COMPUTED_VALUE"""),41824.645833333336)</f>
        <v>41824.64583</v>
      </c>
      <c r="C357" s="2">
        <f>IFERROR(__xludf.DUMMYFUNCTION("""COMPUTED_VALUE"""),146.3)</f>
        <v>146.3</v>
      </c>
    </row>
    <row r="358" ht="15.75" customHeight="1">
      <c r="B358" s="3">
        <f>IFERROR(__xludf.DUMMYFUNCTION("""COMPUTED_VALUE"""),41831.645833333336)</f>
        <v>41831.64583</v>
      </c>
      <c r="C358" s="2">
        <f>IFERROR(__xludf.DUMMYFUNCTION("""COMPUTED_VALUE"""),146.95)</f>
        <v>146.95</v>
      </c>
    </row>
    <row r="359" ht="15.75" customHeight="1">
      <c r="B359" s="3">
        <f>IFERROR(__xludf.DUMMYFUNCTION("""COMPUTED_VALUE"""),41838.645833333336)</f>
        <v>41838.64583</v>
      </c>
      <c r="C359" s="2">
        <f>IFERROR(__xludf.DUMMYFUNCTION("""COMPUTED_VALUE"""),139.4)</f>
        <v>139.4</v>
      </c>
    </row>
    <row r="360" ht="15.75" customHeight="1">
      <c r="B360" s="3">
        <f>IFERROR(__xludf.DUMMYFUNCTION("""COMPUTED_VALUE"""),41845.645833333336)</f>
        <v>41845.64583</v>
      </c>
      <c r="C360" s="2">
        <f>IFERROR(__xludf.DUMMYFUNCTION("""COMPUTED_VALUE"""),138.2)</f>
        <v>138.2</v>
      </c>
    </row>
    <row r="361" ht="15.75" customHeight="1">
      <c r="B361" s="3">
        <f>IFERROR(__xludf.DUMMYFUNCTION("""COMPUTED_VALUE"""),41852.645833333336)</f>
        <v>41852.64583</v>
      </c>
      <c r="C361" s="2">
        <f>IFERROR(__xludf.DUMMYFUNCTION("""COMPUTED_VALUE"""),135.95)</f>
        <v>135.95</v>
      </c>
    </row>
    <row r="362" ht="15.75" customHeight="1">
      <c r="B362" s="3">
        <f>IFERROR(__xludf.DUMMYFUNCTION("""COMPUTED_VALUE"""),41859.645833333336)</f>
        <v>41859.64583</v>
      </c>
      <c r="C362" s="2">
        <f>IFERROR(__xludf.DUMMYFUNCTION("""COMPUTED_VALUE"""),136.35)</f>
        <v>136.35</v>
      </c>
    </row>
    <row r="363" ht="15.75" customHeight="1">
      <c r="B363" s="3">
        <f>IFERROR(__xludf.DUMMYFUNCTION("""COMPUTED_VALUE"""),41865.645833333336)</f>
        <v>41865.64583</v>
      </c>
      <c r="C363" s="2">
        <f>IFERROR(__xludf.DUMMYFUNCTION("""COMPUTED_VALUE"""),134.25)</f>
        <v>134.25</v>
      </c>
    </row>
    <row r="364" ht="15.75" customHeight="1">
      <c r="B364" s="3">
        <f>IFERROR(__xludf.DUMMYFUNCTION("""COMPUTED_VALUE"""),41873.645833333336)</f>
        <v>41873.64583</v>
      </c>
      <c r="C364" s="2">
        <f>IFERROR(__xludf.DUMMYFUNCTION("""COMPUTED_VALUE"""),137.9)</f>
        <v>137.9</v>
      </c>
    </row>
    <row r="365" ht="15.75" customHeight="1">
      <c r="B365" s="3">
        <f>IFERROR(__xludf.DUMMYFUNCTION("""COMPUTED_VALUE"""),41879.645833333336)</f>
        <v>41879.64583</v>
      </c>
      <c r="C365" s="2">
        <f>IFERROR(__xludf.DUMMYFUNCTION("""COMPUTED_VALUE"""),134.5)</f>
        <v>134.5</v>
      </c>
    </row>
    <row r="366" ht="15.75" customHeight="1">
      <c r="B366" s="3">
        <f>IFERROR(__xludf.DUMMYFUNCTION("""COMPUTED_VALUE"""),41887.645833333336)</f>
        <v>41887.64583</v>
      </c>
      <c r="C366" s="2">
        <f>IFERROR(__xludf.DUMMYFUNCTION("""COMPUTED_VALUE"""),135.5)</f>
        <v>135.5</v>
      </c>
    </row>
    <row r="367" ht="15.75" customHeight="1">
      <c r="B367" s="3">
        <f>IFERROR(__xludf.DUMMYFUNCTION("""COMPUTED_VALUE"""),41894.645833333336)</f>
        <v>41894.64583</v>
      </c>
      <c r="C367" s="2">
        <f>IFERROR(__xludf.DUMMYFUNCTION("""COMPUTED_VALUE"""),138.2)</f>
        <v>138.2</v>
      </c>
    </row>
    <row r="368" ht="15.75" customHeight="1">
      <c r="B368" s="3">
        <f>IFERROR(__xludf.DUMMYFUNCTION("""COMPUTED_VALUE"""),41901.645833333336)</f>
        <v>41901.64583</v>
      </c>
      <c r="C368" s="2">
        <f>IFERROR(__xludf.DUMMYFUNCTION("""COMPUTED_VALUE"""),139.15)</f>
        <v>139.15</v>
      </c>
    </row>
    <row r="369" ht="15.75" customHeight="1">
      <c r="B369" s="3">
        <f>IFERROR(__xludf.DUMMYFUNCTION("""COMPUTED_VALUE"""),41908.645833333336)</f>
        <v>41908.64583</v>
      </c>
      <c r="C369" s="2">
        <f>IFERROR(__xludf.DUMMYFUNCTION("""COMPUTED_VALUE"""),138.4)</f>
        <v>138.4</v>
      </c>
    </row>
    <row r="370" ht="15.75" customHeight="1">
      <c r="B370" s="3">
        <f>IFERROR(__xludf.DUMMYFUNCTION("""COMPUTED_VALUE"""),41913.645833333336)</f>
        <v>41913.64583</v>
      </c>
      <c r="C370" s="2">
        <f>IFERROR(__xludf.DUMMYFUNCTION("""COMPUTED_VALUE"""),140.1)</f>
        <v>140.1</v>
      </c>
    </row>
    <row r="371" ht="15.75" customHeight="1">
      <c r="B371" s="3">
        <f>IFERROR(__xludf.DUMMYFUNCTION("""COMPUTED_VALUE"""),41922.645833333336)</f>
        <v>41922.64583</v>
      </c>
      <c r="C371" s="2">
        <f>IFERROR(__xludf.DUMMYFUNCTION("""COMPUTED_VALUE"""),138.9)</f>
        <v>138.9</v>
      </c>
    </row>
    <row r="372" ht="15.75" customHeight="1">
      <c r="B372" s="3">
        <f>IFERROR(__xludf.DUMMYFUNCTION("""COMPUTED_VALUE"""),41929.645833333336)</f>
        <v>41929.64583</v>
      </c>
      <c r="C372" s="2">
        <f>IFERROR(__xludf.DUMMYFUNCTION("""COMPUTED_VALUE"""),136.65)</f>
        <v>136.65</v>
      </c>
    </row>
    <row r="373" ht="15.75" customHeight="1">
      <c r="B373" s="3">
        <f>IFERROR(__xludf.DUMMYFUNCTION("""COMPUTED_VALUE"""),41935.645833333336)</f>
        <v>41935.64583</v>
      </c>
      <c r="C373" s="2">
        <f>IFERROR(__xludf.DUMMYFUNCTION("""COMPUTED_VALUE"""),141.5)</f>
        <v>141.5</v>
      </c>
    </row>
    <row r="374" ht="15.75" customHeight="1">
      <c r="B374" s="3">
        <f>IFERROR(__xludf.DUMMYFUNCTION("""COMPUTED_VALUE"""),41943.645833333336)</f>
        <v>41943.64583</v>
      </c>
      <c r="C374" s="2">
        <f>IFERROR(__xludf.DUMMYFUNCTION("""COMPUTED_VALUE"""),146.35)</f>
        <v>146.35</v>
      </c>
    </row>
    <row r="375" ht="15.75" customHeight="1">
      <c r="B375" s="3">
        <f>IFERROR(__xludf.DUMMYFUNCTION("""COMPUTED_VALUE"""),41950.645833333336)</f>
        <v>41950.64583</v>
      </c>
      <c r="C375" s="2">
        <f>IFERROR(__xludf.DUMMYFUNCTION("""COMPUTED_VALUE"""),150.0)</f>
        <v>150</v>
      </c>
    </row>
    <row r="376" ht="15.75" customHeight="1">
      <c r="B376" s="3">
        <f>IFERROR(__xludf.DUMMYFUNCTION("""COMPUTED_VALUE"""),41957.64583333333)</f>
        <v>41957.64583</v>
      </c>
      <c r="C376" s="2">
        <f>IFERROR(__xludf.DUMMYFUNCTION("""COMPUTED_VALUE"""),150.9)</f>
        <v>150.9</v>
      </c>
    </row>
    <row r="377" ht="15.75" customHeight="1">
      <c r="B377" s="3">
        <f>IFERROR(__xludf.DUMMYFUNCTION("""COMPUTED_VALUE"""),41964.64583333333)</f>
        <v>41964.64583</v>
      </c>
      <c r="C377" s="2">
        <f>IFERROR(__xludf.DUMMYFUNCTION("""COMPUTED_VALUE"""),150.0)</f>
        <v>150</v>
      </c>
    </row>
    <row r="378" ht="15.75" customHeight="1">
      <c r="B378" s="3">
        <f>IFERROR(__xludf.DUMMYFUNCTION("""COMPUTED_VALUE"""),41971.64583333333)</f>
        <v>41971.64583</v>
      </c>
      <c r="C378" s="2">
        <f>IFERROR(__xludf.DUMMYFUNCTION("""COMPUTED_VALUE"""),145.5)</f>
        <v>145.5</v>
      </c>
    </row>
    <row r="379" ht="15.75" customHeight="1">
      <c r="B379" s="3">
        <f>IFERROR(__xludf.DUMMYFUNCTION("""COMPUTED_VALUE"""),41978.64583333333)</f>
        <v>41978.64583</v>
      </c>
      <c r="C379" s="2">
        <f>IFERROR(__xludf.DUMMYFUNCTION("""COMPUTED_VALUE"""),142.9)</f>
        <v>142.9</v>
      </c>
    </row>
    <row r="380" ht="15.75" customHeight="1">
      <c r="B380" s="3">
        <f>IFERROR(__xludf.DUMMYFUNCTION("""COMPUTED_VALUE"""),41985.64583333333)</f>
        <v>41985.64583</v>
      </c>
      <c r="C380" s="2">
        <f>IFERROR(__xludf.DUMMYFUNCTION("""COMPUTED_VALUE"""),138.3)</f>
        <v>138.3</v>
      </c>
    </row>
    <row r="381" ht="15.75" customHeight="1">
      <c r="B381" s="3">
        <f>IFERROR(__xludf.DUMMYFUNCTION("""COMPUTED_VALUE"""),41992.64583333333)</f>
        <v>41992.64583</v>
      </c>
      <c r="C381" s="2">
        <f>IFERROR(__xludf.DUMMYFUNCTION("""COMPUTED_VALUE"""),136.15)</f>
        <v>136.15</v>
      </c>
    </row>
    <row r="382" ht="15.75" customHeight="1">
      <c r="B382" s="3">
        <f>IFERROR(__xludf.DUMMYFUNCTION("""COMPUTED_VALUE"""),41999.64583333333)</f>
        <v>41999.64583</v>
      </c>
      <c r="C382" s="2">
        <f>IFERROR(__xludf.DUMMYFUNCTION("""COMPUTED_VALUE"""),139.75)</f>
        <v>139.75</v>
      </c>
    </row>
    <row r="383" ht="15.75" customHeight="1"/>
    <row r="384" ht="15.75" customHeight="1"/>
    <row r="385" ht="15.75" customHeight="1"/>
    <row r="386" ht="15.75" customHeight="1">
      <c r="B386" s="2" t="str">
        <f>IFERROR(__xludf.DUMMYFUNCTION("GOOGLEFINANCE(""NSE:POWERGRID"", ""high"",DATE(2015,1,1),DATE(2016,1,1),""weekly"")"),"Date")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IFERROR(__xludf.DUMMYFUNCTION("""COMPUTED_VALUE"""),42006.64583333333)</f>
        <v>42006.64583</v>
      </c>
      <c r="C387" s="2">
        <f>IFERROR(__xludf.DUMMYFUNCTION("""COMPUTED_VALUE"""),140.15)</f>
        <v>140.15</v>
      </c>
    </row>
    <row r="388" ht="15.75" customHeight="1">
      <c r="B388" s="3">
        <f>IFERROR(__xludf.DUMMYFUNCTION("""COMPUTED_VALUE"""),42013.64583333333)</f>
        <v>42013.64583</v>
      </c>
      <c r="C388" s="2">
        <f>IFERROR(__xludf.DUMMYFUNCTION("""COMPUTED_VALUE"""),140.1)</f>
        <v>140.1</v>
      </c>
    </row>
    <row r="389" ht="15.75" customHeight="1">
      <c r="B389" s="3">
        <f>IFERROR(__xludf.DUMMYFUNCTION("""COMPUTED_VALUE"""),42020.64583333333)</f>
        <v>42020.64583</v>
      </c>
      <c r="C389" s="2">
        <f>IFERROR(__xludf.DUMMYFUNCTION("""COMPUTED_VALUE"""),148.95)</f>
        <v>148.95</v>
      </c>
    </row>
    <row r="390" ht="15.75" customHeight="1">
      <c r="B390" s="3">
        <f>IFERROR(__xludf.DUMMYFUNCTION("""COMPUTED_VALUE"""),42027.64583333333)</f>
        <v>42027.64583</v>
      </c>
      <c r="C390" s="2">
        <f>IFERROR(__xludf.DUMMYFUNCTION("""COMPUTED_VALUE"""),151.4)</f>
        <v>151.4</v>
      </c>
    </row>
    <row r="391" ht="15.75" customHeight="1">
      <c r="B391" s="3">
        <f>IFERROR(__xludf.DUMMYFUNCTION("""COMPUTED_VALUE"""),42034.64583333333)</f>
        <v>42034.64583</v>
      </c>
      <c r="C391" s="2">
        <f>IFERROR(__xludf.DUMMYFUNCTION("""COMPUTED_VALUE"""),151.7)</f>
        <v>151.7</v>
      </c>
    </row>
    <row r="392" ht="15.75" customHeight="1">
      <c r="B392" s="3">
        <f>IFERROR(__xludf.DUMMYFUNCTION("""COMPUTED_VALUE"""),42041.64583333333)</f>
        <v>42041.64583</v>
      </c>
      <c r="C392" s="2">
        <f>IFERROR(__xludf.DUMMYFUNCTION("""COMPUTED_VALUE"""),149.4)</f>
        <v>149.4</v>
      </c>
    </row>
    <row r="393" ht="15.75" customHeight="1">
      <c r="B393" s="3">
        <f>IFERROR(__xludf.DUMMYFUNCTION("""COMPUTED_VALUE"""),42048.64583333333)</f>
        <v>42048.64583</v>
      </c>
      <c r="C393" s="2">
        <f>IFERROR(__xludf.DUMMYFUNCTION("""COMPUTED_VALUE"""),152.7)</f>
        <v>152.7</v>
      </c>
    </row>
    <row r="394" ht="15.75" customHeight="1">
      <c r="B394" s="3">
        <f>IFERROR(__xludf.DUMMYFUNCTION("""COMPUTED_VALUE"""),42055.64583333333)</f>
        <v>42055.64583</v>
      </c>
      <c r="C394" s="2">
        <f>IFERROR(__xludf.DUMMYFUNCTION("""COMPUTED_VALUE"""),155.05)</f>
        <v>155.05</v>
      </c>
    </row>
    <row r="395" ht="15.75" customHeight="1">
      <c r="B395" s="3">
        <f>IFERROR(__xludf.DUMMYFUNCTION("""COMPUTED_VALUE"""),42068.64583333333)</f>
        <v>42068.64583</v>
      </c>
      <c r="C395" s="2">
        <f>IFERROR(__xludf.DUMMYFUNCTION("""COMPUTED_VALUE"""),159.0)</f>
        <v>159</v>
      </c>
    </row>
    <row r="396" ht="15.75" customHeight="1">
      <c r="B396" s="3">
        <f>IFERROR(__xludf.DUMMYFUNCTION("""COMPUTED_VALUE"""),42076.64583333333)</f>
        <v>42076.64583</v>
      </c>
      <c r="C396" s="2">
        <f>IFERROR(__xludf.DUMMYFUNCTION("""COMPUTED_VALUE"""),154.35)</f>
        <v>154.35</v>
      </c>
    </row>
    <row r="397" ht="15.75" customHeight="1">
      <c r="B397" s="3">
        <f>IFERROR(__xludf.DUMMYFUNCTION("""COMPUTED_VALUE"""),42083.64583333333)</f>
        <v>42083.64583</v>
      </c>
      <c r="C397" s="2">
        <f>IFERROR(__xludf.DUMMYFUNCTION("""COMPUTED_VALUE"""),149.85)</f>
        <v>149.85</v>
      </c>
    </row>
    <row r="398" ht="15.75" customHeight="1">
      <c r="B398" s="3">
        <f>IFERROR(__xludf.DUMMYFUNCTION("""COMPUTED_VALUE"""),42090.64583333333)</f>
        <v>42090.64583</v>
      </c>
      <c r="C398" s="2">
        <f>IFERROR(__xludf.DUMMYFUNCTION("""COMPUTED_VALUE"""),151.9)</f>
        <v>151.9</v>
      </c>
    </row>
    <row r="399" ht="15.75" customHeight="1">
      <c r="B399" s="3">
        <f>IFERROR(__xludf.DUMMYFUNCTION("""COMPUTED_VALUE"""),42095.64583333333)</f>
        <v>42095.64583</v>
      </c>
      <c r="C399" s="2">
        <f>IFERROR(__xludf.DUMMYFUNCTION("""COMPUTED_VALUE"""),146.85)</f>
        <v>146.85</v>
      </c>
    </row>
    <row r="400" ht="15.75" customHeight="1">
      <c r="B400" s="3">
        <f>IFERROR(__xludf.DUMMYFUNCTION("""COMPUTED_VALUE"""),42104.64583333333)</f>
        <v>42104.64583</v>
      </c>
      <c r="C400" s="2">
        <f>IFERROR(__xludf.DUMMYFUNCTION("""COMPUTED_VALUE"""),153.05)</f>
        <v>153.05</v>
      </c>
    </row>
    <row r="401" ht="15.75" customHeight="1">
      <c r="B401" s="3">
        <f>IFERROR(__xludf.DUMMYFUNCTION("""COMPUTED_VALUE"""),42111.64583333333)</f>
        <v>42111.64583</v>
      </c>
      <c r="C401" s="2">
        <f>IFERROR(__xludf.DUMMYFUNCTION("""COMPUTED_VALUE"""),156.0)</f>
        <v>156</v>
      </c>
    </row>
    <row r="402" ht="15.75" customHeight="1">
      <c r="B402" s="3">
        <f>IFERROR(__xludf.DUMMYFUNCTION("""COMPUTED_VALUE"""),42118.64583333333)</f>
        <v>42118.64583</v>
      </c>
      <c r="C402" s="2">
        <f>IFERROR(__xludf.DUMMYFUNCTION("""COMPUTED_VALUE"""),152.6)</f>
        <v>152.6</v>
      </c>
    </row>
    <row r="403" ht="15.75" customHeight="1">
      <c r="B403" s="3">
        <f>IFERROR(__xludf.DUMMYFUNCTION("""COMPUTED_VALUE"""),42124.64583333333)</f>
        <v>42124.64583</v>
      </c>
      <c r="C403" s="2">
        <f>IFERROR(__xludf.DUMMYFUNCTION("""COMPUTED_VALUE"""),147.75)</f>
        <v>147.75</v>
      </c>
    </row>
    <row r="404" ht="15.75" customHeight="1">
      <c r="B404" s="3">
        <f>IFERROR(__xludf.DUMMYFUNCTION("""COMPUTED_VALUE"""),42132.64583333333)</f>
        <v>42132.64583</v>
      </c>
      <c r="C404" s="2">
        <f>IFERROR(__xludf.DUMMYFUNCTION("""COMPUTED_VALUE"""),146.65)</f>
        <v>146.65</v>
      </c>
    </row>
    <row r="405" ht="15.75" customHeight="1">
      <c r="B405" s="3">
        <f>IFERROR(__xludf.DUMMYFUNCTION("""COMPUTED_VALUE"""),42139.64583333333)</f>
        <v>42139.64583</v>
      </c>
      <c r="C405" s="2">
        <f>IFERROR(__xludf.DUMMYFUNCTION("""COMPUTED_VALUE"""),143.35)</f>
        <v>143.35</v>
      </c>
    </row>
    <row r="406" ht="15.75" customHeight="1">
      <c r="B406" s="3">
        <f>IFERROR(__xludf.DUMMYFUNCTION("""COMPUTED_VALUE"""),42146.64583333333)</f>
        <v>42146.64583</v>
      </c>
      <c r="C406" s="2">
        <f>IFERROR(__xludf.DUMMYFUNCTION("""COMPUTED_VALUE"""),143.9)</f>
        <v>143.9</v>
      </c>
    </row>
    <row r="407" ht="15.75" customHeight="1">
      <c r="B407" s="3">
        <f>IFERROR(__xludf.DUMMYFUNCTION("""COMPUTED_VALUE"""),42153.64583333333)</f>
        <v>42153.64583</v>
      </c>
      <c r="C407" s="2">
        <f>IFERROR(__xludf.DUMMYFUNCTION("""COMPUTED_VALUE"""),144.45)</f>
        <v>144.45</v>
      </c>
    </row>
    <row r="408" ht="15.75" customHeight="1">
      <c r="B408" s="3">
        <f>IFERROR(__xludf.DUMMYFUNCTION("""COMPUTED_VALUE"""),42160.64583333333)</f>
        <v>42160.64583</v>
      </c>
      <c r="C408" s="2">
        <f>IFERROR(__xludf.DUMMYFUNCTION("""COMPUTED_VALUE"""),146.9)</f>
        <v>146.9</v>
      </c>
    </row>
    <row r="409" ht="15.75" customHeight="1">
      <c r="B409" s="3">
        <f>IFERROR(__xludf.DUMMYFUNCTION("""COMPUTED_VALUE"""),42167.64583333333)</f>
        <v>42167.64583</v>
      </c>
      <c r="C409" s="2">
        <f>IFERROR(__xludf.DUMMYFUNCTION("""COMPUTED_VALUE"""),148.2)</f>
        <v>148.2</v>
      </c>
    </row>
    <row r="410" ht="15.75" customHeight="1">
      <c r="B410" s="3">
        <f>IFERROR(__xludf.DUMMYFUNCTION("""COMPUTED_VALUE"""),42174.64583333333)</f>
        <v>42174.64583</v>
      </c>
      <c r="C410" s="2">
        <f>IFERROR(__xludf.DUMMYFUNCTION("""COMPUTED_VALUE"""),145.0)</f>
        <v>145</v>
      </c>
    </row>
    <row r="411" ht="15.75" customHeight="1">
      <c r="B411" s="3">
        <f>IFERROR(__xludf.DUMMYFUNCTION("""COMPUTED_VALUE"""),42181.64583333333)</f>
        <v>42181.64583</v>
      </c>
      <c r="C411" s="2">
        <f>IFERROR(__xludf.DUMMYFUNCTION("""COMPUTED_VALUE"""),142.2)</f>
        <v>142.2</v>
      </c>
    </row>
    <row r="412" ht="15.75" customHeight="1">
      <c r="B412" s="3">
        <f>IFERROR(__xludf.DUMMYFUNCTION("""COMPUTED_VALUE"""),42188.64583333333)</f>
        <v>42188.64583</v>
      </c>
      <c r="C412" s="2">
        <f>IFERROR(__xludf.DUMMYFUNCTION("""COMPUTED_VALUE"""),143.1)</f>
        <v>143.1</v>
      </c>
    </row>
    <row r="413" ht="15.75" customHeight="1">
      <c r="B413" s="3">
        <f>IFERROR(__xludf.DUMMYFUNCTION("""COMPUTED_VALUE"""),42195.64583333333)</f>
        <v>42195.64583</v>
      </c>
      <c r="C413" s="2">
        <f>IFERROR(__xludf.DUMMYFUNCTION("""COMPUTED_VALUE"""),142.2)</f>
        <v>142.2</v>
      </c>
    </row>
    <row r="414" ht="15.75" customHeight="1">
      <c r="B414" s="3">
        <f>IFERROR(__xludf.DUMMYFUNCTION("""COMPUTED_VALUE"""),42202.64583333333)</f>
        <v>42202.64583</v>
      </c>
      <c r="C414" s="2">
        <f>IFERROR(__xludf.DUMMYFUNCTION("""COMPUTED_VALUE"""),141.75)</f>
        <v>141.75</v>
      </c>
    </row>
    <row r="415" ht="15.75" customHeight="1">
      <c r="B415" s="3">
        <f>IFERROR(__xludf.DUMMYFUNCTION("""COMPUTED_VALUE"""),42209.64583333333)</f>
        <v>42209.64583</v>
      </c>
      <c r="C415" s="2">
        <f>IFERROR(__xludf.DUMMYFUNCTION("""COMPUTED_VALUE"""),143.3)</f>
        <v>143.3</v>
      </c>
    </row>
    <row r="416" ht="15.75" customHeight="1">
      <c r="B416" s="3">
        <f>IFERROR(__xludf.DUMMYFUNCTION("""COMPUTED_VALUE"""),42216.64583333333)</f>
        <v>42216.64583</v>
      </c>
      <c r="C416" s="2">
        <f>IFERROR(__xludf.DUMMYFUNCTION("""COMPUTED_VALUE"""),143.25)</f>
        <v>143.25</v>
      </c>
    </row>
    <row r="417" ht="15.75" customHeight="1">
      <c r="B417" s="3">
        <f>IFERROR(__xludf.DUMMYFUNCTION("""COMPUTED_VALUE"""),42223.64583333333)</f>
        <v>42223.64583</v>
      </c>
      <c r="C417" s="2">
        <f>IFERROR(__xludf.DUMMYFUNCTION("""COMPUTED_VALUE"""),142.9)</f>
        <v>142.9</v>
      </c>
    </row>
    <row r="418" ht="15.75" customHeight="1">
      <c r="B418" s="3">
        <f>IFERROR(__xludf.DUMMYFUNCTION("""COMPUTED_VALUE"""),42230.64583333333)</f>
        <v>42230.64583</v>
      </c>
      <c r="C418" s="2">
        <f>IFERROR(__xludf.DUMMYFUNCTION("""COMPUTED_VALUE"""),141.5)</f>
        <v>141.5</v>
      </c>
    </row>
    <row r="419" ht="15.75" customHeight="1">
      <c r="B419" s="3">
        <f>IFERROR(__xludf.DUMMYFUNCTION("""COMPUTED_VALUE"""),42237.64583333333)</f>
        <v>42237.64583</v>
      </c>
      <c r="C419" s="2">
        <f>IFERROR(__xludf.DUMMYFUNCTION("""COMPUTED_VALUE"""),139.45)</f>
        <v>139.45</v>
      </c>
    </row>
    <row r="420" ht="15.75" customHeight="1">
      <c r="B420" s="3">
        <f>IFERROR(__xludf.DUMMYFUNCTION("""COMPUTED_VALUE"""),42244.64583333333)</f>
        <v>42244.64583</v>
      </c>
      <c r="C420" s="2">
        <f>IFERROR(__xludf.DUMMYFUNCTION("""COMPUTED_VALUE"""),138.45)</f>
        <v>138.45</v>
      </c>
    </row>
    <row r="421" ht="15.75" customHeight="1">
      <c r="B421" s="3">
        <f>IFERROR(__xludf.DUMMYFUNCTION("""COMPUTED_VALUE"""),42251.64583333333)</f>
        <v>42251.64583</v>
      </c>
      <c r="C421" s="2">
        <f>IFERROR(__xludf.DUMMYFUNCTION("""COMPUTED_VALUE"""),135.45)</f>
        <v>135.45</v>
      </c>
    </row>
    <row r="422" ht="15.75" customHeight="1">
      <c r="B422" s="3">
        <f>IFERROR(__xludf.DUMMYFUNCTION("""COMPUTED_VALUE"""),42258.64583333333)</f>
        <v>42258.64583</v>
      </c>
      <c r="C422" s="2">
        <f>IFERROR(__xludf.DUMMYFUNCTION("""COMPUTED_VALUE"""),130.5)</f>
        <v>130.5</v>
      </c>
    </row>
    <row r="423" ht="15.75" customHeight="1">
      <c r="B423" s="3">
        <f>IFERROR(__xludf.DUMMYFUNCTION("""COMPUTED_VALUE"""),42265.64583333333)</f>
        <v>42265.64583</v>
      </c>
      <c r="C423" s="2">
        <f>IFERROR(__xludf.DUMMYFUNCTION("""COMPUTED_VALUE"""),134.9)</f>
        <v>134.9</v>
      </c>
    </row>
    <row r="424" ht="15.75" customHeight="1">
      <c r="B424" s="3">
        <f>IFERROR(__xludf.DUMMYFUNCTION("""COMPUTED_VALUE"""),42271.64583333333)</f>
        <v>42271.64583</v>
      </c>
      <c r="C424" s="2">
        <f>IFERROR(__xludf.DUMMYFUNCTION("""COMPUTED_VALUE"""),137.0)</f>
        <v>137</v>
      </c>
    </row>
    <row r="425" ht="15.75" customHeight="1">
      <c r="B425" s="3">
        <f>IFERROR(__xludf.DUMMYFUNCTION("""COMPUTED_VALUE"""),42278.64583333333)</f>
        <v>42278.64583</v>
      </c>
      <c r="C425" s="2">
        <f>IFERROR(__xludf.DUMMYFUNCTION("""COMPUTED_VALUE"""),133.9)</f>
        <v>133.9</v>
      </c>
    </row>
    <row r="426" ht="15.75" customHeight="1">
      <c r="B426" s="3">
        <f>IFERROR(__xludf.DUMMYFUNCTION("""COMPUTED_VALUE"""),42286.64583333333)</f>
        <v>42286.64583</v>
      </c>
      <c r="C426" s="2">
        <f>IFERROR(__xludf.DUMMYFUNCTION("""COMPUTED_VALUE"""),134.5)</f>
        <v>134.5</v>
      </c>
    </row>
    <row r="427" ht="15.75" customHeight="1">
      <c r="B427" s="3">
        <f>IFERROR(__xludf.DUMMYFUNCTION("""COMPUTED_VALUE"""),42293.64583333333)</f>
        <v>42293.64583</v>
      </c>
      <c r="C427" s="2">
        <f>IFERROR(__xludf.DUMMYFUNCTION("""COMPUTED_VALUE"""),136.0)</f>
        <v>136</v>
      </c>
    </row>
    <row r="428" ht="15.75" customHeight="1">
      <c r="B428" s="3">
        <f>IFERROR(__xludf.DUMMYFUNCTION("""COMPUTED_VALUE"""),42300.64583333333)</f>
        <v>42300.64583</v>
      </c>
      <c r="C428" s="2">
        <f>IFERROR(__xludf.DUMMYFUNCTION("""COMPUTED_VALUE"""),137.55)</f>
        <v>137.55</v>
      </c>
    </row>
    <row r="429" ht="15.75" customHeight="1">
      <c r="B429" s="3">
        <f>IFERROR(__xludf.DUMMYFUNCTION("""COMPUTED_VALUE"""),42307.64583333333)</f>
        <v>42307.64583</v>
      </c>
      <c r="C429" s="2">
        <f>IFERROR(__xludf.DUMMYFUNCTION("""COMPUTED_VALUE"""),136.85)</f>
        <v>136.85</v>
      </c>
    </row>
    <row r="430" ht="15.75" customHeight="1">
      <c r="B430" s="3">
        <f>IFERROR(__xludf.DUMMYFUNCTION("""COMPUTED_VALUE"""),42314.64583333333)</f>
        <v>42314.64583</v>
      </c>
      <c r="C430" s="2">
        <f>IFERROR(__xludf.DUMMYFUNCTION("""COMPUTED_VALUE"""),133.9)</f>
        <v>133.9</v>
      </c>
    </row>
    <row r="431" ht="15.75" customHeight="1">
      <c r="B431" s="3">
        <f>IFERROR(__xludf.DUMMYFUNCTION("""COMPUTED_VALUE"""),42321.64583333333)</f>
        <v>42321.64583</v>
      </c>
      <c r="C431" s="2">
        <f>IFERROR(__xludf.DUMMYFUNCTION("""COMPUTED_VALUE"""),131.4)</f>
        <v>131.4</v>
      </c>
    </row>
    <row r="432" ht="15.75" customHeight="1">
      <c r="B432" s="3">
        <f>IFERROR(__xludf.DUMMYFUNCTION("""COMPUTED_VALUE"""),42328.64583333333)</f>
        <v>42328.64583</v>
      </c>
      <c r="C432" s="2">
        <f>IFERROR(__xludf.DUMMYFUNCTION("""COMPUTED_VALUE"""),132.7)</f>
        <v>132.7</v>
      </c>
    </row>
    <row r="433" ht="15.75" customHeight="1">
      <c r="B433" s="3">
        <f>IFERROR(__xludf.DUMMYFUNCTION("""COMPUTED_VALUE"""),42335.64583333333)</f>
        <v>42335.64583</v>
      </c>
      <c r="C433" s="2">
        <f>IFERROR(__xludf.DUMMYFUNCTION("""COMPUTED_VALUE"""),134.45)</f>
        <v>134.45</v>
      </c>
    </row>
    <row r="434" ht="15.75" customHeight="1">
      <c r="B434" s="3">
        <f>IFERROR(__xludf.DUMMYFUNCTION("""COMPUTED_VALUE"""),42342.64583333333)</f>
        <v>42342.64583</v>
      </c>
      <c r="C434" s="2">
        <f>IFERROR(__xludf.DUMMYFUNCTION("""COMPUTED_VALUE"""),138.0)</f>
        <v>138</v>
      </c>
    </row>
    <row r="435" ht="15.75" customHeight="1">
      <c r="B435" s="3">
        <f>IFERROR(__xludf.DUMMYFUNCTION("""COMPUTED_VALUE"""),42349.64583333333)</f>
        <v>42349.64583</v>
      </c>
      <c r="C435" s="2">
        <f>IFERROR(__xludf.DUMMYFUNCTION("""COMPUTED_VALUE"""),131.85)</f>
        <v>131.85</v>
      </c>
    </row>
    <row r="436" ht="15.75" customHeight="1">
      <c r="B436" s="3">
        <f>IFERROR(__xludf.DUMMYFUNCTION("""COMPUTED_VALUE"""),42356.64583333333)</f>
        <v>42356.64583</v>
      </c>
      <c r="C436" s="2">
        <f>IFERROR(__xludf.DUMMYFUNCTION("""COMPUTED_VALUE"""),136.5)</f>
        <v>136.5</v>
      </c>
    </row>
    <row r="437" ht="15.75" customHeight="1">
      <c r="B437" s="3">
        <f>IFERROR(__xludf.DUMMYFUNCTION("""COMPUTED_VALUE"""),42362.64583333333)</f>
        <v>42362.64583</v>
      </c>
      <c r="C437" s="2">
        <f>IFERROR(__xludf.DUMMYFUNCTION("""COMPUTED_VALUE"""),140.85)</f>
        <v>140.85</v>
      </c>
    </row>
    <row r="438" ht="15.75" customHeight="1">
      <c r="B438" s="3">
        <f>IFERROR(__xludf.DUMMYFUNCTION("""COMPUTED_VALUE"""),42370.64583333333)</f>
        <v>42370.64583</v>
      </c>
      <c r="C438" s="2">
        <f>IFERROR(__xludf.DUMMYFUNCTION("""COMPUTED_VALUE"""),142.75)</f>
        <v>142.75</v>
      </c>
    </row>
    <row r="439" ht="15.75" customHeight="1"/>
    <row r="440" ht="15.75" customHeight="1"/>
    <row r="441" ht="15.75" customHeight="1">
      <c r="B441" s="2" t="str">
        <f>IFERROR(__xludf.DUMMYFUNCTION("GOOGLEFINANCE(""NSE:POWERGRID"", ""high"",DATE(2016,1,1),DATE(2017,1,1),""weekly"")"),"Date")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IFERROR(__xludf.DUMMYFUNCTION("""COMPUTED_VALUE"""),42377.64583333333)</f>
        <v>42377.64583</v>
      </c>
      <c r="C442" s="2">
        <f>IFERROR(__xludf.DUMMYFUNCTION("""COMPUTED_VALUE"""),144.35)</f>
        <v>144.35</v>
      </c>
    </row>
    <row r="443" ht="15.75" customHeight="1">
      <c r="B443" s="3">
        <f>IFERROR(__xludf.DUMMYFUNCTION("""COMPUTED_VALUE"""),42384.64583333333)</f>
        <v>42384.64583</v>
      </c>
      <c r="C443" s="2">
        <f>IFERROR(__xludf.DUMMYFUNCTION("""COMPUTED_VALUE"""),146.75)</f>
        <v>146.75</v>
      </c>
    </row>
    <row r="444" ht="15.75" customHeight="1">
      <c r="B444" s="3">
        <f>IFERROR(__xludf.DUMMYFUNCTION("""COMPUTED_VALUE"""),42391.64583333333)</f>
        <v>42391.64583</v>
      </c>
      <c r="C444" s="2">
        <f>IFERROR(__xludf.DUMMYFUNCTION("""COMPUTED_VALUE"""),141.05)</f>
        <v>141.05</v>
      </c>
    </row>
    <row r="445" ht="15.75" customHeight="1">
      <c r="B445" s="3">
        <f>IFERROR(__xludf.DUMMYFUNCTION("""COMPUTED_VALUE"""),42398.64583333333)</f>
        <v>42398.64583</v>
      </c>
      <c r="C445" s="2">
        <f>IFERROR(__xludf.DUMMYFUNCTION("""COMPUTED_VALUE"""),148.4)</f>
        <v>148.4</v>
      </c>
    </row>
    <row r="446" ht="15.75" customHeight="1">
      <c r="B446" s="3">
        <f>IFERROR(__xludf.DUMMYFUNCTION("""COMPUTED_VALUE"""),42405.64583333333)</f>
        <v>42405.64583</v>
      </c>
      <c r="C446" s="2">
        <f>IFERROR(__xludf.DUMMYFUNCTION("""COMPUTED_VALUE"""),150.35)</f>
        <v>150.35</v>
      </c>
    </row>
    <row r="447" ht="15.75" customHeight="1">
      <c r="B447" s="3">
        <f>IFERROR(__xludf.DUMMYFUNCTION("""COMPUTED_VALUE"""),42412.64583333333)</f>
        <v>42412.64583</v>
      </c>
      <c r="C447" s="2">
        <f>IFERROR(__xludf.DUMMYFUNCTION("""COMPUTED_VALUE"""),146.05)</f>
        <v>146.05</v>
      </c>
    </row>
    <row r="448" ht="15.75" customHeight="1">
      <c r="B448" s="3">
        <f>IFERROR(__xludf.DUMMYFUNCTION("""COMPUTED_VALUE"""),42419.64583333333)</f>
        <v>42419.64583</v>
      </c>
      <c r="C448" s="2">
        <f>IFERROR(__xludf.DUMMYFUNCTION("""COMPUTED_VALUE"""),142.0)</f>
        <v>142</v>
      </c>
    </row>
    <row r="449" ht="15.75" customHeight="1">
      <c r="B449" s="3">
        <f>IFERROR(__xludf.DUMMYFUNCTION("""COMPUTED_VALUE"""),42426.64583333333)</f>
        <v>42426.64583</v>
      </c>
      <c r="C449" s="2">
        <f>IFERROR(__xludf.DUMMYFUNCTION("""COMPUTED_VALUE"""),141.5)</f>
        <v>141.5</v>
      </c>
    </row>
    <row r="450" ht="15.75" customHeight="1">
      <c r="B450" s="3">
        <f>IFERROR(__xludf.DUMMYFUNCTION("""COMPUTED_VALUE"""),42433.64583333333)</f>
        <v>42433.64583</v>
      </c>
      <c r="C450" s="2">
        <f>IFERROR(__xludf.DUMMYFUNCTION("""COMPUTED_VALUE"""),139.15)</f>
        <v>139.15</v>
      </c>
    </row>
    <row r="451" ht="15.75" customHeight="1">
      <c r="B451" s="3">
        <f>IFERROR(__xludf.DUMMYFUNCTION("""COMPUTED_VALUE"""),42440.64583333333)</f>
        <v>42440.64583</v>
      </c>
      <c r="C451" s="2">
        <f>IFERROR(__xludf.DUMMYFUNCTION("""COMPUTED_VALUE"""),140.9)</f>
        <v>140.9</v>
      </c>
    </row>
    <row r="452" ht="15.75" customHeight="1">
      <c r="B452" s="3">
        <f>IFERROR(__xludf.DUMMYFUNCTION("""COMPUTED_VALUE"""),42447.64583333333)</f>
        <v>42447.64583</v>
      </c>
      <c r="C452" s="2">
        <f>IFERROR(__xludf.DUMMYFUNCTION("""COMPUTED_VALUE"""),140.25)</f>
        <v>140.25</v>
      </c>
    </row>
    <row r="453" ht="15.75" customHeight="1">
      <c r="B453" s="3">
        <f>IFERROR(__xludf.DUMMYFUNCTION("""COMPUTED_VALUE"""),42452.64583333333)</f>
        <v>42452.64583</v>
      </c>
      <c r="C453" s="2">
        <f>IFERROR(__xludf.DUMMYFUNCTION("""COMPUTED_VALUE"""),139.35)</f>
        <v>139.35</v>
      </c>
    </row>
    <row r="454" ht="15.75" customHeight="1">
      <c r="B454" s="3">
        <f>IFERROR(__xludf.DUMMYFUNCTION("""COMPUTED_VALUE"""),42461.64583333333)</f>
        <v>42461.64583</v>
      </c>
      <c r="C454" s="2">
        <f>IFERROR(__xludf.DUMMYFUNCTION("""COMPUTED_VALUE"""),141.0)</f>
        <v>141</v>
      </c>
    </row>
    <row r="455" ht="15.75" customHeight="1">
      <c r="B455" s="3">
        <f>IFERROR(__xludf.DUMMYFUNCTION("""COMPUTED_VALUE"""),42468.64583333333)</f>
        <v>42468.64583</v>
      </c>
      <c r="C455" s="2">
        <f>IFERROR(__xludf.DUMMYFUNCTION("""COMPUTED_VALUE"""),141.3)</f>
        <v>141.3</v>
      </c>
    </row>
    <row r="456" ht="15.75" customHeight="1">
      <c r="B456" s="3">
        <f>IFERROR(__xludf.DUMMYFUNCTION("""COMPUTED_VALUE"""),42473.64583333333)</f>
        <v>42473.64583</v>
      </c>
      <c r="C456" s="2">
        <f>IFERROR(__xludf.DUMMYFUNCTION("""COMPUTED_VALUE"""),145.35)</f>
        <v>145.35</v>
      </c>
    </row>
    <row r="457" ht="15.75" customHeight="1">
      <c r="B457" s="3">
        <f>IFERROR(__xludf.DUMMYFUNCTION("""COMPUTED_VALUE"""),42482.64583333333)</f>
        <v>42482.64583</v>
      </c>
      <c r="C457" s="2">
        <f>IFERROR(__xludf.DUMMYFUNCTION("""COMPUTED_VALUE"""),149.9)</f>
        <v>149.9</v>
      </c>
    </row>
    <row r="458" ht="15.75" customHeight="1">
      <c r="B458" s="3">
        <f>IFERROR(__xludf.DUMMYFUNCTION("""COMPUTED_VALUE"""),42489.64583333333)</f>
        <v>42489.64583</v>
      </c>
      <c r="C458" s="2">
        <f>IFERROR(__xludf.DUMMYFUNCTION("""COMPUTED_VALUE"""),146.25)</f>
        <v>146.25</v>
      </c>
    </row>
    <row r="459" ht="15.75" customHeight="1">
      <c r="B459" s="3">
        <f>IFERROR(__xludf.DUMMYFUNCTION("""COMPUTED_VALUE"""),42496.64583333333)</f>
        <v>42496.64583</v>
      </c>
      <c r="C459" s="2">
        <f>IFERROR(__xludf.DUMMYFUNCTION("""COMPUTED_VALUE"""),146.8)</f>
        <v>146.8</v>
      </c>
    </row>
    <row r="460" ht="15.75" customHeight="1">
      <c r="B460" s="3">
        <f>IFERROR(__xludf.DUMMYFUNCTION("""COMPUTED_VALUE"""),42503.64583333333)</f>
        <v>42503.64583</v>
      </c>
      <c r="C460" s="2">
        <f>IFERROR(__xludf.DUMMYFUNCTION("""COMPUTED_VALUE"""),145.2)</f>
        <v>145.2</v>
      </c>
    </row>
    <row r="461" ht="15.75" customHeight="1">
      <c r="B461" s="3">
        <f>IFERROR(__xludf.DUMMYFUNCTION("""COMPUTED_VALUE"""),42510.64583333333)</f>
        <v>42510.64583</v>
      </c>
      <c r="C461" s="2">
        <f>IFERROR(__xludf.DUMMYFUNCTION("""COMPUTED_VALUE"""),146.0)</f>
        <v>146</v>
      </c>
    </row>
    <row r="462" ht="15.75" customHeight="1">
      <c r="B462" s="3">
        <f>IFERROR(__xludf.DUMMYFUNCTION("""COMPUTED_VALUE"""),42517.64583333333)</f>
        <v>42517.64583</v>
      </c>
      <c r="C462" s="2">
        <f>IFERROR(__xludf.DUMMYFUNCTION("""COMPUTED_VALUE"""),152.4)</f>
        <v>152.4</v>
      </c>
    </row>
    <row r="463" ht="15.75" customHeight="1">
      <c r="B463" s="3">
        <f>IFERROR(__xludf.DUMMYFUNCTION("""COMPUTED_VALUE"""),42524.64583333333)</f>
        <v>42524.64583</v>
      </c>
      <c r="C463" s="2">
        <f>IFERROR(__xludf.DUMMYFUNCTION("""COMPUTED_VALUE"""),152.95)</f>
        <v>152.95</v>
      </c>
    </row>
    <row r="464" ht="15.75" customHeight="1">
      <c r="B464" s="3">
        <f>IFERROR(__xludf.DUMMYFUNCTION("""COMPUTED_VALUE"""),42531.64583333333)</f>
        <v>42531.64583</v>
      </c>
      <c r="C464" s="2">
        <f>IFERROR(__xludf.DUMMYFUNCTION("""COMPUTED_VALUE"""),155.15)</f>
        <v>155.15</v>
      </c>
    </row>
    <row r="465" ht="15.75" customHeight="1">
      <c r="B465" s="3">
        <f>IFERROR(__xludf.DUMMYFUNCTION("""COMPUTED_VALUE"""),42538.64583333333)</f>
        <v>42538.64583</v>
      </c>
      <c r="C465" s="2">
        <f>IFERROR(__xludf.DUMMYFUNCTION("""COMPUTED_VALUE"""),157.95)</f>
        <v>157.95</v>
      </c>
    </row>
    <row r="466" ht="15.75" customHeight="1">
      <c r="B466" s="3">
        <f>IFERROR(__xludf.DUMMYFUNCTION("""COMPUTED_VALUE"""),42545.64583333333)</f>
        <v>42545.64583</v>
      </c>
      <c r="C466" s="2">
        <f>IFERROR(__xludf.DUMMYFUNCTION("""COMPUTED_VALUE"""),157.85)</f>
        <v>157.85</v>
      </c>
    </row>
    <row r="467" ht="15.75" customHeight="1">
      <c r="B467" s="3">
        <f>IFERROR(__xludf.DUMMYFUNCTION("""COMPUTED_VALUE"""),42552.64583333333)</f>
        <v>42552.64583</v>
      </c>
      <c r="C467" s="2">
        <f>IFERROR(__xludf.DUMMYFUNCTION("""COMPUTED_VALUE"""),166.4)</f>
        <v>166.4</v>
      </c>
    </row>
    <row r="468" ht="15.75" customHeight="1">
      <c r="B468" s="3">
        <f>IFERROR(__xludf.DUMMYFUNCTION("""COMPUTED_VALUE"""),42559.64583333333)</f>
        <v>42559.64583</v>
      </c>
      <c r="C468" s="2">
        <f>IFERROR(__xludf.DUMMYFUNCTION("""COMPUTED_VALUE"""),167.3)</f>
        <v>167.3</v>
      </c>
    </row>
    <row r="469" ht="15.75" customHeight="1">
      <c r="B469" s="3">
        <f>IFERROR(__xludf.DUMMYFUNCTION("""COMPUTED_VALUE"""),42566.64583333333)</f>
        <v>42566.64583</v>
      </c>
      <c r="C469" s="2">
        <f>IFERROR(__xludf.DUMMYFUNCTION("""COMPUTED_VALUE"""),171.15)</f>
        <v>171.15</v>
      </c>
    </row>
    <row r="470" ht="15.75" customHeight="1">
      <c r="B470" s="3">
        <f>IFERROR(__xludf.DUMMYFUNCTION("""COMPUTED_VALUE"""),42573.64583333333)</f>
        <v>42573.64583</v>
      </c>
      <c r="C470" s="2">
        <f>IFERROR(__xludf.DUMMYFUNCTION("""COMPUTED_VALUE"""),170.0)</f>
        <v>170</v>
      </c>
    </row>
    <row r="471" ht="15.75" customHeight="1">
      <c r="B471" s="3">
        <f>IFERROR(__xludf.DUMMYFUNCTION("""COMPUTED_VALUE"""),42580.64583333333)</f>
        <v>42580.64583</v>
      </c>
      <c r="C471" s="2">
        <f>IFERROR(__xludf.DUMMYFUNCTION("""COMPUTED_VALUE"""),178.85)</f>
        <v>178.85</v>
      </c>
    </row>
    <row r="472" ht="15.75" customHeight="1">
      <c r="B472" s="3">
        <f>IFERROR(__xludf.DUMMYFUNCTION("""COMPUTED_VALUE"""),42587.64583333333)</f>
        <v>42587.64583</v>
      </c>
      <c r="C472" s="2">
        <f>IFERROR(__xludf.DUMMYFUNCTION("""COMPUTED_VALUE"""),181.2)</f>
        <v>181.2</v>
      </c>
    </row>
    <row r="473" ht="15.75" customHeight="1">
      <c r="B473" s="3">
        <f>IFERROR(__xludf.DUMMYFUNCTION("""COMPUTED_VALUE"""),42594.64583333333)</f>
        <v>42594.64583</v>
      </c>
      <c r="C473" s="2">
        <f>IFERROR(__xludf.DUMMYFUNCTION("""COMPUTED_VALUE"""),180.0)</f>
        <v>180</v>
      </c>
    </row>
    <row r="474" ht="15.75" customHeight="1">
      <c r="B474" s="3">
        <f>IFERROR(__xludf.DUMMYFUNCTION("""COMPUTED_VALUE"""),42601.64583333333)</f>
        <v>42601.64583</v>
      </c>
      <c r="C474" s="2">
        <f>IFERROR(__xludf.DUMMYFUNCTION("""COMPUTED_VALUE"""),183.2)</f>
        <v>183.2</v>
      </c>
    </row>
    <row r="475" ht="15.75" customHeight="1">
      <c r="B475" s="3">
        <f>IFERROR(__xludf.DUMMYFUNCTION("""COMPUTED_VALUE"""),42608.64583333333)</f>
        <v>42608.64583</v>
      </c>
      <c r="C475" s="2">
        <f>IFERROR(__xludf.DUMMYFUNCTION("""COMPUTED_VALUE"""),185.0)</f>
        <v>185</v>
      </c>
    </row>
    <row r="476" ht="15.75" customHeight="1">
      <c r="B476" s="3">
        <f>IFERROR(__xludf.DUMMYFUNCTION("""COMPUTED_VALUE"""),42615.64583333333)</f>
        <v>42615.64583</v>
      </c>
      <c r="C476" s="2">
        <f>IFERROR(__xludf.DUMMYFUNCTION("""COMPUTED_VALUE"""),185.0)</f>
        <v>185</v>
      </c>
    </row>
    <row r="477" ht="15.75" customHeight="1">
      <c r="B477" s="3">
        <f>IFERROR(__xludf.DUMMYFUNCTION("""COMPUTED_VALUE"""),42622.64583333333)</f>
        <v>42622.64583</v>
      </c>
      <c r="C477" s="2">
        <f>IFERROR(__xludf.DUMMYFUNCTION("""COMPUTED_VALUE"""),187.7)</f>
        <v>187.7</v>
      </c>
    </row>
    <row r="478" ht="15.75" customHeight="1">
      <c r="B478" s="3">
        <f>IFERROR(__xludf.DUMMYFUNCTION("""COMPUTED_VALUE"""),42629.64583333333)</f>
        <v>42629.64583</v>
      </c>
      <c r="C478" s="2">
        <f>IFERROR(__xludf.DUMMYFUNCTION("""COMPUTED_VALUE"""),183.4)</f>
        <v>183.4</v>
      </c>
    </row>
    <row r="479" ht="15.75" customHeight="1">
      <c r="B479" s="3">
        <f>IFERROR(__xludf.DUMMYFUNCTION("""COMPUTED_VALUE"""),42636.64583333333)</f>
        <v>42636.64583</v>
      </c>
      <c r="C479" s="2">
        <f>IFERROR(__xludf.DUMMYFUNCTION("""COMPUTED_VALUE"""),180.3)</f>
        <v>180.3</v>
      </c>
    </row>
    <row r="480" ht="15.75" customHeight="1">
      <c r="B480" s="3">
        <f>IFERROR(__xludf.DUMMYFUNCTION("""COMPUTED_VALUE"""),42643.64583333333)</f>
        <v>42643.64583</v>
      </c>
      <c r="C480" s="2">
        <f>IFERROR(__xludf.DUMMYFUNCTION("""COMPUTED_VALUE"""),182.1)</f>
        <v>182.1</v>
      </c>
    </row>
    <row r="481" ht="15.75" customHeight="1">
      <c r="B481" s="3">
        <f>IFERROR(__xludf.DUMMYFUNCTION("""COMPUTED_VALUE"""),42650.64583333333)</f>
        <v>42650.64583</v>
      </c>
      <c r="C481" s="2">
        <f>IFERROR(__xludf.DUMMYFUNCTION("""COMPUTED_VALUE"""),183.4)</f>
        <v>183.4</v>
      </c>
    </row>
    <row r="482" ht="15.75" customHeight="1">
      <c r="B482" s="3">
        <f>IFERROR(__xludf.DUMMYFUNCTION("""COMPUTED_VALUE"""),42657.64583333333)</f>
        <v>42657.64583</v>
      </c>
      <c r="C482" s="2">
        <f>IFERROR(__xludf.DUMMYFUNCTION("""COMPUTED_VALUE"""),179.0)</f>
        <v>179</v>
      </c>
    </row>
    <row r="483" ht="15.75" customHeight="1">
      <c r="B483" s="3">
        <f>IFERROR(__xludf.DUMMYFUNCTION("""COMPUTED_VALUE"""),42664.64583333333)</f>
        <v>42664.64583</v>
      </c>
      <c r="C483" s="2">
        <f>IFERROR(__xludf.DUMMYFUNCTION("""COMPUTED_VALUE"""),180.75)</f>
        <v>180.75</v>
      </c>
    </row>
    <row r="484" ht="15.75" customHeight="1">
      <c r="B484" s="3">
        <f>IFERROR(__xludf.DUMMYFUNCTION("""COMPUTED_VALUE"""),42671.64583333333)</f>
        <v>42671.64583</v>
      </c>
      <c r="C484" s="2">
        <f>IFERROR(__xludf.DUMMYFUNCTION("""COMPUTED_VALUE"""),178.95)</f>
        <v>178.95</v>
      </c>
    </row>
    <row r="485" ht="15.75" customHeight="1">
      <c r="B485" s="3">
        <f>IFERROR(__xludf.DUMMYFUNCTION("""COMPUTED_VALUE"""),42678.64583333333)</f>
        <v>42678.64583</v>
      </c>
      <c r="C485" s="2">
        <f>IFERROR(__xludf.DUMMYFUNCTION("""COMPUTED_VALUE"""),179.55)</f>
        <v>179.55</v>
      </c>
    </row>
    <row r="486" ht="15.75" customHeight="1">
      <c r="B486" s="3">
        <f>IFERROR(__xludf.DUMMYFUNCTION("""COMPUTED_VALUE"""),42685.64583333333)</f>
        <v>42685.64583</v>
      </c>
      <c r="C486" s="2">
        <f>IFERROR(__xludf.DUMMYFUNCTION("""COMPUTED_VALUE"""),190.0)</f>
        <v>190</v>
      </c>
    </row>
    <row r="487" ht="15.75" customHeight="1">
      <c r="B487" s="3">
        <f>IFERROR(__xludf.DUMMYFUNCTION("""COMPUTED_VALUE"""),42692.64583333333)</f>
        <v>42692.64583</v>
      </c>
      <c r="C487" s="2">
        <f>IFERROR(__xludf.DUMMYFUNCTION("""COMPUTED_VALUE"""),196.4)</f>
        <v>196.4</v>
      </c>
    </row>
    <row r="488" ht="15.75" customHeight="1">
      <c r="B488" s="3">
        <f>IFERROR(__xludf.DUMMYFUNCTION("""COMPUTED_VALUE"""),42699.64583333333)</f>
        <v>42699.64583</v>
      </c>
      <c r="C488" s="2">
        <f>IFERROR(__xludf.DUMMYFUNCTION("""COMPUTED_VALUE"""),193.65)</f>
        <v>193.65</v>
      </c>
    </row>
    <row r="489" ht="15.75" customHeight="1">
      <c r="B489" s="3">
        <f>IFERROR(__xludf.DUMMYFUNCTION("""COMPUTED_VALUE"""),42706.64583333333)</f>
        <v>42706.64583</v>
      </c>
      <c r="C489" s="2">
        <f>IFERROR(__xludf.DUMMYFUNCTION("""COMPUTED_VALUE"""),194.8)</f>
        <v>194.8</v>
      </c>
    </row>
    <row r="490" ht="15.75" customHeight="1">
      <c r="B490" s="3">
        <f>IFERROR(__xludf.DUMMYFUNCTION("""COMPUTED_VALUE"""),42713.64583333333)</f>
        <v>42713.64583</v>
      </c>
      <c r="C490" s="2">
        <f>IFERROR(__xludf.DUMMYFUNCTION("""COMPUTED_VALUE"""),186.6)</f>
        <v>186.6</v>
      </c>
    </row>
    <row r="491" ht="15.75" customHeight="1">
      <c r="B491" s="3">
        <f>IFERROR(__xludf.DUMMYFUNCTION("""COMPUTED_VALUE"""),42720.64583333333)</f>
        <v>42720.64583</v>
      </c>
      <c r="C491" s="2">
        <f>IFERROR(__xludf.DUMMYFUNCTION("""COMPUTED_VALUE"""),186.55)</f>
        <v>186.55</v>
      </c>
    </row>
    <row r="492" ht="15.75" customHeight="1">
      <c r="B492" s="3">
        <f>IFERROR(__xludf.DUMMYFUNCTION("""COMPUTED_VALUE"""),42727.64583333333)</f>
        <v>42727.64583</v>
      </c>
      <c r="C492" s="2">
        <f>IFERROR(__xludf.DUMMYFUNCTION("""COMPUTED_VALUE"""),185.0)</f>
        <v>185</v>
      </c>
    </row>
    <row r="493" ht="15.75" customHeight="1">
      <c r="B493" s="3">
        <f>IFERROR(__xludf.DUMMYFUNCTION("""COMPUTED_VALUE"""),42734.64583333333)</f>
        <v>42734.64583</v>
      </c>
      <c r="C493" s="2">
        <f>IFERROR(__xludf.DUMMYFUNCTION("""COMPUTED_VALUE"""),185.1)</f>
        <v>185.1</v>
      </c>
    </row>
    <row r="494" ht="15.75" customHeight="1"/>
    <row r="495" ht="15.75" customHeight="1"/>
    <row r="496" ht="15.75" customHeight="1">
      <c r="B496" s="2" t="str">
        <f>IFERROR(__xludf.DUMMYFUNCTION("GOOGLEFINANCE(""NSE:POWERGRID"", ""high"",DATE(2017,1,1),DATE(2018,1,1),""weekly"")"),"Date")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IFERROR(__xludf.DUMMYFUNCTION("""COMPUTED_VALUE"""),42741.64583333333)</f>
        <v>42741.64583</v>
      </c>
      <c r="C497" s="2">
        <f>IFERROR(__xludf.DUMMYFUNCTION("""COMPUTED_VALUE"""),192.85)</f>
        <v>192.85</v>
      </c>
    </row>
    <row r="498" ht="15.75" customHeight="1">
      <c r="B498" s="3">
        <f>IFERROR(__xludf.DUMMYFUNCTION("""COMPUTED_VALUE"""),42748.64583333333)</f>
        <v>42748.64583</v>
      </c>
      <c r="C498" s="2">
        <f>IFERROR(__xludf.DUMMYFUNCTION("""COMPUTED_VALUE"""),199.9)</f>
        <v>199.9</v>
      </c>
    </row>
    <row r="499" ht="15.75" customHeight="1">
      <c r="B499" s="3">
        <f>IFERROR(__xludf.DUMMYFUNCTION("""COMPUTED_VALUE"""),42755.64583333333)</f>
        <v>42755.64583</v>
      </c>
      <c r="C499" s="2">
        <f>IFERROR(__xludf.DUMMYFUNCTION("""COMPUTED_VALUE"""),203.7)</f>
        <v>203.7</v>
      </c>
    </row>
    <row r="500" ht="15.75" customHeight="1">
      <c r="B500" s="3">
        <f>IFERROR(__xludf.DUMMYFUNCTION("""COMPUTED_VALUE"""),42762.64583333333)</f>
        <v>42762.64583</v>
      </c>
      <c r="C500" s="2">
        <f>IFERROR(__xludf.DUMMYFUNCTION("""COMPUTED_VALUE"""),206.95)</f>
        <v>206.95</v>
      </c>
    </row>
    <row r="501" ht="15.75" customHeight="1">
      <c r="B501" s="3">
        <f>IFERROR(__xludf.DUMMYFUNCTION("""COMPUTED_VALUE"""),42769.64583333333)</f>
        <v>42769.64583</v>
      </c>
      <c r="C501" s="2">
        <f>IFERROR(__xludf.DUMMYFUNCTION("""COMPUTED_VALUE"""),209.25)</f>
        <v>209.25</v>
      </c>
    </row>
    <row r="502" ht="15.75" customHeight="1">
      <c r="B502" s="3">
        <f>IFERROR(__xludf.DUMMYFUNCTION("""COMPUTED_VALUE"""),42776.64583333333)</f>
        <v>42776.64583</v>
      </c>
      <c r="C502" s="2">
        <f>IFERROR(__xludf.DUMMYFUNCTION("""COMPUTED_VALUE"""),205.8)</f>
        <v>205.8</v>
      </c>
    </row>
    <row r="503" ht="15.75" customHeight="1">
      <c r="B503" s="3">
        <f>IFERROR(__xludf.DUMMYFUNCTION("""COMPUTED_VALUE"""),42783.64583333333)</f>
        <v>42783.64583</v>
      </c>
      <c r="C503" s="2">
        <f>IFERROR(__xludf.DUMMYFUNCTION("""COMPUTED_VALUE"""),203.95)</f>
        <v>203.95</v>
      </c>
    </row>
    <row r="504" ht="15.75" customHeight="1">
      <c r="B504" s="3">
        <f>IFERROR(__xludf.DUMMYFUNCTION("""COMPUTED_VALUE"""),42789.64583333333)</f>
        <v>42789.64583</v>
      </c>
      <c r="C504" s="2">
        <f>IFERROR(__xludf.DUMMYFUNCTION("""COMPUTED_VALUE"""),208.9)</f>
        <v>208.9</v>
      </c>
    </row>
    <row r="505" ht="15.75" customHeight="1">
      <c r="B505" s="3">
        <f>IFERROR(__xludf.DUMMYFUNCTION("""COMPUTED_VALUE"""),42797.64583333333)</f>
        <v>42797.64583</v>
      </c>
      <c r="C505" s="2">
        <f>IFERROR(__xludf.DUMMYFUNCTION("""COMPUTED_VALUE"""),200.0)</f>
        <v>200</v>
      </c>
    </row>
    <row r="506" ht="15.75" customHeight="1">
      <c r="B506" s="3">
        <f>IFERROR(__xludf.DUMMYFUNCTION("""COMPUTED_VALUE"""),42804.64583333333)</f>
        <v>42804.64583</v>
      </c>
      <c r="C506" s="2">
        <f>IFERROR(__xludf.DUMMYFUNCTION("""COMPUTED_VALUE"""),197.6)</f>
        <v>197.6</v>
      </c>
    </row>
    <row r="507" ht="15.75" customHeight="1">
      <c r="B507" s="3">
        <f>IFERROR(__xludf.DUMMYFUNCTION("""COMPUTED_VALUE"""),42811.64583333333)</f>
        <v>42811.64583</v>
      </c>
      <c r="C507" s="2">
        <f>IFERROR(__xludf.DUMMYFUNCTION("""COMPUTED_VALUE"""),198.7)</f>
        <v>198.7</v>
      </c>
    </row>
    <row r="508" ht="15.75" customHeight="1">
      <c r="B508" s="3">
        <f>IFERROR(__xludf.DUMMYFUNCTION("""COMPUTED_VALUE"""),42818.64583333333)</f>
        <v>42818.64583</v>
      </c>
      <c r="C508" s="2">
        <f>IFERROR(__xludf.DUMMYFUNCTION("""COMPUTED_VALUE"""),195.6)</f>
        <v>195.6</v>
      </c>
    </row>
    <row r="509" ht="15.75" customHeight="1">
      <c r="B509" s="3">
        <f>IFERROR(__xludf.DUMMYFUNCTION("""COMPUTED_VALUE"""),42825.64583333333)</f>
        <v>42825.64583</v>
      </c>
      <c r="C509" s="2">
        <f>IFERROR(__xludf.DUMMYFUNCTION("""COMPUTED_VALUE"""),199.9)</f>
        <v>199.9</v>
      </c>
    </row>
    <row r="510" ht="15.75" customHeight="1">
      <c r="B510" s="3">
        <f>IFERROR(__xludf.DUMMYFUNCTION("""COMPUTED_VALUE"""),42832.64583333333)</f>
        <v>42832.64583</v>
      </c>
      <c r="C510" s="2">
        <f>IFERROR(__xludf.DUMMYFUNCTION("""COMPUTED_VALUE"""),199.4)</f>
        <v>199.4</v>
      </c>
    </row>
    <row r="511" ht="15.75" customHeight="1">
      <c r="B511" s="3">
        <f>IFERROR(__xludf.DUMMYFUNCTION("""COMPUTED_VALUE"""),42838.64583333333)</f>
        <v>42838.64583</v>
      </c>
      <c r="C511" s="2">
        <f>IFERROR(__xludf.DUMMYFUNCTION("""COMPUTED_VALUE"""),201.6)</f>
        <v>201.6</v>
      </c>
    </row>
    <row r="512" ht="15.75" customHeight="1">
      <c r="B512" s="3">
        <f>IFERROR(__xludf.DUMMYFUNCTION("""COMPUTED_VALUE"""),42846.64583333333)</f>
        <v>42846.64583</v>
      </c>
      <c r="C512" s="2">
        <f>IFERROR(__xludf.DUMMYFUNCTION("""COMPUTED_VALUE"""),213.5)</f>
        <v>213.5</v>
      </c>
    </row>
    <row r="513" ht="15.75" customHeight="1">
      <c r="B513" s="3">
        <f>IFERROR(__xludf.DUMMYFUNCTION("""COMPUTED_VALUE"""),42853.64583333333)</f>
        <v>42853.64583</v>
      </c>
      <c r="C513" s="2">
        <f>IFERROR(__xludf.DUMMYFUNCTION("""COMPUTED_VALUE"""),210.15)</f>
        <v>210.15</v>
      </c>
    </row>
    <row r="514" ht="15.75" customHeight="1">
      <c r="B514" s="3">
        <f>IFERROR(__xludf.DUMMYFUNCTION("""COMPUTED_VALUE"""),42860.64583333333)</f>
        <v>42860.64583</v>
      </c>
      <c r="C514" s="2">
        <f>IFERROR(__xludf.DUMMYFUNCTION("""COMPUTED_VALUE"""),213.8)</f>
        <v>213.8</v>
      </c>
    </row>
    <row r="515" ht="15.75" customHeight="1">
      <c r="B515" s="3">
        <f>IFERROR(__xludf.DUMMYFUNCTION("""COMPUTED_VALUE"""),42867.64583333333)</f>
        <v>42867.64583</v>
      </c>
      <c r="C515" s="2">
        <f>IFERROR(__xludf.DUMMYFUNCTION("""COMPUTED_VALUE"""),211.5)</f>
        <v>211.5</v>
      </c>
    </row>
    <row r="516" ht="15.75" customHeight="1">
      <c r="B516" s="3">
        <f>IFERROR(__xludf.DUMMYFUNCTION("""COMPUTED_VALUE"""),42874.64583333333)</f>
        <v>42874.64583</v>
      </c>
      <c r="C516" s="2">
        <f>IFERROR(__xludf.DUMMYFUNCTION("""COMPUTED_VALUE"""),211.75)</f>
        <v>211.75</v>
      </c>
    </row>
    <row r="517" ht="15.75" customHeight="1">
      <c r="B517" s="3">
        <f>IFERROR(__xludf.DUMMYFUNCTION("""COMPUTED_VALUE"""),42881.64583333333)</f>
        <v>42881.64583</v>
      </c>
      <c r="C517" s="2">
        <f>IFERROR(__xludf.DUMMYFUNCTION("""COMPUTED_VALUE"""),207.7)</f>
        <v>207.7</v>
      </c>
    </row>
    <row r="518" ht="15.75" customHeight="1">
      <c r="B518" s="3">
        <f>IFERROR(__xludf.DUMMYFUNCTION("""COMPUTED_VALUE"""),42888.64583333333)</f>
        <v>42888.64583</v>
      </c>
      <c r="C518" s="2">
        <f>IFERROR(__xludf.DUMMYFUNCTION("""COMPUTED_VALUE"""),210.75)</f>
        <v>210.75</v>
      </c>
    </row>
    <row r="519" ht="15.75" customHeight="1">
      <c r="B519" s="3">
        <f>IFERROR(__xludf.DUMMYFUNCTION("""COMPUTED_VALUE"""),42895.64583333333)</f>
        <v>42895.64583</v>
      </c>
      <c r="C519" s="2">
        <f>IFERROR(__xludf.DUMMYFUNCTION("""COMPUTED_VALUE"""),208.5)</f>
        <v>208.5</v>
      </c>
    </row>
    <row r="520" ht="15.75" customHeight="1">
      <c r="B520" s="3">
        <f>IFERROR(__xludf.DUMMYFUNCTION("""COMPUTED_VALUE"""),42902.64583333333)</f>
        <v>42902.64583</v>
      </c>
      <c r="C520" s="2">
        <f>IFERROR(__xludf.DUMMYFUNCTION("""COMPUTED_VALUE"""),213.15)</f>
        <v>213.15</v>
      </c>
    </row>
    <row r="521" ht="15.75" customHeight="1">
      <c r="B521" s="3">
        <f>IFERROR(__xludf.DUMMYFUNCTION("""COMPUTED_VALUE"""),42909.64583333333)</f>
        <v>42909.64583</v>
      </c>
      <c r="C521" s="2">
        <f>IFERROR(__xludf.DUMMYFUNCTION("""COMPUTED_VALUE"""),215.0)</f>
        <v>215</v>
      </c>
    </row>
    <row r="522" ht="15.75" customHeight="1">
      <c r="B522" s="3">
        <f>IFERROR(__xludf.DUMMYFUNCTION("""COMPUTED_VALUE"""),42916.64583333333)</f>
        <v>42916.64583</v>
      </c>
      <c r="C522" s="2">
        <f>IFERROR(__xludf.DUMMYFUNCTION("""COMPUTED_VALUE"""),211.05)</f>
        <v>211.05</v>
      </c>
    </row>
    <row r="523" ht="15.75" customHeight="1">
      <c r="B523" s="3">
        <f>IFERROR(__xludf.DUMMYFUNCTION("""COMPUTED_VALUE"""),42923.64583333333)</f>
        <v>42923.64583</v>
      </c>
      <c r="C523" s="2">
        <f>IFERROR(__xludf.DUMMYFUNCTION("""COMPUTED_VALUE"""),213.0)</f>
        <v>213</v>
      </c>
    </row>
    <row r="524" ht="15.75" customHeight="1">
      <c r="B524" s="3">
        <f>IFERROR(__xludf.DUMMYFUNCTION("""COMPUTED_VALUE"""),42930.64583333333)</f>
        <v>42930.64583</v>
      </c>
      <c r="C524" s="2">
        <f>IFERROR(__xludf.DUMMYFUNCTION("""COMPUTED_VALUE"""),217.0)</f>
        <v>217</v>
      </c>
    </row>
    <row r="525" ht="15.75" customHeight="1">
      <c r="B525" s="3">
        <f>IFERROR(__xludf.DUMMYFUNCTION("""COMPUTED_VALUE"""),42937.64583333333)</f>
        <v>42937.64583</v>
      </c>
      <c r="C525" s="2">
        <f>IFERROR(__xludf.DUMMYFUNCTION("""COMPUTED_VALUE"""),220.0)</f>
        <v>220</v>
      </c>
    </row>
    <row r="526" ht="15.75" customHeight="1">
      <c r="B526" s="3">
        <f>IFERROR(__xludf.DUMMYFUNCTION("""COMPUTED_VALUE"""),42944.64583333333)</f>
        <v>42944.64583</v>
      </c>
      <c r="C526" s="2">
        <f>IFERROR(__xludf.DUMMYFUNCTION("""COMPUTED_VALUE"""),219.1)</f>
        <v>219.1</v>
      </c>
    </row>
    <row r="527" ht="15.75" customHeight="1">
      <c r="B527" s="3">
        <f>IFERROR(__xludf.DUMMYFUNCTION("""COMPUTED_VALUE"""),42951.64583333333)</f>
        <v>42951.64583</v>
      </c>
      <c r="C527" s="2">
        <f>IFERROR(__xludf.DUMMYFUNCTION("""COMPUTED_VALUE"""),226.0)</f>
        <v>226</v>
      </c>
    </row>
    <row r="528" ht="15.75" customHeight="1">
      <c r="B528" s="3">
        <f>IFERROR(__xludf.DUMMYFUNCTION("""COMPUTED_VALUE"""),42958.64583333333)</f>
        <v>42958.64583</v>
      </c>
      <c r="C528" s="2">
        <f>IFERROR(__xludf.DUMMYFUNCTION("""COMPUTED_VALUE"""),226.6)</f>
        <v>226.6</v>
      </c>
    </row>
    <row r="529" ht="15.75" customHeight="1">
      <c r="B529" s="3">
        <f>IFERROR(__xludf.DUMMYFUNCTION("""COMPUTED_VALUE"""),42965.64583333333)</f>
        <v>42965.64583</v>
      </c>
      <c r="C529" s="2">
        <f>IFERROR(__xludf.DUMMYFUNCTION("""COMPUTED_VALUE"""),224.65)</f>
        <v>224.65</v>
      </c>
    </row>
    <row r="530" ht="15.75" customHeight="1">
      <c r="B530" s="3">
        <f>IFERROR(__xludf.DUMMYFUNCTION("""COMPUTED_VALUE"""),42971.64583333333)</f>
        <v>42971.64583</v>
      </c>
      <c r="C530" s="2">
        <f>IFERROR(__xludf.DUMMYFUNCTION("""COMPUTED_VALUE"""),224.95)</f>
        <v>224.95</v>
      </c>
    </row>
    <row r="531" ht="15.75" customHeight="1">
      <c r="B531" s="3">
        <f>IFERROR(__xludf.DUMMYFUNCTION("""COMPUTED_VALUE"""),42979.64583333333)</f>
        <v>42979.64583</v>
      </c>
      <c r="C531" s="2">
        <f>IFERROR(__xludf.DUMMYFUNCTION("""COMPUTED_VALUE"""),220.9)</f>
        <v>220.9</v>
      </c>
    </row>
    <row r="532" ht="15.75" customHeight="1">
      <c r="B532" s="3">
        <f>IFERROR(__xludf.DUMMYFUNCTION("""COMPUTED_VALUE"""),42986.64583333333)</f>
        <v>42986.64583</v>
      </c>
      <c r="C532" s="2">
        <f>IFERROR(__xludf.DUMMYFUNCTION("""COMPUTED_VALUE"""),219.25)</f>
        <v>219.25</v>
      </c>
    </row>
    <row r="533" ht="15.75" customHeight="1">
      <c r="B533" s="3">
        <f>IFERROR(__xludf.DUMMYFUNCTION("""COMPUTED_VALUE"""),42993.64583333333)</f>
        <v>42993.64583</v>
      </c>
      <c r="C533" s="2">
        <f>IFERROR(__xludf.DUMMYFUNCTION("""COMPUTED_VALUE"""),216.3)</f>
        <v>216.3</v>
      </c>
    </row>
    <row r="534" ht="15.75" customHeight="1">
      <c r="B534" s="3">
        <f>IFERROR(__xludf.DUMMYFUNCTION("""COMPUTED_VALUE"""),43000.64583333333)</f>
        <v>43000.64583</v>
      </c>
      <c r="C534" s="2">
        <f>IFERROR(__xludf.DUMMYFUNCTION("""COMPUTED_VALUE"""),217.35)</f>
        <v>217.35</v>
      </c>
    </row>
    <row r="535" ht="15.75" customHeight="1">
      <c r="B535" s="3">
        <f>IFERROR(__xludf.DUMMYFUNCTION("""COMPUTED_VALUE"""),43007.64583333333)</f>
        <v>43007.64583</v>
      </c>
      <c r="C535" s="2">
        <f>IFERROR(__xludf.DUMMYFUNCTION("""COMPUTED_VALUE"""),213.85)</f>
        <v>213.85</v>
      </c>
    </row>
    <row r="536" ht="15.75" customHeight="1">
      <c r="B536" s="3">
        <f>IFERROR(__xludf.DUMMYFUNCTION("""COMPUTED_VALUE"""),43014.64583333333)</f>
        <v>43014.64583</v>
      </c>
      <c r="C536" s="2">
        <f>IFERROR(__xludf.DUMMYFUNCTION("""COMPUTED_VALUE"""),212.25)</f>
        <v>212.25</v>
      </c>
    </row>
    <row r="537" ht="15.75" customHeight="1">
      <c r="B537" s="3">
        <f>IFERROR(__xludf.DUMMYFUNCTION("""COMPUTED_VALUE"""),43021.64583333333)</f>
        <v>43021.64583</v>
      </c>
      <c r="C537" s="2">
        <f>IFERROR(__xludf.DUMMYFUNCTION("""COMPUTED_VALUE"""),207.1)</f>
        <v>207.1</v>
      </c>
    </row>
    <row r="538" ht="15.75" customHeight="1">
      <c r="B538" s="3">
        <f>IFERROR(__xludf.DUMMYFUNCTION("""COMPUTED_VALUE"""),43027.83333333333)</f>
        <v>43027.83333</v>
      </c>
      <c r="C538" s="2">
        <f>IFERROR(__xludf.DUMMYFUNCTION("""COMPUTED_VALUE"""),214.25)</f>
        <v>214.25</v>
      </c>
    </row>
    <row r="539" ht="15.75" customHeight="1">
      <c r="B539" s="3">
        <f>IFERROR(__xludf.DUMMYFUNCTION("""COMPUTED_VALUE"""),43035.64583333333)</f>
        <v>43035.64583</v>
      </c>
      <c r="C539" s="2">
        <f>IFERROR(__xludf.DUMMYFUNCTION("""COMPUTED_VALUE"""),219.0)</f>
        <v>219</v>
      </c>
    </row>
    <row r="540" ht="15.75" customHeight="1">
      <c r="B540" s="3">
        <f>IFERROR(__xludf.DUMMYFUNCTION("""COMPUTED_VALUE"""),43042.64583333333)</f>
        <v>43042.64583</v>
      </c>
      <c r="C540" s="2">
        <f>IFERROR(__xludf.DUMMYFUNCTION("""COMPUTED_VALUE"""),220.5)</f>
        <v>220.5</v>
      </c>
    </row>
    <row r="541" ht="15.75" customHeight="1">
      <c r="B541" s="3">
        <f>IFERROR(__xludf.DUMMYFUNCTION("""COMPUTED_VALUE"""),43049.64583333333)</f>
        <v>43049.64583</v>
      </c>
      <c r="C541" s="2">
        <f>IFERROR(__xludf.DUMMYFUNCTION("""COMPUTED_VALUE"""),213.3)</f>
        <v>213.3</v>
      </c>
    </row>
    <row r="542" ht="15.75" customHeight="1">
      <c r="B542" s="3">
        <f>IFERROR(__xludf.DUMMYFUNCTION("""COMPUTED_VALUE"""),43056.64583333333)</f>
        <v>43056.64583</v>
      </c>
      <c r="C542" s="2">
        <f>IFERROR(__xludf.DUMMYFUNCTION("""COMPUTED_VALUE"""),213.35)</f>
        <v>213.35</v>
      </c>
    </row>
    <row r="543" ht="15.75" customHeight="1">
      <c r="B543" s="3">
        <f>IFERROR(__xludf.DUMMYFUNCTION("""COMPUTED_VALUE"""),43063.64583333333)</f>
        <v>43063.64583</v>
      </c>
      <c r="C543" s="2">
        <f>IFERROR(__xludf.DUMMYFUNCTION("""COMPUTED_VALUE"""),211.85)</f>
        <v>211.85</v>
      </c>
    </row>
    <row r="544" ht="15.75" customHeight="1">
      <c r="B544" s="3">
        <f>IFERROR(__xludf.DUMMYFUNCTION("""COMPUTED_VALUE"""),43070.64583333333)</f>
        <v>43070.64583</v>
      </c>
      <c r="C544" s="2">
        <f>IFERROR(__xludf.DUMMYFUNCTION("""COMPUTED_VALUE"""),211.85)</f>
        <v>211.85</v>
      </c>
    </row>
    <row r="545" ht="15.75" customHeight="1">
      <c r="B545" s="3">
        <f>IFERROR(__xludf.DUMMYFUNCTION("""COMPUTED_VALUE"""),43077.64583333333)</f>
        <v>43077.64583</v>
      </c>
      <c r="C545" s="2">
        <f>IFERROR(__xludf.DUMMYFUNCTION("""COMPUTED_VALUE"""),203.95)</f>
        <v>203.95</v>
      </c>
    </row>
    <row r="546" ht="15.75" customHeight="1">
      <c r="B546" s="3">
        <f>IFERROR(__xludf.DUMMYFUNCTION("""COMPUTED_VALUE"""),43084.64583333333)</f>
        <v>43084.64583</v>
      </c>
      <c r="C546" s="2">
        <f>IFERROR(__xludf.DUMMYFUNCTION("""COMPUTED_VALUE"""),205.4)</f>
        <v>205.4</v>
      </c>
    </row>
    <row r="547" ht="15.75" customHeight="1">
      <c r="B547" s="3">
        <f>IFERROR(__xludf.DUMMYFUNCTION("""COMPUTED_VALUE"""),43091.64583333333)</f>
        <v>43091.64583</v>
      </c>
      <c r="C547" s="2">
        <f>IFERROR(__xludf.DUMMYFUNCTION("""COMPUTED_VALUE"""),204.8)</f>
        <v>204.8</v>
      </c>
    </row>
    <row r="548" ht="15.75" customHeight="1">
      <c r="B548" s="3">
        <f>IFERROR(__xludf.DUMMYFUNCTION("""COMPUTED_VALUE"""),43098.64583333333)</f>
        <v>43098.64583</v>
      </c>
      <c r="C548" s="2">
        <f>IFERROR(__xludf.DUMMYFUNCTION("""COMPUTED_VALUE"""),204.5)</f>
        <v>204.5</v>
      </c>
    </row>
    <row r="549" ht="15.75" customHeight="1"/>
    <row r="550" ht="15.75" customHeight="1"/>
    <row r="551" ht="15.75" customHeight="1">
      <c r="B551" s="2" t="str">
        <f>IFERROR(__xludf.DUMMYFUNCTION("GOOGLEFINANCE(""NSE:POWERGRID"", ""high"",DATE(2018,1,1),DATE(2019,1,1),""weekly"")"),"Date")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IFERROR(__xludf.DUMMYFUNCTION("""COMPUTED_VALUE"""),43105.64583333333)</f>
        <v>43105.64583</v>
      </c>
      <c r="C552" s="2">
        <f>IFERROR(__xludf.DUMMYFUNCTION("""COMPUTED_VALUE"""),202.85)</f>
        <v>202.85</v>
      </c>
    </row>
    <row r="553" ht="15.75" customHeight="1">
      <c r="B553" s="3">
        <f>IFERROR(__xludf.DUMMYFUNCTION("""COMPUTED_VALUE"""),43112.64583333333)</f>
        <v>43112.64583</v>
      </c>
      <c r="C553" s="2">
        <f>IFERROR(__xludf.DUMMYFUNCTION("""COMPUTED_VALUE"""),203.25)</f>
        <v>203.25</v>
      </c>
    </row>
    <row r="554" ht="15.75" customHeight="1">
      <c r="B554" s="3">
        <f>IFERROR(__xludf.DUMMYFUNCTION("""COMPUTED_VALUE"""),43119.64583333333)</f>
        <v>43119.64583</v>
      </c>
      <c r="C554" s="2">
        <f>IFERROR(__xludf.DUMMYFUNCTION("""COMPUTED_VALUE"""),200.25)</f>
        <v>200.25</v>
      </c>
    </row>
    <row r="555" ht="15.75" customHeight="1">
      <c r="B555" s="3">
        <f>IFERROR(__xludf.DUMMYFUNCTION("""COMPUTED_VALUE"""),43125.64583333333)</f>
        <v>43125.64583</v>
      </c>
      <c r="C555" s="2">
        <f>IFERROR(__xludf.DUMMYFUNCTION("""COMPUTED_VALUE"""),196.95)</f>
        <v>196.95</v>
      </c>
    </row>
    <row r="556" ht="15.75" customHeight="1">
      <c r="B556" s="3">
        <f>IFERROR(__xludf.DUMMYFUNCTION("""COMPUTED_VALUE"""),43133.64583333333)</f>
        <v>43133.64583</v>
      </c>
      <c r="C556" s="2">
        <f>IFERROR(__xludf.DUMMYFUNCTION("""COMPUTED_VALUE"""),196.15)</f>
        <v>196.15</v>
      </c>
    </row>
    <row r="557" ht="15.75" customHeight="1">
      <c r="B557" s="3">
        <f>IFERROR(__xludf.DUMMYFUNCTION("""COMPUTED_VALUE"""),43140.64583333333)</f>
        <v>43140.64583</v>
      </c>
      <c r="C557" s="2">
        <f>IFERROR(__xludf.DUMMYFUNCTION("""COMPUTED_VALUE"""),196.95)</f>
        <v>196.95</v>
      </c>
    </row>
    <row r="558" ht="15.75" customHeight="1">
      <c r="B558" s="3">
        <f>IFERROR(__xludf.DUMMYFUNCTION("""COMPUTED_VALUE"""),43147.64583333333)</f>
        <v>43147.64583</v>
      </c>
      <c r="C558" s="2">
        <f>IFERROR(__xludf.DUMMYFUNCTION("""COMPUTED_VALUE"""),199.05)</f>
        <v>199.05</v>
      </c>
    </row>
    <row r="559" ht="15.75" customHeight="1">
      <c r="B559" s="3">
        <f>IFERROR(__xludf.DUMMYFUNCTION("""COMPUTED_VALUE"""),43154.64583333333)</f>
        <v>43154.64583</v>
      </c>
      <c r="C559" s="2">
        <f>IFERROR(__xludf.DUMMYFUNCTION("""COMPUTED_VALUE"""),196.95)</f>
        <v>196.95</v>
      </c>
    </row>
    <row r="560" ht="15.75" customHeight="1">
      <c r="B560" s="3">
        <f>IFERROR(__xludf.DUMMYFUNCTION("""COMPUTED_VALUE"""),43160.64583333333)</f>
        <v>43160.64583</v>
      </c>
      <c r="C560" s="2">
        <f>IFERROR(__xludf.DUMMYFUNCTION("""COMPUTED_VALUE"""),198.5)</f>
        <v>198.5</v>
      </c>
    </row>
    <row r="561" ht="15.75" customHeight="1">
      <c r="B561" s="3">
        <f>IFERROR(__xludf.DUMMYFUNCTION("""COMPUTED_VALUE"""),43168.64583333333)</f>
        <v>43168.64583</v>
      </c>
      <c r="C561" s="2">
        <f>IFERROR(__xludf.DUMMYFUNCTION("""COMPUTED_VALUE"""),197.5)</f>
        <v>197.5</v>
      </c>
    </row>
    <row r="562" ht="15.75" customHeight="1">
      <c r="B562" s="3">
        <f>IFERROR(__xludf.DUMMYFUNCTION("""COMPUTED_VALUE"""),43175.64583333333)</f>
        <v>43175.64583</v>
      </c>
      <c r="C562" s="2">
        <f>IFERROR(__xludf.DUMMYFUNCTION("""COMPUTED_VALUE"""),197.15)</f>
        <v>197.15</v>
      </c>
    </row>
    <row r="563" ht="15.75" customHeight="1">
      <c r="B563" s="3">
        <f>IFERROR(__xludf.DUMMYFUNCTION("""COMPUTED_VALUE"""),43182.64583333333)</f>
        <v>43182.64583</v>
      </c>
      <c r="C563" s="2">
        <f>IFERROR(__xludf.DUMMYFUNCTION("""COMPUTED_VALUE"""),196.1)</f>
        <v>196.1</v>
      </c>
    </row>
    <row r="564" ht="15.75" customHeight="1">
      <c r="B564" s="3">
        <f>IFERROR(__xludf.DUMMYFUNCTION("""COMPUTED_VALUE"""),43187.64583333333)</f>
        <v>43187.64583</v>
      </c>
      <c r="C564" s="2">
        <f>IFERROR(__xludf.DUMMYFUNCTION("""COMPUTED_VALUE"""),196.35)</f>
        <v>196.35</v>
      </c>
    </row>
    <row r="565" ht="15.75" customHeight="1">
      <c r="B565" s="3">
        <f>IFERROR(__xludf.DUMMYFUNCTION("""COMPUTED_VALUE"""),43196.64583333333)</f>
        <v>43196.64583</v>
      </c>
      <c r="C565" s="2">
        <f>IFERROR(__xludf.DUMMYFUNCTION("""COMPUTED_VALUE"""),199.9)</f>
        <v>199.9</v>
      </c>
    </row>
    <row r="566" ht="15.75" customHeight="1">
      <c r="B566" s="3">
        <f>IFERROR(__xludf.DUMMYFUNCTION("""COMPUTED_VALUE"""),43203.64583333333)</f>
        <v>43203.64583</v>
      </c>
      <c r="C566" s="2">
        <f>IFERROR(__xludf.DUMMYFUNCTION("""COMPUTED_VALUE"""),198.65)</f>
        <v>198.65</v>
      </c>
    </row>
    <row r="567" ht="15.75" customHeight="1">
      <c r="B567" s="3">
        <f>IFERROR(__xludf.DUMMYFUNCTION("""COMPUTED_VALUE"""),43210.64583333333)</f>
        <v>43210.64583</v>
      </c>
      <c r="C567" s="2">
        <f>IFERROR(__xludf.DUMMYFUNCTION("""COMPUTED_VALUE"""),209.6)</f>
        <v>209.6</v>
      </c>
    </row>
    <row r="568" ht="15.75" customHeight="1">
      <c r="B568" s="3">
        <f>IFERROR(__xludf.DUMMYFUNCTION("""COMPUTED_VALUE"""),43217.64583333333)</f>
        <v>43217.64583</v>
      </c>
      <c r="C568" s="2">
        <f>IFERROR(__xludf.DUMMYFUNCTION("""COMPUTED_VALUE"""),210.0)</f>
        <v>210</v>
      </c>
    </row>
    <row r="569" ht="15.75" customHeight="1">
      <c r="B569" s="3">
        <f>IFERROR(__xludf.DUMMYFUNCTION("""COMPUTED_VALUE"""),43224.64583333333)</f>
        <v>43224.64583</v>
      </c>
      <c r="C569" s="2">
        <f>IFERROR(__xludf.DUMMYFUNCTION("""COMPUTED_VALUE"""),209.1)</f>
        <v>209.1</v>
      </c>
    </row>
    <row r="570" ht="15.75" customHeight="1">
      <c r="B570" s="3">
        <f>IFERROR(__xludf.DUMMYFUNCTION("""COMPUTED_VALUE"""),43231.64583333333)</f>
        <v>43231.64583</v>
      </c>
      <c r="C570" s="2">
        <f>IFERROR(__xludf.DUMMYFUNCTION("""COMPUTED_VALUE"""),214.0)</f>
        <v>214</v>
      </c>
    </row>
    <row r="571" ht="15.75" customHeight="1">
      <c r="B571" s="3">
        <f>IFERROR(__xludf.DUMMYFUNCTION("""COMPUTED_VALUE"""),43238.64583333333)</f>
        <v>43238.64583</v>
      </c>
      <c r="C571" s="2">
        <f>IFERROR(__xludf.DUMMYFUNCTION("""COMPUTED_VALUE"""),216.0)</f>
        <v>216</v>
      </c>
    </row>
    <row r="572" ht="15.75" customHeight="1">
      <c r="B572" s="3">
        <f>IFERROR(__xludf.DUMMYFUNCTION("""COMPUTED_VALUE"""),43245.64583333333)</f>
        <v>43245.64583</v>
      </c>
      <c r="C572" s="2">
        <f>IFERROR(__xludf.DUMMYFUNCTION("""COMPUTED_VALUE"""),214.45)</f>
        <v>214.45</v>
      </c>
    </row>
    <row r="573" ht="15.75" customHeight="1">
      <c r="B573" s="3">
        <f>IFERROR(__xludf.DUMMYFUNCTION("""COMPUTED_VALUE"""),43252.64583333333)</f>
        <v>43252.64583</v>
      </c>
      <c r="C573" s="2">
        <f>IFERROR(__xludf.DUMMYFUNCTION("""COMPUTED_VALUE"""),212.7)</f>
        <v>212.7</v>
      </c>
    </row>
    <row r="574" ht="15.75" customHeight="1">
      <c r="B574" s="3">
        <f>IFERROR(__xludf.DUMMYFUNCTION("""COMPUTED_VALUE"""),43259.64583333333)</f>
        <v>43259.64583</v>
      </c>
      <c r="C574" s="2">
        <f>IFERROR(__xludf.DUMMYFUNCTION("""COMPUTED_VALUE"""),206.95)</f>
        <v>206.95</v>
      </c>
    </row>
    <row r="575" ht="15.75" customHeight="1">
      <c r="B575" s="3">
        <f>IFERROR(__xludf.DUMMYFUNCTION("""COMPUTED_VALUE"""),43266.64583333333)</f>
        <v>43266.64583</v>
      </c>
      <c r="C575" s="2">
        <f>IFERROR(__xludf.DUMMYFUNCTION("""COMPUTED_VALUE"""),199.35)</f>
        <v>199.35</v>
      </c>
    </row>
    <row r="576" ht="15.75" customHeight="1">
      <c r="B576" s="3">
        <f>IFERROR(__xludf.DUMMYFUNCTION("""COMPUTED_VALUE"""),43273.64583333333)</f>
        <v>43273.64583</v>
      </c>
      <c r="C576" s="2">
        <f>IFERROR(__xludf.DUMMYFUNCTION("""COMPUTED_VALUE"""),199.7)</f>
        <v>199.7</v>
      </c>
    </row>
    <row r="577" ht="15.75" customHeight="1">
      <c r="B577" s="3">
        <f>IFERROR(__xludf.DUMMYFUNCTION("""COMPUTED_VALUE"""),43280.64583333333)</f>
        <v>43280.64583</v>
      </c>
      <c r="C577" s="2">
        <f>IFERROR(__xludf.DUMMYFUNCTION("""COMPUTED_VALUE"""),198.3)</f>
        <v>198.3</v>
      </c>
    </row>
    <row r="578" ht="15.75" customHeight="1">
      <c r="B578" s="3">
        <f>IFERROR(__xludf.DUMMYFUNCTION("""COMPUTED_VALUE"""),43287.64583333333)</f>
        <v>43287.64583</v>
      </c>
      <c r="C578" s="2">
        <f>IFERROR(__xludf.DUMMYFUNCTION("""COMPUTED_VALUE"""),189.25)</f>
        <v>189.25</v>
      </c>
    </row>
    <row r="579" ht="15.75" customHeight="1">
      <c r="B579" s="3">
        <f>IFERROR(__xludf.DUMMYFUNCTION("""COMPUTED_VALUE"""),43294.64583333333)</f>
        <v>43294.64583</v>
      </c>
      <c r="C579" s="2">
        <f>IFERROR(__xludf.DUMMYFUNCTION("""COMPUTED_VALUE"""),185.35)</f>
        <v>185.35</v>
      </c>
    </row>
    <row r="580" ht="15.75" customHeight="1">
      <c r="B580" s="3">
        <f>IFERROR(__xludf.DUMMYFUNCTION("""COMPUTED_VALUE"""),43301.64583333333)</f>
        <v>43301.64583</v>
      </c>
      <c r="C580" s="2">
        <f>IFERROR(__xludf.DUMMYFUNCTION("""COMPUTED_VALUE"""),183.8)</f>
        <v>183.8</v>
      </c>
    </row>
    <row r="581" ht="15.75" customHeight="1">
      <c r="B581" s="3">
        <f>IFERROR(__xludf.DUMMYFUNCTION("""COMPUTED_VALUE"""),43308.64583333333)</f>
        <v>43308.64583</v>
      </c>
      <c r="C581" s="2">
        <f>IFERROR(__xludf.DUMMYFUNCTION("""COMPUTED_VALUE"""),184.8)</f>
        <v>184.8</v>
      </c>
    </row>
    <row r="582" ht="15.75" customHeight="1">
      <c r="B582" s="3">
        <f>IFERROR(__xludf.DUMMYFUNCTION("""COMPUTED_VALUE"""),43315.64583333333)</f>
        <v>43315.64583</v>
      </c>
      <c r="C582" s="2">
        <f>IFERROR(__xludf.DUMMYFUNCTION("""COMPUTED_VALUE"""),190.95)</f>
        <v>190.95</v>
      </c>
    </row>
    <row r="583" ht="15.75" customHeight="1">
      <c r="B583" s="3">
        <f>IFERROR(__xludf.DUMMYFUNCTION("""COMPUTED_VALUE"""),43322.64583333333)</f>
        <v>43322.64583</v>
      </c>
      <c r="C583" s="2">
        <f>IFERROR(__xludf.DUMMYFUNCTION("""COMPUTED_VALUE"""),193.85)</f>
        <v>193.85</v>
      </c>
    </row>
    <row r="584" ht="15.75" customHeight="1">
      <c r="B584" s="3">
        <f>IFERROR(__xludf.DUMMYFUNCTION("""COMPUTED_VALUE"""),43329.64583333333)</f>
        <v>43329.64583</v>
      </c>
      <c r="C584" s="2">
        <f>IFERROR(__xludf.DUMMYFUNCTION("""COMPUTED_VALUE"""),190.0)</f>
        <v>190</v>
      </c>
    </row>
    <row r="585" ht="15.75" customHeight="1">
      <c r="B585" s="3">
        <f>IFERROR(__xludf.DUMMYFUNCTION("""COMPUTED_VALUE"""),43336.64583333333)</f>
        <v>43336.64583</v>
      </c>
      <c r="C585" s="2">
        <f>IFERROR(__xludf.DUMMYFUNCTION("""COMPUTED_VALUE"""),194.6)</f>
        <v>194.6</v>
      </c>
    </row>
    <row r="586" ht="15.75" customHeight="1">
      <c r="B586" s="3">
        <f>IFERROR(__xludf.DUMMYFUNCTION("""COMPUTED_VALUE"""),43343.64583333333)</f>
        <v>43343.64583</v>
      </c>
      <c r="C586" s="2">
        <f>IFERROR(__xludf.DUMMYFUNCTION("""COMPUTED_VALUE"""),202.25)</f>
        <v>202.25</v>
      </c>
    </row>
    <row r="587" ht="15.75" customHeight="1">
      <c r="B587" s="3">
        <f>IFERROR(__xludf.DUMMYFUNCTION("""COMPUTED_VALUE"""),43350.64583333333)</f>
        <v>43350.64583</v>
      </c>
      <c r="C587" s="2">
        <f>IFERROR(__xludf.DUMMYFUNCTION("""COMPUTED_VALUE"""),205.0)</f>
        <v>205</v>
      </c>
    </row>
    <row r="588" ht="15.75" customHeight="1">
      <c r="B588" s="3">
        <f>IFERROR(__xludf.DUMMYFUNCTION("""COMPUTED_VALUE"""),43357.64583333333)</f>
        <v>43357.64583</v>
      </c>
      <c r="C588" s="2">
        <f>IFERROR(__xludf.DUMMYFUNCTION("""COMPUTED_VALUE"""),201.95)</f>
        <v>201.95</v>
      </c>
    </row>
    <row r="589" ht="15.75" customHeight="1">
      <c r="B589" s="3">
        <f>IFERROR(__xludf.DUMMYFUNCTION("""COMPUTED_VALUE"""),43364.64583333333)</f>
        <v>43364.64583</v>
      </c>
      <c r="C589" s="2">
        <f>IFERROR(__xludf.DUMMYFUNCTION("""COMPUTED_VALUE"""),203.9)</f>
        <v>203.9</v>
      </c>
    </row>
    <row r="590" ht="15.75" customHeight="1">
      <c r="B590" s="3">
        <f>IFERROR(__xludf.DUMMYFUNCTION("""COMPUTED_VALUE"""),43371.64583333333)</f>
        <v>43371.64583</v>
      </c>
      <c r="C590" s="2">
        <f>IFERROR(__xludf.DUMMYFUNCTION("""COMPUTED_VALUE"""),200.35)</f>
        <v>200.35</v>
      </c>
    </row>
    <row r="591" ht="15.75" customHeight="1">
      <c r="B591" s="3">
        <f>IFERROR(__xludf.DUMMYFUNCTION("""COMPUTED_VALUE"""),43378.64583333333)</f>
        <v>43378.64583</v>
      </c>
      <c r="C591" s="2">
        <f>IFERROR(__xludf.DUMMYFUNCTION("""COMPUTED_VALUE"""),193.9)</f>
        <v>193.9</v>
      </c>
    </row>
    <row r="592" ht="15.75" customHeight="1">
      <c r="B592" s="3">
        <f>IFERROR(__xludf.DUMMYFUNCTION("""COMPUTED_VALUE"""),43385.64583333333)</f>
        <v>43385.64583</v>
      </c>
      <c r="C592" s="2">
        <f>IFERROR(__xludf.DUMMYFUNCTION("""COMPUTED_VALUE"""),189.75)</f>
        <v>189.75</v>
      </c>
    </row>
    <row r="593" ht="15.75" customHeight="1">
      <c r="B593" s="3">
        <f>IFERROR(__xludf.DUMMYFUNCTION("""COMPUTED_VALUE"""),43392.64583333333)</f>
        <v>43392.64583</v>
      </c>
      <c r="C593" s="2">
        <f>IFERROR(__xludf.DUMMYFUNCTION("""COMPUTED_VALUE"""),191.45)</f>
        <v>191.45</v>
      </c>
    </row>
    <row r="594" ht="15.75" customHeight="1">
      <c r="B594" s="3">
        <f>IFERROR(__xludf.DUMMYFUNCTION("""COMPUTED_VALUE"""),43399.64583333333)</f>
        <v>43399.64583</v>
      </c>
      <c r="C594" s="2">
        <f>IFERROR(__xludf.DUMMYFUNCTION("""COMPUTED_VALUE"""),192.65)</f>
        <v>192.65</v>
      </c>
    </row>
    <row r="595" ht="15.75" customHeight="1">
      <c r="B595" s="3">
        <f>IFERROR(__xludf.DUMMYFUNCTION("""COMPUTED_VALUE"""),43406.64583333333)</f>
        <v>43406.64583</v>
      </c>
      <c r="C595" s="2">
        <f>IFERROR(__xludf.DUMMYFUNCTION("""COMPUTED_VALUE"""),192.3)</f>
        <v>192.3</v>
      </c>
    </row>
    <row r="596" ht="15.75" customHeight="1">
      <c r="B596" s="3">
        <f>IFERROR(__xludf.DUMMYFUNCTION("""COMPUTED_VALUE"""),43413.64583333333)</f>
        <v>43413.64583</v>
      </c>
      <c r="C596" s="2">
        <f>IFERROR(__xludf.DUMMYFUNCTION("""COMPUTED_VALUE"""),192.2)</f>
        <v>192.2</v>
      </c>
    </row>
    <row r="597" ht="15.75" customHeight="1">
      <c r="B597" s="3">
        <f>IFERROR(__xludf.DUMMYFUNCTION("""COMPUTED_VALUE"""),43420.64583333333)</f>
        <v>43420.64583</v>
      </c>
      <c r="C597" s="2">
        <f>IFERROR(__xludf.DUMMYFUNCTION("""COMPUTED_VALUE"""),192.9)</f>
        <v>192.9</v>
      </c>
    </row>
    <row r="598" ht="15.75" customHeight="1">
      <c r="B598" s="3">
        <f>IFERROR(__xludf.DUMMYFUNCTION("""COMPUTED_VALUE"""),43426.64583333333)</f>
        <v>43426.64583</v>
      </c>
      <c r="C598" s="2">
        <f>IFERROR(__xludf.DUMMYFUNCTION("""COMPUTED_VALUE"""),191.1)</f>
        <v>191.1</v>
      </c>
    </row>
    <row r="599" ht="15.75" customHeight="1">
      <c r="B599" s="3">
        <f>IFERROR(__xludf.DUMMYFUNCTION("""COMPUTED_VALUE"""),43434.64583333333)</f>
        <v>43434.64583</v>
      </c>
      <c r="C599" s="2">
        <f>IFERROR(__xludf.DUMMYFUNCTION("""COMPUTED_VALUE"""),188.5)</f>
        <v>188.5</v>
      </c>
    </row>
    <row r="600" ht="15.75" customHeight="1">
      <c r="B600" s="3">
        <f>IFERROR(__xludf.DUMMYFUNCTION("""COMPUTED_VALUE"""),43441.64583333333)</f>
        <v>43441.64583</v>
      </c>
      <c r="C600" s="2">
        <f>IFERROR(__xludf.DUMMYFUNCTION("""COMPUTED_VALUE"""),188.5)</f>
        <v>188.5</v>
      </c>
    </row>
    <row r="601" ht="15.75" customHeight="1">
      <c r="B601" s="3">
        <f>IFERROR(__xludf.DUMMYFUNCTION("""COMPUTED_VALUE"""),43448.64583333333)</f>
        <v>43448.64583</v>
      </c>
      <c r="C601" s="2">
        <f>IFERROR(__xludf.DUMMYFUNCTION("""COMPUTED_VALUE"""),186.25)</f>
        <v>186.25</v>
      </c>
    </row>
    <row r="602" ht="15.75" customHeight="1">
      <c r="B602" s="3">
        <f>IFERROR(__xludf.DUMMYFUNCTION("""COMPUTED_VALUE"""),43455.64583333333)</f>
        <v>43455.64583</v>
      </c>
      <c r="C602" s="2">
        <f>IFERROR(__xludf.DUMMYFUNCTION("""COMPUTED_VALUE"""),199.5)</f>
        <v>199.5</v>
      </c>
    </row>
    <row r="603" ht="15.75" customHeight="1">
      <c r="B603" s="3">
        <f>IFERROR(__xludf.DUMMYFUNCTION("""COMPUTED_VALUE"""),43462.64583333333)</f>
        <v>43462.64583</v>
      </c>
      <c r="C603" s="2">
        <f>IFERROR(__xludf.DUMMYFUNCTION("""COMPUTED_VALUE"""),199.5)</f>
        <v>199.5</v>
      </c>
    </row>
    <row r="604" ht="15.75" customHeight="1"/>
    <row r="605" ht="15.75" customHeight="1"/>
    <row r="606" ht="15.75" customHeight="1">
      <c r="B606" s="2" t="str">
        <f>IFERROR(__xludf.DUMMYFUNCTION("GOOGLEFINANCE(""NSE:POWERGRID"", ""high"",DATE(2019,1,1),DATE(2020,1,1),""weekly"")"),"Date")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IFERROR(__xludf.DUMMYFUNCTION("""COMPUTED_VALUE"""),43469.64583333333)</f>
        <v>43469.64583</v>
      </c>
      <c r="C607" s="2">
        <f>IFERROR(__xludf.DUMMYFUNCTION("""COMPUTED_VALUE"""),200.5)</f>
        <v>200.5</v>
      </c>
    </row>
    <row r="608" ht="15.75" customHeight="1">
      <c r="B608" s="3">
        <f>IFERROR(__xludf.DUMMYFUNCTION("""COMPUTED_VALUE"""),43476.64583333333)</f>
        <v>43476.64583</v>
      </c>
      <c r="C608" s="2">
        <f>IFERROR(__xludf.DUMMYFUNCTION("""COMPUTED_VALUE"""),198.9)</f>
        <v>198.9</v>
      </c>
    </row>
    <row r="609" ht="15.75" customHeight="1">
      <c r="B609" s="3">
        <f>IFERROR(__xludf.DUMMYFUNCTION("""COMPUTED_VALUE"""),43483.64583333333)</f>
        <v>43483.64583</v>
      </c>
      <c r="C609" s="2">
        <f>IFERROR(__xludf.DUMMYFUNCTION("""COMPUTED_VALUE"""),199.0)</f>
        <v>199</v>
      </c>
    </row>
    <row r="610" ht="15.75" customHeight="1">
      <c r="B610" s="3">
        <f>IFERROR(__xludf.DUMMYFUNCTION("""COMPUTED_VALUE"""),43490.64583333333)</f>
        <v>43490.64583</v>
      </c>
      <c r="C610" s="2">
        <f>IFERROR(__xludf.DUMMYFUNCTION("""COMPUTED_VALUE"""),194.7)</f>
        <v>194.7</v>
      </c>
    </row>
    <row r="611" ht="15.75" customHeight="1">
      <c r="B611" s="3">
        <f>IFERROR(__xludf.DUMMYFUNCTION("""COMPUTED_VALUE"""),43497.64583333333)</f>
        <v>43497.64583</v>
      </c>
      <c r="C611" s="2">
        <f>IFERROR(__xludf.DUMMYFUNCTION("""COMPUTED_VALUE"""),191.85)</f>
        <v>191.85</v>
      </c>
    </row>
    <row r="612" ht="15.75" customHeight="1">
      <c r="B612" s="3">
        <f>IFERROR(__xludf.DUMMYFUNCTION("""COMPUTED_VALUE"""),43504.64583333333)</f>
        <v>43504.64583</v>
      </c>
      <c r="C612" s="2">
        <f>IFERROR(__xludf.DUMMYFUNCTION("""COMPUTED_VALUE"""),189.5)</f>
        <v>189.5</v>
      </c>
    </row>
    <row r="613" ht="15.75" customHeight="1">
      <c r="B613" s="3">
        <f>IFERROR(__xludf.DUMMYFUNCTION("""COMPUTED_VALUE"""),43511.64583333333)</f>
        <v>43511.64583</v>
      </c>
      <c r="C613" s="2">
        <f>IFERROR(__xludf.DUMMYFUNCTION("""COMPUTED_VALUE"""),186.4)</f>
        <v>186.4</v>
      </c>
    </row>
    <row r="614" ht="15.75" customHeight="1">
      <c r="B614" s="3">
        <f>IFERROR(__xludf.DUMMYFUNCTION("""COMPUTED_VALUE"""),43518.64583333333)</f>
        <v>43518.64583</v>
      </c>
      <c r="C614" s="2">
        <f>IFERROR(__xludf.DUMMYFUNCTION("""COMPUTED_VALUE"""),183.0)</f>
        <v>183</v>
      </c>
    </row>
    <row r="615" ht="15.75" customHeight="1">
      <c r="B615" s="3">
        <f>IFERROR(__xludf.DUMMYFUNCTION("""COMPUTED_VALUE"""),43525.64583333333)</f>
        <v>43525.64583</v>
      </c>
      <c r="C615" s="2">
        <f>IFERROR(__xludf.DUMMYFUNCTION("""COMPUTED_VALUE"""),184.75)</f>
        <v>184.75</v>
      </c>
    </row>
    <row r="616" ht="15.75" customHeight="1">
      <c r="B616" s="3">
        <f>IFERROR(__xludf.DUMMYFUNCTION("""COMPUTED_VALUE"""),43532.64583333333)</f>
        <v>43532.64583</v>
      </c>
      <c r="C616" s="2">
        <f>IFERROR(__xludf.DUMMYFUNCTION("""COMPUTED_VALUE"""),189.5)</f>
        <v>189.5</v>
      </c>
    </row>
    <row r="617" ht="15.75" customHeight="1">
      <c r="B617" s="3">
        <f>IFERROR(__xludf.DUMMYFUNCTION("""COMPUTED_VALUE"""),43539.64583333333)</f>
        <v>43539.64583</v>
      </c>
      <c r="C617" s="2">
        <f>IFERROR(__xludf.DUMMYFUNCTION("""COMPUTED_VALUE"""),202.0)</f>
        <v>202</v>
      </c>
    </row>
    <row r="618" ht="15.75" customHeight="1">
      <c r="B618" s="3">
        <f>IFERROR(__xludf.DUMMYFUNCTION("""COMPUTED_VALUE"""),43546.64583333333)</f>
        <v>43546.64583</v>
      </c>
      <c r="C618" s="2">
        <f>IFERROR(__xludf.DUMMYFUNCTION("""COMPUTED_VALUE"""),200.85)</f>
        <v>200.85</v>
      </c>
    </row>
    <row r="619" ht="15.75" customHeight="1">
      <c r="B619" s="3">
        <f>IFERROR(__xludf.DUMMYFUNCTION("""COMPUTED_VALUE"""),43553.64583333333)</f>
        <v>43553.64583</v>
      </c>
      <c r="C619" s="2">
        <f>IFERROR(__xludf.DUMMYFUNCTION("""COMPUTED_VALUE"""),204.7)</f>
        <v>204.7</v>
      </c>
    </row>
    <row r="620" ht="15.75" customHeight="1">
      <c r="B620" s="3">
        <f>IFERROR(__xludf.DUMMYFUNCTION("""COMPUTED_VALUE"""),43560.64583333333)</f>
        <v>43560.64583</v>
      </c>
      <c r="C620" s="2">
        <f>IFERROR(__xludf.DUMMYFUNCTION("""COMPUTED_VALUE"""),203.25)</f>
        <v>203.25</v>
      </c>
    </row>
    <row r="621" ht="15.75" customHeight="1">
      <c r="B621" s="3">
        <f>IFERROR(__xludf.DUMMYFUNCTION("""COMPUTED_VALUE"""),43567.64583333333)</f>
        <v>43567.64583</v>
      </c>
      <c r="C621" s="2">
        <f>IFERROR(__xludf.DUMMYFUNCTION("""COMPUTED_VALUE"""),200.3)</f>
        <v>200.3</v>
      </c>
    </row>
    <row r="622" ht="15.75" customHeight="1">
      <c r="B622" s="3">
        <f>IFERROR(__xludf.DUMMYFUNCTION("""COMPUTED_VALUE"""),43573.64583333333)</f>
        <v>43573.64583</v>
      </c>
      <c r="C622" s="2">
        <f>IFERROR(__xludf.DUMMYFUNCTION("""COMPUTED_VALUE"""),200.85)</f>
        <v>200.85</v>
      </c>
    </row>
    <row r="623" ht="15.75" customHeight="1">
      <c r="B623" s="3">
        <f>IFERROR(__xludf.DUMMYFUNCTION("""COMPUTED_VALUE"""),43581.64583333333)</f>
        <v>43581.64583</v>
      </c>
      <c r="C623" s="2">
        <f>IFERROR(__xludf.DUMMYFUNCTION("""COMPUTED_VALUE"""),196.7)</f>
        <v>196.7</v>
      </c>
    </row>
    <row r="624" ht="15.75" customHeight="1">
      <c r="B624" s="3">
        <f>IFERROR(__xludf.DUMMYFUNCTION("""COMPUTED_VALUE"""),43588.64583333333)</f>
        <v>43588.64583</v>
      </c>
      <c r="C624" s="2">
        <f>IFERROR(__xludf.DUMMYFUNCTION("""COMPUTED_VALUE"""),192.95)</f>
        <v>192.95</v>
      </c>
    </row>
    <row r="625" ht="15.75" customHeight="1">
      <c r="B625" s="3">
        <f>IFERROR(__xludf.DUMMYFUNCTION("""COMPUTED_VALUE"""),43595.64583333333)</f>
        <v>43595.64583</v>
      </c>
      <c r="C625" s="2">
        <f>IFERROR(__xludf.DUMMYFUNCTION("""COMPUTED_VALUE"""),193.8)</f>
        <v>193.8</v>
      </c>
    </row>
    <row r="626" ht="15.75" customHeight="1">
      <c r="B626" s="3">
        <f>IFERROR(__xludf.DUMMYFUNCTION("""COMPUTED_VALUE"""),43602.64583333333)</f>
        <v>43602.64583</v>
      </c>
      <c r="C626" s="2">
        <f>IFERROR(__xludf.DUMMYFUNCTION("""COMPUTED_VALUE"""),186.05)</f>
        <v>186.05</v>
      </c>
    </row>
    <row r="627" ht="15.75" customHeight="1">
      <c r="B627" s="3">
        <f>IFERROR(__xludf.DUMMYFUNCTION("""COMPUTED_VALUE"""),43609.64583333333)</f>
        <v>43609.64583</v>
      </c>
      <c r="C627" s="2">
        <f>IFERROR(__xludf.DUMMYFUNCTION("""COMPUTED_VALUE"""),188.9)</f>
        <v>188.9</v>
      </c>
    </row>
    <row r="628" ht="15.75" customHeight="1">
      <c r="B628" s="3">
        <f>IFERROR(__xludf.DUMMYFUNCTION("""COMPUTED_VALUE"""),43616.64583333333)</f>
        <v>43616.64583</v>
      </c>
      <c r="C628" s="2">
        <f>IFERROR(__xludf.DUMMYFUNCTION("""COMPUTED_VALUE"""),193.9)</f>
        <v>193.9</v>
      </c>
    </row>
    <row r="629" ht="15.75" customHeight="1">
      <c r="B629" s="3">
        <f>IFERROR(__xludf.DUMMYFUNCTION("""COMPUTED_VALUE"""),43623.64583333333)</f>
        <v>43623.64583</v>
      </c>
      <c r="C629" s="2">
        <f>IFERROR(__xludf.DUMMYFUNCTION("""COMPUTED_VALUE"""),198.15)</f>
        <v>198.15</v>
      </c>
    </row>
    <row r="630" ht="15.75" customHeight="1">
      <c r="B630" s="3">
        <f>IFERROR(__xludf.DUMMYFUNCTION("""COMPUTED_VALUE"""),43630.64583333333)</f>
        <v>43630.64583</v>
      </c>
      <c r="C630" s="2">
        <f>IFERROR(__xludf.DUMMYFUNCTION("""COMPUTED_VALUE"""),196.95)</f>
        <v>196.95</v>
      </c>
    </row>
    <row r="631" ht="15.75" customHeight="1">
      <c r="B631" s="3">
        <f>IFERROR(__xludf.DUMMYFUNCTION("""COMPUTED_VALUE"""),43637.64583333333)</f>
        <v>43637.64583</v>
      </c>
      <c r="C631" s="2">
        <f>IFERROR(__xludf.DUMMYFUNCTION("""COMPUTED_VALUE"""),202.75)</f>
        <v>202.75</v>
      </c>
    </row>
    <row r="632" ht="15.75" customHeight="1">
      <c r="B632" s="3">
        <f>IFERROR(__xludf.DUMMYFUNCTION("""COMPUTED_VALUE"""),43644.64583333333)</f>
        <v>43644.64583</v>
      </c>
      <c r="C632" s="2">
        <f>IFERROR(__xludf.DUMMYFUNCTION("""COMPUTED_VALUE"""),210.95)</f>
        <v>210.95</v>
      </c>
    </row>
    <row r="633" ht="15.75" customHeight="1">
      <c r="B633" s="3">
        <f>IFERROR(__xludf.DUMMYFUNCTION("""COMPUTED_VALUE"""),43651.64583333333)</f>
        <v>43651.64583</v>
      </c>
      <c r="C633" s="2">
        <f>IFERROR(__xludf.DUMMYFUNCTION("""COMPUTED_VALUE"""),212.0)</f>
        <v>212</v>
      </c>
    </row>
    <row r="634" ht="15.75" customHeight="1">
      <c r="B634" s="3">
        <f>IFERROR(__xludf.DUMMYFUNCTION("""COMPUTED_VALUE"""),43658.64583333333)</f>
        <v>43658.64583</v>
      </c>
      <c r="C634" s="2">
        <f>IFERROR(__xludf.DUMMYFUNCTION("""COMPUTED_VALUE"""),209.85)</f>
        <v>209.85</v>
      </c>
    </row>
    <row r="635" ht="15.75" customHeight="1">
      <c r="B635" s="3">
        <f>IFERROR(__xludf.DUMMYFUNCTION("""COMPUTED_VALUE"""),43665.64583333333)</f>
        <v>43665.64583</v>
      </c>
      <c r="C635" s="2">
        <f>IFERROR(__xludf.DUMMYFUNCTION("""COMPUTED_VALUE"""),210.55)</f>
        <v>210.55</v>
      </c>
    </row>
    <row r="636" ht="15.75" customHeight="1">
      <c r="B636" s="3">
        <f>IFERROR(__xludf.DUMMYFUNCTION("""COMPUTED_VALUE"""),43672.64583333333)</f>
        <v>43672.64583</v>
      </c>
      <c r="C636" s="2">
        <f>IFERROR(__xludf.DUMMYFUNCTION("""COMPUTED_VALUE"""),214.4)</f>
        <v>214.4</v>
      </c>
    </row>
    <row r="637" ht="15.75" customHeight="1">
      <c r="B637" s="3">
        <f>IFERROR(__xludf.DUMMYFUNCTION("""COMPUTED_VALUE"""),43679.64583333333)</f>
        <v>43679.64583</v>
      </c>
      <c r="C637" s="2">
        <f>IFERROR(__xludf.DUMMYFUNCTION("""COMPUTED_VALUE"""),216.25)</f>
        <v>216.25</v>
      </c>
    </row>
    <row r="638" ht="15.75" customHeight="1">
      <c r="B638" s="3">
        <f>IFERROR(__xludf.DUMMYFUNCTION("""COMPUTED_VALUE"""),43686.64583333333)</f>
        <v>43686.64583</v>
      </c>
      <c r="C638" s="2">
        <f>IFERROR(__xludf.DUMMYFUNCTION("""COMPUTED_VALUE"""),210.0)</f>
        <v>210</v>
      </c>
    </row>
    <row r="639" ht="15.75" customHeight="1">
      <c r="B639" s="3">
        <f>IFERROR(__xludf.DUMMYFUNCTION("""COMPUTED_VALUE"""),43693.64583333333)</f>
        <v>43693.64583</v>
      </c>
      <c r="C639" s="2">
        <f>IFERROR(__xludf.DUMMYFUNCTION("""COMPUTED_VALUE"""),214.25)</f>
        <v>214.25</v>
      </c>
    </row>
    <row r="640" ht="15.75" customHeight="1">
      <c r="B640" s="3">
        <f>IFERROR(__xludf.DUMMYFUNCTION("""COMPUTED_VALUE"""),43700.64583333333)</f>
        <v>43700.64583</v>
      </c>
      <c r="C640" s="2">
        <f>IFERROR(__xludf.DUMMYFUNCTION("""COMPUTED_VALUE"""),210.9)</f>
        <v>210.9</v>
      </c>
    </row>
    <row r="641" ht="15.75" customHeight="1">
      <c r="B641" s="3">
        <f>IFERROR(__xludf.DUMMYFUNCTION("""COMPUTED_VALUE"""),43707.64583333333)</f>
        <v>43707.64583</v>
      </c>
      <c r="C641" s="2">
        <f>IFERROR(__xludf.DUMMYFUNCTION("""COMPUTED_VALUE"""),211.25)</f>
        <v>211.25</v>
      </c>
    </row>
    <row r="642" ht="15.75" customHeight="1">
      <c r="B642" s="3">
        <f>IFERROR(__xludf.DUMMYFUNCTION("""COMPUTED_VALUE"""),43714.64583333333)</f>
        <v>43714.64583</v>
      </c>
      <c r="C642" s="2">
        <f>IFERROR(__xludf.DUMMYFUNCTION("""COMPUTED_VALUE"""),204.35)</f>
        <v>204.35</v>
      </c>
    </row>
    <row r="643" ht="15.75" customHeight="1">
      <c r="B643" s="3">
        <f>IFERROR(__xludf.DUMMYFUNCTION("""COMPUTED_VALUE"""),43721.64583333333)</f>
        <v>43721.64583</v>
      </c>
      <c r="C643" s="2">
        <f>IFERROR(__xludf.DUMMYFUNCTION("""COMPUTED_VALUE"""),204.85)</f>
        <v>204.85</v>
      </c>
    </row>
    <row r="644" ht="15.75" customHeight="1">
      <c r="B644" s="3">
        <f>IFERROR(__xludf.DUMMYFUNCTION("""COMPUTED_VALUE"""),43728.64583333333)</f>
        <v>43728.64583</v>
      </c>
      <c r="C644" s="2">
        <f>IFERROR(__xludf.DUMMYFUNCTION("""COMPUTED_VALUE"""),208.9)</f>
        <v>208.9</v>
      </c>
    </row>
    <row r="645" ht="15.75" customHeight="1">
      <c r="B645" s="3">
        <f>IFERROR(__xludf.DUMMYFUNCTION("""COMPUTED_VALUE"""),43735.64583333333)</f>
        <v>43735.64583</v>
      </c>
      <c r="C645" s="2">
        <f>IFERROR(__xludf.DUMMYFUNCTION("""COMPUTED_VALUE"""),203.4)</f>
        <v>203.4</v>
      </c>
    </row>
    <row r="646" ht="15.75" customHeight="1">
      <c r="B646" s="3">
        <f>IFERROR(__xludf.DUMMYFUNCTION("""COMPUTED_VALUE"""),43742.64583333333)</f>
        <v>43742.64583</v>
      </c>
      <c r="C646" s="2">
        <f>IFERROR(__xludf.DUMMYFUNCTION("""COMPUTED_VALUE"""),202.65)</f>
        <v>202.65</v>
      </c>
    </row>
    <row r="647" ht="15.75" customHeight="1">
      <c r="B647" s="3">
        <f>IFERROR(__xludf.DUMMYFUNCTION("""COMPUTED_VALUE"""),43749.64583333333)</f>
        <v>43749.64583</v>
      </c>
      <c r="C647" s="2">
        <f>IFERROR(__xludf.DUMMYFUNCTION("""COMPUTED_VALUE"""),204.25)</f>
        <v>204.25</v>
      </c>
    </row>
    <row r="648" ht="15.75" customHeight="1">
      <c r="B648" s="3">
        <f>IFERROR(__xludf.DUMMYFUNCTION("""COMPUTED_VALUE"""),43756.64583333333)</f>
        <v>43756.64583</v>
      </c>
      <c r="C648" s="2">
        <f>IFERROR(__xludf.DUMMYFUNCTION("""COMPUTED_VALUE"""),203.25)</f>
        <v>203.25</v>
      </c>
    </row>
    <row r="649" ht="15.75" customHeight="1">
      <c r="B649" s="3">
        <f>IFERROR(__xludf.DUMMYFUNCTION("""COMPUTED_VALUE"""),43763.79166666667)</f>
        <v>43763.79167</v>
      </c>
      <c r="C649" s="2">
        <f>IFERROR(__xludf.DUMMYFUNCTION("""COMPUTED_VALUE"""),207.55)</f>
        <v>207.55</v>
      </c>
    </row>
    <row r="650" ht="15.75" customHeight="1">
      <c r="B650" s="3">
        <f>IFERROR(__xludf.DUMMYFUNCTION("""COMPUTED_VALUE"""),43770.64583333333)</f>
        <v>43770.64583</v>
      </c>
      <c r="C650" s="2">
        <f>IFERROR(__xludf.DUMMYFUNCTION("""COMPUTED_VALUE"""),204.3)</f>
        <v>204.3</v>
      </c>
    </row>
    <row r="651" ht="15.75" customHeight="1">
      <c r="B651" s="3">
        <f>IFERROR(__xludf.DUMMYFUNCTION("""COMPUTED_VALUE"""),43777.64583333333)</f>
        <v>43777.64583</v>
      </c>
      <c r="C651" s="2">
        <f>IFERROR(__xludf.DUMMYFUNCTION("""COMPUTED_VALUE"""),198.65)</f>
        <v>198.65</v>
      </c>
    </row>
    <row r="652" ht="15.75" customHeight="1">
      <c r="B652" s="3">
        <f>IFERROR(__xludf.DUMMYFUNCTION("""COMPUTED_VALUE"""),43784.64583333333)</f>
        <v>43784.64583</v>
      </c>
      <c r="C652" s="2">
        <f>IFERROR(__xludf.DUMMYFUNCTION("""COMPUTED_VALUE"""),194.35)</f>
        <v>194.35</v>
      </c>
    </row>
    <row r="653" ht="15.75" customHeight="1">
      <c r="B653" s="3">
        <f>IFERROR(__xludf.DUMMYFUNCTION("""COMPUTED_VALUE"""),43791.64583333333)</f>
        <v>43791.64583</v>
      </c>
      <c r="C653" s="2">
        <f>IFERROR(__xludf.DUMMYFUNCTION("""COMPUTED_VALUE"""),201.2)</f>
        <v>201.2</v>
      </c>
    </row>
    <row r="654" ht="15.75" customHeight="1">
      <c r="B654" s="3">
        <f>IFERROR(__xludf.DUMMYFUNCTION("""COMPUTED_VALUE"""),43798.64583333333)</f>
        <v>43798.64583</v>
      </c>
      <c r="C654" s="2">
        <f>IFERROR(__xludf.DUMMYFUNCTION("""COMPUTED_VALUE"""),200.4)</f>
        <v>200.4</v>
      </c>
    </row>
    <row r="655" ht="15.75" customHeight="1">
      <c r="B655" s="3">
        <f>IFERROR(__xludf.DUMMYFUNCTION("""COMPUTED_VALUE"""),43805.64583333333)</f>
        <v>43805.64583</v>
      </c>
      <c r="C655" s="2">
        <f>IFERROR(__xludf.DUMMYFUNCTION("""COMPUTED_VALUE"""),195.0)</f>
        <v>195</v>
      </c>
    </row>
    <row r="656" ht="15.75" customHeight="1">
      <c r="B656" s="3">
        <f>IFERROR(__xludf.DUMMYFUNCTION("""COMPUTED_VALUE"""),43812.64583333333)</f>
        <v>43812.64583</v>
      </c>
      <c r="C656" s="2">
        <f>IFERROR(__xludf.DUMMYFUNCTION("""COMPUTED_VALUE"""),188.85)</f>
        <v>188.85</v>
      </c>
    </row>
    <row r="657" ht="15.75" customHeight="1">
      <c r="B657" s="3">
        <f>IFERROR(__xludf.DUMMYFUNCTION("""COMPUTED_VALUE"""),43819.64583333333)</f>
        <v>43819.64583</v>
      </c>
      <c r="C657" s="2">
        <f>IFERROR(__xludf.DUMMYFUNCTION("""COMPUTED_VALUE"""),189.0)</f>
        <v>189</v>
      </c>
    </row>
    <row r="658" ht="15.75" customHeight="1">
      <c r="B658" s="3">
        <f>IFERROR(__xludf.DUMMYFUNCTION("""COMPUTED_VALUE"""),43826.64583333333)</f>
        <v>43826.64583</v>
      </c>
      <c r="C658" s="2">
        <f>IFERROR(__xludf.DUMMYFUNCTION("""COMPUTED_VALUE"""),189.5)</f>
        <v>189.5</v>
      </c>
    </row>
    <row r="659" ht="15.75" customHeight="1"/>
    <row r="660" ht="15.75" customHeight="1"/>
    <row r="661" ht="15.75" customHeight="1">
      <c r="B661" s="2" t="str">
        <f>IFERROR(__xludf.DUMMYFUNCTION("GOOGLEFINANCE(""NSE:POWERGRID"", ""high"",DATE(2020,1,1),DATE(2021,1,1),""weekly"")"),"Date")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IFERROR(__xludf.DUMMYFUNCTION("""COMPUTED_VALUE"""),43833.64583333333)</f>
        <v>43833.64583</v>
      </c>
      <c r="C662" s="2">
        <f>IFERROR(__xludf.DUMMYFUNCTION("""COMPUTED_VALUE"""),196.7)</f>
        <v>196.7</v>
      </c>
    </row>
    <row r="663" ht="15.75" customHeight="1">
      <c r="B663" s="3">
        <f>IFERROR(__xludf.DUMMYFUNCTION("""COMPUTED_VALUE"""),43840.64583333333)</f>
        <v>43840.64583</v>
      </c>
      <c r="C663" s="2">
        <f>IFERROR(__xludf.DUMMYFUNCTION("""COMPUTED_VALUE"""),194.5)</f>
        <v>194.5</v>
      </c>
    </row>
    <row r="664" ht="15.75" customHeight="1">
      <c r="B664" s="3">
        <f>IFERROR(__xludf.DUMMYFUNCTION("""COMPUTED_VALUE"""),43847.64583333333)</f>
        <v>43847.64583</v>
      </c>
      <c r="C664" s="2">
        <f>IFERROR(__xludf.DUMMYFUNCTION("""COMPUTED_VALUE"""),197.85)</f>
        <v>197.85</v>
      </c>
    </row>
    <row r="665" ht="15.75" customHeight="1">
      <c r="B665" s="3">
        <f>IFERROR(__xludf.DUMMYFUNCTION("""COMPUTED_VALUE"""),43854.64583333333)</f>
        <v>43854.64583</v>
      </c>
      <c r="C665" s="2">
        <f>IFERROR(__xludf.DUMMYFUNCTION("""COMPUTED_VALUE"""),211.0)</f>
        <v>211</v>
      </c>
    </row>
    <row r="666" ht="15.75" customHeight="1">
      <c r="B666" s="3">
        <f>IFERROR(__xludf.DUMMYFUNCTION("""COMPUTED_VALUE"""),43862.70833333333)</f>
        <v>43862.70833</v>
      </c>
      <c r="C666" s="2">
        <f>IFERROR(__xludf.DUMMYFUNCTION("""COMPUTED_VALUE"""),196.45)</f>
        <v>196.45</v>
      </c>
    </row>
    <row r="667" ht="15.75" customHeight="1">
      <c r="B667" s="3">
        <f>IFERROR(__xludf.DUMMYFUNCTION("""COMPUTED_VALUE"""),43868.64583333333)</f>
        <v>43868.64583</v>
      </c>
      <c r="C667" s="2">
        <f>IFERROR(__xludf.DUMMYFUNCTION("""COMPUTED_VALUE"""),195.7)</f>
        <v>195.7</v>
      </c>
    </row>
    <row r="668" ht="15.75" customHeight="1">
      <c r="B668" s="3">
        <f>IFERROR(__xludf.DUMMYFUNCTION("""COMPUTED_VALUE"""),43875.64583333333)</f>
        <v>43875.64583</v>
      </c>
      <c r="C668" s="2">
        <f>IFERROR(__xludf.DUMMYFUNCTION("""COMPUTED_VALUE"""),191.9)</f>
        <v>191.9</v>
      </c>
    </row>
    <row r="669" ht="15.75" customHeight="1">
      <c r="B669" s="3">
        <f>IFERROR(__xludf.DUMMYFUNCTION("""COMPUTED_VALUE"""),43881.64583333333)</f>
        <v>43881.64583</v>
      </c>
      <c r="C669" s="2">
        <f>IFERROR(__xludf.DUMMYFUNCTION("""COMPUTED_VALUE"""),190.7)</f>
        <v>190.7</v>
      </c>
    </row>
    <row r="670" ht="15.75" customHeight="1">
      <c r="B670" s="3">
        <f>IFERROR(__xludf.DUMMYFUNCTION("""COMPUTED_VALUE"""),43889.64583333333)</f>
        <v>43889.64583</v>
      </c>
      <c r="C670" s="2">
        <f>IFERROR(__xludf.DUMMYFUNCTION("""COMPUTED_VALUE"""),189.2)</f>
        <v>189.2</v>
      </c>
    </row>
    <row r="671" ht="15.75" customHeight="1">
      <c r="B671" s="3">
        <f>IFERROR(__xludf.DUMMYFUNCTION("""COMPUTED_VALUE"""),43896.64583333333)</f>
        <v>43896.64583</v>
      </c>
      <c r="C671" s="2">
        <f>IFERROR(__xludf.DUMMYFUNCTION("""COMPUTED_VALUE"""),199.55)</f>
        <v>199.55</v>
      </c>
    </row>
    <row r="672" ht="15.75" customHeight="1">
      <c r="B672" s="3">
        <f>IFERROR(__xludf.DUMMYFUNCTION("""COMPUTED_VALUE"""),43903.64583333333)</f>
        <v>43903.64583</v>
      </c>
      <c r="C672" s="2">
        <f>IFERROR(__xludf.DUMMYFUNCTION("""COMPUTED_VALUE"""),188.6)</f>
        <v>188.6</v>
      </c>
    </row>
    <row r="673" ht="15.75" customHeight="1">
      <c r="B673" s="3">
        <f>IFERROR(__xludf.DUMMYFUNCTION("""COMPUTED_VALUE"""),43910.64583333333)</f>
        <v>43910.64583</v>
      </c>
      <c r="C673" s="2">
        <f>IFERROR(__xludf.DUMMYFUNCTION("""COMPUTED_VALUE"""),170.35)</f>
        <v>170.35</v>
      </c>
    </row>
    <row r="674" ht="15.75" customHeight="1">
      <c r="B674" s="3">
        <f>IFERROR(__xludf.DUMMYFUNCTION("""COMPUTED_VALUE"""),43917.64583333333)</f>
        <v>43917.64583</v>
      </c>
      <c r="C674" s="2">
        <f>IFERROR(__xludf.DUMMYFUNCTION("""COMPUTED_VALUE"""),166.25)</f>
        <v>166.25</v>
      </c>
    </row>
    <row r="675" ht="15.75" customHeight="1">
      <c r="B675" s="3">
        <f>IFERROR(__xludf.DUMMYFUNCTION("""COMPUTED_VALUE"""),43924.64583333333)</f>
        <v>43924.64583</v>
      </c>
      <c r="C675" s="2">
        <f>IFERROR(__xludf.DUMMYFUNCTION("""COMPUTED_VALUE"""),161.95)</f>
        <v>161.95</v>
      </c>
    </row>
    <row r="676" ht="15.75" customHeight="1">
      <c r="B676" s="3">
        <f>IFERROR(__xludf.DUMMYFUNCTION("""COMPUTED_VALUE"""),43930.64583333333)</f>
        <v>43930.64583</v>
      </c>
      <c r="C676" s="2">
        <f>IFERROR(__xludf.DUMMYFUNCTION("""COMPUTED_VALUE"""),166.7)</f>
        <v>166.7</v>
      </c>
    </row>
    <row r="677" ht="15.75" customHeight="1">
      <c r="B677" s="3">
        <f>IFERROR(__xludf.DUMMYFUNCTION("""COMPUTED_VALUE"""),43938.64583333333)</f>
        <v>43938.64583</v>
      </c>
      <c r="C677" s="2">
        <f>IFERROR(__xludf.DUMMYFUNCTION("""COMPUTED_VALUE"""),173.25)</f>
        <v>173.25</v>
      </c>
    </row>
    <row r="678" ht="15.75" customHeight="1">
      <c r="B678" s="3">
        <f>IFERROR(__xludf.DUMMYFUNCTION("""COMPUTED_VALUE"""),43945.64583333333)</f>
        <v>43945.64583</v>
      </c>
      <c r="C678" s="2">
        <f>IFERROR(__xludf.DUMMYFUNCTION("""COMPUTED_VALUE"""),169.2)</f>
        <v>169.2</v>
      </c>
    </row>
    <row r="679" ht="15.75" customHeight="1">
      <c r="B679" s="3">
        <f>IFERROR(__xludf.DUMMYFUNCTION("""COMPUTED_VALUE"""),43951.64583333333)</f>
        <v>43951.64583</v>
      </c>
      <c r="C679" s="2">
        <f>IFERROR(__xludf.DUMMYFUNCTION("""COMPUTED_VALUE"""),163.45)</f>
        <v>163.45</v>
      </c>
    </row>
    <row r="680" ht="15.75" customHeight="1">
      <c r="B680" s="3">
        <f>IFERROR(__xludf.DUMMYFUNCTION("""COMPUTED_VALUE"""),43959.64583333333)</f>
        <v>43959.64583</v>
      </c>
      <c r="C680" s="2">
        <f>IFERROR(__xludf.DUMMYFUNCTION("""COMPUTED_VALUE"""),166.65)</f>
        <v>166.65</v>
      </c>
    </row>
    <row r="681" ht="15.75" customHeight="1">
      <c r="B681" s="3">
        <f>IFERROR(__xludf.DUMMYFUNCTION("""COMPUTED_VALUE"""),43966.64583333333)</f>
        <v>43966.64583</v>
      </c>
      <c r="C681" s="2">
        <f>IFERROR(__xludf.DUMMYFUNCTION("""COMPUTED_VALUE"""),171.9)</f>
        <v>171.9</v>
      </c>
    </row>
    <row r="682" ht="15.75" customHeight="1">
      <c r="B682" s="3">
        <f>IFERROR(__xludf.DUMMYFUNCTION("""COMPUTED_VALUE"""),43973.64583333333)</f>
        <v>43973.64583</v>
      </c>
      <c r="C682" s="2">
        <f>IFERROR(__xludf.DUMMYFUNCTION("""COMPUTED_VALUE"""),160.65)</f>
        <v>160.65</v>
      </c>
    </row>
    <row r="683" ht="15.75" customHeight="1">
      <c r="B683" s="3">
        <f>IFERROR(__xludf.DUMMYFUNCTION("""COMPUTED_VALUE"""),43980.64583333333)</f>
        <v>43980.64583</v>
      </c>
      <c r="C683" s="2">
        <f>IFERROR(__xludf.DUMMYFUNCTION("""COMPUTED_VALUE"""),158.7)</f>
        <v>158.7</v>
      </c>
    </row>
    <row r="684" ht="15.75" customHeight="1">
      <c r="B684" s="3">
        <f>IFERROR(__xludf.DUMMYFUNCTION("""COMPUTED_VALUE"""),43987.64583333333)</f>
        <v>43987.64583</v>
      </c>
      <c r="C684" s="2">
        <f>IFERROR(__xludf.DUMMYFUNCTION("""COMPUTED_VALUE"""),174.3)</f>
        <v>174.3</v>
      </c>
    </row>
    <row r="685" ht="15.75" customHeight="1">
      <c r="B685" s="3">
        <f>IFERROR(__xludf.DUMMYFUNCTION("""COMPUTED_VALUE"""),43994.64583333333)</f>
        <v>43994.64583</v>
      </c>
      <c r="C685" s="2">
        <f>IFERROR(__xludf.DUMMYFUNCTION("""COMPUTED_VALUE"""),178.3)</f>
        <v>178.3</v>
      </c>
    </row>
    <row r="686" ht="15.75" customHeight="1">
      <c r="B686" s="3">
        <f>IFERROR(__xludf.DUMMYFUNCTION("""COMPUTED_VALUE"""),44001.64583333333)</f>
        <v>44001.64583</v>
      </c>
      <c r="C686" s="2">
        <f>IFERROR(__xludf.DUMMYFUNCTION("""COMPUTED_VALUE"""),172.3)</f>
        <v>172.3</v>
      </c>
    </row>
    <row r="687" ht="15.75" customHeight="1">
      <c r="B687" s="3">
        <f>IFERROR(__xludf.DUMMYFUNCTION("""COMPUTED_VALUE"""),44008.64583333333)</f>
        <v>44008.64583</v>
      </c>
      <c r="C687" s="2">
        <f>IFERROR(__xludf.DUMMYFUNCTION("""COMPUTED_VALUE"""),189.0)</f>
        <v>189</v>
      </c>
    </row>
    <row r="688" ht="15.75" customHeight="1">
      <c r="B688" s="3">
        <f>IFERROR(__xludf.DUMMYFUNCTION("""COMPUTED_VALUE"""),44015.64583333333)</f>
        <v>44015.64583</v>
      </c>
      <c r="C688" s="2">
        <f>IFERROR(__xludf.DUMMYFUNCTION("""COMPUTED_VALUE"""),180.3)</f>
        <v>180.3</v>
      </c>
    </row>
    <row r="689" ht="15.75" customHeight="1">
      <c r="B689" s="3">
        <f>IFERROR(__xludf.DUMMYFUNCTION("""COMPUTED_VALUE"""),44022.64583333333)</f>
        <v>44022.64583</v>
      </c>
      <c r="C689" s="2">
        <f>IFERROR(__xludf.DUMMYFUNCTION("""COMPUTED_VALUE"""),178.7)</f>
        <v>178.7</v>
      </c>
    </row>
    <row r="690" ht="15.75" customHeight="1">
      <c r="B690" s="3">
        <f>IFERROR(__xludf.DUMMYFUNCTION("""COMPUTED_VALUE"""),44029.64583333333)</f>
        <v>44029.64583</v>
      </c>
      <c r="C690" s="2">
        <f>IFERROR(__xludf.DUMMYFUNCTION("""COMPUTED_VALUE"""),174.2)</f>
        <v>174.2</v>
      </c>
    </row>
    <row r="691" ht="15.75" customHeight="1">
      <c r="B691" s="3">
        <f>IFERROR(__xludf.DUMMYFUNCTION("""COMPUTED_VALUE"""),44036.64583333333)</f>
        <v>44036.64583</v>
      </c>
      <c r="C691" s="2">
        <f>IFERROR(__xludf.DUMMYFUNCTION("""COMPUTED_VALUE"""),183.25)</f>
        <v>183.25</v>
      </c>
    </row>
    <row r="692" ht="15.75" customHeight="1">
      <c r="B692" s="3">
        <f>IFERROR(__xludf.DUMMYFUNCTION("""COMPUTED_VALUE"""),44043.64583333333)</f>
        <v>44043.64583</v>
      </c>
      <c r="C692" s="2">
        <f>IFERROR(__xludf.DUMMYFUNCTION("""COMPUTED_VALUE"""),184.5)</f>
        <v>184.5</v>
      </c>
    </row>
    <row r="693" ht="15.75" customHeight="1">
      <c r="B693" s="3">
        <f>IFERROR(__xludf.DUMMYFUNCTION("""COMPUTED_VALUE"""),44050.64583333333)</f>
        <v>44050.64583</v>
      </c>
      <c r="C693" s="2">
        <f>IFERROR(__xludf.DUMMYFUNCTION("""COMPUTED_VALUE"""),179.5)</f>
        <v>179.5</v>
      </c>
    </row>
    <row r="694" ht="15.75" customHeight="1">
      <c r="B694" s="3">
        <f>IFERROR(__xludf.DUMMYFUNCTION("""COMPUTED_VALUE"""),44057.64583333333)</f>
        <v>44057.64583</v>
      </c>
      <c r="C694" s="2">
        <f>IFERROR(__xludf.DUMMYFUNCTION("""COMPUTED_VALUE"""),182.35)</f>
        <v>182.35</v>
      </c>
    </row>
    <row r="695" ht="15.75" customHeight="1">
      <c r="B695" s="3">
        <f>IFERROR(__xludf.DUMMYFUNCTION("""COMPUTED_VALUE"""),44064.64583333333)</f>
        <v>44064.64583</v>
      </c>
      <c r="C695" s="2">
        <f>IFERROR(__xludf.DUMMYFUNCTION("""COMPUTED_VALUE"""),190.5)</f>
        <v>190.5</v>
      </c>
    </row>
    <row r="696" ht="15.75" customHeight="1">
      <c r="B696" s="3">
        <f>IFERROR(__xludf.DUMMYFUNCTION("""COMPUTED_VALUE"""),44071.64583333333)</f>
        <v>44071.64583</v>
      </c>
      <c r="C696" s="2">
        <f>IFERROR(__xludf.DUMMYFUNCTION("""COMPUTED_VALUE"""),190.65)</f>
        <v>190.65</v>
      </c>
    </row>
    <row r="697" ht="15.75" customHeight="1">
      <c r="B697" s="3">
        <f>IFERROR(__xludf.DUMMYFUNCTION("""COMPUTED_VALUE"""),44078.64583333333)</f>
        <v>44078.64583</v>
      </c>
      <c r="C697" s="2">
        <f>IFERROR(__xludf.DUMMYFUNCTION("""COMPUTED_VALUE"""),185.35)</f>
        <v>185.35</v>
      </c>
    </row>
    <row r="698" ht="15.75" customHeight="1">
      <c r="B698" s="3">
        <f>IFERROR(__xludf.DUMMYFUNCTION("""COMPUTED_VALUE"""),44085.64583333333)</f>
        <v>44085.64583</v>
      </c>
      <c r="C698" s="2">
        <f>IFERROR(__xludf.DUMMYFUNCTION("""COMPUTED_VALUE"""),178.45)</f>
        <v>178.45</v>
      </c>
    </row>
    <row r="699" ht="15.75" customHeight="1">
      <c r="B699" s="3">
        <f>IFERROR(__xludf.DUMMYFUNCTION("""COMPUTED_VALUE"""),44092.64583333333)</f>
        <v>44092.64583</v>
      </c>
      <c r="C699" s="2">
        <f>IFERROR(__xludf.DUMMYFUNCTION("""COMPUTED_VALUE"""),177.5)</f>
        <v>177.5</v>
      </c>
    </row>
    <row r="700" ht="15.75" customHeight="1">
      <c r="B700" s="3">
        <f>IFERROR(__xludf.DUMMYFUNCTION("""COMPUTED_VALUE"""),44099.64583333333)</f>
        <v>44099.64583</v>
      </c>
      <c r="C700" s="2">
        <f>IFERROR(__xludf.DUMMYFUNCTION("""COMPUTED_VALUE"""),171.7)</f>
        <v>171.7</v>
      </c>
    </row>
    <row r="701" ht="15.75" customHeight="1">
      <c r="B701" s="3">
        <f>IFERROR(__xludf.DUMMYFUNCTION("""COMPUTED_VALUE"""),44105.64583333333)</f>
        <v>44105.64583</v>
      </c>
      <c r="C701" s="2">
        <f>IFERROR(__xludf.DUMMYFUNCTION("""COMPUTED_VALUE"""),169.4)</f>
        <v>169.4</v>
      </c>
    </row>
    <row r="702" ht="15.75" customHeight="1">
      <c r="B702" s="3">
        <f>IFERROR(__xludf.DUMMYFUNCTION("""COMPUTED_VALUE"""),44113.64583333333)</f>
        <v>44113.64583</v>
      </c>
      <c r="C702" s="2">
        <f>IFERROR(__xludf.DUMMYFUNCTION("""COMPUTED_VALUE"""),166.4)</f>
        <v>166.4</v>
      </c>
    </row>
    <row r="703" ht="15.75" customHeight="1">
      <c r="B703" s="3">
        <f>IFERROR(__xludf.DUMMYFUNCTION("""COMPUTED_VALUE"""),44120.64583333333)</f>
        <v>44120.64583</v>
      </c>
      <c r="C703" s="2">
        <f>IFERROR(__xludf.DUMMYFUNCTION("""COMPUTED_VALUE"""),162.8)</f>
        <v>162.8</v>
      </c>
    </row>
    <row r="704" ht="15.75" customHeight="1">
      <c r="B704" s="3">
        <f>IFERROR(__xludf.DUMMYFUNCTION("""COMPUTED_VALUE"""),44127.64583333333)</f>
        <v>44127.64583</v>
      </c>
      <c r="C704" s="2">
        <f>IFERROR(__xludf.DUMMYFUNCTION("""COMPUTED_VALUE"""),171.4)</f>
        <v>171.4</v>
      </c>
    </row>
    <row r="705" ht="15.75" customHeight="1">
      <c r="B705" s="3">
        <f>IFERROR(__xludf.DUMMYFUNCTION("""COMPUTED_VALUE"""),44134.64583333333)</f>
        <v>44134.64583</v>
      </c>
      <c r="C705" s="2">
        <f>IFERROR(__xludf.DUMMYFUNCTION("""COMPUTED_VALUE"""),175.35)</f>
        <v>175.35</v>
      </c>
    </row>
    <row r="706" ht="15.75" customHeight="1">
      <c r="B706" s="3">
        <f>IFERROR(__xludf.DUMMYFUNCTION("""COMPUTED_VALUE"""),44141.64583333333)</f>
        <v>44141.64583</v>
      </c>
      <c r="C706" s="2">
        <f>IFERROR(__xludf.DUMMYFUNCTION("""COMPUTED_VALUE"""),180.7)</f>
        <v>180.7</v>
      </c>
    </row>
    <row r="707" ht="15.75" customHeight="1">
      <c r="B707" s="3">
        <f>IFERROR(__xludf.DUMMYFUNCTION("""COMPUTED_VALUE"""),44155.64583333333)</f>
        <v>44155.64583</v>
      </c>
      <c r="C707" s="2">
        <f>IFERROR(__xludf.DUMMYFUNCTION("""COMPUTED_VALUE"""),197.2)</f>
        <v>197.2</v>
      </c>
    </row>
    <row r="708" ht="15.75" customHeight="1">
      <c r="B708" s="3">
        <f>IFERROR(__xludf.DUMMYFUNCTION("""COMPUTED_VALUE"""),44162.64583333333)</f>
        <v>44162.64583</v>
      </c>
      <c r="C708" s="2">
        <f>IFERROR(__xludf.DUMMYFUNCTION("""COMPUTED_VALUE"""),199.15)</f>
        <v>199.15</v>
      </c>
    </row>
    <row r="709" ht="15.75" customHeight="1">
      <c r="B709" s="3">
        <f>IFERROR(__xludf.DUMMYFUNCTION("""COMPUTED_VALUE"""),44169.64583333333)</f>
        <v>44169.64583</v>
      </c>
      <c r="C709" s="2">
        <f>IFERROR(__xludf.DUMMYFUNCTION("""COMPUTED_VALUE"""),196.95)</f>
        <v>196.95</v>
      </c>
    </row>
    <row r="710" ht="15.75" customHeight="1">
      <c r="B710" s="3">
        <f>IFERROR(__xludf.DUMMYFUNCTION("""COMPUTED_VALUE"""),44176.64583333333)</f>
        <v>44176.64583</v>
      </c>
      <c r="C710" s="2">
        <f>IFERROR(__xludf.DUMMYFUNCTION("""COMPUTED_VALUE"""),197.25)</f>
        <v>197.25</v>
      </c>
    </row>
    <row r="711" ht="15.75" customHeight="1">
      <c r="B711" s="3">
        <f>IFERROR(__xludf.DUMMYFUNCTION("""COMPUTED_VALUE"""),44183.64583333333)</f>
        <v>44183.64583</v>
      </c>
      <c r="C711" s="2">
        <f>IFERROR(__xludf.DUMMYFUNCTION("""COMPUTED_VALUE"""),197.0)</f>
        <v>197</v>
      </c>
    </row>
    <row r="712" ht="15.75" customHeight="1">
      <c r="B712" s="3">
        <f>IFERROR(__xludf.DUMMYFUNCTION("""COMPUTED_VALUE"""),44189.64583333333)</f>
        <v>44189.64583</v>
      </c>
      <c r="C712" s="2">
        <f>IFERROR(__xludf.DUMMYFUNCTION("""COMPUTED_VALUE"""),193.2)</f>
        <v>193.2</v>
      </c>
    </row>
    <row r="713" ht="15.75" customHeight="1">
      <c r="B713" s="3">
        <f>IFERROR(__xludf.DUMMYFUNCTION("""COMPUTED_VALUE"""),44197.64583333333)</f>
        <v>44197.64583</v>
      </c>
      <c r="C713" s="2">
        <f>IFERROR(__xludf.DUMMYFUNCTION("""COMPUTED_VALUE"""),192.65)</f>
        <v>192.65</v>
      </c>
    </row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IFERROR(__xludf.DUMMYFUNCTION("GOOGLEFINANCE(""NSE:RPOWER"", ""high"",DATE(2009,1,1),DATE(2010,1,1),""weekly"")"),"Date")</f>
        <v>Date</v>
      </c>
      <c r="C1" s="2" t="str">
        <f>IFERROR(__xludf.DUMMYFUNCTION("""COMPUTED_VALUE"""),"High")</f>
        <v>High</v>
      </c>
    </row>
    <row r="2">
      <c r="A2" s="2" t="s">
        <v>8</v>
      </c>
      <c r="B2" s="3">
        <f>IFERROR(__xludf.DUMMYFUNCTION("""COMPUTED_VALUE"""),39815.645833333336)</f>
        <v>39815.64583</v>
      </c>
      <c r="C2" s="2">
        <f>IFERROR(__xludf.DUMMYFUNCTION("""COMPUTED_VALUE"""),125.8)</f>
        <v>125.8</v>
      </c>
    </row>
    <row r="3">
      <c r="A3" s="2" t="s">
        <v>9</v>
      </c>
      <c r="B3" s="3">
        <f>IFERROR(__xludf.DUMMYFUNCTION("""COMPUTED_VALUE"""),39822.645833333336)</f>
        <v>39822.64583</v>
      </c>
      <c r="C3" s="2">
        <f>IFERROR(__xludf.DUMMYFUNCTION("""COMPUTED_VALUE"""),127.95)</f>
        <v>127.95</v>
      </c>
    </row>
    <row r="4">
      <c r="A4" s="2" t="s">
        <v>10</v>
      </c>
      <c r="B4" s="3">
        <f>IFERROR(__xludf.DUMMYFUNCTION("""COMPUTED_VALUE"""),39829.645833333336)</f>
        <v>39829.64583</v>
      </c>
      <c r="C4" s="2">
        <f>IFERROR(__xludf.DUMMYFUNCTION("""COMPUTED_VALUE"""),108.9)</f>
        <v>108.9</v>
      </c>
    </row>
    <row r="5">
      <c r="B5" s="3">
        <f>IFERROR(__xludf.DUMMYFUNCTION("""COMPUTED_VALUE"""),39836.645833333336)</f>
        <v>39836.64583</v>
      </c>
      <c r="C5" s="2">
        <f>IFERROR(__xludf.DUMMYFUNCTION("""COMPUTED_VALUE"""),104.9)</f>
        <v>104.9</v>
      </c>
    </row>
    <row r="6">
      <c r="B6" s="3">
        <f>IFERROR(__xludf.DUMMYFUNCTION("""COMPUTED_VALUE"""),39843.645833333336)</f>
        <v>39843.64583</v>
      </c>
      <c r="C6" s="2">
        <f>IFERROR(__xludf.DUMMYFUNCTION("""COMPUTED_VALUE"""),107.4)</f>
        <v>107.4</v>
      </c>
    </row>
    <row r="7">
      <c r="B7" s="3">
        <f>IFERROR(__xludf.DUMMYFUNCTION("""COMPUTED_VALUE"""),39850.645833333336)</f>
        <v>39850.64583</v>
      </c>
      <c r="C7" s="2">
        <f>IFERROR(__xludf.DUMMYFUNCTION("""COMPUTED_VALUE"""),106.1)</f>
        <v>106.1</v>
      </c>
    </row>
    <row r="8">
      <c r="B8" s="3">
        <f>IFERROR(__xludf.DUMMYFUNCTION("""COMPUTED_VALUE"""),39857.645833333336)</f>
        <v>39857.64583</v>
      </c>
      <c r="C8" s="2">
        <f>IFERROR(__xludf.DUMMYFUNCTION("""COMPUTED_VALUE"""),109.0)</f>
        <v>109</v>
      </c>
    </row>
    <row r="9">
      <c r="B9" s="3">
        <f>IFERROR(__xludf.DUMMYFUNCTION("""COMPUTED_VALUE"""),39864.645833333336)</f>
        <v>39864.64583</v>
      </c>
      <c r="C9" s="2">
        <f>IFERROR(__xludf.DUMMYFUNCTION("""COMPUTED_VALUE"""),109.0)</f>
        <v>109</v>
      </c>
    </row>
    <row r="10">
      <c r="B10" s="3">
        <f>IFERROR(__xludf.DUMMYFUNCTION("""COMPUTED_VALUE"""),39871.645833333336)</f>
        <v>39871.64583</v>
      </c>
      <c r="C10" s="2">
        <f>IFERROR(__xludf.DUMMYFUNCTION("""COMPUTED_VALUE"""),101.5)</f>
        <v>101.5</v>
      </c>
    </row>
    <row r="11">
      <c r="B11" s="3">
        <f>IFERROR(__xludf.DUMMYFUNCTION("""COMPUTED_VALUE"""),39878.645833333336)</f>
        <v>39878.64583</v>
      </c>
      <c r="C11" s="2">
        <f>IFERROR(__xludf.DUMMYFUNCTION("""COMPUTED_VALUE"""),99.45)</f>
        <v>99.45</v>
      </c>
    </row>
    <row r="12">
      <c r="B12" s="3">
        <f>IFERROR(__xludf.DUMMYFUNCTION("""COMPUTED_VALUE"""),39885.645833333336)</f>
        <v>39885.64583</v>
      </c>
      <c r="C12" s="2">
        <f>IFERROR(__xludf.DUMMYFUNCTION("""COMPUTED_VALUE"""),100.0)</f>
        <v>100</v>
      </c>
    </row>
    <row r="13">
      <c r="B13" s="3">
        <f>IFERROR(__xludf.DUMMYFUNCTION("""COMPUTED_VALUE"""),39892.645833333336)</f>
        <v>39892.64583</v>
      </c>
      <c r="C13" s="2">
        <f>IFERROR(__xludf.DUMMYFUNCTION("""COMPUTED_VALUE"""),105.1)</f>
        <v>105.1</v>
      </c>
    </row>
    <row r="14">
      <c r="B14" s="3">
        <f>IFERROR(__xludf.DUMMYFUNCTION("""COMPUTED_VALUE"""),39899.645833333336)</f>
        <v>39899.64583</v>
      </c>
      <c r="C14" s="2">
        <f>IFERROR(__xludf.DUMMYFUNCTION("""COMPUTED_VALUE"""),112.9)</f>
        <v>112.9</v>
      </c>
    </row>
    <row r="15">
      <c r="B15" s="3">
        <f>IFERROR(__xludf.DUMMYFUNCTION("""COMPUTED_VALUE"""),39905.645833333336)</f>
        <v>39905.64583</v>
      </c>
      <c r="C15" s="2">
        <f>IFERROR(__xludf.DUMMYFUNCTION("""COMPUTED_VALUE"""),112.0)</f>
        <v>112</v>
      </c>
    </row>
    <row r="16">
      <c r="B16" s="3">
        <f>IFERROR(__xludf.DUMMYFUNCTION("""COMPUTED_VALUE"""),39912.645833333336)</f>
        <v>39912.64583</v>
      </c>
      <c r="C16" s="2">
        <f>IFERROR(__xludf.DUMMYFUNCTION("""COMPUTED_VALUE"""),123.9)</f>
        <v>123.9</v>
      </c>
    </row>
    <row r="17">
      <c r="B17" s="3">
        <f>IFERROR(__xludf.DUMMYFUNCTION("""COMPUTED_VALUE"""),39920.645833333336)</f>
        <v>39920.64583</v>
      </c>
      <c r="C17" s="2">
        <f>IFERROR(__xludf.DUMMYFUNCTION("""COMPUTED_VALUE"""),133.95)</f>
        <v>133.95</v>
      </c>
    </row>
    <row r="18">
      <c r="B18" s="3">
        <f>IFERROR(__xludf.DUMMYFUNCTION("""COMPUTED_VALUE"""),39927.645833333336)</f>
        <v>39927.64583</v>
      </c>
      <c r="C18" s="2">
        <f>IFERROR(__xludf.DUMMYFUNCTION("""COMPUTED_VALUE"""),134.25)</f>
        <v>134.25</v>
      </c>
    </row>
    <row r="19">
      <c r="B19" s="3">
        <f>IFERROR(__xludf.DUMMYFUNCTION("""COMPUTED_VALUE"""),39932.645833333336)</f>
        <v>39932.64583</v>
      </c>
      <c r="C19" s="2">
        <f>IFERROR(__xludf.DUMMYFUNCTION("""COMPUTED_VALUE"""),134.85)</f>
        <v>134.85</v>
      </c>
    </row>
    <row r="20">
      <c r="B20" s="3">
        <f>IFERROR(__xludf.DUMMYFUNCTION("""COMPUTED_VALUE"""),39941.645833333336)</f>
        <v>39941.64583</v>
      </c>
      <c r="C20" s="2">
        <f>IFERROR(__xludf.DUMMYFUNCTION("""COMPUTED_VALUE"""),141.9)</f>
        <v>141.9</v>
      </c>
    </row>
    <row r="21" ht="15.75" customHeight="1">
      <c r="B21" s="3">
        <f>IFERROR(__xludf.DUMMYFUNCTION("""COMPUTED_VALUE"""),39948.645833333336)</f>
        <v>39948.64583</v>
      </c>
      <c r="C21" s="2">
        <f>IFERROR(__xludf.DUMMYFUNCTION("""COMPUTED_VALUE"""),135.3)</f>
        <v>135.3</v>
      </c>
    </row>
    <row r="22" ht="15.75" customHeight="1">
      <c r="B22" s="3">
        <f>IFERROR(__xludf.DUMMYFUNCTION("""COMPUTED_VALUE"""),39955.645833333336)</f>
        <v>39955.64583</v>
      </c>
      <c r="C22" s="2">
        <f>IFERROR(__xludf.DUMMYFUNCTION("""COMPUTED_VALUE"""),177.2)</f>
        <v>177.2</v>
      </c>
    </row>
    <row r="23" ht="15.75" customHeight="1">
      <c r="B23" s="3">
        <f>IFERROR(__xludf.DUMMYFUNCTION("""COMPUTED_VALUE"""),39962.645833333336)</f>
        <v>39962.64583</v>
      </c>
      <c r="C23" s="2">
        <f>IFERROR(__xludf.DUMMYFUNCTION("""COMPUTED_VALUE"""),185.75)</f>
        <v>185.75</v>
      </c>
    </row>
    <row r="24" ht="15.75" customHeight="1">
      <c r="B24" s="3">
        <f>IFERROR(__xludf.DUMMYFUNCTION("""COMPUTED_VALUE"""),39969.645833333336)</f>
        <v>39969.64583</v>
      </c>
      <c r="C24" s="2">
        <f>IFERROR(__xludf.DUMMYFUNCTION("""COMPUTED_VALUE"""),193.5)</f>
        <v>193.5</v>
      </c>
    </row>
    <row r="25" ht="15.75" customHeight="1">
      <c r="B25" s="3">
        <f>IFERROR(__xludf.DUMMYFUNCTION("""COMPUTED_VALUE"""),39976.645833333336)</f>
        <v>39976.64583</v>
      </c>
      <c r="C25" s="2">
        <f>IFERROR(__xludf.DUMMYFUNCTION("""COMPUTED_VALUE"""),200.75)</f>
        <v>200.75</v>
      </c>
    </row>
    <row r="26" ht="15.75" customHeight="1">
      <c r="B26" s="3">
        <f>IFERROR(__xludf.DUMMYFUNCTION("""COMPUTED_VALUE"""),39983.645833333336)</f>
        <v>39983.64583</v>
      </c>
      <c r="C26" s="2">
        <f>IFERROR(__xludf.DUMMYFUNCTION("""COMPUTED_VALUE"""),210.0)</f>
        <v>210</v>
      </c>
    </row>
    <row r="27" ht="15.75" customHeight="1">
      <c r="B27" s="3">
        <f>IFERROR(__xludf.DUMMYFUNCTION("""COMPUTED_VALUE"""),39990.645833333336)</f>
        <v>39990.64583</v>
      </c>
      <c r="C27" s="2">
        <f>IFERROR(__xludf.DUMMYFUNCTION("""COMPUTED_VALUE"""),179.5)</f>
        <v>179.5</v>
      </c>
    </row>
    <row r="28" ht="15.75" customHeight="1">
      <c r="B28" s="3">
        <f>IFERROR(__xludf.DUMMYFUNCTION("""COMPUTED_VALUE"""),39997.645833333336)</f>
        <v>39997.64583</v>
      </c>
      <c r="C28" s="2">
        <f>IFERROR(__xludf.DUMMYFUNCTION("""COMPUTED_VALUE"""),178.85)</f>
        <v>178.85</v>
      </c>
    </row>
    <row r="29" ht="15.75" customHeight="1">
      <c r="B29" s="3">
        <f>IFERROR(__xludf.DUMMYFUNCTION("""COMPUTED_VALUE"""),40004.645833333336)</f>
        <v>40004.64583</v>
      </c>
      <c r="C29" s="2">
        <f>IFERROR(__xludf.DUMMYFUNCTION("""COMPUTED_VALUE"""),180.5)</f>
        <v>180.5</v>
      </c>
    </row>
    <row r="30" ht="15.75" customHeight="1">
      <c r="B30" s="3">
        <f>IFERROR(__xludf.DUMMYFUNCTION("""COMPUTED_VALUE"""),40011.645833333336)</f>
        <v>40011.64583</v>
      </c>
      <c r="C30" s="2">
        <f>IFERROR(__xludf.DUMMYFUNCTION("""COMPUTED_VALUE"""),172.25)</f>
        <v>172.25</v>
      </c>
    </row>
    <row r="31" ht="15.75" customHeight="1">
      <c r="B31" s="3">
        <f>IFERROR(__xludf.DUMMYFUNCTION("""COMPUTED_VALUE"""),40018.645833333336)</f>
        <v>40018.64583</v>
      </c>
      <c r="C31" s="2">
        <f>IFERROR(__xludf.DUMMYFUNCTION("""COMPUTED_VALUE"""),174.9)</f>
        <v>174.9</v>
      </c>
    </row>
    <row r="32" ht="15.75" customHeight="1">
      <c r="B32" s="3">
        <f>IFERROR(__xludf.DUMMYFUNCTION("""COMPUTED_VALUE"""),40025.645833333336)</f>
        <v>40025.64583</v>
      </c>
      <c r="C32" s="2">
        <f>IFERROR(__xludf.DUMMYFUNCTION("""COMPUTED_VALUE"""),178.7)</f>
        <v>178.7</v>
      </c>
    </row>
    <row r="33" ht="15.75" customHeight="1">
      <c r="B33" s="3">
        <f>IFERROR(__xludf.DUMMYFUNCTION("""COMPUTED_VALUE"""),40032.645833333336)</f>
        <v>40032.64583</v>
      </c>
      <c r="C33" s="2">
        <f>IFERROR(__xludf.DUMMYFUNCTION("""COMPUTED_VALUE"""),172.15)</f>
        <v>172.15</v>
      </c>
    </row>
    <row r="34" ht="15.75" customHeight="1">
      <c r="B34" s="3">
        <f>IFERROR(__xludf.DUMMYFUNCTION("""COMPUTED_VALUE"""),40039.645833333336)</f>
        <v>40039.64583</v>
      </c>
      <c r="C34" s="2">
        <f>IFERROR(__xludf.DUMMYFUNCTION("""COMPUTED_VALUE"""),166.8)</f>
        <v>166.8</v>
      </c>
    </row>
    <row r="35" ht="15.75" customHeight="1">
      <c r="B35" s="3">
        <f>IFERROR(__xludf.DUMMYFUNCTION("""COMPUTED_VALUE"""),40046.645833333336)</f>
        <v>40046.64583</v>
      </c>
      <c r="C35" s="2">
        <f>IFERROR(__xludf.DUMMYFUNCTION("""COMPUTED_VALUE"""),162.5)</f>
        <v>162.5</v>
      </c>
    </row>
    <row r="36" ht="15.75" customHeight="1">
      <c r="B36" s="3">
        <f>IFERROR(__xludf.DUMMYFUNCTION("""COMPUTED_VALUE"""),40053.645833333336)</f>
        <v>40053.64583</v>
      </c>
      <c r="C36" s="2">
        <f>IFERROR(__xludf.DUMMYFUNCTION("""COMPUTED_VALUE"""),164.8)</f>
        <v>164.8</v>
      </c>
    </row>
    <row r="37" ht="15.75" customHeight="1">
      <c r="B37" s="3">
        <f>IFERROR(__xludf.DUMMYFUNCTION("""COMPUTED_VALUE"""),40060.645833333336)</f>
        <v>40060.64583</v>
      </c>
      <c r="C37" s="2">
        <f>IFERROR(__xludf.DUMMYFUNCTION("""COMPUTED_VALUE"""),164.8)</f>
        <v>164.8</v>
      </c>
    </row>
    <row r="38" ht="15.75" customHeight="1">
      <c r="B38" s="3">
        <f>IFERROR(__xludf.DUMMYFUNCTION("""COMPUTED_VALUE"""),40067.645833333336)</f>
        <v>40067.64583</v>
      </c>
      <c r="C38" s="2">
        <f>IFERROR(__xludf.DUMMYFUNCTION("""COMPUTED_VALUE"""),168.5)</f>
        <v>168.5</v>
      </c>
    </row>
    <row r="39" ht="15.75" customHeight="1">
      <c r="B39" s="3">
        <f>IFERROR(__xludf.DUMMYFUNCTION("""COMPUTED_VALUE"""),40074.645833333336)</f>
        <v>40074.64583</v>
      </c>
      <c r="C39" s="2">
        <f>IFERROR(__xludf.DUMMYFUNCTION("""COMPUTED_VALUE"""),173.5)</f>
        <v>173.5</v>
      </c>
    </row>
    <row r="40" ht="15.75" customHeight="1">
      <c r="B40" s="3">
        <f>IFERROR(__xludf.DUMMYFUNCTION("""COMPUTED_VALUE"""),40081.645833333336)</f>
        <v>40081.64583</v>
      </c>
      <c r="C40" s="2">
        <f>IFERROR(__xludf.DUMMYFUNCTION("""COMPUTED_VALUE"""),175.0)</f>
        <v>175</v>
      </c>
    </row>
    <row r="41" ht="15.75" customHeight="1">
      <c r="B41" s="3">
        <f>IFERROR(__xludf.DUMMYFUNCTION("""COMPUTED_VALUE"""),40087.645833333336)</f>
        <v>40087.64583</v>
      </c>
      <c r="C41" s="2">
        <f>IFERROR(__xludf.DUMMYFUNCTION("""COMPUTED_VALUE"""),171.6)</f>
        <v>171.6</v>
      </c>
    </row>
    <row r="42" ht="15.75" customHeight="1">
      <c r="B42" s="3">
        <f>IFERROR(__xludf.DUMMYFUNCTION("""COMPUTED_VALUE"""),40095.645833333336)</f>
        <v>40095.64583</v>
      </c>
      <c r="C42" s="2">
        <f>IFERROR(__xludf.DUMMYFUNCTION("""COMPUTED_VALUE"""),166.8)</f>
        <v>166.8</v>
      </c>
    </row>
    <row r="43" ht="15.75" customHeight="1">
      <c r="B43" s="3">
        <f>IFERROR(__xludf.DUMMYFUNCTION("""COMPUTED_VALUE"""),40109.645833333336)</f>
        <v>40109.64583</v>
      </c>
      <c r="C43" s="2">
        <f>IFERROR(__xludf.DUMMYFUNCTION("""COMPUTED_VALUE"""),165.35)</f>
        <v>165.35</v>
      </c>
    </row>
    <row r="44" ht="15.75" customHeight="1">
      <c r="B44" s="3">
        <f>IFERROR(__xludf.DUMMYFUNCTION("""COMPUTED_VALUE"""),40116.645833333336)</f>
        <v>40116.64583</v>
      </c>
      <c r="C44" s="2">
        <f>IFERROR(__xludf.DUMMYFUNCTION("""COMPUTED_VALUE"""),160.0)</f>
        <v>160</v>
      </c>
    </row>
    <row r="45" ht="15.75" customHeight="1">
      <c r="B45" s="3">
        <f>IFERROR(__xludf.DUMMYFUNCTION("""COMPUTED_VALUE"""),40123.645833333336)</f>
        <v>40123.64583</v>
      </c>
      <c r="C45" s="2">
        <f>IFERROR(__xludf.DUMMYFUNCTION("""COMPUTED_VALUE"""),147.9)</f>
        <v>147.9</v>
      </c>
    </row>
    <row r="46" ht="15.75" customHeight="1">
      <c r="B46" s="3">
        <f>IFERROR(__xludf.DUMMYFUNCTION("""COMPUTED_VALUE"""),40130.645833333336)</f>
        <v>40130.64583</v>
      </c>
      <c r="C46" s="2">
        <f>IFERROR(__xludf.DUMMYFUNCTION("""COMPUTED_VALUE"""),149.05)</f>
        <v>149.05</v>
      </c>
    </row>
    <row r="47" ht="15.75" customHeight="1">
      <c r="B47" s="3">
        <f>IFERROR(__xludf.DUMMYFUNCTION("""COMPUTED_VALUE"""),40137.645833333336)</f>
        <v>40137.64583</v>
      </c>
      <c r="C47" s="2">
        <f>IFERROR(__xludf.DUMMYFUNCTION("""COMPUTED_VALUE"""),155.25)</f>
        <v>155.25</v>
      </c>
    </row>
    <row r="48" ht="15.75" customHeight="1">
      <c r="B48" s="3">
        <f>IFERROR(__xludf.DUMMYFUNCTION("""COMPUTED_VALUE"""),40144.645833333336)</f>
        <v>40144.64583</v>
      </c>
      <c r="C48" s="2">
        <f>IFERROR(__xludf.DUMMYFUNCTION("""COMPUTED_VALUE"""),149.4)</f>
        <v>149.4</v>
      </c>
    </row>
    <row r="49" ht="15.75" customHeight="1">
      <c r="B49" s="3">
        <f>IFERROR(__xludf.DUMMYFUNCTION("""COMPUTED_VALUE"""),40151.645833333336)</f>
        <v>40151.64583</v>
      </c>
      <c r="C49" s="2">
        <f>IFERROR(__xludf.DUMMYFUNCTION("""COMPUTED_VALUE"""),156.85)</f>
        <v>156.85</v>
      </c>
    </row>
    <row r="50" ht="15.75" customHeight="1">
      <c r="B50" s="3">
        <f>IFERROR(__xludf.DUMMYFUNCTION("""COMPUTED_VALUE"""),40158.645833333336)</f>
        <v>40158.64583</v>
      </c>
      <c r="C50" s="2">
        <f>IFERROR(__xludf.DUMMYFUNCTION("""COMPUTED_VALUE"""),153.0)</f>
        <v>153</v>
      </c>
    </row>
    <row r="51" ht="15.75" customHeight="1">
      <c r="B51" s="3">
        <f>IFERROR(__xludf.DUMMYFUNCTION("""COMPUTED_VALUE"""),40165.645833333336)</f>
        <v>40165.64583</v>
      </c>
      <c r="C51" s="2">
        <f>IFERROR(__xludf.DUMMYFUNCTION("""COMPUTED_VALUE"""),149.0)</f>
        <v>149</v>
      </c>
    </row>
    <row r="52" ht="15.75" customHeight="1">
      <c r="B52" s="3">
        <f>IFERROR(__xludf.DUMMYFUNCTION("""COMPUTED_VALUE"""),40171.645833333336)</f>
        <v>40171.64583</v>
      </c>
      <c r="C52" s="2">
        <f>IFERROR(__xludf.DUMMYFUNCTION("""COMPUTED_VALUE"""),148.7)</f>
        <v>148.7</v>
      </c>
    </row>
    <row r="53" ht="15.75" customHeight="1"/>
    <row r="54" ht="15.75" customHeight="1"/>
    <row r="55" ht="15.75" customHeight="1"/>
    <row r="56" ht="15.75" customHeight="1">
      <c r="B56" s="2" t="str">
        <f>IFERROR(__xludf.DUMMYFUNCTION("GOOGLEFINANCE(""NSE:RPOWER"", ""high"",DATE(2010,1,1),DATE(2011,1,1),""weekly"")"),"Date")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IFERROR(__xludf.DUMMYFUNCTION("""COMPUTED_VALUE"""),40186.645833333336)</f>
        <v>40186.64583</v>
      </c>
      <c r="C57" s="2">
        <f>IFERROR(__xludf.DUMMYFUNCTION("""COMPUTED_VALUE"""),162.25)</f>
        <v>162.25</v>
      </c>
    </row>
    <row r="58" ht="15.75" customHeight="1">
      <c r="B58" s="3">
        <f>IFERROR(__xludf.DUMMYFUNCTION("""COMPUTED_VALUE"""),40193.645833333336)</f>
        <v>40193.64583</v>
      </c>
      <c r="C58" s="2">
        <f>IFERROR(__xludf.DUMMYFUNCTION("""COMPUTED_VALUE"""),164.4)</f>
        <v>164.4</v>
      </c>
    </row>
    <row r="59" ht="15.75" customHeight="1">
      <c r="B59" s="3">
        <f>IFERROR(__xludf.DUMMYFUNCTION("""COMPUTED_VALUE"""),40200.645833333336)</f>
        <v>40200.64583</v>
      </c>
      <c r="C59" s="2">
        <f>IFERROR(__xludf.DUMMYFUNCTION("""COMPUTED_VALUE"""),162.4)</f>
        <v>162.4</v>
      </c>
    </row>
    <row r="60" ht="15.75" customHeight="1">
      <c r="B60" s="3">
        <f>IFERROR(__xludf.DUMMYFUNCTION("""COMPUTED_VALUE"""),40207.645833333336)</f>
        <v>40207.64583</v>
      </c>
      <c r="C60" s="2">
        <f>IFERROR(__xludf.DUMMYFUNCTION("""COMPUTED_VALUE"""),151.2)</f>
        <v>151.2</v>
      </c>
    </row>
    <row r="61" ht="15.75" customHeight="1">
      <c r="B61" s="3">
        <f>IFERROR(__xludf.DUMMYFUNCTION("""COMPUTED_VALUE"""),40220.645833333336)</f>
        <v>40220.64583</v>
      </c>
      <c r="C61" s="2">
        <f>IFERROR(__xludf.DUMMYFUNCTION("""COMPUTED_VALUE"""),145.5)</f>
        <v>145.5</v>
      </c>
    </row>
    <row r="62" ht="15.75" customHeight="1">
      <c r="B62" s="3">
        <f>IFERROR(__xludf.DUMMYFUNCTION("""COMPUTED_VALUE"""),40228.645833333336)</f>
        <v>40228.64583</v>
      </c>
      <c r="C62" s="2">
        <f>IFERROR(__xludf.DUMMYFUNCTION("""COMPUTED_VALUE"""),144.5)</f>
        <v>144.5</v>
      </c>
    </row>
    <row r="63" ht="15.75" customHeight="1">
      <c r="B63" s="3">
        <f>IFERROR(__xludf.DUMMYFUNCTION("""COMPUTED_VALUE"""),40235.645833333336)</f>
        <v>40235.64583</v>
      </c>
      <c r="C63" s="2">
        <f>IFERROR(__xludf.DUMMYFUNCTION("""COMPUTED_VALUE"""),141.6)</f>
        <v>141.6</v>
      </c>
    </row>
    <row r="64" ht="15.75" customHeight="1">
      <c r="B64" s="3">
        <f>IFERROR(__xludf.DUMMYFUNCTION("""COMPUTED_VALUE"""),40242.645833333336)</f>
        <v>40242.64583</v>
      </c>
      <c r="C64" s="2">
        <f>IFERROR(__xludf.DUMMYFUNCTION("""COMPUTED_VALUE"""),144.25)</f>
        <v>144.25</v>
      </c>
    </row>
    <row r="65" ht="15.75" customHeight="1">
      <c r="B65" s="3">
        <f>IFERROR(__xludf.DUMMYFUNCTION("""COMPUTED_VALUE"""),40249.645833333336)</f>
        <v>40249.64583</v>
      </c>
      <c r="C65" s="2">
        <f>IFERROR(__xludf.DUMMYFUNCTION("""COMPUTED_VALUE"""),146.8)</f>
        <v>146.8</v>
      </c>
    </row>
    <row r="66" ht="15.75" customHeight="1">
      <c r="B66" s="3">
        <f>IFERROR(__xludf.DUMMYFUNCTION("""COMPUTED_VALUE"""),40256.645833333336)</f>
        <v>40256.64583</v>
      </c>
      <c r="C66" s="2">
        <f>IFERROR(__xludf.DUMMYFUNCTION("""COMPUTED_VALUE"""),143.4)</f>
        <v>143.4</v>
      </c>
    </row>
    <row r="67" ht="15.75" customHeight="1">
      <c r="B67" s="3">
        <f>IFERROR(__xludf.DUMMYFUNCTION("""COMPUTED_VALUE"""),40263.645833333336)</f>
        <v>40263.64583</v>
      </c>
      <c r="C67" s="2">
        <f>IFERROR(__xludf.DUMMYFUNCTION("""COMPUTED_VALUE"""),152.3)</f>
        <v>152.3</v>
      </c>
    </row>
    <row r="68" ht="15.75" customHeight="1">
      <c r="B68" s="3">
        <f>IFERROR(__xludf.DUMMYFUNCTION("""COMPUTED_VALUE"""),40269.645833333336)</f>
        <v>40269.64583</v>
      </c>
      <c r="C68" s="2">
        <f>IFERROR(__xludf.DUMMYFUNCTION("""COMPUTED_VALUE"""),154.55)</f>
        <v>154.55</v>
      </c>
    </row>
    <row r="69" ht="15.75" customHeight="1">
      <c r="B69" s="3">
        <f>IFERROR(__xludf.DUMMYFUNCTION("""COMPUTED_VALUE"""),40277.645833333336)</f>
        <v>40277.64583</v>
      </c>
      <c r="C69" s="2">
        <f>IFERROR(__xludf.DUMMYFUNCTION("""COMPUTED_VALUE"""),160.8)</f>
        <v>160.8</v>
      </c>
    </row>
    <row r="70" ht="15.75" customHeight="1">
      <c r="B70" s="3">
        <f>IFERROR(__xludf.DUMMYFUNCTION("""COMPUTED_VALUE"""),40284.645833333336)</f>
        <v>40284.64583</v>
      </c>
      <c r="C70" s="2">
        <f>IFERROR(__xludf.DUMMYFUNCTION("""COMPUTED_VALUE"""),161.1)</f>
        <v>161.1</v>
      </c>
    </row>
    <row r="71" ht="15.75" customHeight="1">
      <c r="B71" s="3">
        <f>IFERROR(__xludf.DUMMYFUNCTION("""COMPUTED_VALUE"""),40291.645833333336)</f>
        <v>40291.64583</v>
      </c>
      <c r="C71" s="2">
        <f>IFERROR(__xludf.DUMMYFUNCTION("""COMPUTED_VALUE"""),161.7)</f>
        <v>161.7</v>
      </c>
    </row>
    <row r="72" ht="15.75" customHeight="1">
      <c r="B72" s="3">
        <f>IFERROR(__xludf.DUMMYFUNCTION("""COMPUTED_VALUE"""),40298.645833333336)</f>
        <v>40298.64583</v>
      </c>
      <c r="C72" s="2">
        <f>IFERROR(__xludf.DUMMYFUNCTION("""COMPUTED_VALUE"""),165.6)</f>
        <v>165.6</v>
      </c>
    </row>
    <row r="73" ht="15.75" customHeight="1">
      <c r="B73" s="3">
        <f>IFERROR(__xludf.DUMMYFUNCTION("""COMPUTED_VALUE"""),40305.645833333336)</f>
        <v>40305.64583</v>
      </c>
      <c r="C73" s="2">
        <f>IFERROR(__xludf.DUMMYFUNCTION("""COMPUTED_VALUE"""),163.85)</f>
        <v>163.85</v>
      </c>
    </row>
    <row r="74" ht="15.75" customHeight="1">
      <c r="B74" s="3">
        <f>IFERROR(__xludf.DUMMYFUNCTION("""COMPUTED_VALUE"""),40312.645833333336)</f>
        <v>40312.64583</v>
      </c>
      <c r="C74" s="2">
        <f>IFERROR(__xludf.DUMMYFUNCTION("""COMPUTED_VALUE"""),154.8)</f>
        <v>154.8</v>
      </c>
    </row>
    <row r="75" ht="15.75" customHeight="1">
      <c r="B75" s="3">
        <f>IFERROR(__xludf.DUMMYFUNCTION("""COMPUTED_VALUE"""),40319.645833333336)</f>
        <v>40319.64583</v>
      </c>
      <c r="C75" s="2">
        <f>IFERROR(__xludf.DUMMYFUNCTION("""COMPUTED_VALUE"""),144.95)</f>
        <v>144.95</v>
      </c>
    </row>
    <row r="76" ht="15.75" customHeight="1">
      <c r="B76" s="3">
        <f>IFERROR(__xludf.DUMMYFUNCTION("""COMPUTED_VALUE"""),40326.645833333336)</f>
        <v>40326.64583</v>
      </c>
      <c r="C76" s="2">
        <f>IFERROR(__xludf.DUMMYFUNCTION("""COMPUTED_VALUE"""),160.0)</f>
        <v>160</v>
      </c>
    </row>
    <row r="77" ht="15.75" customHeight="1">
      <c r="B77" s="3">
        <f>IFERROR(__xludf.DUMMYFUNCTION("""COMPUTED_VALUE"""),40333.645833333336)</f>
        <v>40333.64583</v>
      </c>
      <c r="C77" s="2">
        <f>IFERROR(__xludf.DUMMYFUNCTION("""COMPUTED_VALUE"""),164.5)</f>
        <v>164.5</v>
      </c>
    </row>
    <row r="78" ht="15.75" customHeight="1">
      <c r="B78" s="3">
        <f>IFERROR(__xludf.DUMMYFUNCTION("""COMPUTED_VALUE"""),40340.645833333336)</f>
        <v>40340.64583</v>
      </c>
      <c r="C78" s="2">
        <f>IFERROR(__xludf.DUMMYFUNCTION("""COMPUTED_VALUE"""),166.0)</f>
        <v>166</v>
      </c>
    </row>
    <row r="79" ht="15.75" customHeight="1">
      <c r="B79" s="3">
        <f>IFERROR(__xludf.DUMMYFUNCTION("""COMPUTED_VALUE"""),40347.645833333336)</f>
        <v>40347.64583</v>
      </c>
      <c r="C79" s="2">
        <f>IFERROR(__xludf.DUMMYFUNCTION("""COMPUTED_VALUE"""),181.7)</f>
        <v>181.7</v>
      </c>
    </row>
    <row r="80" ht="15.75" customHeight="1">
      <c r="B80" s="3">
        <f>IFERROR(__xludf.DUMMYFUNCTION("""COMPUTED_VALUE"""),40354.645833333336)</f>
        <v>40354.64583</v>
      </c>
      <c r="C80" s="2">
        <f>IFERROR(__xludf.DUMMYFUNCTION("""COMPUTED_VALUE"""),172.95)</f>
        <v>172.95</v>
      </c>
    </row>
    <row r="81" ht="15.75" customHeight="1">
      <c r="B81" s="3">
        <f>IFERROR(__xludf.DUMMYFUNCTION("""COMPUTED_VALUE"""),40361.645833333336)</f>
        <v>40361.64583</v>
      </c>
      <c r="C81" s="2">
        <f>IFERROR(__xludf.DUMMYFUNCTION("""COMPUTED_VALUE"""),177.95)</f>
        <v>177.95</v>
      </c>
    </row>
    <row r="82" ht="15.75" customHeight="1">
      <c r="B82" s="3">
        <f>IFERROR(__xludf.DUMMYFUNCTION("""COMPUTED_VALUE"""),40368.645833333336)</f>
        <v>40368.64583</v>
      </c>
      <c r="C82" s="2">
        <f>IFERROR(__xludf.DUMMYFUNCTION("""COMPUTED_VALUE"""),190.0)</f>
        <v>190</v>
      </c>
    </row>
    <row r="83" ht="15.75" customHeight="1">
      <c r="B83" s="3">
        <f>IFERROR(__xludf.DUMMYFUNCTION("""COMPUTED_VALUE"""),40375.645833333336)</f>
        <v>40375.64583</v>
      </c>
      <c r="C83" s="2">
        <f>IFERROR(__xludf.DUMMYFUNCTION("""COMPUTED_VALUE"""),178.4)</f>
        <v>178.4</v>
      </c>
    </row>
    <row r="84" ht="15.75" customHeight="1">
      <c r="B84" s="3">
        <f>IFERROR(__xludf.DUMMYFUNCTION("""COMPUTED_VALUE"""),40382.645833333336)</f>
        <v>40382.64583</v>
      </c>
      <c r="C84" s="2">
        <f>IFERROR(__xludf.DUMMYFUNCTION("""COMPUTED_VALUE"""),175.1)</f>
        <v>175.1</v>
      </c>
    </row>
    <row r="85" ht="15.75" customHeight="1">
      <c r="B85" s="3">
        <f>IFERROR(__xludf.DUMMYFUNCTION("""COMPUTED_VALUE"""),40389.645833333336)</f>
        <v>40389.64583</v>
      </c>
      <c r="C85" s="2">
        <f>IFERROR(__xludf.DUMMYFUNCTION("""COMPUTED_VALUE"""),174.4)</f>
        <v>174.4</v>
      </c>
    </row>
    <row r="86" ht="15.75" customHeight="1">
      <c r="B86" s="3">
        <f>IFERROR(__xludf.DUMMYFUNCTION("""COMPUTED_VALUE"""),40396.645833333336)</f>
        <v>40396.64583</v>
      </c>
      <c r="C86" s="2">
        <f>IFERROR(__xludf.DUMMYFUNCTION("""COMPUTED_VALUE"""),165.7)</f>
        <v>165.7</v>
      </c>
    </row>
    <row r="87" ht="15.75" customHeight="1">
      <c r="B87" s="3">
        <f>IFERROR(__xludf.DUMMYFUNCTION("""COMPUTED_VALUE"""),40403.645833333336)</f>
        <v>40403.64583</v>
      </c>
      <c r="C87" s="2">
        <f>IFERROR(__xludf.DUMMYFUNCTION("""COMPUTED_VALUE"""),160.0)</f>
        <v>160</v>
      </c>
    </row>
    <row r="88" ht="15.75" customHeight="1">
      <c r="B88" s="3">
        <f>IFERROR(__xludf.DUMMYFUNCTION("""COMPUTED_VALUE"""),40410.645833333336)</f>
        <v>40410.64583</v>
      </c>
      <c r="C88" s="2">
        <f>IFERROR(__xludf.DUMMYFUNCTION("""COMPUTED_VALUE"""),156.4)</f>
        <v>156.4</v>
      </c>
    </row>
    <row r="89" ht="15.75" customHeight="1">
      <c r="B89" s="3">
        <f>IFERROR(__xludf.DUMMYFUNCTION("""COMPUTED_VALUE"""),40417.645833333336)</f>
        <v>40417.64583</v>
      </c>
      <c r="C89" s="2">
        <f>IFERROR(__xludf.DUMMYFUNCTION("""COMPUTED_VALUE"""),156.2)</f>
        <v>156.2</v>
      </c>
    </row>
    <row r="90" ht="15.75" customHeight="1">
      <c r="B90" s="3">
        <f>IFERROR(__xludf.DUMMYFUNCTION("""COMPUTED_VALUE"""),40424.645833333336)</f>
        <v>40424.64583</v>
      </c>
      <c r="C90" s="2">
        <f>IFERROR(__xludf.DUMMYFUNCTION("""COMPUTED_VALUE"""),157.8)</f>
        <v>157.8</v>
      </c>
    </row>
    <row r="91" ht="15.75" customHeight="1">
      <c r="B91" s="3">
        <f>IFERROR(__xludf.DUMMYFUNCTION("""COMPUTED_VALUE"""),40430.645833333336)</f>
        <v>40430.64583</v>
      </c>
      <c r="C91" s="2">
        <f>IFERROR(__xludf.DUMMYFUNCTION("""COMPUTED_VALUE"""),160.75)</f>
        <v>160.75</v>
      </c>
    </row>
    <row r="92" ht="15.75" customHeight="1">
      <c r="B92" s="3">
        <f>IFERROR(__xludf.DUMMYFUNCTION("""COMPUTED_VALUE"""),40438.645833333336)</f>
        <v>40438.64583</v>
      </c>
      <c r="C92" s="2">
        <f>IFERROR(__xludf.DUMMYFUNCTION("""COMPUTED_VALUE"""),161.9)</f>
        <v>161.9</v>
      </c>
    </row>
    <row r="93" ht="15.75" customHeight="1">
      <c r="B93" s="3">
        <f>IFERROR(__xludf.DUMMYFUNCTION("""COMPUTED_VALUE"""),40445.645833333336)</f>
        <v>40445.64583</v>
      </c>
      <c r="C93" s="2">
        <f>IFERROR(__xludf.DUMMYFUNCTION("""COMPUTED_VALUE"""),164.8)</f>
        <v>164.8</v>
      </c>
    </row>
    <row r="94" ht="15.75" customHeight="1">
      <c r="B94" s="3">
        <f>IFERROR(__xludf.DUMMYFUNCTION("""COMPUTED_VALUE"""),40452.645833333336)</f>
        <v>40452.64583</v>
      </c>
      <c r="C94" s="2">
        <f>IFERROR(__xludf.DUMMYFUNCTION("""COMPUTED_VALUE"""),165.0)</f>
        <v>165</v>
      </c>
    </row>
    <row r="95" ht="15.75" customHeight="1">
      <c r="B95" s="3">
        <f>IFERROR(__xludf.DUMMYFUNCTION("""COMPUTED_VALUE"""),40459.645833333336)</f>
        <v>40459.64583</v>
      </c>
      <c r="C95" s="2">
        <f>IFERROR(__xludf.DUMMYFUNCTION("""COMPUTED_VALUE"""),171.35)</f>
        <v>171.35</v>
      </c>
    </row>
    <row r="96" ht="15.75" customHeight="1">
      <c r="B96" s="3">
        <f>IFERROR(__xludf.DUMMYFUNCTION("""COMPUTED_VALUE"""),40466.645833333336)</f>
        <v>40466.64583</v>
      </c>
      <c r="C96" s="2">
        <f>IFERROR(__xludf.DUMMYFUNCTION("""COMPUTED_VALUE"""),167.1)</f>
        <v>167.1</v>
      </c>
    </row>
    <row r="97" ht="15.75" customHeight="1">
      <c r="B97" s="3">
        <f>IFERROR(__xludf.DUMMYFUNCTION("""COMPUTED_VALUE"""),40473.645833333336)</f>
        <v>40473.64583</v>
      </c>
      <c r="C97" s="2">
        <f>IFERROR(__xludf.DUMMYFUNCTION("""COMPUTED_VALUE"""),163.0)</f>
        <v>163</v>
      </c>
    </row>
    <row r="98" ht="15.75" customHeight="1">
      <c r="B98" s="3">
        <f>IFERROR(__xludf.DUMMYFUNCTION("""COMPUTED_VALUE"""),40480.645833333336)</f>
        <v>40480.64583</v>
      </c>
      <c r="C98" s="2">
        <f>IFERROR(__xludf.DUMMYFUNCTION("""COMPUTED_VALUE"""),161.9)</f>
        <v>161.9</v>
      </c>
    </row>
    <row r="99" ht="15.75" customHeight="1">
      <c r="B99" s="3">
        <f>IFERROR(__xludf.DUMMYFUNCTION("""COMPUTED_VALUE"""),40487.645833333336)</f>
        <v>40487.64583</v>
      </c>
      <c r="C99" s="2">
        <f>IFERROR(__xludf.DUMMYFUNCTION("""COMPUTED_VALUE"""),167.1)</f>
        <v>167.1</v>
      </c>
    </row>
    <row r="100" ht="15.75" customHeight="1">
      <c r="B100" s="3">
        <f>IFERROR(__xludf.DUMMYFUNCTION("""COMPUTED_VALUE"""),40494.645833333336)</f>
        <v>40494.64583</v>
      </c>
      <c r="C100" s="2">
        <f>IFERROR(__xludf.DUMMYFUNCTION("""COMPUTED_VALUE"""),192.8)</f>
        <v>192.8</v>
      </c>
    </row>
    <row r="101" ht="15.75" customHeight="1">
      <c r="B101" s="3">
        <f>IFERROR(__xludf.DUMMYFUNCTION("""COMPUTED_VALUE"""),40501.645833333336)</f>
        <v>40501.64583</v>
      </c>
      <c r="C101" s="2">
        <f>IFERROR(__xludf.DUMMYFUNCTION("""COMPUTED_VALUE"""),184.65)</f>
        <v>184.65</v>
      </c>
    </row>
    <row r="102" ht="15.75" customHeight="1">
      <c r="B102" s="3">
        <f>IFERROR(__xludf.DUMMYFUNCTION("""COMPUTED_VALUE"""),40508.645833333336)</f>
        <v>40508.64583</v>
      </c>
      <c r="C102" s="2">
        <f>IFERROR(__xludf.DUMMYFUNCTION("""COMPUTED_VALUE"""),176.25)</f>
        <v>176.25</v>
      </c>
    </row>
    <row r="103" ht="15.75" customHeight="1">
      <c r="B103" s="3">
        <f>IFERROR(__xludf.DUMMYFUNCTION("""COMPUTED_VALUE"""),40515.645833333336)</f>
        <v>40515.64583</v>
      </c>
      <c r="C103" s="2">
        <f>IFERROR(__xludf.DUMMYFUNCTION("""COMPUTED_VALUE"""),164.9)</f>
        <v>164.9</v>
      </c>
    </row>
    <row r="104" ht="15.75" customHeight="1">
      <c r="B104" s="3">
        <f>IFERROR(__xludf.DUMMYFUNCTION("""COMPUTED_VALUE"""),40522.645833333336)</f>
        <v>40522.64583</v>
      </c>
      <c r="C104" s="2">
        <f>IFERROR(__xludf.DUMMYFUNCTION("""COMPUTED_VALUE"""),163.25)</f>
        <v>163.25</v>
      </c>
    </row>
    <row r="105" ht="15.75" customHeight="1">
      <c r="B105" s="3">
        <f>IFERROR(__xludf.DUMMYFUNCTION("""COMPUTED_VALUE"""),40528.645833333336)</f>
        <v>40528.64583</v>
      </c>
      <c r="C105" s="2">
        <f>IFERROR(__xludf.DUMMYFUNCTION("""COMPUTED_VALUE"""),158.25)</f>
        <v>158.25</v>
      </c>
    </row>
    <row r="106" ht="15.75" customHeight="1">
      <c r="B106" s="3">
        <f>IFERROR(__xludf.DUMMYFUNCTION("""COMPUTED_VALUE"""),40536.645833333336)</f>
        <v>40536.64583</v>
      </c>
      <c r="C106" s="2">
        <f>IFERROR(__xludf.DUMMYFUNCTION("""COMPUTED_VALUE"""),156.45)</f>
        <v>156.45</v>
      </c>
    </row>
    <row r="107" ht="15.75" customHeight="1">
      <c r="B107" s="3">
        <f>IFERROR(__xludf.DUMMYFUNCTION("""COMPUTED_VALUE"""),40543.645833333336)</f>
        <v>40543.64583</v>
      </c>
      <c r="C107" s="2">
        <f>IFERROR(__xludf.DUMMYFUNCTION("""COMPUTED_VALUE"""),159.7)</f>
        <v>159.7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IFERROR(__xludf.DUMMYFUNCTION("GOOGLEFINANCE(""NSE:RPOWER"", ""high"",DATE(2011,1,1),DATE(2012,1,1),""weekly"")"),"Date")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IFERROR(__xludf.DUMMYFUNCTION("""COMPUTED_VALUE"""),40550.645833333336)</f>
        <v>40550.64583</v>
      </c>
      <c r="C112" s="2">
        <f>IFERROR(__xludf.DUMMYFUNCTION("""COMPUTED_VALUE"""),162.2)</f>
        <v>162.2</v>
      </c>
    </row>
    <row r="113" ht="15.75" customHeight="1">
      <c r="B113" s="3">
        <f>IFERROR(__xludf.DUMMYFUNCTION("""COMPUTED_VALUE"""),40557.645833333336)</f>
        <v>40557.64583</v>
      </c>
      <c r="C113" s="2">
        <f>IFERROR(__xludf.DUMMYFUNCTION("""COMPUTED_VALUE"""),155.5)</f>
        <v>155.5</v>
      </c>
    </row>
    <row r="114" ht="15.75" customHeight="1">
      <c r="B114" s="3">
        <f>IFERROR(__xludf.DUMMYFUNCTION("""COMPUTED_VALUE"""),40564.645833333336)</f>
        <v>40564.64583</v>
      </c>
      <c r="C114" s="2">
        <f>IFERROR(__xludf.DUMMYFUNCTION("""COMPUTED_VALUE"""),143.3)</f>
        <v>143.3</v>
      </c>
    </row>
    <row r="115" ht="15.75" customHeight="1">
      <c r="B115" s="3">
        <f>IFERROR(__xludf.DUMMYFUNCTION("""COMPUTED_VALUE"""),40571.645833333336)</f>
        <v>40571.64583</v>
      </c>
      <c r="C115" s="2">
        <f>IFERROR(__xludf.DUMMYFUNCTION("""COMPUTED_VALUE"""),144.5)</f>
        <v>144.5</v>
      </c>
    </row>
    <row r="116" ht="15.75" customHeight="1">
      <c r="B116" s="3">
        <f>IFERROR(__xludf.DUMMYFUNCTION("""COMPUTED_VALUE"""),40578.645833333336)</f>
        <v>40578.64583</v>
      </c>
      <c r="C116" s="2">
        <f>IFERROR(__xludf.DUMMYFUNCTION("""COMPUTED_VALUE"""),136.7)</f>
        <v>136.7</v>
      </c>
    </row>
    <row r="117" ht="15.75" customHeight="1">
      <c r="B117" s="3">
        <f>IFERROR(__xludf.DUMMYFUNCTION("""COMPUTED_VALUE"""),40585.645833333336)</f>
        <v>40585.64583</v>
      </c>
      <c r="C117" s="2">
        <f>IFERROR(__xludf.DUMMYFUNCTION("""COMPUTED_VALUE"""),131.0)</f>
        <v>131</v>
      </c>
    </row>
    <row r="118" ht="15.75" customHeight="1">
      <c r="B118" s="3">
        <f>IFERROR(__xludf.DUMMYFUNCTION("""COMPUTED_VALUE"""),40592.645833333336)</f>
        <v>40592.64583</v>
      </c>
      <c r="C118" s="2">
        <f>IFERROR(__xludf.DUMMYFUNCTION("""COMPUTED_VALUE"""),123.85)</f>
        <v>123.85</v>
      </c>
    </row>
    <row r="119" ht="15.75" customHeight="1">
      <c r="B119" s="3">
        <f>IFERROR(__xludf.DUMMYFUNCTION("""COMPUTED_VALUE"""),40599.645833333336)</f>
        <v>40599.64583</v>
      </c>
      <c r="C119" s="2">
        <f>IFERROR(__xludf.DUMMYFUNCTION("""COMPUTED_VALUE"""),117.4)</f>
        <v>117.4</v>
      </c>
    </row>
    <row r="120" ht="15.75" customHeight="1">
      <c r="B120" s="3">
        <f>IFERROR(__xludf.DUMMYFUNCTION("""COMPUTED_VALUE"""),40606.645833333336)</f>
        <v>40606.64583</v>
      </c>
      <c r="C120" s="2">
        <f>IFERROR(__xludf.DUMMYFUNCTION("""COMPUTED_VALUE"""),123.95)</f>
        <v>123.95</v>
      </c>
    </row>
    <row r="121" ht="15.75" customHeight="1">
      <c r="B121" s="3">
        <f>IFERROR(__xludf.DUMMYFUNCTION("""COMPUTED_VALUE"""),40613.645833333336)</f>
        <v>40613.64583</v>
      </c>
      <c r="C121" s="2">
        <f>IFERROR(__xludf.DUMMYFUNCTION("""COMPUTED_VALUE"""),126.3)</f>
        <v>126.3</v>
      </c>
    </row>
    <row r="122" ht="15.75" customHeight="1">
      <c r="B122" s="3">
        <f>IFERROR(__xludf.DUMMYFUNCTION("""COMPUTED_VALUE"""),40620.645833333336)</f>
        <v>40620.64583</v>
      </c>
      <c r="C122" s="2">
        <f>IFERROR(__xludf.DUMMYFUNCTION("""COMPUTED_VALUE"""),127.7)</f>
        <v>127.7</v>
      </c>
    </row>
    <row r="123" ht="15.75" customHeight="1">
      <c r="B123" s="3">
        <f>IFERROR(__xludf.DUMMYFUNCTION("""COMPUTED_VALUE"""),40627.645833333336)</f>
        <v>40627.64583</v>
      </c>
      <c r="C123" s="2">
        <f>IFERROR(__xludf.DUMMYFUNCTION("""COMPUTED_VALUE"""),125.1)</f>
        <v>125.1</v>
      </c>
    </row>
    <row r="124" ht="15.75" customHeight="1">
      <c r="B124" s="3">
        <f>IFERROR(__xludf.DUMMYFUNCTION("""COMPUTED_VALUE"""),40634.645833333336)</f>
        <v>40634.64583</v>
      </c>
      <c r="C124" s="2">
        <f>IFERROR(__xludf.DUMMYFUNCTION("""COMPUTED_VALUE"""),134.6)</f>
        <v>134.6</v>
      </c>
    </row>
    <row r="125" ht="15.75" customHeight="1">
      <c r="B125" s="3">
        <f>IFERROR(__xludf.DUMMYFUNCTION("""COMPUTED_VALUE"""),40641.645833333336)</f>
        <v>40641.64583</v>
      </c>
      <c r="C125" s="2">
        <f>IFERROR(__xludf.DUMMYFUNCTION("""COMPUTED_VALUE"""),137.45)</f>
        <v>137.45</v>
      </c>
    </row>
    <row r="126" ht="15.75" customHeight="1">
      <c r="B126" s="3">
        <f>IFERROR(__xludf.DUMMYFUNCTION("""COMPUTED_VALUE"""),40648.645833333336)</f>
        <v>40648.64583</v>
      </c>
      <c r="C126" s="2">
        <f>IFERROR(__xludf.DUMMYFUNCTION("""COMPUTED_VALUE"""),133.25)</f>
        <v>133.25</v>
      </c>
    </row>
    <row r="127" ht="15.75" customHeight="1">
      <c r="B127" s="3">
        <f>IFERROR(__xludf.DUMMYFUNCTION("""COMPUTED_VALUE"""),40654.645833333336)</f>
        <v>40654.64583</v>
      </c>
      <c r="C127" s="2">
        <f>IFERROR(__xludf.DUMMYFUNCTION("""COMPUTED_VALUE"""),133.75)</f>
        <v>133.75</v>
      </c>
    </row>
    <row r="128" ht="15.75" customHeight="1">
      <c r="B128" s="3">
        <f>IFERROR(__xludf.DUMMYFUNCTION("""COMPUTED_VALUE"""),40662.645833333336)</f>
        <v>40662.64583</v>
      </c>
      <c r="C128" s="2">
        <f>IFERROR(__xludf.DUMMYFUNCTION("""COMPUTED_VALUE"""),131.8)</f>
        <v>131.8</v>
      </c>
    </row>
    <row r="129" ht="15.75" customHeight="1">
      <c r="B129" s="3">
        <f>IFERROR(__xludf.DUMMYFUNCTION("""COMPUTED_VALUE"""),40669.645833333336)</f>
        <v>40669.64583</v>
      </c>
      <c r="C129" s="2">
        <f>IFERROR(__xludf.DUMMYFUNCTION("""COMPUTED_VALUE"""),131.5)</f>
        <v>131.5</v>
      </c>
    </row>
    <row r="130" ht="15.75" customHeight="1">
      <c r="B130" s="3">
        <f>IFERROR(__xludf.DUMMYFUNCTION("""COMPUTED_VALUE"""),40676.645833333336)</f>
        <v>40676.64583</v>
      </c>
      <c r="C130" s="2">
        <f>IFERROR(__xludf.DUMMYFUNCTION("""COMPUTED_VALUE"""),118.9)</f>
        <v>118.9</v>
      </c>
    </row>
    <row r="131" ht="15.75" customHeight="1">
      <c r="B131" s="3">
        <f>IFERROR(__xludf.DUMMYFUNCTION("""COMPUTED_VALUE"""),40683.645833333336)</f>
        <v>40683.64583</v>
      </c>
      <c r="C131" s="2">
        <f>IFERROR(__xludf.DUMMYFUNCTION("""COMPUTED_VALUE"""),116.45)</f>
        <v>116.45</v>
      </c>
    </row>
    <row r="132" ht="15.75" customHeight="1">
      <c r="B132" s="3">
        <f>IFERROR(__xludf.DUMMYFUNCTION("""COMPUTED_VALUE"""),40690.645833333336)</f>
        <v>40690.64583</v>
      </c>
      <c r="C132" s="2">
        <f>IFERROR(__xludf.DUMMYFUNCTION("""COMPUTED_VALUE"""),118.9)</f>
        <v>118.9</v>
      </c>
    </row>
    <row r="133" ht="15.75" customHeight="1">
      <c r="B133" s="3">
        <f>IFERROR(__xludf.DUMMYFUNCTION("""COMPUTED_VALUE"""),40697.645833333336)</f>
        <v>40697.64583</v>
      </c>
      <c r="C133" s="2">
        <f>IFERROR(__xludf.DUMMYFUNCTION("""COMPUTED_VALUE"""),122.6)</f>
        <v>122.6</v>
      </c>
    </row>
    <row r="134" ht="15.75" customHeight="1">
      <c r="B134" s="3">
        <f>IFERROR(__xludf.DUMMYFUNCTION("""COMPUTED_VALUE"""),40704.645833333336)</f>
        <v>40704.64583</v>
      </c>
      <c r="C134" s="2">
        <f>IFERROR(__xludf.DUMMYFUNCTION("""COMPUTED_VALUE"""),119.8)</f>
        <v>119.8</v>
      </c>
    </row>
    <row r="135" ht="15.75" customHeight="1">
      <c r="B135" s="3">
        <f>IFERROR(__xludf.DUMMYFUNCTION("""COMPUTED_VALUE"""),40711.645833333336)</f>
        <v>40711.64583</v>
      </c>
      <c r="C135" s="2">
        <f>IFERROR(__xludf.DUMMYFUNCTION("""COMPUTED_VALUE"""),118.75)</f>
        <v>118.75</v>
      </c>
    </row>
    <row r="136" ht="15.75" customHeight="1">
      <c r="B136" s="3">
        <f>IFERROR(__xludf.DUMMYFUNCTION("""COMPUTED_VALUE"""),40718.645833333336)</f>
        <v>40718.64583</v>
      </c>
      <c r="C136" s="2">
        <f>IFERROR(__xludf.DUMMYFUNCTION("""COMPUTED_VALUE"""),115.0)</f>
        <v>115</v>
      </c>
    </row>
    <row r="137" ht="15.75" customHeight="1">
      <c r="B137" s="3">
        <f>IFERROR(__xludf.DUMMYFUNCTION("""COMPUTED_VALUE"""),40725.645833333336)</f>
        <v>40725.64583</v>
      </c>
      <c r="C137" s="2">
        <f>IFERROR(__xludf.DUMMYFUNCTION("""COMPUTED_VALUE"""),117.8)</f>
        <v>117.8</v>
      </c>
    </row>
    <row r="138" ht="15.75" customHeight="1">
      <c r="B138" s="3">
        <f>IFERROR(__xludf.DUMMYFUNCTION("""COMPUTED_VALUE"""),40732.645833333336)</f>
        <v>40732.64583</v>
      </c>
      <c r="C138" s="2">
        <f>IFERROR(__xludf.DUMMYFUNCTION("""COMPUTED_VALUE"""),119.9)</f>
        <v>119.9</v>
      </c>
    </row>
    <row r="139" ht="15.75" customHeight="1">
      <c r="B139" s="3">
        <f>IFERROR(__xludf.DUMMYFUNCTION("""COMPUTED_VALUE"""),40739.645833333336)</f>
        <v>40739.64583</v>
      </c>
      <c r="C139" s="2">
        <f>IFERROR(__xludf.DUMMYFUNCTION("""COMPUTED_VALUE"""),119.6)</f>
        <v>119.6</v>
      </c>
    </row>
    <row r="140" ht="15.75" customHeight="1">
      <c r="B140" s="3">
        <f>IFERROR(__xludf.DUMMYFUNCTION("""COMPUTED_VALUE"""),40746.645833333336)</f>
        <v>40746.64583</v>
      </c>
      <c r="C140" s="2">
        <f>IFERROR(__xludf.DUMMYFUNCTION("""COMPUTED_VALUE"""),116.25)</f>
        <v>116.25</v>
      </c>
    </row>
    <row r="141" ht="15.75" customHeight="1">
      <c r="B141" s="3">
        <f>IFERROR(__xludf.DUMMYFUNCTION("""COMPUTED_VALUE"""),40753.645833333336)</f>
        <v>40753.64583</v>
      </c>
      <c r="C141" s="2">
        <f>IFERROR(__xludf.DUMMYFUNCTION("""COMPUTED_VALUE"""),119.9)</f>
        <v>119.9</v>
      </c>
    </row>
    <row r="142" ht="15.75" customHeight="1">
      <c r="B142" s="3">
        <f>IFERROR(__xludf.DUMMYFUNCTION("""COMPUTED_VALUE"""),40760.645833333336)</f>
        <v>40760.64583</v>
      </c>
      <c r="C142" s="2">
        <f>IFERROR(__xludf.DUMMYFUNCTION("""COMPUTED_VALUE"""),113.95)</f>
        <v>113.95</v>
      </c>
    </row>
    <row r="143" ht="15.75" customHeight="1">
      <c r="B143" s="3">
        <f>IFERROR(__xludf.DUMMYFUNCTION("""COMPUTED_VALUE"""),40767.645833333336)</f>
        <v>40767.64583</v>
      </c>
      <c r="C143" s="2">
        <f>IFERROR(__xludf.DUMMYFUNCTION("""COMPUTED_VALUE"""),100.7)</f>
        <v>100.7</v>
      </c>
    </row>
    <row r="144" ht="15.75" customHeight="1">
      <c r="B144" s="3">
        <f>IFERROR(__xludf.DUMMYFUNCTION("""COMPUTED_VALUE"""),40774.645833333336)</f>
        <v>40774.64583</v>
      </c>
      <c r="C144" s="2">
        <f>IFERROR(__xludf.DUMMYFUNCTION("""COMPUTED_VALUE"""),92.9)</f>
        <v>92.9</v>
      </c>
    </row>
    <row r="145" ht="15.75" customHeight="1">
      <c r="B145" s="3">
        <f>IFERROR(__xludf.DUMMYFUNCTION("""COMPUTED_VALUE"""),40781.645833333336)</f>
        <v>40781.64583</v>
      </c>
      <c r="C145" s="2">
        <f>IFERROR(__xludf.DUMMYFUNCTION("""COMPUTED_VALUE"""),86.5)</f>
        <v>86.5</v>
      </c>
    </row>
    <row r="146" ht="15.75" customHeight="1">
      <c r="B146" s="3">
        <f>IFERROR(__xludf.DUMMYFUNCTION("""COMPUTED_VALUE"""),40788.645833333336)</f>
        <v>40788.64583</v>
      </c>
      <c r="C146" s="2">
        <f>IFERROR(__xludf.DUMMYFUNCTION("""COMPUTED_VALUE"""),86.4)</f>
        <v>86.4</v>
      </c>
    </row>
    <row r="147" ht="15.75" customHeight="1">
      <c r="B147" s="3">
        <f>IFERROR(__xludf.DUMMYFUNCTION("""COMPUTED_VALUE"""),40795.645833333336)</f>
        <v>40795.64583</v>
      </c>
      <c r="C147" s="2">
        <f>IFERROR(__xludf.DUMMYFUNCTION("""COMPUTED_VALUE"""),87.25)</f>
        <v>87.25</v>
      </c>
    </row>
    <row r="148" ht="15.75" customHeight="1">
      <c r="B148" s="3">
        <f>IFERROR(__xludf.DUMMYFUNCTION("""COMPUTED_VALUE"""),40802.645833333336)</f>
        <v>40802.64583</v>
      </c>
      <c r="C148" s="2">
        <f>IFERROR(__xludf.DUMMYFUNCTION("""COMPUTED_VALUE"""),81.0)</f>
        <v>81</v>
      </c>
    </row>
    <row r="149" ht="15.75" customHeight="1">
      <c r="B149" s="3">
        <f>IFERROR(__xludf.DUMMYFUNCTION("""COMPUTED_VALUE"""),40809.645833333336)</f>
        <v>40809.64583</v>
      </c>
      <c r="C149" s="2">
        <f>IFERROR(__xludf.DUMMYFUNCTION("""COMPUTED_VALUE"""),84.5)</f>
        <v>84.5</v>
      </c>
    </row>
    <row r="150" ht="15.75" customHeight="1">
      <c r="B150" s="3">
        <f>IFERROR(__xludf.DUMMYFUNCTION("""COMPUTED_VALUE"""),40816.645833333336)</f>
        <v>40816.64583</v>
      </c>
      <c r="C150" s="2">
        <f>IFERROR(__xludf.DUMMYFUNCTION("""COMPUTED_VALUE"""),82.7)</f>
        <v>82.7</v>
      </c>
    </row>
    <row r="151" ht="15.75" customHeight="1">
      <c r="B151" s="3">
        <f>IFERROR(__xludf.DUMMYFUNCTION("""COMPUTED_VALUE"""),40823.645833333336)</f>
        <v>40823.64583</v>
      </c>
      <c r="C151" s="2">
        <f>IFERROR(__xludf.DUMMYFUNCTION("""COMPUTED_VALUE"""),82.25)</f>
        <v>82.25</v>
      </c>
    </row>
    <row r="152" ht="15.75" customHeight="1">
      <c r="B152" s="3">
        <f>IFERROR(__xludf.DUMMYFUNCTION("""COMPUTED_VALUE"""),40830.645833333336)</f>
        <v>40830.64583</v>
      </c>
      <c r="C152" s="2">
        <f>IFERROR(__xludf.DUMMYFUNCTION("""COMPUTED_VALUE"""),87.15)</f>
        <v>87.15</v>
      </c>
    </row>
    <row r="153" ht="15.75" customHeight="1">
      <c r="B153" s="3">
        <f>IFERROR(__xludf.DUMMYFUNCTION("""COMPUTED_VALUE"""),40837.645833333336)</f>
        <v>40837.64583</v>
      </c>
      <c r="C153" s="2">
        <f>IFERROR(__xludf.DUMMYFUNCTION("""COMPUTED_VALUE"""),87.95)</f>
        <v>87.95</v>
      </c>
    </row>
    <row r="154" ht="15.75" customHeight="1">
      <c r="B154" s="3">
        <f>IFERROR(__xludf.DUMMYFUNCTION("""COMPUTED_VALUE"""),40844.645833333336)</f>
        <v>40844.64583</v>
      </c>
      <c r="C154" s="2">
        <f>IFERROR(__xludf.DUMMYFUNCTION("""COMPUTED_VALUE"""),95.45)</f>
        <v>95.45</v>
      </c>
    </row>
    <row r="155" ht="15.75" customHeight="1">
      <c r="B155" s="3">
        <f>IFERROR(__xludf.DUMMYFUNCTION("""COMPUTED_VALUE"""),40851.645833333336)</f>
        <v>40851.64583</v>
      </c>
      <c r="C155" s="2">
        <f>IFERROR(__xludf.DUMMYFUNCTION("""COMPUTED_VALUE"""),100.7)</f>
        <v>100.7</v>
      </c>
    </row>
    <row r="156" ht="15.75" customHeight="1">
      <c r="B156" s="3">
        <f>IFERROR(__xludf.DUMMYFUNCTION("""COMPUTED_VALUE"""),40858.645833333336)</f>
        <v>40858.64583</v>
      </c>
      <c r="C156" s="2">
        <f>IFERROR(__xludf.DUMMYFUNCTION("""COMPUTED_VALUE"""),105.9)</f>
        <v>105.9</v>
      </c>
    </row>
    <row r="157" ht="15.75" customHeight="1">
      <c r="B157" s="3">
        <f>IFERROR(__xludf.DUMMYFUNCTION("""COMPUTED_VALUE"""),40865.645833333336)</f>
        <v>40865.64583</v>
      </c>
      <c r="C157" s="2">
        <f>IFERROR(__xludf.DUMMYFUNCTION("""COMPUTED_VALUE"""),103.1)</f>
        <v>103.1</v>
      </c>
    </row>
    <row r="158" ht="15.75" customHeight="1">
      <c r="B158" s="3">
        <f>IFERROR(__xludf.DUMMYFUNCTION("""COMPUTED_VALUE"""),40872.645833333336)</f>
        <v>40872.64583</v>
      </c>
      <c r="C158" s="2">
        <f>IFERROR(__xludf.DUMMYFUNCTION("""COMPUTED_VALUE"""),93.0)</f>
        <v>93</v>
      </c>
    </row>
    <row r="159" ht="15.75" customHeight="1">
      <c r="B159" s="3">
        <f>IFERROR(__xludf.DUMMYFUNCTION("""COMPUTED_VALUE"""),40879.645833333336)</f>
        <v>40879.64583</v>
      </c>
      <c r="C159" s="2">
        <f>IFERROR(__xludf.DUMMYFUNCTION("""COMPUTED_VALUE"""),90.9)</f>
        <v>90.9</v>
      </c>
    </row>
    <row r="160" ht="15.75" customHeight="1">
      <c r="B160" s="3">
        <f>IFERROR(__xludf.DUMMYFUNCTION("""COMPUTED_VALUE"""),40886.645833333336)</f>
        <v>40886.64583</v>
      </c>
      <c r="C160" s="2">
        <f>IFERROR(__xludf.DUMMYFUNCTION("""COMPUTED_VALUE"""),91.95)</f>
        <v>91.95</v>
      </c>
    </row>
    <row r="161" ht="15.75" customHeight="1">
      <c r="B161" s="3">
        <f>IFERROR(__xludf.DUMMYFUNCTION("""COMPUTED_VALUE"""),40893.645833333336)</f>
        <v>40893.64583</v>
      </c>
      <c r="C161" s="2">
        <f>IFERROR(__xludf.DUMMYFUNCTION("""COMPUTED_VALUE"""),85.55)</f>
        <v>85.55</v>
      </c>
    </row>
    <row r="162" ht="15.75" customHeight="1">
      <c r="B162" s="3">
        <f>IFERROR(__xludf.DUMMYFUNCTION("""COMPUTED_VALUE"""),40900.645833333336)</f>
        <v>40900.64583</v>
      </c>
      <c r="C162" s="2">
        <f>IFERROR(__xludf.DUMMYFUNCTION("""COMPUTED_VALUE"""),74.45)</f>
        <v>74.45</v>
      </c>
    </row>
    <row r="163" ht="15.75" customHeight="1">
      <c r="B163" s="3">
        <f>IFERROR(__xludf.DUMMYFUNCTION("""COMPUTED_VALUE"""),40907.645833333336)</f>
        <v>40907.64583</v>
      </c>
      <c r="C163" s="2">
        <f>IFERROR(__xludf.DUMMYFUNCTION("""COMPUTED_VALUE"""),75.65)</f>
        <v>75.65</v>
      </c>
    </row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IFERROR(__xludf.DUMMYFUNCTION("GOOGLEFINANCE(""NSE:AXISBANK"", ""high"",DATE(2009,1,1),DATE(2010,1,1),""weekly"")"),"Date")</f>
        <v>Date</v>
      </c>
      <c r="C1" s="2" t="str">
        <f>IFERROR(__xludf.DUMMYFUNCTION("""COMPUTED_VALUE"""),"High")</f>
        <v>High</v>
      </c>
    </row>
    <row r="2">
      <c r="A2" s="2" t="s">
        <v>8</v>
      </c>
      <c r="B2" s="3">
        <f>IFERROR(__xludf.DUMMYFUNCTION("""COMPUTED_VALUE"""),39815.645833333336)</f>
        <v>39815.64583</v>
      </c>
      <c r="C2" s="2">
        <f>IFERROR(__xludf.DUMMYFUNCTION("""COMPUTED_VALUE"""),109.5)</f>
        <v>109.5</v>
      </c>
    </row>
    <row r="3">
      <c r="A3" s="2" t="s">
        <v>9</v>
      </c>
      <c r="B3" s="3">
        <f>IFERROR(__xludf.DUMMYFUNCTION("""COMPUTED_VALUE"""),39822.645833333336)</f>
        <v>39822.64583</v>
      </c>
      <c r="C3" s="2">
        <f>IFERROR(__xludf.DUMMYFUNCTION("""COMPUTED_VALUE"""),115.4)</f>
        <v>115.4</v>
      </c>
    </row>
    <row r="4">
      <c r="A4" s="2" t="s">
        <v>10</v>
      </c>
      <c r="B4" s="3">
        <f>IFERROR(__xludf.DUMMYFUNCTION("""COMPUTED_VALUE"""),39829.645833333336)</f>
        <v>39829.64583</v>
      </c>
      <c r="C4" s="2">
        <f>IFERROR(__xludf.DUMMYFUNCTION("""COMPUTED_VALUE"""),98.96)</f>
        <v>98.96</v>
      </c>
    </row>
    <row r="5">
      <c r="A5" s="2" t="s">
        <v>11</v>
      </c>
      <c r="B5" s="3">
        <f>IFERROR(__xludf.DUMMYFUNCTION("""COMPUTED_VALUE"""),39836.645833333336)</f>
        <v>39836.64583</v>
      </c>
      <c r="C5" s="2">
        <f>IFERROR(__xludf.DUMMYFUNCTION("""COMPUTED_VALUE"""),90.0)</f>
        <v>90</v>
      </c>
    </row>
    <row r="6">
      <c r="A6" s="2" t="s">
        <v>12</v>
      </c>
      <c r="B6" s="3">
        <f>IFERROR(__xludf.DUMMYFUNCTION("""COMPUTED_VALUE"""),39843.645833333336)</f>
        <v>39843.64583</v>
      </c>
      <c r="C6" s="2">
        <f>IFERROR(__xludf.DUMMYFUNCTION("""COMPUTED_VALUE"""),89.0)</f>
        <v>89</v>
      </c>
    </row>
    <row r="7">
      <c r="A7" s="2" t="s">
        <v>13</v>
      </c>
      <c r="B7" s="3">
        <f>IFERROR(__xludf.DUMMYFUNCTION("""COMPUTED_VALUE"""),39850.645833333336)</f>
        <v>39850.64583</v>
      </c>
      <c r="C7" s="2">
        <f>IFERROR(__xludf.DUMMYFUNCTION("""COMPUTED_VALUE"""),86.6)</f>
        <v>86.6</v>
      </c>
    </row>
    <row r="8">
      <c r="A8" s="2" t="s">
        <v>14</v>
      </c>
      <c r="B8" s="3">
        <f>IFERROR(__xludf.DUMMYFUNCTION("""COMPUTED_VALUE"""),39857.645833333336)</f>
        <v>39857.64583</v>
      </c>
      <c r="C8" s="2">
        <f>IFERROR(__xludf.DUMMYFUNCTION("""COMPUTED_VALUE"""),88.88)</f>
        <v>88.88</v>
      </c>
    </row>
    <row r="9">
      <c r="A9" s="2" t="s">
        <v>15</v>
      </c>
      <c r="B9" s="3">
        <f>IFERROR(__xludf.DUMMYFUNCTION("""COMPUTED_VALUE"""),39864.645833333336)</f>
        <v>39864.64583</v>
      </c>
      <c r="C9" s="2">
        <f>IFERROR(__xludf.DUMMYFUNCTION("""COMPUTED_VALUE"""),88.0)</f>
        <v>88</v>
      </c>
    </row>
    <row r="10">
      <c r="A10" s="2" t="s">
        <v>16</v>
      </c>
      <c r="B10" s="3">
        <f>IFERROR(__xludf.DUMMYFUNCTION("""COMPUTED_VALUE"""),39871.645833333336)</f>
        <v>39871.64583</v>
      </c>
      <c r="C10" s="2">
        <f>IFERROR(__xludf.DUMMYFUNCTION("""COMPUTED_VALUE"""),75.16)</f>
        <v>75.16</v>
      </c>
    </row>
    <row r="11">
      <c r="A11" s="2" t="s">
        <v>17</v>
      </c>
      <c r="B11" s="3">
        <f>IFERROR(__xludf.DUMMYFUNCTION("""COMPUTED_VALUE"""),39878.645833333336)</f>
        <v>39878.64583</v>
      </c>
      <c r="C11" s="2">
        <f>IFERROR(__xludf.DUMMYFUNCTION("""COMPUTED_VALUE"""),68.88)</f>
        <v>68.88</v>
      </c>
    </row>
    <row r="12">
      <c r="A12" s="2" t="s">
        <v>18</v>
      </c>
      <c r="B12" s="3">
        <f>IFERROR(__xludf.DUMMYFUNCTION("""COMPUTED_VALUE"""),39885.645833333336)</f>
        <v>39885.64583</v>
      </c>
      <c r="C12" s="2">
        <f>IFERROR(__xludf.DUMMYFUNCTION("""COMPUTED_VALUE"""),66.91)</f>
        <v>66.91</v>
      </c>
    </row>
    <row r="13">
      <c r="A13" s="2" t="s">
        <v>19</v>
      </c>
      <c r="B13" s="3">
        <f>IFERROR(__xludf.DUMMYFUNCTION("""COMPUTED_VALUE"""),39892.645833333336)</f>
        <v>39892.64583</v>
      </c>
      <c r="C13" s="2">
        <f>IFERROR(__xludf.DUMMYFUNCTION("""COMPUTED_VALUE"""),72.59)</f>
        <v>72.59</v>
      </c>
    </row>
    <row r="14">
      <c r="B14" s="3">
        <f>IFERROR(__xludf.DUMMYFUNCTION("""COMPUTED_VALUE"""),39899.645833333336)</f>
        <v>39899.64583</v>
      </c>
      <c r="C14" s="2">
        <f>IFERROR(__xludf.DUMMYFUNCTION("""COMPUTED_VALUE"""),86.98)</f>
        <v>86.98</v>
      </c>
    </row>
    <row r="15">
      <c r="B15" s="3">
        <f>IFERROR(__xludf.DUMMYFUNCTION("""COMPUTED_VALUE"""),39905.645833333336)</f>
        <v>39905.64583</v>
      </c>
      <c r="C15" s="2">
        <f>IFERROR(__xludf.DUMMYFUNCTION("""COMPUTED_VALUE"""),89.8)</f>
        <v>89.8</v>
      </c>
    </row>
    <row r="16">
      <c r="B16" s="3">
        <f>IFERROR(__xludf.DUMMYFUNCTION("""COMPUTED_VALUE"""),39912.645833333336)</f>
        <v>39912.64583</v>
      </c>
      <c r="C16" s="2">
        <f>IFERROR(__xludf.DUMMYFUNCTION("""COMPUTED_VALUE"""),93.64)</f>
        <v>93.64</v>
      </c>
    </row>
    <row r="17">
      <c r="B17" s="3">
        <f>IFERROR(__xludf.DUMMYFUNCTION("""COMPUTED_VALUE"""),39920.645833333336)</f>
        <v>39920.64583</v>
      </c>
      <c r="C17" s="2">
        <f>IFERROR(__xludf.DUMMYFUNCTION("""COMPUTED_VALUE"""),103.17)</f>
        <v>103.17</v>
      </c>
    </row>
    <row r="18">
      <c r="B18" s="3">
        <f>IFERROR(__xludf.DUMMYFUNCTION("""COMPUTED_VALUE"""),39927.645833333336)</f>
        <v>39927.64583</v>
      </c>
      <c r="C18" s="2">
        <f>IFERROR(__xludf.DUMMYFUNCTION("""COMPUTED_VALUE"""),107.18)</f>
        <v>107.18</v>
      </c>
    </row>
    <row r="19">
      <c r="B19" s="3">
        <f>IFERROR(__xludf.DUMMYFUNCTION("""COMPUTED_VALUE"""),39932.645833333336)</f>
        <v>39932.64583</v>
      </c>
      <c r="C19" s="2">
        <f>IFERROR(__xludf.DUMMYFUNCTION("""COMPUTED_VALUE"""),114.0)</f>
        <v>114</v>
      </c>
    </row>
    <row r="20">
      <c r="B20" s="3">
        <f>IFERROR(__xludf.DUMMYFUNCTION("""COMPUTED_VALUE"""),39941.645833333336)</f>
        <v>39941.64583</v>
      </c>
      <c r="C20" s="2">
        <f>IFERROR(__xludf.DUMMYFUNCTION("""COMPUTED_VALUE"""),128.59)</f>
        <v>128.59</v>
      </c>
    </row>
    <row r="21" ht="15.75" customHeight="1">
      <c r="B21" s="3">
        <f>IFERROR(__xludf.DUMMYFUNCTION("""COMPUTED_VALUE"""),39948.645833333336)</f>
        <v>39948.64583</v>
      </c>
      <c r="C21" s="2">
        <f>IFERROR(__xludf.DUMMYFUNCTION("""COMPUTED_VALUE"""),138.4)</f>
        <v>138.4</v>
      </c>
    </row>
    <row r="22" ht="15.75" customHeight="1">
      <c r="B22" s="3">
        <f>IFERROR(__xludf.DUMMYFUNCTION("""COMPUTED_VALUE"""),39955.645833333336)</f>
        <v>39955.64583</v>
      </c>
      <c r="C22" s="2">
        <f>IFERROR(__xludf.DUMMYFUNCTION("""COMPUTED_VALUE"""),163.6)</f>
        <v>163.6</v>
      </c>
    </row>
    <row r="23" ht="15.75" customHeight="1">
      <c r="B23" s="3">
        <f>IFERROR(__xludf.DUMMYFUNCTION("""COMPUTED_VALUE"""),39962.645833333336)</f>
        <v>39962.64583</v>
      </c>
      <c r="C23" s="2">
        <f>IFERROR(__xludf.DUMMYFUNCTION("""COMPUTED_VALUE"""),162.4)</f>
        <v>162.4</v>
      </c>
    </row>
    <row r="24" ht="15.75" customHeight="1">
      <c r="B24" s="3">
        <f>IFERROR(__xludf.DUMMYFUNCTION("""COMPUTED_VALUE"""),39969.645833333336)</f>
        <v>39969.64583</v>
      </c>
      <c r="C24" s="2">
        <f>IFERROR(__xludf.DUMMYFUNCTION("""COMPUTED_VALUE"""),162.0)</f>
        <v>162</v>
      </c>
    </row>
    <row r="25" ht="15.75" customHeight="1">
      <c r="B25" s="3">
        <f>IFERROR(__xludf.DUMMYFUNCTION("""COMPUTED_VALUE"""),39976.645833333336)</f>
        <v>39976.64583</v>
      </c>
      <c r="C25" s="2">
        <f>IFERROR(__xludf.DUMMYFUNCTION("""COMPUTED_VALUE"""),153.0)</f>
        <v>153</v>
      </c>
    </row>
    <row r="26" ht="15.75" customHeight="1">
      <c r="B26" s="3">
        <f>IFERROR(__xludf.DUMMYFUNCTION("""COMPUTED_VALUE"""),39983.645833333336)</f>
        <v>39983.64583</v>
      </c>
      <c r="C26" s="2">
        <f>IFERROR(__xludf.DUMMYFUNCTION("""COMPUTED_VALUE"""),154.56)</f>
        <v>154.56</v>
      </c>
    </row>
    <row r="27" ht="15.75" customHeight="1">
      <c r="B27" s="3">
        <f>IFERROR(__xludf.DUMMYFUNCTION("""COMPUTED_VALUE"""),39990.645833333336)</f>
        <v>39990.64583</v>
      </c>
      <c r="C27" s="2">
        <f>IFERROR(__xludf.DUMMYFUNCTION("""COMPUTED_VALUE"""),164.4)</f>
        <v>164.4</v>
      </c>
    </row>
    <row r="28" ht="15.75" customHeight="1">
      <c r="B28" s="3">
        <f>IFERROR(__xludf.DUMMYFUNCTION("""COMPUTED_VALUE"""),39997.645833333336)</f>
        <v>39997.64583</v>
      </c>
      <c r="C28" s="2">
        <f>IFERROR(__xludf.DUMMYFUNCTION("""COMPUTED_VALUE"""),180.0)</f>
        <v>180</v>
      </c>
    </row>
    <row r="29" ht="15.75" customHeight="1">
      <c r="B29" s="3">
        <f>IFERROR(__xludf.DUMMYFUNCTION("""COMPUTED_VALUE"""),40004.645833333336)</f>
        <v>40004.64583</v>
      </c>
      <c r="C29" s="2">
        <f>IFERROR(__xludf.DUMMYFUNCTION("""COMPUTED_VALUE"""),177.0)</f>
        <v>177</v>
      </c>
    </row>
    <row r="30" ht="15.75" customHeight="1">
      <c r="B30" s="3">
        <f>IFERROR(__xludf.DUMMYFUNCTION("""COMPUTED_VALUE"""),40011.645833333336)</f>
        <v>40011.64583</v>
      </c>
      <c r="C30" s="2">
        <f>IFERROR(__xludf.DUMMYFUNCTION("""COMPUTED_VALUE"""),171.5)</f>
        <v>171.5</v>
      </c>
    </row>
    <row r="31" ht="15.75" customHeight="1">
      <c r="B31" s="3">
        <f>IFERROR(__xludf.DUMMYFUNCTION("""COMPUTED_VALUE"""),40018.645833333336)</f>
        <v>40018.64583</v>
      </c>
      <c r="C31" s="2">
        <f>IFERROR(__xludf.DUMMYFUNCTION("""COMPUTED_VALUE"""),183.76)</f>
        <v>183.76</v>
      </c>
    </row>
    <row r="32" ht="15.75" customHeight="1">
      <c r="B32" s="3">
        <f>IFERROR(__xludf.DUMMYFUNCTION("""COMPUTED_VALUE"""),40025.645833333336)</f>
        <v>40025.64583</v>
      </c>
      <c r="C32" s="2">
        <f>IFERROR(__xludf.DUMMYFUNCTION("""COMPUTED_VALUE"""),194.88)</f>
        <v>194.88</v>
      </c>
    </row>
    <row r="33" ht="15.75" customHeight="1">
      <c r="B33" s="3">
        <f>IFERROR(__xludf.DUMMYFUNCTION("""COMPUTED_VALUE"""),40032.645833333336)</f>
        <v>40032.64583</v>
      </c>
      <c r="C33" s="2">
        <f>IFERROR(__xludf.DUMMYFUNCTION("""COMPUTED_VALUE"""),185.82)</f>
        <v>185.82</v>
      </c>
    </row>
    <row r="34" ht="15.75" customHeight="1">
      <c r="B34" s="3">
        <f>IFERROR(__xludf.DUMMYFUNCTION("""COMPUTED_VALUE"""),40039.645833333336)</f>
        <v>40039.64583</v>
      </c>
      <c r="C34" s="2">
        <f>IFERROR(__xludf.DUMMYFUNCTION("""COMPUTED_VALUE"""),177.8)</f>
        <v>177.8</v>
      </c>
    </row>
    <row r="35" ht="15.75" customHeight="1">
      <c r="B35" s="3">
        <f>IFERROR(__xludf.DUMMYFUNCTION("""COMPUTED_VALUE"""),40046.645833333336)</f>
        <v>40046.64583</v>
      </c>
      <c r="C35" s="2">
        <f>IFERROR(__xludf.DUMMYFUNCTION("""COMPUTED_VALUE"""),177.34)</f>
        <v>177.34</v>
      </c>
    </row>
    <row r="36" ht="15.75" customHeight="1">
      <c r="B36" s="3">
        <f>IFERROR(__xludf.DUMMYFUNCTION("""COMPUTED_VALUE"""),40053.645833333336)</f>
        <v>40053.64583</v>
      </c>
      <c r="C36" s="2">
        <f>IFERROR(__xludf.DUMMYFUNCTION("""COMPUTED_VALUE"""),187.78)</f>
        <v>187.78</v>
      </c>
    </row>
    <row r="37" ht="15.75" customHeight="1">
      <c r="B37" s="3">
        <f>IFERROR(__xludf.DUMMYFUNCTION("""COMPUTED_VALUE"""),40060.645833333336)</f>
        <v>40060.64583</v>
      </c>
      <c r="C37" s="2">
        <f>IFERROR(__xludf.DUMMYFUNCTION("""COMPUTED_VALUE"""),184.8)</f>
        <v>184.8</v>
      </c>
    </row>
    <row r="38" ht="15.75" customHeight="1">
      <c r="B38" s="3">
        <f>IFERROR(__xludf.DUMMYFUNCTION("""COMPUTED_VALUE"""),40067.645833333336)</f>
        <v>40067.64583</v>
      </c>
      <c r="C38" s="2">
        <f>IFERROR(__xludf.DUMMYFUNCTION("""COMPUTED_VALUE"""),188.94)</f>
        <v>188.94</v>
      </c>
    </row>
    <row r="39" ht="15.75" customHeight="1">
      <c r="B39" s="3">
        <f>IFERROR(__xludf.DUMMYFUNCTION("""COMPUTED_VALUE"""),40074.645833333336)</f>
        <v>40074.64583</v>
      </c>
      <c r="C39" s="2">
        <f>IFERROR(__xludf.DUMMYFUNCTION("""COMPUTED_VALUE"""),185.48)</f>
        <v>185.48</v>
      </c>
    </row>
    <row r="40" ht="15.75" customHeight="1">
      <c r="B40" s="3">
        <f>IFERROR(__xludf.DUMMYFUNCTION("""COMPUTED_VALUE"""),40081.645833333336)</f>
        <v>40081.64583</v>
      </c>
      <c r="C40" s="2">
        <f>IFERROR(__xludf.DUMMYFUNCTION("""COMPUTED_VALUE"""),186.0)</f>
        <v>186</v>
      </c>
    </row>
    <row r="41" ht="15.75" customHeight="1">
      <c r="B41" s="3">
        <f>IFERROR(__xludf.DUMMYFUNCTION("""COMPUTED_VALUE"""),40087.645833333336)</f>
        <v>40087.64583</v>
      </c>
      <c r="C41" s="2">
        <f>IFERROR(__xludf.DUMMYFUNCTION("""COMPUTED_VALUE"""),203.58)</f>
        <v>203.58</v>
      </c>
    </row>
    <row r="42" ht="15.75" customHeight="1">
      <c r="B42" s="3">
        <f>IFERROR(__xludf.DUMMYFUNCTION("""COMPUTED_VALUE"""),40095.645833333336)</f>
        <v>40095.64583</v>
      </c>
      <c r="C42" s="2">
        <f>IFERROR(__xludf.DUMMYFUNCTION("""COMPUTED_VALUE"""),205.6)</f>
        <v>205.6</v>
      </c>
    </row>
    <row r="43" ht="15.75" customHeight="1">
      <c r="B43" s="3">
        <f>IFERROR(__xludf.DUMMYFUNCTION("""COMPUTED_VALUE"""),40109.645833333336)</f>
        <v>40109.64583</v>
      </c>
      <c r="C43" s="2">
        <f>IFERROR(__xludf.DUMMYFUNCTION("""COMPUTED_VALUE"""),205.33)</f>
        <v>205.33</v>
      </c>
    </row>
    <row r="44" ht="15.75" customHeight="1">
      <c r="B44" s="3">
        <f>IFERROR(__xludf.DUMMYFUNCTION("""COMPUTED_VALUE"""),40116.645833333336)</f>
        <v>40116.64583</v>
      </c>
      <c r="C44" s="2">
        <f>IFERROR(__xludf.DUMMYFUNCTION("""COMPUTED_VALUE"""),199.6)</f>
        <v>199.6</v>
      </c>
    </row>
    <row r="45" ht="15.75" customHeight="1">
      <c r="B45" s="3">
        <f>IFERROR(__xludf.DUMMYFUNCTION("""COMPUTED_VALUE"""),40123.645833333336)</f>
        <v>40123.64583</v>
      </c>
      <c r="C45" s="2">
        <f>IFERROR(__xludf.DUMMYFUNCTION("""COMPUTED_VALUE"""),189.74)</f>
        <v>189.74</v>
      </c>
    </row>
    <row r="46" ht="15.75" customHeight="1">
      <c r="B46" s="3">
        <f>IFERROR(__xludf.DUMMYFUNCTION("""COMPUTED_VALUE"""),40130.645833333336)</f>
        <v>40130.64583</v>
      </c>
      <c r="C46" s="2">
        <f>IFERROR(__xludf.DUMMYFUNCTION("""COMPUTED_VALUE"""),205.6)</f>
        <v>205.6</v>
      </c>
    </row>
    <row r="47" ht="15.75" customHeight="1">
      <c r="B47" s="3">
        <f>IFERROR(__xludf.DUMMYFUNCTION("""COMPUTED_VALUE"""),40137.645833333336)</f>
        <v>40137.64583</v>
      </c>
      <c r="C47" s="2">
        <f>IFERROR(__xludf.DUMMYFUNCTION("""COMPUTED_VALUE"""),205.0)</f>
        <v>205</v>
      </c>
    </row>
    <row r="48" ht="15.75" customHeight="1">
      <c r="B48" s="3">
        <f>IFERROR(__xludf.DUMMYFUNCTION("""COMPUTED_VALUE"""),40144.645833333336)</f>
        <v>40144.64583</v>
      </c>
      <c r="C48" s="2">
        <f>IFERROR(__xludf.DUMMYFUNCTION("""COMPUTED_VALUE"""),207.59)</f>
        <v>207.59</v>
      </c>
    </row>
    <row r="49" ht="15.75" customHeight="1">
      <c r="B49" s="3">
        <f>IFERROR(__xludf.DUMMYFUNCTION("""COMPUTED_VALUE"""),40151.645833333336)</f>
        <v>40151.64583</v>
      </c>
      <c r="C49" s="2">
        <f>IFERROR(__xludf.DUMMYFUNCTION("""COMPUTED_VALUE"""),212.8)</f>
        <v>212.8</v>
      </c>
    </row>
    <row r="50" ht="15.75" customHeight="1">
      <c r="B50" s="3">
        <f>IFERROR(__xludf.DUMMYFUNCTION("""COMPUTED_VALUE"""),40158.645833333336)</f>
        <v>40158.64583</v>
      </c>
      <c r="C50" s="2">
        <f>IFERROR(__xludf.DUMMYFUNCTION("""COMPUTED_VALUE"""),209.48)</f>
        <v>209.48</v>
      </c>
    </row>
    <row r="51" ht="15.75" customHeight="1">
      <c r="B51" s="3">
        <f>IFERROR(__xludf.DUMMYFUNCTION("""COMPUTED_VALUE"""),40165.645833333336)</f>
        <v>40165.64583</v>
      </c>
      <c r="C51" s="2">
        <f>IFERROR(__xludf.DUMMYFUNCTION("""COMPUTED_VALUE"""),202.6)</f>
        <v>202.6</v>
      </c>
    </row>
    <row r="52" ht="15.75" customHeight="1">
      <c r="B52" s="3">
        <f>IFERROR(__xludf.DUMMYFUNCTION("""COMPUTED_VALUE"""),40171.645833333336)</f>
        <v>40171.64583</v>
      </c>
      <c r="C52" s="2">
        <f>IFERROR(__xludf.DUMMYFUNCTION("""COMPUTED_VALUE"""),198.37)</f>
        <v>198.37</v>
      </c>
    </row>
    <row r="53" ht="15.75" customHeight="1">
      <c r="B53" s="3">
        <f>IFERROR(__xludf.DUMMYFUNCTION("""COMPUTED_VALUE"""),40178.645833333336)</f>
        <v>40178.64583</v>
      </c>
      <c r="C53" s="2">
        <f>IFERROR(__xludf.DUMMYFUNCTION("""COMPUTED_VALUE"""),199.57)</f>
        <v>199.57</v>
      </c>
    </row>
    <row r="54" ht="15.75" customHeight="1"/>
    <row r="55" ht="15.75" customHeight="1"/>
    <row r="56" ht="15.75" customHeight="1">
      <c r="B56" s="2" t="str">
        <f>IFERROR(__xludf.DUMMYFUNCTION("GOOGLEFINANCE(""NSE:AXISBANK"", ""high"",DATE(2010,1,1),DATE(2011,1,1),""weekly"")"),"Date")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IFERROR(__xludf.DUMMYFUNCTION("""COMPUTED_VALUE"""),40186.645833333336)</f>
        <v>40186.64583</v>
      </c>
      <c r="C57" s="2">
        <f>IFERROR(__xludf.DUMMYFUNCTION("""COMPUTED_VALUE"""),205.74)</f>
        <v>205.74</v>
      </c>
    </row>
    <row r="58" ht="15.75" customHeight="1">
      <c r="B58" s="3">
        <f>IFERROR(__xludf.DUMMYFUNCTION("""COMPUTED_VALUE"""),40193.645833333336)</f>
        <v>40193.64583</v>
      </c>
      <c r="C58" s="2">
        <f>IFERROR(__xludf.DUMMYFUNCTION("""COMPUTED_VALUE"""),218.68)</f>
        <v>218.68</v>
      </c>
    </row>
    <row r="59" ht="15.75" customHeight="1">
      <c r="B59" s="3">
        <f>IFERROR(__xludf.DUMMYFUNCTION("""COMPUTED_VALUE"""),40200.645833333336)</f>
        <v>40200.64583</v>
      </c>
      <c r="C59" s="2">
        <f>IFERROR(__xludf.DUMMYFUNCTION("""COMPUTED_VALUE"""),235.54)</f>
        <v>235.54</v>
      </c>
    </row>
    <row r="60" ht="15.75" customHeight="1">
      <c r="B60" s="3">
        <f>IFERROR(__xludf.DUMMYFUNCTION("""COMPUTED_VALUE"""),40207.645833333336)</f>
        <v>40207.64583</v>
      </c>
      <c r="C60" s="2">
        <f>IFERROR(__xludf.DUMMYFUNCTION("""COMPUTED_VALUE"""),209.0)</f>
        <v>209</v>
      </c>
    </row>
    <row r="61" ht="15.75" customHeight="1">
      <c r="B61" s="3">
        <f>IFERROR(__xludf.DUMMYFUNCTION("""COMPUTED_VALUE"""),40220.645833333336)</f>
        <v>40220.64583</v>
      </c>
      <c r="C61" s="2">
        <f>IFERROR(__xludf.DUMMYFUNCTION("""COMPUTED_VALUE"""),211.4)</f>
        <v>211.4</v>
      </c>
    </row>
    <row r="62" ht="15.75" customHeight="1">
      <c r="B62" s="3">
        <f>IFERROR(__xludf.DUMMYFUNCTION("""COMPUTED_VALUE"""),40228.645833333336)</f>
        <v>40228.64583</v>
      </c>
      <c r="C62" s="2">
        <f>IFERROR(__xludf.DUMMYFUNCTION("""COMPUTED_VALUE"""),223.26)</f>
        <v>223.26</v>
      </c>
    </row>
    <row r="63" ht="15.75" customHeight="1">
      <c r="B63" s="3">
        <f>IFERROR(__xludf.DUMMYFUNCTION("""COMPUTED_VALUE"""),40235.645833333336)</f>
        <v>40235.64583</v>
      </c>
      <c r="C63" s="2">
        <f>IFERROR(__xludf.DUMMYFUNCTION("""COMPUTED_VALUE"""),227.4)</f>
        <v>227.4</v>
      </c>
    </row>
    <row r="64" ht="15.75" customHeight="1">
      <c r="B64" s="3">
        <f>IFERROR(__xludf.DUMMYFUNCTION("""COMPUTED_VALUE"""),40242.645833333336)</f>
        <v>40242.64583</v>
      </c>
      <c r="C64" s="2">
        <f>IFERROR(__xludf.DUMMYFUNCTION("""COMPUTED_VALUE"""),235.0)</f>
        <v>235</v>
      </c>
    </row>
    <row r="65" ht="15.75" customHeight="1">
      <c r="B65" s="3">
        <f>IFERROR(__xludf.DUMMYFUNCTION("""COMPUTED_VALUE"""),40249.645833333336)</f>
        <v>40249.64583</v>
      </c>
      <c r="C65" s="2">
        <f>IFERROR(__xludf.DUMMYFUNCTION("""COMPUTED_VALUE"""),232.32)</f>
        <v>232.32</v>
      </c>
    </row>
    <row r="66" ht="15.75" customHeight="1">
      <c r="B66" s="3">
        <f>IFERROR(__xludf.DUMMYFUNCTION("""COMPUTED_VALUE"""),40256.645833333336)</f>
        <v>40256.64583</v>
      </c>
      <c r="C66" s="2">
        <f>IFERROR(__xludf.DUMMYFUNCTION("""COMPUTED_VALUE"""),234.4)</f>
        <v>234.4</v>
      </c>
    </row>
    <row r="67" ht="15.75" customHeight="1">
      <c r="B67" s="3">
        <f>IFERROR(__xludf.DUMMYFUNCTION("""COMPUTED_VALUE"""),40263.645833333336)</f>
        <v>40263.64583</v>
      </c>
      <c r="C67" s="2">
        <f>IFERROR(__xludf.DUMMYFUNCTION("""COMPUTED_VALUE"""),239.59)</f>
        <v>239.59</v>
      </c>
    </row>
    <row r="68" ht="15.75" customHeight="1">
      <c r="B68" s="3">
        <f>IFERROR(__xludf.DUMMYFUNCTION("""COMPUTED_VALUE"""),40269.645833333336)</f>
        <v>40269.64583</v>
      </c>
      <c r="C68" s="2">
        <f>IFERROR(__xludf.DUMMYFUNCTION("""COMPUTED_VALUE"""),243.0)</f>
        <v>243</v>
      </c>
    </row>
    <row r="69" ht="15.75" customHeight="1">
      <c r="B69" s="3">
        <f>IFERROR(__xludf.DUMMYFUNCTION("""COMPUTED_VALUE"""),40277.645833333336)</f>
        <v>40277.64583</v>
      </c>
      <c r="C69" s="2">
        <f>IFERROR(__xludf.DUMMYFUNCTION("""COMPUTED_VALUE"""),239.97)</f>
        <v>239.97</v>
      </c>
    </row>
    <row r="70" ht="15.75" customHeight="1">
      <c r="B70" s="3">
        <f>IFERROR(__xludf.DUMMYFUNCTION("""COMPUTED_VALUE"""),40284.645833333336)</f>
        <v>40284.64583</v>
      </c>
      <c r="C70" s="2">
        <f>IFERROR(__xludf.DUMMYFUNCTION("""COMPUTED_VALUE"""),237.68)</f>
        <v>237.68</v>
      </c>
    </row>
    <row r="71" ht="15.75" customHeight="1">
      <c r="B71" s="3">
        <f>IFERROR(__xludf.DUMMYFUNCTION("""COMPUTED_VALUE"""),40291.645833333336)</f>
        <v>40291.64583</v>
      </c>
      <c r="C71" s="2">
        <f>IFERROR(__xludf.DUMMYFUNCTION("""COMPUTED_VALUE"""),250.4)</f>
        <v>250.4</v>
      </c>
    </row>
    <row r="72" ht="15.75" customHeight="1">
      <c r="B72" s="3">
        <f>IFERROR(__xludf.DUMMYFUNCTION("""COMPUTED_VALUE"""),40298.645833333336)</f>
        <v>40298.64583</v>
      </c>
      <c r="C72" s="2">
        <f>IFERROR(__xludf.DUMMYFUNCTION("""COMPUTED_VALUE"""),257.4)</f>
        <v>257.4</v>
      </c>
    </row>
    <row r="73" ht="15.75" customHeight="1">
      <c r="B73" s="3">
        <f>IFERROR(__xludf.DUMMYFUNCTION("""COMPUTED_VALUE"""),40305.645833333336)</f>
        <v>40305.64583</v>
      </c>
      <c r="C73" s="2">
        <f>IFERROR(__xludf.DUMMYFUNCTION("""COMPUTED_VALUE"""),258.18)</f>
        <v>258.18</v>
      </c>
    </row>
    <row r="74" ht="15.75" customHeight="1">
      <c r="B74" s="3">
        <f>IFERROR(__xludf.DUMMYFUNCTION("""COMPUTED_VALUE"""),40312.645833333336)</f>
        <v>40312.64583</v>
      </c>
      <c r="C74" s="2">
        <f>IFERROR(__xludf.DUMMYFUNCTION("""COMPUTED_VALUE"""),264.0)</f>
        <v>264</v>
      </c>
    </row>
    <row r="75" ht="15.75" customHeight="1">
      <c r="B75" s="3">
        <f>IFERROR(__xludf.DUMMYFUNCTION("""COMPUTED_VALUE"""),40319.645833333336)</f>
        <v>40319.64583</v>
      </c>
      <c r="C75" s="2">
        <f>IFERROR(__xludf.DUMMYFUNCTION("""COMPUTED_VALUE"""),255.42)</f>
        <v>255.42</v>
      </c>
    </row>
    <row r="76" ht="15.75" customHeight="1">
      <c r="B76" s="3">
        <f>IFERROR(__xludf.DUMMYFUNCTION("""COMPUTED_VALUE"""),40326.645833333336)</f>
        <v>40326.64583</v>
      </c>
      <c r="C76" s="2">
        <f>IFERROR(__xludf.DUMMYFUNCTION("""COMPUTED_VALUE"""),248.0)</f>
        <v>248</v>
      </c>
    </row>
    <row r="77" ht="15.75" customHeight="1">
      <c r="B77" s="3">
        <f>IFERROR(__xludf.DUMMYFUNCTION("""COMPUTED_VALUE"""),40333.645833333336)</f>
        <v>40333.64583</v>
      </c>
      <c r="C77" s="2">
        <f>IFERROR(__xludf.DUMMYFUNCTION("""COMPUTED_VALUE"""),251.6)</f>
        <v>251.6</v>
      </c>
    </row>
    <row r="78" ht="15.75" customHeight="1">
      <c r="B78" s="3">
        <f>IFERROR(__xludf.DUMMYFUNCTION("""COMPUTED_VALUE"""),40340.645833333336)</f>
        <v>40340.64583</v>
      </c>
      <c r="C78" s="2">
        <f>IFERROR(__xludf.DUMMYFUNCTION("""COMPUTED_VALUE"""),252.03)</f>
        <v>252.03</v>
      </c>
    </row>
    <row r="79" ht="15.75" customHeight="1">
      <c r="B79" s="3">
        <f>IFERROR(__xludf.DUMMYFUNCTION("""COMPUTED_VALUE"""),40347.645833333336)</f>
        <v>40347.64583</v>
      </c>
      <c r="C79" s="2">
        <f>IFERROR(__xludf.DUMMYFUNCTION("""COMPUTED_VALUE"""),252.4)</f>
        <v>252.4</v>
      </c>
    </row>
    <row r="80" ht="15.75" customHeight="1">
      <c r="B80" s="3">
        <f>IFERROR(__xludf.DUMMYFUNCTION("""COMPUTED_VALUE"""),40354.645833333336)</f>
        <v>40354.64583</v>
      </c>
      <c r="C80" s="2">
        <f>IFERROR(__xludf.DUMMYFUNCTION("""COMPUTED_VALUE"""),255.53)</f>
        <v>255.53</v>
      </c>
    </row>
    <row r="81" ht="15.75" customHeight="1">
      <c r="B81" s="3">
        <f>IFERROR(__xludf.DUMMYFUNCTION("""COMPUTED_VALUE"""),40361.645833333336)</f>
        <v>40361.64583</v>
      </c>
      <c r="C81" s="2">
        <f>IFERROR(__xludf.DUMMYFUNCTION("""COMPUTED_VALUE"""),253.26)</f>
        <v>253.26</v>
      </c>
    </row>
    <row r="82" ht="15.75" customHeight="1">
      <c r="B82" s="3">
        <f>IFERROR(__xludf.DUMMYFUNCTION("""COMPUTED_VALUE"""),40368.645833333336)</f>
        <v>40368.64583</v>
      </c>
      <c r="C82" s="2">
        <f>IFERROR(__xludf.DUMMYFUNCTION("""COMPUTED_VALUE"""),255.57)</f>
        <v>255.57</v>
      </c>
    </row>
    <row r="83" ht="15.75" customHeight="1">
      <c r="B83" s="3">
        <f>IFERROR(__xludf.DUMMYFUNCTION("""COMPUTED_VALUE"""),40375.645833333336)</f>
        <v>40375.64583</v>
      </c>
      <c r="C83" s="2">
        <f>IFERROR(__xludf.DUMMYFUNCTION("""COMPUTED_VALUE"""),273.78)</f>
        <v>273.78</v>
      </c>
    </row>
    <row r="84" ht="15.75" customHeight="1">
      <c r="B84" s="3">
        <f>IFERROR(__xludf.DUMMYFUNCTION("""COMPUTED_VALUE"""),40382.645833333336)</f>
        <v>40382.64583</v>
      </c>
      <c r="C84" s="2">
        <f>IFERROR(__xludf.DUMMYFUNCTION("""COMPUTED_VALUE"""),279.0)</f>
        <v>279</v>
      </c>
    </row>
    <row r="85" ht="15.75" customHeight="1">
      <c r="B85" s="3">
        <f>IFERROR(__xludf.DUMMYFUNCTION("""COMPUTED_VALUE"""),40389.645833333336)</f>
        <v>40389.64583</v>
      </c>
      <c r="C85" s="2">
        <f>IFERROR(__xludf.DUMMYFUNCTION("""COMPUTED_VALUE"""),279.35)</f>
        <v>279.35</v>
      </c>
    </row>
    <row r="86" ht="15.75" customHeight="1">
      <c r="B86" s="3">
        <f>IFERROR(__xludf.DUMMYFUNCTION("""COMPUTED_VALUE"""),40396.645833333336)</f>
        <v>40396.64583</v>
      </c>
      <c r="C86" s="2">
        <f>IFERROR(__xludf.DUMMYFUNCTION("""COMPUTED_VALUE"""),274.32)</f>
        <v>274.32</v>
      </c>
    </row>
    <row r="87" ht="15.75" customHeight="1">
      <c r="B87" s="3">
        <f>IFERROR(__xludf.DUMMYFUNCTION("""COMPUTED_VALUE"""),40403.645833333336)</f>
        <v>40403.64583</v>
      </c>
      <c r="C87" s="2">
        <f>IFERROR(__xludf.DUMMYFUNCTION("""COMPUTED_VALUE"""),267.2)</f>
        <v>267.2</v>
      </c>
    </row>
    <row r="88" ht="15.75" customHeight="1">
      <c r="B88" s="3">
        <f>IFERROR(__xludf.DUMMYFUNCTION("""COMPUTED_VALUE"""),40410.645833333336)</f>
        <v>40410.64583</v>
      </c>
      <c r="C88" s="2">
        <f>IFERROR(__xludf.DUMMYFUNCTION("""COMPUTED_VALUE"""),275.0)</f>
        <v>275</v>
      </c>
    </row>
    <row r="89" ht="15.75" customHeight="1">
      <c r="B89" s="3">
        <f>IFERROR(__xludf.DUMMYFUNCTION("""COMPUTED_VALUE"""),40417.645833333336)</f>
        <v>40417.64583</v>
      </c>
      <c r="C89" s="2">
        <f>IFERROR(__xludf.DUMMYFUNCTION("""COMPUTED_VALUE"""),277.14)</f>
        <v>277.14</v>
      </c>
    </row>
    <row r="90" ht="15.75" customHeight="1">
      <c r="B90" s="3">
        <f>IFERROR(__xludf.DUMMYFUNCTION("""COMPUTED_VALUE"""),40424.645833333336)</f>
        <v>40424.64583</v>
      </c>
      <c r="C90" s="2">
        <f>IFERROR(__xludf.DUMMYFUNCTION("""COMPUTED_VALUE"""),280.0)</f>
        <v>280</v>
      </c>
    </row>
    <row r="91" ht="15.75" customHeight="1">
      <c r="B91" s="3">
        <f>IFERROR(__xludf.DUMMYFUNCTION("""COMPUTED_VALUE"""),40430.645833333336)</f>
        <v>40430.64583</v>
      </c>
      <c r="C91" s="2">
        <f>IFERROR(__xludf.DUMMYFUNCTION("""COMPUTED_VALUE"""),281.28)</f>
        <v>281.28</v>
      </c>
    </row>
    <row r="92" ht="15.75" customHeight="1">
      <c r="B92" s="3">
        <f>IFERROR(__xludf.DUMMYFUNCTION("""COMPUTED_VALUE"""),40438.645833333336)</f>
        <v>40438.64583</v>
      </c>
      <c r="C92" s="2">
        <f>IFERROR(__xludf.DUMMYFUNCTION("""COMPUTED_VALUE"""),304.6)</f>
        <v>304.6</v>
      </c>
    </row>
    <row r="93" ht="15.75" customHeight="1">
      <c r="B93" s="3">
        <f>IFERROR(__xludf.DUMMYFUNCTION("""COMPUTED_VALUE"""),40445.645833333336)</f>
        <v>40445.64583</v>
      </c>
      <c r="C93" s="2">
        <f>IFERROR(__xludf.DUMMYFUNCTION("""COMPUTED_VALUE"""),316.51)</f>
        <v>316.51</v>
      </c>
    </row>
    <row r="94" ht="15.75" customHeight="1">
      <c r="B94" s="3">
        <f>IFERROR(__xludf.DUMMYFUNCTION("""COMPUTED_VALUE"""),40452.645833333336)</f>
        <v>40452.64583</v>
      </c>
      <c r="C94" s="2">
        <f>IFERROR(__xludf.DUMMYFUNCTION("""COMPUTED_VALUE"""),316.8)</f>
        <v>316.8</v>
      </c>
    </row>
    <row r="95" ht="15.75" customHeight="1">
      <c r="B95" s="3">
        <f>IFERROR(__xludf.DUMMYFUNCTION("""COMPUTED_VALUE"""),40459.645833333336)</f>
        <v>40459.64583</v>
      </c>
      <c r="C95" s="2">
        <f>IFERROR(__xludf.DUMMYFUNCTION("""COMPUTED_VALUE"""),319.74)</f>
        <v>319.74</v>
      </c>
    </row>
    <row r="96" ht="15.75" customHeight="1">
      <c r="B96" s="3">
        <f>IFERROR(__xludf.DUMMYFUNCTION("""COMPUTED_VALUE"""),40466.645833333336)</f>
        <v>40466.64583</v>
      </c>
      <c r="C96" s="2">
        <f>IFERROR(__xludf.DUMMYFUNCTION("""COMPUTED_VALUE"""),321.7)</f>
        <v>321.7</v>
      </c>
    </row>
    <row r="97" ht="15.75" customHeight="1">
      <c r="B97" s="3">
        <f>IFERROR(__xludf.DUMMYFUNCTION("""COMPUTED_VALUE"""),40473.645833333336)</f>
        <v>40473.64583</v>
      </c>
      <c r="C97" s="2">
        <f>IFERROR(__xludf.DUMMYFUNCTION("""COMPUTED_VALUE"""),302.77)</f>
        <v>302.77</v>
      </c>
    </row>
    <row r="98" ht="15.75" customHeight="1">
      <c r="B98" s="3">
        <f>IFERROR(__xludf.DUMMYFUNCTION("""COMPUTED_VALUE"""),40480.645833333336)</f>
        <v>40480.64583</v>
      </c>
      <c r="C98" s="2">
        <f>IFERROR(__xludf.DUMMYFUNCTION("""COMPUTED_VALUE"""),298.0)</f>
        <v>298</v>
      </c>
    </row>
    <row r="99" ht="15.75" customHeight="1">
      <c r="B99" s="3">
        <f>IFERROR(__xludf.DUMMYFUNCTION("""COMPUTED_VALUE"""),40487.645833333336)</f>
        <v>40487.64583</v>
      </c>
      <c r="C99" s="2">
        <f>IFERROR(__xludf.DUMMYFUNCTION("""COMPUTED_VALUE"""),311.77)</f>
        <v>311.77</v>
      </c>
    </row>
    <row r="100" ht="15.75" customHeight="1">
      <c r="B100" s="3">
        <f>IFERROR(__xludf.DUMMYFUNCTION("""COMPUTED_VALUE"""),40494.645833333336)</f>
        <v>40494.64583</v>
      </c>
      <c r="C100" s="2">
        <f>IFERROR(__xludf.DUMMYFUNCTION("""COMPUTED_VALUE"""),316.8)</f>
        <v>316.8</v>
      </c>
    </row>
    <row r="101" ht="15.75" customHeight="1">
      <c r="B101" s="3">
        <f>IFERROR(__xludf.DUMMYFUNCTION("""COMPUTED_VALUE"""),40501.645833333336)</f>
        <v>40501.64583</v>
      </c>
      <c r="C101" s="2">
        <f>IFERROR(__xludf.DUMMYFUNCTION("""COMPUTED_VALUE"""),307.0)</f>
        <v>307</v>
      </c>
    </row>
    <row r="102" ht="15.75" customHeight="1">
      <c r="B102" s="3">
        <f>IFERROR(__xludf.DUMMYFUNCTION("""COMPUTED_VALUE"""),40508.645833333336)</f>
        <v>40508.64583</v>
      </c>
      <c r="C102" s="2">
        <f>IFERROR(__xludf.DUMMYFUNCTION("""COMPUTED_VALUE"""),290.76)</f>
        <v>290.76</v>
      </c>
    </row>
    <row r="103" ht="15.75" customHeight="1">
      <c r="B103" s="3">
        <f>IFERROR(__xludf.DUMMYFUNCTION("""COMPUTED_VALUE"""),40515.645833333336)</f>
        <v>40515.64583</v>
      </c>
      <c r="C103" s="2">
        <f>IFERROR(__xludf.DUMMYFUNCTION("""COMPUTED_VALUE"""),292.2)</f>
        <v>292.2</v>
      </c>
    </row>
    <row r="104" ht="15.75" customHeight="1">
      <c r="B104" s="3">
        <f>IFERROR(__xludf.DUMMYFUNCTION("""COMPUTED_VALUE"""),40522.645833333336)</f>
        <v>40522.64583</v>
      </c>
      <c r="C104" s="2">
        <f>IFERROR(__xludf.DUMMYFUNCTION("""COMPUTED_VALUE"""),284.94)</f>
        <v>284.94</v>
      </c>
    </row>
    <row r="105" ht="15.75" customHeight="1">
      <c r="B105" s="3">
        <f>IFERROR(__xludf.DUMMYFUNCTION("""COMPUTED_VALUE"""),40528.645833333336)</f>
        <v>40528.64583</v>
      </c>
      <c r="C105" s="2">
        <f>IFERROR(__xludf.DUMMYFUNCTION("""COMPUTED_VALUE"""),271.0)</f>
        <v>271</v>
      </c>
    </row>
    <row r="106" ht="15.75" customHeight="1">
      <c r="B106" s="3">
        <f>IFERROR(__xludf.DUMMYFUNCTION("""COMPUTED_VALUE"""),40536.645833333336)</f>
        <v>40536.64583</v>
      </c>
      <c r="C106" s="2">
        <f>IFERROR(__xludf.DUMMYFUNCTION("""COMPUTED_VALUE"""),265.9)</f>
        <v>265.9</v>
      </c>
    </row>
    <row r="107" ht="15.75" customHeight="1">
      <c r="B107" s="3">
        <f>IFERROR(__xludf.DUMMYFUNCTION("""COMPUTED_VALUE"""),40543.645833333336)</f>
        <v>40543.64583</v>
      </c>
      <c r="C107" s="2">
        <f>IFERROR(__xludf.DUMMYFUNCTION("""COMPUTED_VALUE"""),271.6)</f>
        <v>271.6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IFERROR(__xludf.DUMMYFUNCTION("GOOGLEFINANCE(""NSE:AXISBANK"", ""high"",DATE(2011,1,1),DATE(2012,1,1),""weekly"")"),"Date")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IFERROR(__xludf.DUMMYFUNCTION("""COMPUTED_VALUE"""),40550.645833333336)</f>
        <v>40550.64583</v>
      </c>
      <c r="C112" s="2">
        <f>IFERROR(__xludf.DUMMYFUNCTION("""COMPUTED_VALUE"""),275.32)</f>
        <v>275.32</v>
      </c>
    </row>
    <row r="113" ht="15.75" customHeight="1">
      <c r="B113" s="3">
        <f>IFERROR(__xludf.DUMMYFUNCTION("""COMPUTED_VALUE"""),40557.645833333336)</f>
        <v>40557.64583</v>
      </c>
      <c r="C113" s="2">
        <f>IFERROR(__xludf.DUMMYFUNCTION("""COMPUTED_VALUE"""),265.52)</f>
        <v>265.52</v>
      </c>
    </row>
    <row r="114" ht="15.75" customHeight="1">
      <c r="B114" s="3">
        <f>IFERROR(__xludf.DUMMYFUNCTION("""COMPUTED_VALUE"""),40564.645833333336)</f>
        <v>40564.64583</v>
      </c>
      <c r="C114" s="2">
        <f>IFERROR(__xludf.DUMMYFUNCTION("""COMPUTED_VALUE"""),266.69)</f>
        <v>266.69</v>
      </c>
    </row>
    <row r="115" ht="15.75" customHeight="1">
      <c r="B115" s="3">
        <f>IFERROR(__xludf.DUMMYFUNCTION("""COMPUTED_VALUE"""),40571.645833333336)</f>
        <v>40571.64583</v>
      </c>
      <c r="C115" s="2">
        <f>IFERROR(__xludf.DUMMYFUNCTION("""COMPUTED_VALUE"""),268.95)</f>
        <v>268.95</v>
      </c>
    </row>
    <row r="116" ht="15.75" customHeight="1">
      <c r="B116" s="3">
        <f>IFERROR(__xludf.DUMMYFUNCTION("""COMPUTED_VALUE"""),40578.645833333336)</f>
        <v>40578.64583</v>
      </c>
      <c r="C116" s="2">
        <f>IFERROR(__xludf.DUMMYFUNCTION("""COMPUTED_VALUE"""),253.66)</f>
        <v>253.66</v>
      </c>
    </row>
    <row r="117" ht="15.75" customHeight="1">
      <c r="B117" s="3">
        <f>IFERROR(__xludf.DUMMYFUNCTION("""COMPUTED_VALUE"""),40585.645833333336)</f>
        <v>40585.64583</v>
      </c>
      <c r="C117" s="2">
        <f>IFERROR(__xludf.DUMMYFUNCTION("""COMPUTED_VALUE"""),248.48)</f>
        <v>248.48</v>
      </c>
    </row>
    <row r="118" ht="15.75" customHeight="1">
      <c r="B118" s="3">
        <f>IFERROR(__xludf.DUMMYFUNCTION("""COMPUTED_VALUE"""),40592.645833333336)</f>
        <v>40592.64583</v>
      </c>
      <c r="C118" s="2">
        <f>IFERROR(__xludf.DUMMYFUNCTION("""COMPUTED_VALUE"""),269.77)</f>
        <v>269.77</v>
      </c>
    </row>
    <row r="119" ht="15.75" customHeight="1">
      <c r="B119" s="3">
        <f>IFERROR(__xludf.DUMMYFUNCTION("""COMPUTED_VALUE"""),40599.645833333336)</f>
        <v>40599.64583</v>
      </c>
      <c r="C119" s="2">
        <f>IFERROR(__xludf.DUMMYFUNCTION("""COMPUTED_VALUE"""),262.6)</f>
        <v>262.6</v>
      </c>
    </row>
    <row r="120" ht="15.75" customHeight="1">
      <c r="B120" s="3">
        <f>IFERROR(__xludf.DUMMYFUNCTION("""COMPUTED_VALUE"""),40606.645833333336)</f>
        <v>40606.64583</v>
      </c>
      <c r="C120" s="2">
        <f>IFERROR(__xludf.DUMMYFUNCTION("""COMPUTED_VALUE"""),268.2)</f>
        <v>268.2</v>
      </c>
    </row>
    <row r="121" ht="15.75" customHeight="1">
      <c r="B121" s="3">
        <f>IFERROR(__xludf.DUMMYFUNCTION("""COMPUTED_VALUE"""),40613.645833333336)</f>
        <v>40613.64583</v>
      </c>
      <c r="C121" s="2">
        <f>IFERROR(__xludf.DUMMYFUNCTION("""COMPUTED_VALUE"""),265.91)</f>
        <v>265.91</v>
      </c>
    </row>
    <row r="122" ht="15.75" customHeight="1">
      <c r="B122" s="3">
        <f>IFERROR(__xludf.DUMMYFUNCTION("""COMPUTED_VALUE"""),40620.645833333336)</f>
        <v>40620.64583</v>
      </c>
      <c r="C122" s="2">
        <f>IFERROR(__xludf.DUMMYFUNCTION("""COMPUTED_VALUE"""),265.67)</f>
        <v>265.67</v>
      </c>
    </row>
    <row r="123" ht="15.75" customHeight="1">
      <c r="B123" s="3">
        <f>IFERROR(__xludf.DUMMYFUNCTION("""COMPUTED_VALUE"""),40627.645833333336)</f>
        <v>40627.64583</v>
      </c>
      <c r="C123" s="2">
        <f>IFERROR(__xludf.DUMMYFUNCTION("""COMPUTED_VALUE"""),273.98)</f>
        <v>273.98</v>
      </c>
    </row>
    <row r="124" ht="15.75" customHeight="1">
      <c r="B124" s="3">
        <f>IFERROR(__xludf.DUMMYFUNCTION("""COMPUTED_VALUE"""),40634.645833333336)</f>
        <v>40634.64583</v>
      </c>
      <c r="C124" s="2">
        <f>IFERROR(__xludf.DUMMYFUNCTION("""COMPUTED_VALUE"""),288.71)</f>
        <v>288.71</v>
      </c>
    </row>
    <row r="125" ht="15.75" customHeight="1">
      <c r="B125" s="3">
        <f>IFERROR(__xludf.DUMMYFUNCTION("""COMPUTED_VALUE"""),40641.645833333336)</f>
        <v>40641.64583</v>
      </c>
      <c r="C125" s="2">
        <f>IFERROR(__xludf.DUMMYFUNCTION("""COMPUTED_VALUE"""),292.09)</f>
        <v>292.09</v>
      </c>
    </row>
    <row r="126" ht="15.75" customHeight="1">
      <c r="B126" s="3">
        <f>IFERROR(__xludf.DUMMYFUNCTION("""COMPUTED_VALUE"""),40648.645833333336)</f>
        <v>40648.64583</v>
      </c>
      <c r="C126" s="2">
        <f>IFERROR(__xludf.DUMMYFUNCTION("""COMPUTED_VALUE"""),291.58)</f>
        <v>291.58</v>
      </c>
    </row>
    <row r="127" ht="15.75" customHeight="1">
      <c r="B127" s="3">
        <f>IFERROR(__xludf.DUMMYFUNCTION("""COMPUTED_VALUE"""),40654.645833333336)</f>
        <v>40654.64583</v>
      </c>
      <c r="C127" s="2">
        <f>IFERROR(__xludf.DUMMYFUNCTION("""COMPUTED_VALUE"""),291.56)</f>
        <v>291.56</v>
      </c>
    </row>
    <row r="128" ht="15.75" customHeight="1">
      <c r="B128" s="3">
        <f>IFERROR(__xludf.DUMMYFUNCTION("""COMPUTED_VALUE"""),40662.645833333336)</f>
        <v>40662.64583</v>
      </c>
      <c r="C128" s="2">
        <f>IFERROR(__xludf.DUMMYFUNCTION("""COMPUTED_VALUE"""),281.7)</f>
        <v>281.7</v>
      </c>
    </row>
    <row r="129" ht="15.75" customHeight="1">
      <c r="B129" s="3">
        <f>IFERROR(__xludf.DUMMYFUNCTION("""COMPUTED_VALUE"""),40669.645833333336)</f>
        <v>40669.64583</v>
      </c>
      <c r="C129" s="2">
        <f>IFERROR(__xludf.DUMMYFUNCTION("""COMPUTED_VALUE"""),259.6)</f>
        <v>259.6</v>
      </c>
    </row>
    <row r="130" ht="15.75" customHeight="1">
      <c r="B130" s="3">
        <f>IFERROR(__xludf.DUMMYFUNCTION("""COMPUTED_VALUE"""),40676.645833333336)</f>
        <v>40676.64583</v>
      </c>
      <c r="C130" s="2">
        <f>IFERROR(__xludf.DUMMYFUNCTION("""COMPUTED_VALUE"""),253.71)</f>
        <v>253.71</v>
      </c>
    </row>
    <row r="131" ht="15.75" customHeight="1">
      <c r="B131" s="3">
        <f>IFERROR(__xludf.DUMMYFUNCTION("""COMPUTED_VALUE"""),40683.645833333336)</f>
        <v>40683.64583</v>
      </c>
      <c r="C131" s="2">
        <f>IFERROR(__xludf.DUMMYFUNCTION("""COMPUTED_VALUE"""),248.32)</f>
        <v>248.32</v>
      </c>
    </row>
    <row r="132" ht="15.75" customHeight="1">
      <c r="B132" s="3">
        <f>IFERROR(__xludf.DUMMYFUNCTION("""COMPUTED_VALUE"""),40690.645833333336)</f>
        <v>40690.64583</v>
      </c>
      <c r="C132" s="2">
        <f>IFERROR(__xludf.DUMMYFUNCTION("""COMPUTED_VALUE"""),245.6)</f>
        <v>245.6</v>
      </c>
    </row>
    <row r="133" ht="15.75" customHeight="1">
      <c r="B133" s="3">
        <f>IFERROR(__xludf.DUMMYFUNCTION("""COMPUTED_VALUE"""),40697.645833333336)</f>
        <v>40697.64583</v>
      </c>
      <c r="C133" s="2">
        <f>IFERROR(__xludf.DUMMYFUNCTION("""COMPUTED_VALUE"""),258.35)</f>
        <v>258.35</v>
      </c>
    </row>
    <row r="134" ht="15.75" customHeight="1">
      <c r="B134" s="3">
        <f>IFERROR(__xludf.DUMMYFUNCTION("""COMPUTED_VALUE"""),40704.645833333336)</f>
        <v>40704.64583</v>
      </c>
      <c r="C134" s="2">
        <f>IFERROR(__xludf.DUMMYFUNCTION("""COMPUTED_VALUE"""),250.58)</f>
        <v>250.58</v>
      </c>
    </row>
    <row r="135" ht="15.75" customHeight="1">
      <c r="B135" s="3">
        <f>IFERROR(__xludf.DUMMYFUNCTION("""COMPUTED_VALUE"""),40711.645833333336)</f>
        <v>40711.64583</v>
      </c>
      <c r="C135" s="2">
        <f>IFERROR(__xludf.DUMMYFUNCTION("""COMPUTED_VALUE"""),252.84)</f>
        <v>252.84</v>
      </c>
    </row>
    <row r="136" ht="15.75" customHeight="1">
      <c r="B136" s="3">
        <f>IFERROR(__xludf.DUMMYFUNCTION("""COMPUTED_VALUE"""),40718.645833333336)</f>
        <v>40718.64583</v>
      </c>
      <c r="C136" s="2">
        <f>IFERROR(__xludf.DUMMYFUNCTION("""COMPUTED_VALUE"""),255.6)</f>
        <v>255.6</v>
      </c>
    </row>
    <row r="137" ht="15.75" customHeight="1">
      <c r="B137" s="3">
        <f>IFERROR(__xludf.DUMMYFUNCTION("""COMPUTED_VALUE"""),40725.645833333336)</f>
        <v>40725.64583</v>
      </c>
      <c r="C137" s="2">
        <f>IFERROR(__xludf.DUMMYFUNCTION("""COMPUTED_VALUE"""),263.2)</f>
        <v>263.2</v>
      </c>
    </row>
    <row r="138" ht="15.75" customHeight="1">
      <c r="B138" s="3">
        <f>IFERROR(__xludf.DUMMYFUNCTION("""COMPUTED_VALUE"""),40732.645833333336)</f>
        <v>40732.64583</v>
      </c>
      <c r="C138" s="2">
        <f>IFERROR(__xludf.DUMMYFUNCTION("""COMPUTED_VALUE"""),267.9)</f>
        <v>267.9</v>
      </c>
    </row>
    <row r="139" ht="15.75" customHeight="1">
      <c r="B139" s="3">
        <f>IFERROR(__xludf.DUMMYFUNCTION("""COMPUTED_VALUE"""),40739.645833333336)</f>
        <v>40739.64583</v>
      </c>
      <c r="C139" s="2">
        <f>IFERROR(__xludf.DUMMYFUNCTION("""COMPUTED_VALUE"""),261.2)</f>
        <v>261.2</v>
      </c>
    </row>
    <row r="140" ht="15.75" customHeight="1">
      <c r="B140" s="3">
        <f>IFERROR(__xludf.DUMMYFUNCTION("""COMPUTED_VALUE"""),40746.645833333336)</f>
        <v>40746.64583</v>
      </c>
      <c r="C140" s="2">
        <f>IFERROR(__xludf.DUMMYFUNCTION("""COMPUTED_VALUE"""),262.4)</f>
        <v>262.4</v>
      </c>
    </row>
    <row r="141" ht="15.75" customHeight="1">
      <c r="B141" s="3">
        <f>IFERROR(__xludf.DUMMYFUNCTION("""COMPUTED_VALUE"""),40753.645833333336)</f>
        <v>40753.64583</v>
      </c>
      <c r="C141" s="2">
        <f>IFERROR(__xludf.DUMMYFUNCTION("""COMPUTED_VALUE"""),268.4)</f>
        <v>268.4</v>
      </c>
    </row>
    <row r="142" ht="15.75" customHeight="1">
      <c r="B142" s="3">
        <f>IFERROR(__xludf.DUMMYFUNCTION("""COMPUTED_VALUE"""),40760.645833333336)</f>
        <v>40760.64583</v>
      </c>
      <c r="C142" s="2">
        <f>IFERROR(__xludf.DUMMYFUNCTION("""COMPUTED_VALUE"""),273.51)</f>
        <v>273.51</v>
      </c>
    </row>
    <row r="143" ht="15.75" customHeight="1">
      <c r="B143" s="3">
        <f>IFERROR(__xludf.DUMMYFUNCTION("""COMPUTED_VALUE"""),40767.645833333336)</f>
        <v>40767.64583</v>
      </c>
      <c r="C143" s="2">
        <f>IFERROR(__xludf.DUMMYFUNCTION("""COMPUTED_VALUE"""),253.16)</f>
        <v>253.16</v>
      </c>
    </row>
    <row r="144" ht="15.75" customHeight="1">
      <c r="B144" s="3">
        <f>IFERROR(__xludf.DUMMYFUNCTION("""COMPUTED_VALUE"""),40774.645833333336)</f>
        <v>40774.64583</v>
      </c>
      <c r="C144" s="2">
        <f>IFERROR(__xludf.DUMMYFUNCTION("""COMPUTED_VALUE"""),246.15)</f>
        <v>246.15</v>
      </c>
    </row>
    <row r="145" ht="15.75" customHeight="1">
      <c r="B145" s="3">
        <f>IFERROR(__xludf.DUMMYFUNCTION("""COMPUTED_VALUE"""),40781.645833333336)</f>
        <v>40781.64583</v>
      </c>
      <c r="C145" s="2">
        <f>IFERROR(__xludf.DUMMYFUNCTION("""COMPUTED_VALUE"""),222.88)</f>
        <v>222.88</v>
      </c>
    </row>
    <row r="146" ht="15.75" customHeight="1">
      <c r="B146" s="3">
        <f>IFERROR(__xludf.DUMMYFUNCTION("""COMPUTED_VALUE"""),40788.645833333336)</f>
        <v>40788.64583</v>
      </c>
      <c r="C146" s="2">
        <f>IFERROR(__xludf.DUMMYFUNCTION("""COMPUTED_VALUE"""),221.94)</f>
        <v>221.94</v>
      </c>
    </row>
    <row r="147" ht="15.75" customHeight="1">
      <c r="B147" s="3">
        <f>IFERROR(__xludf.DUMMYFUNCTION("""COMPUTED_VALUE"""),40795.645833333336)</f>
        <v>40795.64583</v>
      </c>
      <c r="C147" s="2">
        <f>IFERROR(__xludf.DUMMYFUNCTION("""COMPUTED_VALUE"""),232.17)</f>
        <v>232.17</v>
      </c>
    </row>
    <row r="148" ht="15.75" customHeight="1">
      <c r="B148" s="3">
        <f>IFERROR(__xludf.DUMMYFUNCTION("""COMPUTED_VALUE"""),40802.645833333336)</f>
        <v>40802.64583</v>
      </c>
      <c r="C148" s="2">
        <f>IFERROR(__xludf.DUMMYFUNCTION("""COMPUTED_VALUE"""),228.19)</f>
        <v>228.19</v>
      </c>
    </row>
    <row r="149" ht="15.75" customHeight="1">
      <c r="B149" s="3">
        <f>IFERROR(__xludf.DUMMYFUNCTION("""COMPUTED_VALUE"""),40809.645833333336)</f>
        <v>40809.64583</v>
      </c>
      <c r="C149" s="2">
        <f>IFERROR(__xludf.DUMMYFUNCTION("""COMPUTED_VALUE"""),232.2)</f>
        <v>232.2</v>
      </c>
    </row>
    <row r="150" ht="15.75" customHeight="1">
      <c r="B150" s="3">
        <f>IFERROR(__xludf.DUMMYFUNCTION("""COMPUTED_VALUE"""),40816.645833333336)</f>
        <v>40816.64583</v>
      </c>
      <c r="C150" s="2">
        <f>IFERROR(__xludf.DUMMYFUNCTION("""COMPUTED_VALUE"""),219.2)</f>
        <v>219.2</v>
      </c>
    </row>
    <row r="151" ht="15.75" customHeight="1">
      <c r="B151" s="3">
        <f>IFERROR(__xludf.DUMMYFUNCTION("""COMPUTED_VALUE"""),40823.645833333336)</f>
        <v>40823.64583</v>
      </c>
      <c r="C151" s="2">
        <f>IFERROR(__xludf.DUMMYFUNCTION("""COMPUTED_VALUE"""),207.7)</f>
        <v>207.7</v>
      </c>
    </row>
    <row r="152" ht="15.75" customHeight="1">
      <c r="B152" s="3">
        <f>IFERROR(__xludf.DUMMYFUNCTION("""COMPUTED_VALUE"""),40830.645833333336)</f>
        <v>40830.64583</v>
      </c>
      <c r="C152" s="2">
        <f>IFERROR(__xludf.DUMMYFUNCTION("""COMPUTED_VALUE"""),222.0)</f>
        <v>222</v>
      </c>
    </row>
    <row r="153" ht="15.75" customHeight="1">
      <c r="B153" s="3">
        <f>IFERROR(__xludf.DUMMYFUNCTION("""COMPUTED_VALUE"""),40837.645833333336)</f>
        <v>40837.64583</v>
      </c>
      <c r="C153" s="2">
        <f>IFERROR(__xludf.DUMMYFUNCTION("""COMPUTED_VALUE"""),227.98)</f>
        <v>227.98</v>
      </c>
    </row>
    <row r="154" ht="15.75" customHeight="1">
      <c r="B154" s="3">
        <f>IFERROR(__xludf.DUMMYFUNCTION("""COMPUTED_VALUE"""),40844.645833333336)</f>
        <v>40844.64583</v>
      </c>
      <c r="C154" s="2">
        <f>IFERROR(__xludf.DUMMYFUNCTION("""COMPUTED_VALUE"""),238.8)</f>
        <v>238.8</v>
      </c>
    </row>
    <row r="155" ht="15.75" customHeight="1">
      <c r="B155" s="3">
        <f>IFERROR(__xludf.DUMMYFUNCTION("""COMPUTED_VALUE"""),40851.645833333336)</f>
        <v>40851.64583</v>
      </c>
      <c r="C155" s="2">
        <f>IFERROR(__xludf.DUMMYFUNCTION("""COMPUTED_VALUE"""),232.81)</f>
        <v>232.81</v>
      </c>
    </row>
    <row r="156" ht="15.75" customHeight="1">
      <c r="B156" s="3">
        <f>IFERROR(__xludf.DUMMYFUNCTION("""COMPUTED_VALUE"""),40858.645833333336)</f>
        <v>40858.64583</v>
      </c>
      <c r="C156" s="2">
        <f>IFERROR(__xludf.DUMMYFUNCTION("""COMPUTED_VALUE"""),230.78)</f>
        <v>230.78</v>
      </c>
    </row>
    <row r="157" ht="15.75" customHeight="1">
      <c r="B157" s="3">
        <f>IFERROR(__xludf.DUMMYFUNCTION("""COMPUTED_VALUE"""),40865.645833333336)</f>
        <v>40865.64583</v>
      </c>
      <c r="C157" s="2">
        <f>IFERROR(__xludf.DUMMYFUNCTION("""COMPUTED_VALUE"""),216.2)</f>
        <v>216.2</v>
      </c>
    </row>
    <row r="158" ht="15.75" customHeight="1">
      <c r="B158" s="3">
        <f>IFERROR(__xludf.DUMMYFUNCTION("""COMPUTED_VALUE"""),40872.645833333336)</f>
        <v>40872.64583</v>
      </c>
      <c r="C158" s="2">
        <f>IFERROR(__xludf.DUMMYFUNCTION("""COMPUTED_VALUE"""),195.57)</f>
        <v>195.57</v>
      </c>
    </row>
    <row r="159" ht="15.75" customHeight="1">
      <c r="B159" s="3">
        <f>IFERROR(__xludf.DUMMYFUNCTION("""COMPUTED_VALUE"""),40879.645833333336)</f>
        <v>40879.64583</v>
      </c>
      <c r="C159" s="2">
        <f>IFERROR(__xludf.DUMMYFUNCTION("""COMPUTED_VALUE"""),202.4)</f>
        <v>202.4</v>
      </c>
    </row>
    <row r="160" ht="15.75" customHeight="1">
      <c r="B160" s="3">
        <f>IFERROR(__xludf.DUMMYFUNCTION("""COMPUTED_VALUE"""),40886.645833333336)</f>
        <v>40886.64583</v>
      </c>
      <c r="C160" s="2">
        <f>IFERROR(__xludf.DUMMYFUNCTION("""COMPUTED_VALUE"""),210.49)</f>
        <v>210.49</v>
      </c>
    </row>
    <row r="161" ht="15.75" customHeight="1">
      <c r="B161" s="3">
        <f>IFERROR(__xludf.DUMMYFUNCTION("""COMPUTED_VALUE"""),40893.645833333336)</f>
        <v>40893.64583</v>
      </c>
      <c r="C161" s="2">
        <f>IFERROR(__xludf.DUMMYFUNCTION("""COMPUTED_VALUE"""),201.6)</f>
        <v>201.6</v>
      </c>
    </row>
    <row r="162" ht="15.75" customHeight="1">
      <c r="B162" s="3">
        <f>IFERROR(__xludf.DUMMYFUNCTION("""COMPUTED_VALUE"""),40900.645833333336)</f>
        <v>40900.64583</v>
      </c>
      <c r="C162" s="2">
        <f>IFERROR(__xludf.DUMMYFUNCTION("""COMPUTED_VALUE"""),179.59)</f>
        <v>179.59</v>
      </c>
    </row>
    <row r="163" ht="15.75" customHeight="1">
      <c r="B163" s="3">
        <f>IFERROR(__xludf.DUMMYFUNCTION("""COMPUTED_VALUE"""),40907.645833333336)</f>
        <v>40907.64583</v>
      </c>
      <c r="C163" s="2">
        <f>IFERROR(__xludf.DUMMYFUNCTION("""COMPUTED_VALUE"""),178.2)</f>
        <v>178.2</v>
      </c>
    </row>
    <row r="164" ht="15.75" customHeight="1"/>
    <row r="165" ht="15.75" customHeight="1"/>
    <row r="166" ht="15.75" customHeight="1">
      <c r="B166" s="2" t="str">
        <f>IFERROR(__xludf.DUMMYFUNCTION("GOOGLEFINANCE(""NSE:AXISBANK"", ""high"",DATE(2012,1,1),DATE(2013,1,1),""weekly"")"),"Date")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IFERROR(__xludf.DUMMYFUNCTION("""COMPUTED_VALUE"""),40921.645833333336)</f>
        <v>40921.64583</v>
      </c>
      <c r="C167" s="2">
        <f>IFERROR(__xludf.DUMMYFUNCTION("""COMPUTED_VALUE"""),193.69)</f>
        <v>193.69</v>
      </c>
    </row>
    <row r="168" ht="15.75" customHeight="1">
      <c r="B168" s="3">
        <f>IFERROR(__xludf.DUMMYFUNCTION("""COMPUTED_VALUE"""),40928.645833333336)</f>
        <v>40928.64583</v>
      </c>
      <c r="C168" s="2">
        <f>IFERROR(__xludf.DUMMYFUNCTION("""COMPUTED_VALUE"""),204.0)</f>
        <v>204</v>
      </c>
    </row>
    <row r="169" ht="15.75" customHeight="1">
      <c r="B169" s="3">
        <f>IFERROR(__xludf.DUMMYFUNCTION("""COMPUTED_VALUE"""),40935.645833333336)</f>
        <v>40935.64583</v>
      </c>
      <c r="C169" s="2">
        <f>IFERROR(__xludf.DUMMYFUNCTION("""COMPUTED_VALUE"""),215.88)</f>
        <v>215.88</v>
      </c>
    </row>
    <row r="170" ht="15.75" customHeight="1">
      <c r="B170" s="3">
        <f>IFERROR(__xludf.DUMMYFUNCTION("""COMPUTED_VALUE"""),40942.645833333336)</f>
        <v>40942.64583</v>
      </c>
      <c r="C170" s="2">
        <f>IFERROR(__xludf.DUMMYFUNCTION("""COMPUTED_VALUE"""),221.87)</f>
        <v>221.87</v>
      </c>
    </row>
    <row r="171" ht="15.75" customHeight="1">
      <c r="B171" s="3">
        <f>IFERROR(__xludf.DUMMYFUNCTION("""COMPUTED_VALUE"""),40949.645833333336)</f>
        <v>40949.64583</v>
      </c>
      <c r="C171" s="2">
        <f>IFERROR(__xludf.DUMMYFUNCTION("""COMPUTED_VALUE"""),228.78)</f>
        <v>228.78</v>
      </c>
    </row>
    <row r="172" ht="15.75" customHeight="1">
      <c r="B172" s="3">
        <f>IFERROR(__xludf.DUMMYFUNCTION("""COMPUTED_VALUE"""),40956.645833333336)</f>
        <v>40956.64583</v>
      </c>
      <c r="C172" s="2">
        <f>IFERROR(__xludf.DUMMYFUNCTION("""COMPUTED_VALUE"""),259.0)</f>
        <v>259</v>
      </c>
    </row>
    <row r="173" ht="15.75" customHeight="1">
      <c r="B173" s="3">
        <f>IFERROR(__xludf.DUMMYFUNCTION("""COMPUTED_VALUE"""),40963.645833333336)</f>
        <v>40963.64583</v>
      </c>
      <c r="C173" s="2">
        <f>IFERROR(__xludf.DUMMYFUNCTION("""COMPUTED_VALUE"""),261.69)</f>
        <v>261.69</v>
      </c>
    </row>
    <row r="174" ht="15.75" customHeight="1">
      <c r="B174" s="3">
        <f>IFERROR(__xludf.DUMMYFUNCTION("""COMPUTED_VALUE"""),40977.645833333336)</f>
        <v>40977.64583</v>
      </c>
      <c r="C174" s="2">
        <f>IFERROR(__xludf.DUMMYFUNCTION("""COMPUTED_VALUE"""),243.8)</f>
        <v>243.8</v>
      </c>
    </row>
    <row r="175" ht="15.75" customHeight="1">
      <c r="B175" s="3">
        <f>IFERROR(__xludf.DUMMYFUNCTION("""COMPUTED_VALUE"""),40984.645833333336)</f>
        <v>40984.64583</v>
      </c>
      <c r="C175" s="2">
        <f>IFERROR(__xludf.DUMMYFUNCTION("""COMPUTED_VALUE"""),256.74)</f>
        <v>256.74</v>
      </c>
    </row>
    <row r="176" ht="15.75" customHeight="1">
      <c r="B176" s="3">
        <f>IFERROR(__xludf.DUMMYFUNCTION("""COMPUTED_VALUE"""),40991.645833333336)</f>
        <v>40991.64583</v>
      </c>
      <c r="C176" s="2">
        <f>IFERROR(__xludf.DUMMYFUNCTION("""COMPUTED_VALUE"""),248.66)</f>
        <v>248.66</v>
      </c>
    </row>
    <row r="177" ht="15.75" customHeight="1">
      <c r="B177" s="3">
        <f>IFERROR(__xludf.DUMMYFUNCTION("""COMPUTED_VALUE"""),40998.645833333336)</f>
        <v>40998.64583</v>
      </c>
      <c r="C177" s="2">
        <f>IFERROR(__xludf.DUMMYFUNCTION("""COMPUTED_VALUE"""),234.98)</f>
        <v>234.98</v>
      </c>
    </row>
    <row r="178" ht="15.75" customHeight="1">
      <c r="B178" s="3">
        <f>IFERROR(__xludf.DUMMYFUNCTION("""COMPUTED_VALUE"""),41003.645833333336)</f>
        <v>41003.64583</v>
      </c>
      <c r="C178" s="2">
        <f>IFERROR(__xludf.DUMMYFUNCTION("""COMPUTED_VALUE"""),237.0)</f>
        <v>237</v>
      </c>
    </row>
    <row r="179" ht="15.75" customHeight="1">
      <c r="B179" s="3">
        <f>IFERROR(__xludf.DUMMYFUNCTION("""COMPUTED_VALUE"""),41012.645833333336)</f>
        <v>41012.64583</v>
      </c>
      <c r="C179" s="2">
        <f>IFERROR(__xludf.DUMMYFUNCTION("""COMPUTED_VALUE"""),243.39)</f>
        <v>243.39</v>
      </c>
    </row>
    <row r="180" ht="15.75" customHeight="1">
      <c r="B180" s="3">
        <f>IFERROR(__xludf.DUMMYFUNCTION("""COMPUTED_VALUE"""),41019.645833333336)</f>
        <v>41019.64583</v>
      </c>
      <c r="C180" s="2">
        <f>IFERROR(__xludf.DUMMYFUNCTION("""COMPUTED_VALUE"""),245.3)</f>
        <v>245.3</v>
      </c>
    </row>
    <row r="181" ht="15.75" customHeight="1">
      <c r="B181" s="3">
        <f>IFERROR(__xludf.DUMMYFUNCTION("""COMPUTED_VALUE"""),41033.645833333336)</f>
        <v>41033.64583</v>
      </c>
      <c r="C181" s="2">
        <f>IFERROR(__xludf.DUMMYFUNCTION("""COMPUTED_VALUE"""),225.94)</f>
        <v>225.94</v>
      </c>
    </row>
    <row r="182" ht="15.75" customHeight="1">
      <c r="B182" s="3">
        <f>IFERROR(__xludf.DUMMYFUNCTION("""COMPUTED_VALUE"""),41040.645833333336)</f>
        <v>41040.64583</v>
      </c>
      <c r="C182" s="2">
        <f>IFERROR(__xludf.DUMMYFUNCTION("""COMPUTED_VALUE"""),205.98)</f>
        <v>205.98</v>
      </c>
    </row>
    <row r="183" ht="15.75" customHeight="1">
      <c r="B183" s="3">
        <f>IFERROR(__xludf.DUMMYFUNCTION("""COMPUTED_VALUE"""),41047.645833333336)</f>
        <v>41047.64583</v>
      </c>
      <c r="C183" s="2">
        <f>IFERROR(__xludf.DUMMYFUNCTION("""COMPUTED_VALUE"""),202.72)</f>
        <v>202.72</v>
      </c>
    </row>
    <row r="184" ht="15.75" customHeight="1">
      <c r="B184" s="3">
        <f>IFERROR(__xludf.DUMMYFUNCTION("""COMPUTED_VALUE"""),41054.645833333336)</f>
        <v>41054.64583</v>
      </c>
      <c r="C184" s="2">
        <f>IFERROR(__xludf.DUMMYFUNCTION("""COMPUTED_VALUE"""),202.4)</f>
        <v>202.4</v>
      </c>
    </row>
    <row r="185" ht="15.75" customHeight="1">
      <c r="B185" s="3">
        <f>IFERROR(__xludf.DUMMYFUNCTION("""COMPUTED_VALUE"""),41061.645833333336)</f>
        <v>41061.64583</v>
      </c>
      <c r="C185" s="2">
        <f>IFERROR(__xludf.DUMMYFUNCTION("""COMPUTED_VALUE"""),207.6)</f>
        <v>207.6</v>
      </c>
    </row>
    <row r="186" ht="15.75" customHeight="1">
      <c r="B186" s="3">
        <f>IFERROR(__xludf.DUMMYFUNCTION("""COMPUTED_VALUE"""),41068.645833333336)</f>
        <v>41068.64583</v>
      </c>
      <c r="C186" s="2">
        <f>IFERROR(__xludf.DUMMYFUNCTION("""COMPUTED_VALUE"""),212.4)</f>
        <v>212.4</v>
      </c>
    </row>
    <row r="187" ht="15.75" customHeight="1">
      <c r="B187" s="3">
        <f>IFERROR(__xludf.DUMMYFUNCTION("""COMPUTED_VALUE"""),41075.645833333336)</f>
        <v>41075.64583</v>
      </c>
      <c r="C187" s="2">
        <f>IFERROR(__xludf.DUMMYFUNCTION("""COMPUTED_VALUE"""),214.4)</f>
        <v>214.4</v>
      </c>
    </row>
    <row r="188" ht="15.75" customHeight="1">
      <c r="B188" s="3">
        <f>IFERROR(__xludf.DUMMYFUNCTION("""COMPUTED_VALUE"""),41082.645833333336)</f>
        <v>41082.64583</v>
      </c>
      <c r="C188" s="2">
        <f>IFERROR(__xludf.DUMMYFUNCTION("""COMPUTED_VALUE"""),210.16)</f>
        <v>210.16</v>
      </c>
    </row>
    <row r="189" ht="15.75" customHeight="1">
      <c r="B189" s="3">
        <f>IFERROR(__xludf.DUMMYFUNCTION("""COMPUTED_VALUE"""),41089.645833333336)</f>
        <v>41089.64583</v>
      </c>
      <c r="C189" s="2">
        <f>IFERROR(__xludf.DUMMYFUNCTION("""COMPUTED_VALUE"""),206.85)</f>
        <v>206.85</v>
      </c>
    </row>
    <row r="190" ht="15.75" customHeight="1">
      <c r="B190" s="3">
        <f>IFERROR(__xludf.DUMMYFUNCTION("""COMPUTED_VALUE"""),41096.645833333336)</f>
        <v>41096.64583</v>
      </c>
      <c r="C190" s="2">
        <f>IFERROR(__xludf.DUMMYFUNCTION("""COMPUTED_VALUE"""),210.36)</f>
        <v>210.36</v>
      </c>
    </row>
    <row r="191" ht="15.75" customHeight="1">
      <c r="B191" s="3">
        <f>IFERROR(__xludf.DUMMYFUNCTION("""COMPUTED_VALUE"""),41103.645833333336)</f>
        <v>41103.64583</v>
      </c>
      <c r="C191" s="2">
        <f>IFERROR(__xludf.DUMMYFUNCTION("""COMPUTED_VALUE"""),216.28)</f>
        <v>216.28</v>
      </c>
    </row>
    <row r="192" ht="15.75" customHeight="1">
      <c r="B192" s="3">
        <f>IFERROR(__xludf.DUMMYFUNCTION("""COMPUTED_VALUE"""),41110.645833333336)</f>
        <v>41110.64583</v>
      </c>
      <c r="C192" s="2">
        <f>IFERROR(__xludf.DUMMYFUNCTION("""COMPUTED_VALUE"""),213.31)</f>
        <v>213.31</v>
      </c>
    </row>
    <row r="193" ht="15.75" customHeight="1">
      <c r="B193" s="3">
        <f>IFERROR(__xludf.DUMMYFUNCTION("""COMPUTED_VALUE"""),41117.645833333336)</f>
        <v>41117.64583</v>
      </c>
      <c r="C193" s="2">
        <f>IFERROR(__xludf.DUMMYFUNCTION("""COMPUTED_VALUE"""),209.0)</f>
        <v>209</v>
      </c>
    </row>
    <row r="194" ht="15.75" customHeight="1">
      <c r="B194" s="3">
        <f>IFERROR(__xludf.DUMMYFUNCTION("""COMPUTED_VALUE"""),41124.645833333336)</f>
        <v>41124.64583</v>
      </c>
      <c r="C194" s="2">
        <f>IFERROR(__xludf.DUMMYFUNCTION("""COMPUTED_VALUE"""),212.22)</f>
        <v>212.22</v>
      </c>
    </row>
    <row r="195" ht="15.75" customHeight="1">
      <c r="B195" s="3">
        <f>IFERROR(__xludf.DUMMYFUNCTION("""COMPUTED_VALUE"""),41131.645833333336)</f>
        <v>41131.64583</v>
      </c>
      <c r="C195" s="2">
        <f>IFERROR(__xludf.DUMMYFUNCTION("""COMPUTED_VALUE"""),221.96)</f>
        <v>221.96</v>
      </c>
    </row>
    <row r="196" ht="15.75" customHeight="1">
      <c r="B196" s="3">
        <f>IFERROR(__xludf.DUMMYFUNCTION("""COMPUTED_VALUE"""),41138.645833333336)</f>
        <v>41138.64583</v>
      </c>
      <c r="C196" s="2">
        <f>IFERROR(__xludf.DUMMYFUNCTION("""COMPUTED_VALUE"""),224.4)</f>
        <v>224.4</v>
      </c>
    </row>
    <row r="197" ht="15.75" customHeight="1">
      <c r="B197" s="3">
        <f>IFERROR(__xludf.DUMMYFUNCTION("""COMPUTED_VALUE"""),41145.645833333336)</f>
        <v>41145.64583</v>
      </c>
      <c r="C197" s="2">
        <f>IFERROR(__xludf.DUMMYFUNCTION("""COMPUTED_VALUE"""),223.97)</f>
        <v>223.97</v>
      </c>
    </row>
    <row r="198" ht="15.75" customHeight="1">
      <c r="B198" s="3">
        <f>IFERROR(__xludf.DUMMYFUNCTION("""COMPUTED_VALUE"""),41152.645833333336)</f>
        <v>41152.64583</v>
      </c>
      <c r="C198" s="2">
        <f>IFERROR(__xludf.DUMMYFUNCTION("""COMPUTED_VALUE"""),216.0)</f>
        <v>216</v>
      </c>
    </row>
    <row r="199" ht="15.75" customHeight="1">
      <c r="B199" s="3">
        <f>IFERROR(__xludf.DUMMYFUNCTION("""COMPUTED_VALUE"""),41166.645833333336)</f>
        <v>41166.64583</v>
      </c>
      <c r="C199" s="2">
        <f>IFERROR(__xludf.DUMMYFUNCTION("""COMPUTED_VALUE"""),202.6)</f>
        <v>202.6</v>
      </c>
    </row>
    <row r="200" ht="15.75" customHeight="1">
      <c r="B200" s="3">
        <f>IFERROR(__xludf.DUMMYFUNCTION("""COMPUTED_VALUE"""),41173.645833333336)</f>
        <v>41173.64583</v>
      </c>
      <c r="C200" s="2">
        <f>IFERROR(__xludf.DUMMYFUNCTION("""COMPUTED_VALUE"""),225.94)</f>
        <v>225.94</v>
      </c>
    </row>
    <row r="201" ht="15.75" customHeight="1">
      <c r="B201" s="3">
        <f>IFERROR(__xludf.DUMMYFUNCTION("""COMPUTED_VALUE"""),41180.645833333336)</f>
        <v>41180.64583</v>
      </c>
      <c r="C201" s="2">
        <f>IFERROR(__xludf.DUMMYFUNCTION("""COMPUTED_VALUE"""),234.9)</f>
        <v>234.9</v>
      </c>
    </row>
    <row r="202" ht="15.75" customHeight="1">
      <c r="B202" s="3">
        <f>IFERROR(__xludf.DUMMYFUNCTION("""COMPUTED_VALUE"""),41187.645833333336)</f>
        <v>41187.64583</v>
      </c>
      <c r="C202" s="2">
        <f>IFERROR(__xludf.DUMMYFUNCTION("""COMPUTED_VALUE"""),232.38)</f>
        <v>232.38</v>
      </c>
    </row>
    <row r="203" ht="15.75" customHeight="1">
      <c r="B203" s="3">
        <f>IFERROR(__xludf.DUMMYFUNCTION("""COMPUTED_VALUE"""),41194.645833333336)</f>
        <v>41194.64583</v>
      </c>
      <c r="C203" s="2">
        <f>IFERROR(__xludf.DUMMYFUNCTION("""COMPUTED_VALUE"""),230.4)</f>
        <v>230.4</v>
      </c>
    </row>
    <row r="204" ht="15.75" customHeight="1">
      <c r="B204" s="3">
        <f>IFERROR(__xludf.DUMMYFUNCTION("""COMPUTED_VALUE"""),41201.645833333336)</f>
        <v>41201.64583</v>
      </c>
      <c r="C204" s="2">
        <f>IFERROR(__xludf.DUMMYFUNCTION("""COMPUTED_VALUE"""),242.16)</f>
        <v>242.16</v>
      </c>
    </row>
    <row r="205" ht="15.75" customHeight="1">
      <c r="B205" s="3">
        <f>IFERROR(__xludf.DUMMYFUNCTION("""COMPUTED_VALUE"""),41208.645833333336)</f>
        <v>41208.64583</v>
      </c>
      <c r="C205" s="2">
        <f>IFERROR(__xludf.DUMMYFUNCTION("""COMPUTED_VALUE"""),249.23)</f>
        <v>249.23</v>
      </c>
    </row>
    <row r="206" ht="15.75" customHeight="1">
      <c r="B206" s="3">
        <f>IFERROR(__xludf.DUMMYFUNCTION("""COMPUTED_VALUE"""),41215.645833333336)</f>
        <v>41215.64583</v>
      </c>
      <c r="C206" s="2">
        <f>IFERROR(__xludf.DUMMYFUNCTION("""COMPUTED_VALUE"""),247.94)</f>
        <v>247.94</v>
      </c>
    </row>
    <row r="207" ht="15.75" customHeight="1">
      <c r="B207" s="3">
        <f>IFERROR(__xludf.DUMMYFUNCTION("""COMPUTED_VALUE"""),41222.645833333336)</f>
        <v>41222.64583</v>
      </c>
      <c r="C207" s="2">
        <f>IFERROR(__xludf.DUMMYFUNCTION("""COMPUTED_VALUE"""),248.74)</f>
        <v>248.74</v>
      </c>
    </row>
    <row r="208" ht="15.75" customHeight="1">
      <c r="B208" s="3">
        <f>IFERROR(__xludf.DUMMYFUNCTION("""COMPUTED_VALUE"""),41229.645833333336)</f>
        <v>41229.64583</v>
      </c>
      <c r="C208" s="2">
        <f>IFERROR(__xludf.DUMMYFUNCTION("""COMPUTED_VALUE"""),248.73)</f>
        <v>248.73</v>
      </c>
    </row>
    <row r="209" ht="15.75" customHeight="1">
      <c r="B209" s="3">
        <f>IFERROR(__xludf.DUMMYFUNCTION("""COMPUTED_VALUE"""),41236.645833333336)</f>
        <v>41236.64583</v>
      </c>
      <c r="C209" s="2">
        <f>IFERROR(__xludf.DUMMYFUNCTION("""COMPUTED_VALUE"""),253.8)</f>
        <v>253.8</v>
      </c>
    </row>
    <row r="210" ht="15.75" customHeight="1">
      <c r="B210" s="3">
        <f>IFERROR(__xludf.DUMMYFUNCTION("""COMPUTED_VALUE"""),41243.645833333336)</f>
        <v>41243.64583</v>
      </c>
      <c r="C210" s="2">
        <f>IFERROR(__xludf.DUMMYFUNCTION("""COMPUTED_VALUE"""),264.92)</f>
        <v>264.92</v>
      </c>
    </row>
    <row r="211" ht="15.75" customHeight="1">
      <c r="B211" s="3">
        <f>IFERROR(__xludf.DUMMYFUNCTION("""COMPUTED_VALUE"""),41250.645833333336)</f>
        <v>41250.64583</v>
      </c>
      <c r="C211" s="2">
        <f>IFERROR(__xludf.DUMMYFUNCTION("""COMPUTED_VALUE"""),275.8)</f>
        <v>275.8</v>
      </c>
    </row>
    <row r="212" ht="15.75" customHeight="1">
      <c r="B212" s="3">
        <f>IFERROR(__xludf.DUMMYFUNCTION("""COMPUTED_VALUE"""),41257.645833333336)</f>
        <v>41257.64583</v>
      </c>
      <c r="C212" s="2">
        <f>IFERROR(__xludf.DUMMYFUNCTION("""COMPUTED_VALUE"""),271.38)</f>
        <v>271.38</v>
      </c>
    </row>
    <row r="213" ht="15.75" customHeight="1">
      <c r="B213" s="3">
        <f>IFERROR(__xludf.DUMMYFUNCTION("""COMPUTED_VALUE"""),41264.645833333336)</f>
        <v>41264.64583</v>
      </c>
      <c r="C213" s="2">
        <f>IFERROR(__xludf.DUMMYFUNCTION("""COMPUTED_VALUE"""),273.19)</f>
        <v>273.19</v>
      </c>
    </row>
    <row r="214" ht="15.75" customHeight="1">
      <c r="B214" s="3">
        <f>IFERROR(__xludf.DUMMYFUNCTION("""COMPUTED_VALUE"""),41271.645833333336)</f>
        <v>41271.64583</v>
      </c>
      <c r="C214" s="2">
        <f>IFERROR(__xludf.DUMMYFUNCTION("""COMPUTED_VALUE"""),274.97)</f>
        <v>274.97</v>
      </c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IFERROR(__xludf.DUMMYFUNCTION("GOOGLEFINANCE(""NSE:AXISBANK"", ""high"",DATE(2013,1,1),DATE(2014,1,1),""weekly"")"),"Date")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IFERROR(__xludf.DUMMYFUNCTION("""COMPUTED_VALUE"""),41278.645833333336)</f>
        <v>41278.64583</v>
      </c>
      <c r="C222" s="2">
        <f>IFERROR(__xludf.DUMMYFUNCTION("""COMPUTED_VALUE"""),279.3)</f>
        <v>279.3</v>
      </c>
    </row>
    <row r="223" ht="15.75" customHeight="1">
      <c r="B223" s="3">
        <f>IFERROR(__xludf.DUMMYFUNCTION("""COMPUTED_VALUE"""),41285.645833333336)</f>
        <v>41285.64583</v>
      </c>
      <c r="C223" s="2">
        <f>IFERROR(__xludf.DUMMYFUNCTION("""COMPUTED_VALUE"""),277.54)</f>
        <v>277.54</v>
      </c>
    </row>
    <row r="224" ht="15.75" customHeight="1">
      <c r="B224" s="3">
        <f>IFERROR(__xludf.DUMMYFUNCTION("""COMPUTED_VALUE"""),41292.645833333336)</f>
        <v>41292.64583</v>
      </c>
      <c r="C224" s="2">
        <f>IFERROR(__xludf.DUMMYFUNCTION("""COMPUTED_VALUE"""),286.2)</f>
        <v>286.2</v>
      </c>
    </row>
    <row r="225" ht="15.75" customHeight="1">
      <c r="B225" s="3">
        <f>IFERROR(__xludf.DUMMYFUNCTION("""COMPUTED_VALUE"""),41299.645833333336)</f>
        <v>41299.64583</v>
      </c>
      <c r="C225" s="2">
        <f>IFERROR(__xludf.DUMMYFUNCTION("""COMPUTED_VALUE"""),281.8)</f>
        <v>281.8</v>
      </c>
    </row>
    <row r="226" ht="15.75" customHeight="1">
      <c r="B226" s="3">
        <f>IFERROR(__xludf.DUMMYFUNCTION("""COMPUTED_VALUE"""),41306.645833333336)</f>
        <v>41306.64583</v>
      </c>
      <c r="C226" s="2">
        <f>IFERROR(__xludf.DUMMYFUNCTION("""COMPUTED_VALUE"""),303.21)</f>
        <v>303.21</v>
      </c>
    </row>
    <row r="227" ht="15.75" customHeight="1">
      <c r="B227" s="3">
        <f>IFERROR(__xludf.DUMMYFUNCTION("""COMPUTED_VALUE"""),41313.645833333336)</f>
        <v>41313.64583</v>
      </c>
      <c r="C227" s="2">
        <f>IFERROR(__xludf.DUMMYFUNCTION("""COMPUTED_VALUE"""),303.0)</f>
        <v>303</v>
      </c>
    </row>
    <row r="228" ht="15.75" customHeight="1">
      <c r="B228" s="3">
        <f>IFERROR(__xludf.DUMMYFUNCTION("""COMPUTED_VALUE"""),41320.645833333336)</f>
        <v>41320.64583</v>
      </c>
      <c r="C228" s="2">
        <f>IFERROR(__xludf.DUMMYFUNCTION("""COMPUTED_VALUE"""),300.88)</f>
        <v>300.88</v>
      </c>
    </row>
    <row r="229" ht="15.75" customHeight="1">
      <c r="B229" s="3">
        <f>IFERROR(__xludf.DUMMYFUNCTION("""COMPUTED_VALUE"""),41327.645833333336)</f>
        <v>41327.64583</v>
      </c>
      <c r="C229" s="2">
        <f>IFERROR(__xludf.DUMMYFUNCTION("""COMPUTED_VALUE"""),290.94)</f>
        <v>290.94</v>
      </c>
    </row>
    <row r="230" ht="15.75" customHeight="1">
      <c r="B230" s="3">
        <f>IFERROR(__xludf.DUMMYFUNCTION("""COMPUTED_VALUE"""),41334.645833333336)</f>
        <v>41334.64583</v>
      </c>
      <c r="C230" s="2">
        <f>IFERROR(__xludf.DUMMYFUNCTION("""COMPUTED_VALUE"""),283.4)</f>
        <v>283.4</v>
      </c>
    </row>
    <row r="231" ht="15.75" customHeight="1">
      <c r="B231" s="3">
        <f>IFERROR(__xludf.DUMMYFUNCTION("""COMPUTED_VALUE"""),41341.645833333336)</f>
        <v>41341.64583</v>
      </c>
      <c r="C231" s="2">
        <f>IFERROR(__xludf.DUMMYFUNCTION("""COMPUTED_VALUE"""),283.6)</f>
        <v>283.6</v>
      </c>
    </row>
    <row r="232" ht="15.75" customHeight="1">
      <c r="B232" s="3">
        <f>IFERROR(__xludf.DUMMYFUNCTION("""COMPUTED_VALUE"""),41348.645833333336)</f>
        <v>41348.64583</v>
      </c>
      <c r="C232" s="2">
        <f>IFERROR(__xludf.DUMMYFUNCTION("""COMPUTED_VALUE"""),285.54)</f>
        <v>285.54</v>
      </c>
    </row>
    <row r="233" ht="15.75" customHeight="1">
      <c r="B233" s="3">
        <f>IFERROR(__xludf.DUMMYFUNCTION("""COMPUTED_VALUE"""),41355.645833333336)</f>
        <v>41355.64583</v>
      </c>
      <c r="C233" s="2">
        <f>IFERROR(__xludf.DUMMYFUNCTION("""COMPUTED_VALUE"""),267.8)</f>
        <v>267.8</v>
      </c>
    </row>
    <row r="234" ht="15.75" customHeight="1">
      <c r="B234" s="3">
        <f>IFERROR(__xludf.DUMMYFUNCTION("""COMPUTED_VALUE"""),41361.645833333336)</f>
        <v>41361.64583</v>
      </c>
      <c r="C234" s="2">
        <f>IFERROR(__xludf.DUMMYFUNCTION("""COMPUTED_VALUE"""),266.89)</f>
        <v>266.89</v>
      </c>
    </row>
    <row r="235" ht="15.75" customHeight="1">
      <c r="B235" s="3">
        <f>IFERROR(__xludf.DUMMYFUNCTION("""COMPUTED_VALUE"""),41369.645833333336)</f>
        <v>41369.64583</v>
      </c>
      <c r="C235" s="2">
        <f>IFERROR(__xludf.DUMMYFUNCTION("""COMPUTED_VALUE"""),264.0)</f>
        <v>264</v>
      </c>
    </row>
    <row r="236" ht="15.75" customHeight="1">
      <c r="B236" s="3">
        <f>IFERROR(__xludf.DUMMYFUNCTION("""COMPUTED_VALUE"""),41376.645833333336)</f>
        <v>41376.64583</v>
      </c>
      <c r="C236" s="2">
        <f>IFERROR(__xludf.DUMMYFUNCTION("""COMPUTED_VALUE"""),255.4)</f>
        <v>255.4</v>
      </c>
    </row>
    <row r="237" ht="15.75" customHeight="1">
      <c r="B237" s="3">
        <f>IFERROR(__xludf.DUMMYFUNCTION("""COMPUTED_VALUE"""),41382.645833333336)</f>
        <v>41382.64583</v>
      </c>
      <c r="C237" s="2">
        <f>IFERROR(__xludf.DUMMYFUNCTION("""COMPUTED_VALUE"""),290.0)</f>
        <v>290</v>
      </c>
    </row>
    <row r="238" ht="15.75" customHeight="1">
      <c r="B238" s="3">
        <f>IFERROR(__xludf.DUMMYFUNCTION("""COMPUTED_VALUE"""),41390.645833333336)</f>
        <v>41390.64583</v>
      </c>
      <c r="C238" s="2">
        <f>IFERROR(__xludf.DUMMYFUNCTION("""COMPUTED_VALUE"""),304.0)</f>
        <v>304</v>
      </c>
    </row>
    <row r="239" ht="15.75" customHeight="1">
      <c r="B239" s="3">
        <f>IFERROR(__xludf.DUMMYFUNCTION("""COMPUTED_VALUE"""),41397.645833333336)</f>
        <v>41397.64583</v>
      </c>
      <c r="C239" s="2">
        <f>IFERROR(__xludf.DUMMYFUNCTION("""COMPUTED_VALUE"""),305.75)</f>
        <v>305.75</v>
      </c>
    </row>
    <row r="240" ht="15.75" customHeight="1">
      <c r="B240" s="3">
        <f>IFERROR(__xludf.DUMMYFUNCTION("""COMPUTED_VALUE"""),41411.645833333336)</f>
        <v>41411.64583</v>
      </c>
      <c r="C240" s="2">
        <f>IFERROR(__xludf.DUMMYFUNCTION("""COMPUTED_VALUE"""),308.19)</f>
        <v>308.19</v>
      </c>
    </row>
    <row r="241" ht="15.75" customHeight="1">
      <c r="B241" s="3">
        <f>IFERROR(__xludf.DUMMYFUNCTION("""COMPUTED_VALUE"""),41418.645833333336)</f>
        <v>41418.64583</v>
      </c>
      <c r="C241" s="2">
        <f>IFERROR(__xludf.DUMMYFUNCTION("""COMPUTED_VALUE"""),309.98)</f>
        <v>309.98</v>
      </c>
    </row>
    <row r="242" ht="15.75" customHeight="1">
      <c r="B242" s="3">
        <f>IFERROR(__xludf.DUMMYFUNCTION("""COMPUTED_VALUE"""),41425.645833333336)</f>
        <v>41425.64583</v>
      </c>
      <c r="C242" s="2">
        <f>IFERROR(__xludf.DUMMYFUNCTION("""COMPUTED_VALUE"""),297.6)</f>
        <v>297.6</v>
      </c>
    </row>
    <row r="243" ht="15.75" customHeight="1">
      <c r="B243" s="3">
        <f>IFERROR(__xludf.DUMMYFUNCTION("""COMPUTED_VALUE"""),41432.645833333336)</f>
        <v>41432.64583</v>
      </c>
      <c r="C243" s="2">
        <f>IFERROR(__xludf.DUMMYFUNCTION("""COMPUTED_VALUE"""),288.8)</f>
        <v>288.8</v>
      </c>
    </row>
    <row r="244" ht="15.75" customHeight="1">
      <c r="B244" s="3">
        <f>IFERROR(__xludf.DUMMYFUNCTION("""COMPUTED_VALUE"""),41439.645833333336)</f>
        <v>41439.64583</v>
      </c>
      <c r="C244" s="2">
        <f>IFERROR(__xludf.DUMMYFUNCTION("""COMPUTED_VALUE"""),277.87)</f>
        <v>277.87</v>
      </c>
    </row>
    <row r="245" ht="15.75" customHeight="1">
      <c r="B245" s="3">
        <f>IFERROR(__xludf.DUMMYFUNCTION("""COMPUTED_VALUE"""),41446.645833333336)</f>
        <v>41446.64583</v>
      </c>
      <c r="C245" s="2">
        <f>IFERROR(__xludf.DUMMYFUNCTION("""COMPUTED_VALUE"""),264.21)</f>
        <v>264.21</v>
      </c>
    </row>
    <row r="246" ht="15.75" customHeight="1">
      <c r="B246" s="3">
        <f>IFERROR(__xludf.DUMMYFUNCTION("""COMPUTED_VALUE"""),41453.645833333336)</f>
        <v>41453.64583</v>
      </c>
      <c r="C246" s="2">
        <f>IFERROR(__xludf.DUMMYFUNCTION("""COMPUTED_VALUE"""),266.4)</f>
        <v>266.4</v>
      </c>
    </row>
    <row r="247" ht="15.75" customHeight="1">
      <c r="B247" s="3">
        <f>IFERROR(__xludf.DUMMYFUNCTION("""COMPUTED_VALUE"""),41460.645833333336)</f>
        <v>41460.64583</v>
      </c>
      <c r="C247" s="2">
        <f>IFERROR(__xludf.DUMMYFUNCTION("""COMPUTED_VALUE"""),270.98)</f>
        <v>270.98</v>
      </c>
    </row>
    <row r="248" ht="15.75" customHeight="1">
      <c r="B248" s="3">
        <f>IFERROR(__xludf.DUMMYFUNCTION("""COMPUTED_VALUE"""),41467.645833333336)</f>
        <v>41467.64583</v>
      </c>
      <c r="C248" s="2">
        <f>IFERROR(__xludf.DUMMYFUNCTION("""COMPUTED_VALUE"""),259.98)</f>
        <v>259.98</v>
      </c>
    </row>
    <row r="249" ht="15.75" customHeight="1">
      <c r="B249" s="3">
        <f>IFERROR(__xludf.DUMMYFUNCTION("""COMPUTED_VALUE"""),41474.645833333336)</f>
        <v>41474.64583</v>
      </c>
      <c r="C249" s="2">
        <f>IFERROR(__xludf.DUMMYFUNCTION("""COMPUTED_VALUE"""),262.99)</f>
        <v>262.99</v>
      </c>
    </row>
    <row r="250" ht="15.75" customHeight="1">
      <c r="B250" s="3">
        <f>IFERROR(__xludf.DUMMYFUNCTION("""COMPUTED_VALUE"""),41481.645833333336)</f>
        <v>41481.64583</v>
      </c>
      <c r="C250" s="2">
        <f>IFERROR(__xludf.DUMMYFUNCTION("""COMPUTED_VALUE"""),243.96)</f>
        <v>243.96</v>
      </c>
    </row>
    <row r="251" ht="15.75" customHeight="1">
      <c r="B251" s="3">
        <f>IFERROR(__xludf.DUMMYFUNCTION("""COMPUTED_VALUE"""),41488.645833333336)</f>
        <v>41488.64583</v>
      </c>
      <c r="C251" s="2">
        <f>IFERROR(__xludf.DUMMYFUNCTION("""COMPUTED_VALUE"""),226.52)</f>
        <v>226.52</v>
      </c>
    </row>
    <row r="252" ht="15.75" customHeight="1">
      <c r="B252" s="3">
        <f>IFERROR(__xludf.DUMMYFUNCTION("""COMPUTED_VALUE"""),41494.645833333336)</f>
        <v>41494.64583</v>
      </c>
      <c r="C252" s="2">
        <f>IFERROR(__xludf.DUMMYFUNCTION("""COMPUTED_VALUE"""),225.8)</f>
        <v>225.8</v>
      </c>
    </row>
    <row r="253" ht="15.75" customHeight="1">
      <c r="B253" s="3">
        <f>IFERROR(__xludf.DUMMYFUNCTION("""COMPUTED_VALUE"""),41502.645833333336)</f>
        <v>41502.64583</v>
      </c>
      <c r="C253" s="2">
        <f>IFERROR(__xludf.DUMMYFUNCTION("""COMPUTED_VALUE"""),232.5)</f>
        <v>232.5</v>
      </c>
    </row>
    <row r="254" ht="15.75" customHeight="1">
      <c r="B254" s="3">
        <f>IFERROR(__xludf.DUMMYFUNCTION("""COMPUTED_VALUE"""),41509.645833333336)</f>
        <v>41509.64583</v>
      </c>
      <c r="C254" s="2">
        <f>IFERROR(__xludf.DUMMYFUNCTION("""COMPUTED_VALUE"""),213.56)</f>
        <v>213.56</v>
      </c>
    </row>
    <row r="255" ht="15.75" customHeight="1">
      <c r="B255" s="3">
        <f>IFERROR(__xludf.DUMMYFUNCTION("""COMPUTED_VALUE"""),41516.645833333336)</f>
        <v>41516.64583</v>
      </c>
      <c r="C255" s="2">
        <f>IFERROR(__xludf.DUMMYFUNCTION("""COMPUTED_VALUE"""),198.87)</f>
        <v>198.87</v>
      </c>
    </row>
    <row r="256" ht="15.75" customHeight="1">
      <c r="B256" s="3">
        <f>IFERROR(__xludf.DUMMYFUNCTION("""COMPUTED_VALUE"""),41523.645833333336)</f>
        <v>41523.64583</v>
      </c>
      <c r="C256" s="2">
        <f>IFERROR(__xludf.DUMMYFUNCTION("""COMPUTED_VALUE"""),192.59)</f>
        <v>192.59</v>
      </c>
    </row>
    <row r="257" ht="15.75" customHeight="1">
      <c r="B257" s="3">
        <f>IFERROR(__xludf.DUMMYFUNCTION("""COMPUTED_VALUE"""),41530.645833333336)</f>
        <v>41530.64583</v>
      </c>
      <c r="C257" s="2">
        <f>IFERROR(__xludf.DUMMYFUNCTION("""COMPUTED_VALUE"""),214.6)</f>
        <v>214.6</v>
      </c>
    </row>
    <row r="258" ht="15.75" customHeight="1">
      <c r="B258" s="3">
        <f>IFERROR(__xludf.DUMMYFUNCTION("""COMPUTED_VALUE"""),41537.645833333336)</f>
        <v>41537.64583</v>
      </c>
      <c r="C258" s="2">
        <f>IFERROR(__xludf.DUMMYFUNCTION("""COMPUTED_VALUE"""),234.56)</f>
        <v>234.56</v>
      </c>
    </row>
    <row r="259" ht="15.75" customHeight="1">
      <c r="B259" s="3">
        <f>IFERROR(__xludf.DUMMYFUNCTION("""COMPUTED_VALUE"""),41544.645833333336)</f>
        <v>41544.64583</v>
      </c>
      <c r="C259" s="2">
        <f>IFERROR(__xludf.DUMMYFUNCTION("""COMPUTED_VALUE"""),216.98)</f>
        <v>216.98</v>
      </c>
    </row>
    <row r="260" ht="15.75" customHeight="1">
      <c r="B260" s="3">
        <f>IFERROR(__xludf.DUMMYFUNCTION("""COMPUTED_VALUE"""),41551.645833333336)</f>
        <v>41551.64583</v>
      </c>
      <c r="C260" s="2">
        <f>IFERROR(__xludf.DUMMYFUNCTION("""COMPUTED_VALUE"""),224.6)</f>
        <v>224.6</v>
      </c>
    </row>
    <row r="261" ht="15.75" customHeight="1">
      <c r="B261" s="3">
        <f>IFERROR(__xludf.DUMMYFUNCTION("""COMPUTED_VALUE"""),41558.645833333336)</f>
        <v>41558.64583</v>
      </c>
      <c r="C261" s="2">
        <f>IFERROR(__xludf.DUMMYFUNCTION("""COMPUTED_VALUE"""),223.8)</f>
        <v>223.8</v>
      </c>
    </row>
    <row r="262" ht="15.75" customHeight="1">
      <c r="B262" s="3">
        <f>IFERROR(__xludf.DUMMYFUNCTION("""COMPUTED_VALUE"""),41565.645833333336)</f>
        <v>41565.64583</v>
      </c>
      <c r="C262" s="2">
        <f>IFERROR(__xludf.DUMMYFUNCTION("""COMPUTED_VALUE"""),232.2)</f>
        <v>232.2</v>
      </c>
    </row>
    <row r="263" ht="15.75" customHeight="1">
      <c r="B263" s="3">
        <f>IFERROR(__xludf.DUMMYFUNCTION("""COMPUTED_VALUE"""),41572.645833333336)</f>
        <v>41572.64583</v>
      </c>
      <c r="C263" s="2">
        <f>IFERROR(__xludf.DUMMYFUNCTION("""COMPUTED_VALUE"""),244.94)</f>
        <v>244.94</v>
      </c>
    </row>
    <row r="264" ht="15.75" customHeight="1">
      <c r="B264" s="3">
        <f>IFERROR(__xludf.DUMMYFUNCTION("""COMPUTED_VALUE"""),41579.645833333336)</f>
        <v>41579.64583</v>
      </c>
      <c r="C264" s="2">
        <f>IFERROR(__xludf.DUMMYFUNCTION("""COMPUTED_VALUE"""),252.3)</f>
        <v>252.3</v>
      </c>
    </row>
    <row r="265" ht="15.75" customHeight="1">
      <c r="B265" s="3">
        <f>IFERROR(__xludf.DUMMYFUNCTION("""COMPUTED_VALUE"""),41586.645833333336)</f>
        <v>41586.64583</v>
      </c>
      <c r="C265" s="2">
        <f>IFERROR(__xludf.DUMMYFUNCTION("""COMPUTED_VALUE"""),251.48)</f>
        <v>251.48</v>
      </c>
    </row>
    <row r="266" ht="15.75" customHeight="1">
      <c r="B266" s="3">
        <f>IFERROR(__xludf.DUMMYFUNCTION("""COMPUTED_VALUE"""),41592.645833333336)</f>
        <v>41592.64583</v>
      </c>
      <c r="C266" s="2">
        <f>IFERROR(__xludf.DUMMYFUNCTION("""COMPUTED_VALUE"""),221.72)</f>
        <v>221.72</v>
      </c>
    </row>
    <row r="267" ht="15.75" customHeight="1">
      <c r="B267" s="3">
        <f>IFERROR(__xludf.DUMMYFUNCTION("""COMPUTED_VALUE"""),41600.645833333336)</f>
        <v>41600.64583</v>
      </c>
      <c r="C267" s="2">
        <f>IFERROR(__xludf.DUMMYFUNCTION("""COMPUTED_VALUE"""),231.18)</f>
        <v>231.18</v>
      </c>
    </row>
    <row r="268" ht="15.75" customHeight="1">
      <c r="B268" s="3">
        <f>IFERROR(__xludf.DUMMYFUNCTION("""COMPUTED_VALUE"""),41607.645833333336)</f>
        <v>41607.64583</v>
      </c>
      <c r="C268" s="2">
        <f>IFERROR(__xludf.DUMMYFUNCTION("""COMPUTED_VALUE"""),231.98)</f>
        <v>231.98</v>
      </c>
    </row>
    <row r="269" ht="15.75" customHeight="1">
      <c r="B269" s="3">
        <f>IFERROR(__xludf.DUMMYFUNCTION("""COMPUTED_VALUE"""),41614.645833333336)</f>
        <v>41614.64583</v>
      </c>
      <c r="C269" s="2">
        <f>IFERROR(__xludf.DUMMYFUNCTION("""COMPUTED_VALUE"""),257.8)</f>
        <v>257.8</v>
      </c>
    </row>
    <row r="270" ht="15.75" customHeight="1">
      <c r="B270" s="3">
        <f>IFERROR(__xludf.DUMMYFUNCTION("""COMPUTED_VALUE"""),41621.645833333336)</f>
        <v>41621.64583</v>
      </c>
      <c r="C270" s="2">
        <f>IFERROR(__xludf.DUMMYFUNCTION("""COMPUTED_VALUE"""),268.52)</f>
        <v>268.52</v>
      </c>
    </row>
    <row r="271" ht="15.75" customHeight="1">
      <c r="B271" s="3">
        <f>IFERROR(__xludf.DUMMYFUNCTION("""COMPUTED_VALUE"""),41628.645833333336)</f>
        <v>41628.64583</v>
      </c>
      <c r="C271" s="2">
        <f>IFERROR(__xludf.DUMMYFUNCTION("""COMPUTED_VALUE"""),261.0)</f>
        <v>261</v>
      </c>
    </row>
    <row r="272" ht="15.75" customHeight="1">
      <c r="B272" s="3">
        <f>IFERROR(__xludf.DUMMYFUNCTION("""COMPUTED_VALUE"""),41635.645833333336)</f>
        <v>41635.64583</v>
      </c>
      <c r="C272" s="2">
        <f>IFERROR(__xludf.DUMMYFUNCTION("""COMPUTED_VALUE"""),263.8)</f>
        <v>263.8</v>
      </c>
    </row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IFERROR(__xludf.DUMMYFUNCTION("GOOGLEFINANCE(""NSE:AXISBANK"", ""high"",DATE(2014,1,1),DATE(2015,1,1),""weekly"")"),"Date")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IFERROR(__xludf.DUMMYFUNCTION("""COMPUTED_VALUE"""),41642.645833333336)</f>
        <v>41642.64583</v>
      </c>
      <c r="C277" s="2">
        <f>IFERROR(__xludf.DUMMYFUNCTION("""COMPUTED_VALUE"""),265.0)</f>
        <v>265</v>
      </c>
    </row>
    <row r="278" ht="15.75" customHeight="1">
      <c r="B278" s="3">
        <f>IFERROR(__xludf.DUMMYFUNCTION("""COMPUTED_VALUE"""),41649.645833333336)</f>
        <v>41649.64583</v>
      </c>
      <c r="C278" s="2">
        <f>IFERROR(__xludf.DUMMYFUNCTION("""COMPUTED_VALUE"""),253.16)</f>
        <v>253.16</v>
      </c>
    </row>
    <row r="279" ht="15.75" customHeight="1">
      <c r="B279" s="3">
        <f>IFERROR(__xludf.DUMMYFUNCTION("""COMPUTED_VALUE"""),41656.645833333336)</f>
        <v>41656.64583</v>
      </c>
      <c r="C279" s="2">
        <f>IFERROR(__xludf.DUMMYFUNCTION("""COMPUTED_VALUE"""),240.0)</f>
        <v>240</v>
      </c>
    </row>
    <row r="280" ht="15.75" customHeight="1">
      <c r="B280" s="3">
        <f>IFERROR(__xludf.DUMMYFUNCTION("""COMPUTED_VALUE"""),41663.645833333336)</f>
        <v>41663.64583</v>
      </c>
      <c r="C280" s="2">
        <f>IFERROR(__xludf.DUMMYFUNCTION("""COMPUTED_VALUE"""),245.76)</f>
        <v>245.76</v>
      </c>
    </row>
    <row r="281" ht="15.75" customHeight="1">
      <c r="B281" s="3">
        <f>IFERROR(__xludf.DUMMYFUNCTION("""COMPUTED_VALUE"""),41670.645833333336)</f>
        <v>41670.64583</v>
      </c>
      <c r="C281" s="2">
        <f>IFERROR(__xludf.DUMMYFUNCTION("""COMPUTED_VALUE"""),236.72)</f>
        <v>236.72</v>
      </c>
    </row>
    <row r="282" ht="15.75" customHeight="1">
      <c r="B282" s="3">
        <f>IFERROR(__xludf.DUMMYFUNCTION("""COMPUTED_VALUE"""),41677.645833333336)</f>
        <v>41677.64583</v>
      </c>
      <c r="C282" s="2">
        <f>IFERROR(__xludf.DUMMYFUNCTION("""COMPUTED_VALUE"""),227.2)</f>
        <v>227.2</v>
      </c>
    </row>
    <row r="283" ht="15.75" customHeight="1">
      <c r="B283" s="3">
        <f>IFERROR(__xludf.DUMMYFUNCTION("""COMPUTED_VALUE"""),41684.645833333336)</f>
        <v>41684.64583</v>
      </c>
      <c r="C283" s="2">
        <f>IFERROR(__xludf.DUMMYFUNCTION("""COMPUTED_VALUE"""),227.88)</f>
        <v>227.88</v>
      </c>
    </row>
    <row r="284" ht="15.75" customHeight="1">
      <c r="B284" s="3">
        <f>IFERROR(__xludf.DUMMYFUNCTION("""COMPUTED_VALUE"""),41691.645833333336)</f>
        <v>41691.64583</v>
      </c>
      <c r="C284" s="2">
        <f>IFERROR(__xludf.DUMMYFUNCTION("""COMPUTED_VALUE"""),239.6)</f>
        <v>239.6</v>
      </c>
    </row>
    <row r="285" ht="15.75" customHeight="1">
      <c r="B285" s="3">
        <f>IFERROR(__xludf.DUMMYFUNCTION("""COMPUTED_VALUE"""),41698.645833333336)</f>
        <v>41698.64583</v>
      </c>
      <c r="C285" s="2">
        <f>IFERROR(__xludf.DUMMYFUNCTION("""COMPUTED_VALUE"""),254.32)</f>
        <v>254.32</v>
      </c>
    </row>
    <row r="286" ht="15.75" customHeight="1">
      <c r="B286" s="3">
        <f>IFERROR(__xludf.DUMMYFUNCTION("""COMPUTED_VALUE"""),41705.645833333336)</f>
        <v>41705.64583</v>
      </c>
      <c r="C286" s="2">
        <f>IFERROR(__xludf.DUMMYFUNCTION("""COMPUTED_VALUE"""),284.73)</f>
        <v>284.73</v>
      </c>
    </row>
    <row r="287" ht="15.75" customHeight="1">
      <c r="B287" s="3">
        <f>IFERROR(__xludf.DUMMYFUNCTION("""COMPUTED_VALUE"""),41712.645833333336)</f>
        <v>41712.64583</v>
      </c>
      <c r="C287" s="2">
        <f>IFERROR(__xludf.DUMMYFUNCTION("""COMPUTED_VALUE"""),290.6)</f>
        <v>290.6</v>
      </c>
    </row>
    <row r="288" ht="15.75" customHeight="1">
      <c r="B288" s="3">
        <f>IFERROR(__xludf.DUMMYFUNCTION("""COMPUTED_VALUE"""),41726.645833333336)</f>
        <v>41726.64583</v>
      </c>
      <c r="C288" s="2">
        <f>IFERROR(__xludf.DUMMYFUNCTION("""COMPUTED_VALUE"""),293.98)</f>
        <v>293.98</v>
      </c>
    </row>
    <row r="289" ht="15.75" customHeight="1">
      <c r="B289" s="3">
        <f>IFERROR(__xludf.DUMMYFUNCTION("""COMPUTED_VALUE"""),41733.645833333336)</f>
        <v>41733.64583</v>
      </c>
      <c r="C289" s="2">
        <f>IFERROR(__xludf.DUMMYFUNCTION("""COMPUTED_VALUE"""),295.78)</f>
        <v>295.78</v>
      </c>
    </row>
    <row r="290" ht="15.75" customHeight="1">
      <c r="B290" s="3">
        <f>IFERROR(__xludf.DUMMYFUNCTION("""COMPUTED_VALUE"""),41740.645833333336)</f>
        <v>41740.64583</v>
      </c>
      <c r="C290" s="2">
        <f>IFERROR(__xludf.DUMMYFUNCTION("""COMPUTED_VALUE"""),303.52)</f>
        <v>303.52</v>
      </c>
    </row>
    <row r="291" ht="15.75" customHeight="1">
      <c r="B291" s="3">
        <f>IFERROR(__xludf.DUMMYFUNCTION("""COMPUTED_VALUE"""),41746.645833333336)</f>
        <v>41746.64583</v>
      </c>
      <c r="C291" s="2">
        <f>IFERROR(__xludf.DUMMYFUNCTION("""COMPUTED_VALUE"""),299.07)</f>
        <v>299.07</v>
      </c>
    </row>
    <row r="292" ht="15.75" customHeight="1">
      <c r="B292" s="3">
        <f>IFERROR(__xludf.DUMMYFUNCTION("""COMPUTED_VALUE"""),41754.645833333336)</f>
        <v>41754.64583</v>
      </c>
      <c r="C292" s="2">
        <f>IFERROR(__xludf.DUMMYFUNCTION("""COMPUTED_VALUE"""),309.6)</f>
        <v>309.6</v>
      </c>
    </row>
    <row r="293" ht="15.75" customHeight="1">
      <c r="B293" s="3">
        <f>IFERROR(__xludf.DUMMYFUNCTION("""COMPUTED_VALUE"""),41761.645833333336)</f>
        <v>41761.64583</v>
      </c>
      <c r="C293" s="2">
        <f>IFERROR(__xludf.DUMMYFUNCTION("""COMPUTED_VALUE"""),310.96)</f>
        <v>310.96</v>
      </c>
    </row>
    <row r="294" ht="15.75" customHeight="1">
      <c r="B294" s="3">
        <f>IFERROR(__xludf.DUMMYFUNCTION("""COMPUTED_VALUE"""),41768.645833333336)</f>
        <v>41768.64583</v>
      </c>
      <c r="C294" s="2">
        <f>IFERROR(__xludf.DUMMYFUNCTION("""COMPUTED_VALUE"""),330.0)</f>
        <v>330</v>
      </c>
    </row>
    <row r="295" ht="15.75" customHeight="1">
      <c r="B295" s="3">
        <f>IFERROR(__xludf.DUMMYFUNCTION("""COMPUTED_VALUE"""),41775.645833333336)</f>
        <v>41775.64583</v>
      </c>
      <c r="C295" s="2">
        <f>IFERROR(__xludf.DUMMYFUNCTION("""COMPUTED_VALUE"""),369.81)</f>
        <v>369.81</v>
      </c>
    </row>
    <row r="296" ht="15.75" customHeight="1">
      <c r="B296" s="3">
        <f>IFERROR(__xludf.DUMMYFUNCTION("""COMPUTED_VALUE"""),41782.645833333336)</f>
        <v>41782.64583</v>
      </c>
      <c r="C296" s="2">
        <f>IFERROR(__xludf.DUMMYFUNCTION("""COMPUTED_VALUE"""),379.88)</f>
        <v>379.88</v>
      </c>
    </row>
    <row r="297" ht="15.75" customHeight="1">
      <c r="B297" s="3">
        <f>IFERROR(__xludf.DUMMYFUNCTION("""COMPUTED_VALUE"""),41789.645833333336)</f>
        <v>41789.64583</v>
      </c>
      <c r="C297" s="2">
        <f>IFERROR(__xludf.DUMMYFUNCTION("""COMPUTED_VALUE"""),385.76)</f>
        <v>385.76</v>
      </c>
    </row>
    <row r="298" ht="15.75" customHeight="1">
      <c r="B298" s="3">
        <f>IFERROR(__xludf.DUMMYFUNCTION("""COMPUTED_VALUE"""),41796.645833333336)</f>
        <v>41796.64583</v>
      </c>
      <c r="C298" s="2">
        <f>IFERROR(__xludf.DUMMYFUNCTION("""COMPUTED_VALUE"""),396.7)</f>
        <v>396.7</v>
      </c>
    </row>
    <row r="299" ht="15.75" customHeight="1">
      <c r="B299" s="3">
        <f>IFERROR(__xludf.DUMMYFUNCTION("""COMPUTED_VALUE"""),41803.645833333336)</f>
        <v>41803.64583</v>
      </c>
      <c r="C299" s="2">
        <f>IFERROR(__xludf.DUMMYFUNCTION("""COMPUTED_VALUE"""),397.92)</f>
        <v>397.92</v>
      </c>
    </row>
    <row r="300" ht="15.75" customHeight="1">
      <c r="B300" s="3">
        <f>IFERROR(__xludf.DUMMYFUNCTION("""COMPUTED_VALUE"""),41810.645833333336)</f>
        <v>41810.64583</v>
      </c>
      <c r="C300" s="2">
        <f>IFERROR(__xludf.DUMMYFUNCTION("""COMPUTED_VALUE"""),376.74)</f>
        <v>376.74</v>
      </c>
    </row>
    <row r="301" ht="15.75" customHeight="1">
      <c r="B301" s="3">
        <f>IFERROR(__xludf.DUMMYFUNCTION("""COMPUTED_VALUE"""),41817.645833333336)</f>
        <v>41817.64583</v>
      </c>
      <c r="C301" s="2">
        <f>IFERROR(__xludf.DUMMYFUNCTION("""COMPUTED_VALUE"""),387.8)</f>
        <v>387.8</v>
      </c>
    </row>
    <row r="302" ht="15.75" customHeight="1">
      <c r="B302" s="3">
        <f>IFERROR(__xludf.DUMMYFUNCTION("""COMPUTED_VALUE"""),41824.645833333336)</f>
        <v>41824.64583</v>
      </c>
      <c r="C302" s="2">
        <f>IFERROR(__xludf.DUMMYFUNCTION("""COMPUTED_VALUE"""),390.0)</f>
        <v>390</v>
      </c>
    </row>
    <row r="303" ht="15.75" customHeight="1">
      <c r="B303" s="3">
        <f>IFERROR(__xludf.DUMMYFUNCTION("""COMPUTED_VALUE"""),41831.645833333336)</f>
        <v>41831.64583</v>
      </c>
      <c r="C303" s="2">
        <f>IFERROR(__xludf.DUMMYFUNCTION("""COMPUTED_VALUE"""),388.43)</f>
        <v>388.43</v>
      </c>
    </row>
    <row r="304" ht="15.75" customHeight="1">
      <c r="B304" s="3">
        <f>IFERROR(__xludf.DUMMYFUNCTION("""COMPUTED_VALUE"""),41838.645833333336)</f>
        <v>41838.64583</v>
      </c>
      <c r="C304" s="2">
        <f>IFERROR(__xludf.DUMMYFUNCTION("""COMPUTED_VALUE"""),401.97)</f>
        <v>401.97</v>
      </c>
    </row>
    <row r="305" ht="15.75" customHeight="1">
      <c r="B305" s="3">
        <f>IFERROR(__xludf.DUMMYFUNCTION("""COMPUTED_VALUE"""),41845.645833333336)</f>
        <v>41845.64583</v>
      </c>
      <c r="C305" s="2">
        <f>IFERROR(__xludf.DUMMYFUNCTION("""COMPUTED_VALUE"""),408.61)</f>
        <v>408.61</v>
      </c>
    </row>
    <row r="306" ht="15.75" customHeight="1">
      <c r="B306" s="3">
        <f>IFERROR(__xludf.DUMMYFUNCTION("""COMPUTED_VALUE"""),41852.645833333336)</f>
        <v>41852.64583</v>
      </c>
      <c r="C306" s="2">
        <f>IFERROR(__xludf.DUMMYFUNCTION("""COMPUTED_VALUE"""),407.35)</f>
        <v>407.35</v>
      </c>
    </row>
    <row r="307" ht="15.75" customHeight="1">
      <c r="B307" s="3">
        <f>IFERROR(__xludf.DUMMYFUNCTION("""COMPUTED_VALUE"""),41859.645833333336)</f>
        <v>41859.64583</v>
      </c>
      <c r="C307" s="2">
        <f>IFERROR(__xludf.DUMMYFUNCTION("""COMPUTED_VALUE"""),395.5)</f>
        <v>395.5</v>
      </c>
    </row>
    <row r="308" ht="15.75" customHeight="1">
      <c r="B308" s="3">
        <f>IFERROR(__xludf.DUMMYFUNCTION("""COMPUTED_VALUE"""),41865.645833333336)</f>
        <v>41865.64583</v>
      </c>
      <c r="C308" s="2">
        <f>IFERROR(__xludf.DUMMYFUNCTION("""COMPUTED_VALUE"""),383.15)</f>
        <v>383.15</v>
      </c>
    </row>
    <row r="309" ht="15.75" customHeight="1">
      <c r="B309" s="3">
        <f>IFERROR(__xludf.DUMMYFUNCTION("""COMPUTED_VALUE"""),41873.645833333336)</f>
        <v>41873.64583</v>
      </c>
      <c r="C309" s="2">
        <f>IFERROR(__xludf.DUMMYFUNCTION("""COMPUTED_VALUE"""),405.0)</f>
        <v>405</v>
      </c>
    </row>
    <row r="310" ht="15.75" customHeight="1">
      <c r="B310" s="3">
        <f>IFERROR(__xludf.DUMMYFUNCTION("""COMPUTED_VALUE"""),41879.645833333336)</f>
        <v>41879.64583</v>
      </c>
      <c r="C310" s="2">
        <f>IFERROR(__xludf.DUMMYFUNCTION("""COMPUTED_VALUE"""),407.35)</f>
        <v>407.35</v>
      </c>
    </row>
    <row r="311" ht="15.75" customHeight="1">
      <c r="B311" s="3">
        <f>IFERROR(__xludf.DUMMYFUNCTION("""COMPUTED_VALUE"""),41887.645833333336)</f>
        <v>41887.64583</v>
      </c>
      <c r="C311" s="2">
        <f>IFERROR(__xludf.DUMMYFUNCTION("""COMPUTED_VALUE"""),419.25)</f>
        <v>419.25</v>
      </c>
    </row>
    <row r="312" ht="15.75" customHeight="1">
      <c r="B312" s="3">
        <f>IFERROR(__xludf.DUMMYFUNCTION("""COMPUTED_VALUE"""),41894.645833333336)</f>
        <v>41894.64583</v>
      </c>
      <c r="C312" s="2">
        <f>IFERROR(__xludf.DUMMYFUNCTION("""COMPUTED_VALUE"""),423.8)</f>
        <v>423.8</v>
      </c>
    </row>
    <row r="313" ht="15.75" customHeight="1">
      <c r="B313" s="3">
        <f>IFERROR(__xludf.DUMMYFUNCTION("""COMPUTED_VALUE"""),41901.645833333336)</f>
        <v>41901.64583</v>
      </c>
      <c r="C313" s="2">
        <f>IFERROR(__xludf.DUMMYFUNCTION("""COMPUTED_VALUE"""),414.9)</f>
        <v>414.9</v>
      </c>
    </row>
    <row r="314" ht="15.75" customHeight="1">
      <c r="B314" s="3">
        <f>IFERROR(__xludf.DUMMYFUNCTION("""COMPUTED_VALUE"""),41908.645833333336)</f>
        <v>41908.64583</v>
      </c>
      <c r="C314" s="2">
        <f>IFERROR(__xludf.DUMMYFUNCTION("""COMPUTED_VALUE"""),412.0)</f>
        <v>412</v>
      </c>
    </row>
    <row r="315" ht="15.75" customHeight="1">
      <c r="B315" s="3">
        <f>IFERROR(__xludf.DUMMYFUNCTION("""COMPUTED_VALUE"""),41913.645833333336)</f>
        <v>41913.64583</v>
      </c>
      <c r="C315" s="2">
        <f>IFERROR(__xludf.DUMMYFUNCTION("""COMPUTED_VALUE"""),391.7)</f>
        <v>391.7</v>
      </c>
    </row>
    <row r="316" ht="15.75" customHeight="1">
      <c r="B316" s="3">
        <f>IFERROR(__xludf.DUMMYFUNCTION("""COMPUTED_VALUE"""),41922.645833333336)</f>
        <v>41922.64583</v>
      </c>
      <c r="C316" s="2">
        <f>IFERROR(__xludf.DUMMYFUNCTION("""COMPUTED_VALUE"""),389.8)</f>
        <v>389.8</v>
      </c>
    </row>
    <row r="317" ht="15.75" customHeight="1">
      <c r="B317" s="3">
        <f>IFERROR(__xludf.DUMMYFUNCTION("""COMPUTED_VALUE"""),41929.645833333336)</f>
        <v>41929.64583</v>
      </c>
      <c r="C317" s="2">
        <f>IFERROR(__xludf.DUMMYFUNCTION("""COMPUTED_VALUE"""),405.0)</f>
        <v>405</v>
      </c>
    </row>
    <row r="318" ht="15.75" customHeight="1">
      <c r="B318" s="3">
        <f>IFERROR(__xludf.DUMMYFUNCTION("""COMPUTED_VALUE"""),41935.645833333336)</f>
        <v>41935.64583</v>
      </c>
      <c r="C318" s="2">
        <f>IFERROR(__xludf.DUMMYFUNCTION("""COMPUTED_VALUE"""),427.9)</f>
        <v>427.9</v>
      </c>
    </row>
    <row r="319" ht="15.75" customHeight="1">
      <c r="B319" s="3">
        <f>IFERROR(__xludf.DUMMYFUNCTION("""COMPUTED_VALUE"""),41943.645833333336)</f>
        <v>41943.64583</v>
      </c>
      <c r="C319" s="2">
        <f>IFERROR(__xludf.DUMMYFUNCTION("""COMPUTED_VALUE"""),440.4)</f>
        <v>440.4</v>
      </c>
    </row>
    <row r="320" ht="15.75" customHeight="1">
      <c r="B320" s="3">
        <f>IFERROR(__xludf.DUMMYFUNCTION("""COMPUTED_VALUE"""),41950.645833333336)</f>
        <v>41950.64583</v>
      </c>
      <c r="C320" s="2">
        <f>IFERROR(__xludf.DUMMYFUNCTION("""COMPUTED_VALUE"""),472.4)</f>
        <v>472.4</v>
      </c>
    </row>
    <row r="321" ht="15.75" customHeight="1">
      <c r="B321" s="3">
        <f>IFERROR(__xludf.DUMMYFUNCTION("""COMPUTED_VALUE"""),41957.64583333333)</f>
        <v>41957.64583</v>
      </c>
      <c r="C321" s="2">
        <f>IFERROR(__xludf.DUMMYFUNCTION("""COMPUTED_VALUE"""),485.9)</f>
        <v>485.9</v>
      </c>
    </row>
    <row r="322" ht="15.75" customHeight="1">
      <c r="B322" s="3">
        <f>IFERROR(__xludf.DUMMYFUNCTION("""COMPUTED_VALUE"""),41964.64583333333)</f>
        <v>41964.64583</v>
      </c>
      <c r="C322" s="2">
        <f>IFERROR(__xludf.DUMMYFUNCTION("""COMPUTED_VALUE"""),482.5)</f>
        <v>482.5</v>
      </c>
    </row>
    <row r="323" ht="15.75" customHeight="1">
      <c r="B323" s="3">
        <f>IFERROR(__xludf.DUMMYFUNCTION("""COMPUTED_VALUE"""),41971.64583333333)</f>
        <v>41971.64583</v>
      </c>
      <c r="C323" s="2">
        <f>IFERROR(__xludf.DUMMYFUNCTION("""COMPUTED_VALUE"""),485.8)</f>
        <v>485.8</v>
      </c>
    </row>
    <row r="324" ht="15.75" customHeight="1">
      <c r="B324" s="3">
        <f>IFERROR(__xludf.DUMMYFUNCTION("""COMPUTED_VALUE"""),41978.64583333333)</f>
        <v>41978.64583</v>
      </c>
      <c r="C324" s="2">
        <f>IFERROR(__xludf.DUMMYFUNCTION("""COMPUTED_VALUE"""),506.4)</f>
        <v>506.4</v>
      </c>
    </row>
    <row r="325" ht="15.75" customHeight="1">
      <c r="B325" s="3">
        <f>IFERROR(__xludf.DUMMYFUNCTION("""COMPUTED_VALUE"""),41985.64583333333)</f>
        <v>41985.64583</v>
      </c>
      <c r="C325" s="2">
        <f>IFERROR(__xludf.DUMMYFUNCTION("""COMPUTED_VALUE"""),503.0)</f>
        <v>503</v>
      </c>
    </row>
    <row r="326" ht="15.75" customHeight="1">
      <c r="B326" s="3">
        <f>IFERROR(__xludf.DUMMYFUNCTION("""COMPUTED_VALUE"""),41992.64583333333)</f>
        <v>41992.64583</v>
      </c>
      <c r="C326" s="2">
        <f>IFERROR(__xludf.DUMMYFUNCTION("""COMPUTED_VALUE"""),496.9)</f>
        <v>496.9</v>
      </c>
    </row>
    <row r="327" ht="15.75" customHeight="1">
      <c r="B327" s="3">
        <f>IFERROR(__xludf.DUMMYFUNCTION("""COMPUTED_VALUE"""),41999.64583333333)</f>
        <v>41999.64583</v>
      </c>
      <c r="C327" s="2">
        <f>IFERROR(__xludf.DUMMYFUNCTION("""COMPUTED_VALUE"""),506.0)</f>
        <v>506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IFERROR(__xludf.DUMMYFUNCTION("GOOGLEFINANCE(""NSE:AXISBANK"", ""high"",DATE(2015,1,1),DATE(2016,1,1),""weekly"")"),"Date")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IFERROR(__xludf.DUMMYFUNCTION("""COMPUTED_VALUE"""),42006.64583333333)</f>
        <v>42006.64583</v>
      </c>
      <c r="C332" s="2">
        <f>IFERROR(__xludf.DUMMYFUNCTION("""COMPUTED_VALUE"""),516.9)</f>
        <v>516.9</v>
      </c>
    </row>
    <row r="333" ht="15.75" customHeight="1">
      <c r="B333" s="3">
        <f>IFERROR(__xludf.DUMMYFUNCTION("""COMPUTED_VALUE"""),42013.64583333333)</f>
        <v>42013.64583</v>
      </c>
      <c r="C333" s="2">
        <f>IFERROR(__xludf.DUMMYFUNCTION("""COMPUTED_VALUE"""),520.4)</f>
        <v>520.4</v>
      </c>
    </row>
    <row r="334" ht="15.75" customHeight="1">
      <c r="B334" s="3">
        <f>IFERROR(__xludf.DUMMYFUNCTION("""COMPUTED_VALUE"""),42020.64583333333)</f>
        <v>42020.64583</v>
      </c>
      <c r="C334" s="2">
        <f>IFERROR(__xludf.DUMMYFUNCTION("""COMPUTED_VALUE"""),523.95)</f>
        <v>523.95</v>
      </c>
    </row>
    <row r="335" ht="15.75" customHeight="1">
      <c r="B335" s="3">
        <f>IFERROR(__xludf.DUMMYFUNCTION("""COMPUTED_VALUE"""),42027.64583333333)</f>
        <v>42027.64583</v>
      </c>
      <c r="C335" s="2">
        <f>IFERROR(__xludf.DUMMYFUNCTION("""COMPUTED_VALUE"""),577.4)</f>
        <v>577.4</v>
      </c>
    </row>
    <row r="336" ht="15.75" customHeight="1">
      <c r="B336" s="3">
        <f>IFERROR(__xludf.DUMMYFUNCTION("""COMPUTED_VALUE"""),42034.64583333333)</f>
        <v>42034.64583</v>
      </c>
      <c r="C336" s="2">
        <f>IFERROR(__xludf.DUMMYFUNCTION("""COMPUTED_VALUE"""),604.05)</f>
        <v>604.05</v>
      </c>
    </row>
    <row r="337" ht="15.75" customHeight="1">
      <c r="B337" s="3">
        <f>IFERROR(__xludf.DUMMYFUNCTION("""COMPUTED_VALUE"""),42041.64583333333)</f>
        <v>42041.64583</v>
      </c>
      <c r="C337" s="2">
        <f>IFERROR(__xludf.DUMMYFUNCTION("""COMPUTED_VALUE"""),625.6)</f>
        <v>625.6</v>
      </c>
    </row>
    <row r="338" ht="15.75" customHeight="1">
      <c r="B338" s="3">
        <f>IFERROR(__xludf.DUMMYFUNCTION("""COMPUTED_VALUE"""),42048.64583333333)</f>
        <v>42048.64583</v>
      </c>
      <c r="C338" s="2">
        <f>IFERROR(__xludf.DUMMYFUNCTION("""COMPUTED_VALUE"""),588.75)</f>
        <v>588.75</v>
      </c>
    </row>
    <row r="339" ht="15.75" customHeight="1">
      <c r="B339" s="3">
        <f>IFERROR(__xludf.DUMMYFUNCTION("""COMPUTED_VALUE"""),42055.64583333333)</f>
        <v>42055.64583</v>
      </c>
      <c r="C339" s="2">
        <f>IFERROR(__xludf.DUMMYFUNCTION("""COMPUTED_VALUE"""),584.0)</f>
        <v>584</v>
      </c>
    </row>
    <row r="340" ht="15.75" customHeight="1">
      <c r="B340" s="3">
        <f>IFERROR(__xludf.DUMMYFUNCTION("""COMPUTED_VALUE"""),42068.64583333333)</f>
        <v>42068.64583</v>
      </c>
      <c r="C340" s="2">
        <f>IFERROR(__xludf.DUMMYFUNCTION("""COMPUTED_VALUE"""),654.9)</f>
        <v>654.9</v>
      </c>
    </row>
    <row r="341" ht="15.75" customHeight="1">
      <c r="B341" s="3">
        <f>IFERROR(__xludf.DUMMYFUNCTION("""COMPUTED_VALUE"""),42076.64583333333)</f>
        <v>42076.64583</v>
      </c>
      <c r="C341" s="2">
        <f>IFERROR(__xludf.DUMMYFUNCTION("""COMPUTED_VALUE"""),610.0)</f>
        <v>610</v>
      </c>
    </row>
    <row r="342" ht="15.75" customHeight="1">
      <c r="B342" s="3">
        <f>IFERROR(__xludf.DUMMYFUNCTION("""COMPUTED_VALUE"""),42083.64583333333)</f>
        <v>42083.64583</v>
      </c>
      <c r="C342" s="2">
        <f>IFERROR(__xludf.DUMMYFUNCTION("""COMPUTED_VALUE"""),595.55)</f>
        <v>595.55</v>
      </c>
    </row>
    <row r="343" ht="15.75" customHeight="1">
      <c r="B343" s="3">
        <f>IFERROR(__xludf.DUMMYFUNCTION("""COMPUTED_VALUE"""),42090.64583333333)</f>
        <v>42090.64583</v>
      </c>
      <c r="C343" s="2">
        <f>IFERROR(__xludf.DUMMYFUNCTION("""COMPUTED_VALUE"""),567.15)</f>
        <v>567.15</v>
      </c>
    </row>
    <row r="344" ht="15.75" customHeight="1">
      <c r="B344" s="3">
        <f>IFERROR(__xludf.DUMMYFUNCTION("""COMPUTED_VALUE"""),42095.64583333333)</f>
        <v>42095.64583</v>
      </c>
      <c r="C344" s="2">
        <f>IFERROR(__xludf.DUMMYFUNCTION("""COMPUTED_VALUE"""),573.5)</f>
        <v>573.5</v>
      </c>
    </row>
    <row r="345" ht="15.75" customHeight="1">
      <c r="B345" s="3">
        <f>IFERROR(__xludf.DUMMYFUNCTION("""COMPUTED_VALUE"""),42104.64583333333)</f>
        <v>42104.64583</v>
      </c>
      <c r="C345" s="2">
        <f>IFERROR(__xludf.DUMMYFUNCTION("""COMPUTED_VALUE"""),577.0)</f>
        <v>577</v>
      </c>
    </row>
    <row r="346" ht="15.75" customHeight="1">
      <c r="B346" s="3">
        <f>IFERROR(__xludf.DUMMYFUNCTION("""COMPUTED_VALUE"""),42111.64583333333)</f>
        <v>42111.64583</v>
      </c>
      <c r="C346" s="2">
        <f>IFERROR(__xludf.DUMMYFUNCTION("""COMPUTED_VALUE"""),573.5)</f>
        <v>573.5</v>
      </c>
    </row>
    <row r="347" ht="15.75" customHeight="1">
      <c r="B347" s="3">
        <f>IFERROR(__xludf.DUMMYFUNCTION("""COMPUTED_VALUE"""),42118.64583333333)</f>
        <v>42118.64583</v>
      </c>
      <c r="C347" s="2">
        <f>IFERROR(__xludf.DUMMYFUNCTION("""COMPUTED_VALUE"""),548.7)</f>
        <v>548.7</v>
      </c>
    </row>
    <row r="348" ht="15.75" customHeight="1">
      <c r="B348" s="3">
        <f>IFERROR(__xludf.DUMMYFUNCTION("""COMPUTED_VALUE"""),42124.64583333333)</f>
        <v>42124.64583</v>
      </c>
      <c r="C348" s="2">
        <f>IFERROR(__xludf.DUMMYFUNCTION("""COMPUTED_VALUE"""),582.4)</f>
        <v>582.4</v>
      </c>
    </row>
    <row r="349" ht="15.75" customHeight="1">
      <c r="B349" s="3">
        <f>IFERROR(__xludf.DUMMYFUNCTION("""COMPUTED_VALUE"""),42132.64583333333)</f>
        <v>42132.64583</v>
      </c>
      <c r="C349" s="2">
        <f>IFERROR(__xludf.DUMMYFUNCTION("""COMPUTED_VALUE"""),576.0)</f>
        <v>576</v>
      </c>
    </row>
    <row r="350" ht="15.75" customHeight="1">
      <c r="B350" s="3">
        <f>IFERROR(__xludf.DUMMYFUNCTION("""COMPUTED_VALUE"""),42139.64583333333)</f>
        <v>42139.64583</v>
      </c>
      <c r="C350" s="2">
        <f>IFERROR(__xludf.DUMMYFUNCTION("""COMPUTED_VALUE"""),567.3)</f>
        <v>567.3</v>
      </c>
    </row>
    <row r="351" ht="15.75" customHeight="1">
      <c r="B351" s="3">
        <f>IFERROR(__xludf.DUMMYFUNCTION("""COMPUTED_VALUE"""),42146.64583333333)</f>
        <v>42146.64583</v>
      </c>
      <c r="C351" s="2">
        <f>IFERROR(__xludf.DUMMYFUNCTION("""COMPUTED_VALUE"""),576.65)</f>
        <v>576.65</v>
      </c>
    </row>
    <row r="352" ht="15.75" customHeight="1">
      <c r="B352" s="3">
        <f>IFERROR(__xludf.DUMMYFUNCTION("""COMPUTED_VALUE"""),42153.64583333333)</f>
        <v>42153.64583</v>
      </c>
      <c r="C352" s="2">
        <f>IFERROR(__xludf.DUMMYFUNCTION("""COMPUTED_VALUE"""),587.3)</f>
        <v>587.3</v>
      </c>
    </row>
    <row r="353" ht="15.75" customHeight="1">
      <c r="B353" s="3">
        <f>IFERROR(__xludf.DUMMYFUNCTION("""COMPUTED_VALUE"""),42160.64583333333)</f>
        <v>42160.64583</v>
      </c>
      <c r="C353" s="2">
        <f>IFERROR(__xludf.DUMMYFUNCTION("""COMPUTED_VALUE"""),588.9)</f>
        <v>588.9</v>
      </c>
    </row>
    <row r="354" ht="15.75" customHeight="1">
      <c r="B354" s="3">
        <f>IFERROR(__xludf.DUMMYFUNCTION("""COMPUTED_VALUE"""),42167.64583333333)</f>
        <v>42167.64583</v>
      </c>
      <c r="C354" s="2">
        <f>IFERROR(__xludf.DUMMYFUNCTION("""COMPUTED_VALUE"""),570.2)</f>
        <v>570.2</v>
      </c>
    </row>
    <row r="355" ht="15.75" customHeight="1">
      <c r="B355" s="3">
        <f>IFERROR(__xludf.DUMMYFUNCTION("""COMPUTED_VALUE"""),42174.64583333333)</f>
        <v>42174.64583</v>
      </c>
      <c r="C355" s="2">
        <f>IFERROR(__xludf.DUMMYFUNCTION("""COMPUTED_VALUE"""),557.4)</f>
        <v>557.4</v>
      </c>
    </row>
    <row r="356" ht="15.75" customHeight="1">
      <c r="B356" s="3">
        <f>IFERROR(__xludf.DUMMYFUNCTION("""COMPUTED_VALUE"""),42181.64583333333)</f>
        <v>42181.64583</v>
      </c>
      <c r="C356" s="2">
        <f>IFERROR(__xludf.DUMMYFUNCTION("""COMPUTED_VALUE"""),579.5)</f>
        <v>579.5</v>
      </c>
    </row>
    <row r="357" ht="15.75" customHeight="1">
      <c r="B357" s="3">
        <f>IFERROR(__xludf.DUMMYFUNCTION("""COMPUTED_VALUE"""),42188.64583333333)</f>
        <v>42188.64583</v>
      </c>
      <c r="C357" s="2">
        <f>IFERROR(__xludf.DUMMYFUNCTION("""COMPUTED_VALUE"""),588.5)</f>
        <v>588.5</v>
      </c>
    </row>
    <row r="358" ht="15.75" customHeight="1">
      <c r="B358" s="3">
        <f>IFERROR(__xludf.DUMMYFUNCTION("""COMPUTED_VALUE"""),42195.64583333333)</f>
        <v>42195.64583</v>
      </c>
      <c r="C358" s="2">
        <f>IFERROR(__xludf.DUMMYFUNCTION("""COMPUTED_VALUE"""),590.75)</f>
        <v>590.75</v>
      </c>
    </row>
    <row r="359" ht="15.75" customHeight="1">
      <c r="B359" s="3">
        <f>IFERROR(__xludf.DUMMYFUNCTION("""COMPUTED_VALUE"""),42202.64583333333)</f>
        <v>42202.64583</v>
      </c>
      <c r="C359" s="2">
        <f>IFERROR(__xludf.DUMMYFUNCTION("""COMPUTED_VALUE"""),613.45)</f>
        <v>613.45</v>
      </c>
    </row>
    <row r="360" ht="15.75" customHeight="1">
      <c r="B360" s="3">
        <f>IFERROR(__xludf.DUMMYFUNCTION("""COMPUTED_VALUE"""),42209.64583333333)</f>
        <v>42209.64583</v>
      </c>
      <c r="C360" s="2">
        <f>IFERROR(__xludf.DUMMYFUNCTION("""COMPUTED_VALUE"""),603.4)</f>
        <v>603.4</v>
      </c>
    </row>
    <row r="361" ht="15.75" customHeight="1">
      <c r="B361" s="3">
        <f>IFERROR(__xludf.DUMMYFUNCTION("""COMPUTED_VALUE"""),42216.64583333333)</f>
        <v>42216.64583</v>
      </c>
      <c r="C361" s="2">
        <f>IFERROR(__xludf.DUMMYFUNCTION("""COMPUTED_VALUE"""),579.45)</f>
        <v>579.45</v>
      </c>
    </row>
    <row r="362" ht="15.75" customHeight="1">
      <c r="B362" s="3">
        <f>IFERROR(__xludf.DUMMYFUNCTION("""COMPUTED_VALUE"""),42223.64583333333)</f>
        <v>42223.64583</v>
      </c>
      <c r="C362" s="2">
        <f>IFERROR(__xludf.DUMMYFUNCTION("""COMPUTED_VALUE"""),589.5)</f>
        <v>589.5</v>
      </c>
    </row>
    <row r="363" ht="15.75" customHeight="1">
      <c r="B363" s="3">
        <f>IFERROR(__xludf.DUMMYFUNCTION("""COMPUTED_VALUE"""),42230.64583333333)</f>
        <v>42230.64583</v>
      </c>
      <c r="C363" s="2">
        <f>IFERROR(__xludf.DUMMYFUNCTION("""COMPUTED_VALUE"""),584.7)</f>
        <v>584.7</v>
      </c>
    </row>
    <row r="364" ht="15.75" customHeight="1">
      <c r="B364" s="3">
        <f>IFERROR(__xludf.DUMMYFUNCTION("""COMPUTED_VALUE"""),42237.64583333333)</f>
        <v>42237.64583</v>
      </c>
      <c r="C364" s="2">
        <f>IFERROR(__xludf.DUMMYFUNCTION("""COMPUTED_VALUE"""),571.75)</f>
        <v>571.75</v>
      </c>
    </row>
    <row r="365" ht="15.75" customHeight="1">
      <c r="B365" s="3">
        <f>IFERROR(__xludf.DUMMYFUNCTION("""COMPUTED_VALUE"""),42244.64583333333)</f>
        <v>42244.64583</v>
      </c>
      <c r="C365" s="2">
        <f>IFERROR(__xludf.DUMMYFUNCTION("""COMPUTED_VALUE"""),528.9)</f>
        <v>528.9</v>
      </c>
    </row>
    <row r="366" ht="15.75" customHeight="1">
      <c r="B366" s="3">
        <f>IFERROR(__xludf.DUMMYFUNCTION("""COMPUTED_VALUE"""),42251.64583333333)</f>
        <v>42251.64583</v>
      </c>
      <c r="C366" s="2">
        <f>IFERROR(__xludf.DUMMYFUNCTION("""COMPUTED_VALUE"""),517.9)</f>
        <v>517.9</v>
      </c>
    </row>
    <row r="367" ht="15.75" customHeight="1">
      <c r="B367" s="3">
        <f>IFERROR(__xludf.DUMMYFUNCTION("""COMPUTED_VALUE"""),42258.64583333333)</f>
        <v>42258.64583</v>
      </c>
      <c r="C367" s="2">
        <f>IFERROR(__xludf.DUMMYFUNCTION("""COMPUTED_VALUE"""),495.0)</f>
        <v>495</v>
      </c>
    </row>
    <row r="368" ht="15.75" customHeight="1">
      <c r="B368" s="3">
        <f>IFERROR(__xludf.DUMMYFUNCTION("""COMPUTED_VALUE"""),42265.64583333333)</f>
        <v>42265.64583</v>
      </c>
      <c r="C368" s="2">
        <f>IFERROR(__xludf.DUMMYFUNCTION("""COMPUTED_VALUE"""),520.4)</f>
        <v>520.4</v>
      </c>
    </row>
    <row r="369" ht="15.75" customHeight="1">
      <c r="B369" s="3">
        <f>IFERROR(__xludf.DUMMYFUNCTION("""COMPUTED_VALUE"""),42271.64583333333)</f>
        <v>42271.64583</v>
      </c>
      <c r="C369" s="2">
        <f>IFERROR(__xludf.DUMMYFUNCTION("""COMPUTED_VALUE"""),534.7)</f>
        <v>534.7</v>
      </c>
    </row>
    <row r="370" ht="15.75" customHeight="1">
      <c r="B370" s="3">
        <f>IFERROR(__xludf.DUMMYFUNCTION("""COMPUTED_VALUE"""),42278.64583333333)</f>
        <v>42278.64583</v>
      </c>
      <c r="C370" s="2">
        <f>IFERROR(__xludf.DUMMYFUNCTION("""COMPUTED_VALUE"""),522.0)</f>
        <v>522</v>
      </c>
    </row>
    <row r="371" ht="15.75" customHeight="1">
      <c r="B371" s="3">
        <f>IFERROR(__xludf.DUMMYFUNCTION("""COMPUTED_VALUE"""),42286.64583333333)</f>
        <v>42286.64583</v>
      </c>
      <c r="C371" s="2">
        <f>IFERROR(__xludf.DUMMYFUNCTION("""COMPUTED_VALUE"""),518.55)</f>
        <v>518.55</v>
      </c>
    </row>
    <row r="372" ht="15.75" customHeight="1">
      <c r="B372" s="3">
        <f>IFERROR(__xludf.DUMMYFUNCTION("""COMPUTED_VALUE"""),42293.64583333333)</f>
        <v>42293.64583</v>
      </c>
      <c r="C372" s="2">
        <f>IFERROR(__xludf.DUMMYFUNCTION("""COMPUTED_VALUE"""),507.5)</f>
        <v>507.5</v>
      </c>
    </row>
    <row r="373" ht="15.75" customHeight="1">
      <c r="B373" s="3">
        <f>IFERROR(__xludf.DUMMYFUNCTION("""COMPUTED_VALUE"""),42300.64583333333)</f>
        <v>42300.64583</v>
      </c>
      <c r="C373" s="2">
        <f>IFERROR(__xludf.DUMMYFUNCTION("""COMPUTED_VALUE"""),527.5)</f>
        <v>527.5</v>
      </c>
    </row>
    <row r="374" ht="15.75" customHeight="1">
      <c r="B374" s="3">
        <f>IFERROR(__xludf.DUMMYFUNCTION("""COMPUTED_VALUE"""),42307.64583333333)</f>
        <v>42307.64583</v>
      </c>
      <c r="C374" s="2">
        <f>IFERROR(__xludf.DUMMYFUNCTION("""COMPUTED_VALUE"""),532.7)</f>
        <v>532.7</v>
      </c>
    </row>
    <row r="375" ht="15.75" customHeight="1">
      <c r="B375" s="3">
        <f>IFERROR(__xludf.DUMMYFUNCTION("""COMPUTED_VALUE"""),42314.64583333333)</f>
        <v>42314.64583</v>
      </c>
      <c r="C375" s="2">
        <f>IFERROR(__xludf.DUMMYFUNCTION("""COMPUTED_VALUE"""),483.5)</f>
        <v>483.5</v>
      </c>
    </row>
    <row r="376" ht="15.75" customHeight="1">
      <c r="B376" s="3">
        <f>IFERROR(__xludf.DUMMYFUNCTION("""COMPUTED_VALUE"""),42321.64583333333)</f>
        <v>42321.64583</v>
      </c>
      <c r="C376" s="2">
        <f>IFERROR(__xludf.DUMMYFUNCTION("""COMPUTED_VALUE"""),487.2)</f>
        <v>487.2</v>
      </c>
    </row>
    <row r="377" ht="15.75" customHeight="1">
      <c r="B377" s="3">
        <f>IFERROR(__xludf.DUMMYFUNCTION("""COMPUTED_VALUE"""),42328.64583333333)</f>
        <v>42328.64583</v>
      </c>
      <c r="C377" s="2">
        <f>IFERROR(__xludf.DUMMYFUNCTION("""COMPUTED_VALUE"""),485.0)</f>
        <v>485</v>
      </c>
    </row>
    <row r="378" ht="15.75" customHeight="1">
      <c r="B378" s="3">
        <f>IFERROR(__xludf.DUMMYFUNCTION("""COMPUTED_VALUE"""),42335.64583333333)</f>
        <v>42335.64583</v>
      </c>
      <c r="C378" s="2">
        <f>IFERROR(__xludf.DUMMYFUNCTION("""COMPUTED_VALUE"""),475.4)</f>
        <v>475.4</v>
      </c>
    </row>
    <row r="379" ht="15.75" customHeight="1">
      <c r="B379" s="3">
        <f>IFERROR(__xludf.DUMMYFUNCTION("""COMPUTED_VALUE"""),42342.64583333333)</f>
        <v>42342.64583</v>
      </c>
      <c r="C379" s="2">
        <f>IFERROR(__xludf.DUMMYFUNCTION("""COMPUTED_VALUE"""),474.4)</f>
        <v>474.4</v>
      </c>
    </row>
    <row r="380" ht="15.75" customHeight="1">
      <c r="B380" s="3">
        <f>IFERROR(__xludf.DUMMYFUNCTION("""COMPUTED_VALUE"""),42349.64583333333)</f>
        <v>42349.64583</v>
      </c>
      <c r="C380" s="2">
        <f>IFERROR(__xludf.DUMMYFUNCTION("""COMPUTED_VALUE"""),465.55)</f>
        <v>465.55</v>
      </c>
    </row>
    <row r="381" ht="15.75" customHeight="1">
      <c r="B381" s="3">
        <f>IFERROR(__xludf.DUMMYFUNCTION("""COMPUTED_VALUE"""),42356.64583333333)</f>
        <v>42356.64583</v>
      </c>
      <c r="C381" s="2">
        <f>IFERROR(__xludf.DUMMYFUNCTION("""COMPUTED_VALUE"""),443.65)</f>
        <v>443.65</v>
      </c>
    </row>
    <row r="382" ht="15.75" customHeight="1">
      <c r="B382" s="3">
        <f>IFERROR(__xludf.DUMMYFUNCTION("""COMPUTED_VALUE"""),42362.64583333333)</f>
        <v>42362.64583</v>
      </c>
      <c r="C382" s="2">
        <f>IFERROR(__xludf.DUMMYFUNCTION("""COMPUTED_VALUE"""),455.25)</f>
        <v>455.25</v>
      </c>
    </row>
    <row r="383" ht="15.75" customHeight="1">
      <c r="B383" s="3">
        <f>IFERROR(__xludf.DUMMYFUNCTION("""COMPUTED_VALUE"""),42370.64583333333)</f>
        <v>42370.64583</v>
      </c>
      <c r="C383" s="2">
        <f>IFERROR(__xludf.DUMMYFUNCTION("""COMPUTED_VALUE"""),460.0)</f>
        <v>460</v>
      </c>
    </row>
    <row r="384" ht="15.75" customHeight="1"/>
    <row r="385" ht="15.75" customHeight="1"/>
    <row r="386" ht="15.75" customHeight="1">
      <c r="B386" s="2" t="str">
        <f>IFERROR(__xludf.DUMMYFUNCTION("GOOGLEFINANCE(""NSE:AXISBANK"", ""high"",DATE(2016,1,1),DATE(2017,1,1),""weekly"")"),"Date")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IFERROR(__xludf.DUMMYFUNCTION("""COMPUTED_VALUE"""),42377.64583333333)</f>
        <v>42377.64583</v>
      </c>
      <c r="C387" s="2">
        <f>IFERROR(__xludf.DUMMYFUNCTION("""COMPUTED_VALUE"""),448.9)</f>
        <v>448.9</v>
      </c>
    </row>
    <row r="388" ht="15.75" customHeight="1">
      <c r="B388" s="3">
        <f>IFERROR(__xludf.DUMMYFUNCTION("""COMPUTED_VALUE"""),42384.64583333333)</f>
        <v>42384.64583</v>
      </c>
      <c r="C388" s="2">
        <f>IFERROR(__xludf.DUMMYFUNCTION("""COMPUTED_VALUE"""),423.4)</f>
        <v>423.4</v>
      </c>
    </row>
    <row r="389" ht="15.75" customHeight="1">
      <c r="B389" s="3">
        <f>IFERROR(__xludf.DUMMYFUNCTION("""COMPUTED_VALUE"""),42391.64583333333)</f>
        <v>42391.64583</v>
      </c>
      <c r="C389" s="2">
        <f>IFERROR(__xludf.DUMMYFUNCTION("""COMPUTED_VALUE"""),427.65)</f>
        <v>427.65</v>
      </c>
    </row>
    <row r="390" ht="15.75" customHeight="1">
      <c r="B390" s="3">
        <f>IFERROR(__xludf.DUMMYFUNCTION("""COMPUTED_VALUE"""),42398.64583333333)</f>
        <v>42398.64583</v>
      </c>
      <c r="C390" s="2">
        <f>IFERROR(__xludf.DUMMYFUNCTION("""COMPUTED_VALUE"""),429.75)</f>
        <v>429.75</v>
      </c>
    </row>
    <row r="391" ht="15.75" customHeight="1">
      <c r="B391" s="3">
        <f>IFERROR(__xludf.DUMMYFUNCTION("""COMPUTED_VALUE"""),42405.64583333333)</f>
        <v>42405.64583</v>
      </c>
      <c r="C391" s="2">
        <f>IFERROR(__xludf.DUMMYFUNCTION("""COMPUTED_VALUE"""),410.35)</f>
        <v>410.35</v>
      </c>
    </row>
    <row r="392" ht="15.75" customHeight="1">
      <c r="B392" s="3">
        <f>IFERROR(__xludf.DUMMYFUNCTION("""COMPUTED_VALUE"""),42419.64583333333)</f>
        <v>42419.64583</v>
      </c>
      <c r="C392" s="2">
        <f>IFERROR(__xludf.DUMMYFUNCTION("""COMPUTED_VALUE"""),422.5)</f>
        <v>422.5</v>
      </c>
    </row>
    <row r="393" ht="15.75" customHeight="1">
      <c r="B393" s="3">
        <f>IFERROR(__xludf.DUMMYFUNCTION("""COMPUTED_VALUE"""),42426.64583333333)</f>
        <v>42426.64583</v>
      </c>
      <c r="C393" s="2">
        <f>IFERROR(__xludf.DUMMYFUNCTION("""COMPUTED_VALUE"""),398.75)</f>
        <v>398.75</v>
      </c>
    </row>
    <row r="394" ht="15.75" customHeight="1">
      <c r="B394" s="3">
        <f>IFERROR(__xludf.DUMMYFUNCTION("""COMPUTED_VALUE"""),42433.64583333333)</f>
        <v>42433.64583</v>
      </c>
      <c r="C394" s="2">
        <f>IFERROR(__xludf.DUMMYFUNCTION("""COMPUTED_VALUE"""),419.0)</f>
        <v>419</v>
      </c>
    </row>
    <row r="395" ht="15.75" customHeight="1">
      <c r="B395" s="3">
        <f>IFERROR(__xludf.DUMMYFUNCTION("""COMPUTED_VALUE"""),42440.64583333333)</f>
        <v>42440.64583</v>
      </c>
      <c r="C395" s="2">
        <f>IFERROR(__xludf.DUMMYFUNCTION("""COMPUTED_VALUE"""),423.05)</f>
        <v>423.05</v>
      </c>
    </row>
    <row r="396" ht="15.75" customHeight="1">
      <c r="B396" s="3">
        <f>IFERROR(__xludf.DUMMYFUNCTION("""COMPUTED_VALUE"""),42447.64583333333)</f>
        <v>42447.64583</v>
      </c>
      <c r="C396" s="2">
        <f>IFERROR(__xludf.DUMMYFUNCTION("""COMPUTED_VALUE"""),437.6)</f>
        <v>437.6</v>
      </c>
    </row>
    <row r="397" ht="15.75" customHeight="1">
      <c r="B397" s="3">
        <f>IFERROR(__xludf.DUMMYFUNCTION("""COMPUTED_VALUE"""),42452.64583333333)</f>
        <v>42452.64583</v>
      </c>
      <c r="C397" s="2">
        <f>IFERROR(__xludf.DUMMYFUNCTION("""COMPUTED_VALUE"""),447.6)</f>
        <v>447.6</v>
      </c>
    </row>
    <row r="398" ht="15.75" customHeight="1">
      <c r="B398" s="3">
        <f>IFERROR(__xludf.DUMMYFUNCTION("""COMPUTED_VALUE"""),42461.64583333333)</f>
        <v>42461.64583</v>
      </c>
      <c r="C398" s="2">
        <f>IFERROR(__xludf.DUMMYFUNCTION("""COMPUTED_VALUE"""),452.0)</f>
        <v>452</v>
      </c>
    </row>
    <row r="399" ht="15.75" customHeight="1">
      <c r="B399" s="3">
        <f>IFERROR(__xludf.DUMMYFUNCTION("""COMPUTED_VALUE"""),42468.64583333333)</f>
        <v>42468.64583</v>
      </c>
      <c r="C399" s="2">
        <f>IFERROR(__xludf.DUMMYFUNCTION("""COMPUTED_VALUE"""),451.55)</f>
        <v>451.55</v>
      </c>
    </row>
    <row r="400" ht="15.75" customHeight="1">
      <c r="B400" s="3">
        <f>IFERROR(__xludf.DUMMYFUNCTION("""COMPUTED_VALUE"""),42473.64583333333)</f>
        <v>42473.64583</v>
      </c>
      <c r="C400" s="2">
        <f>IFERROR(__xludf.DUMMYFUNCTION("""COMPUTED_VALUE"""),445.3)</f>
        <v>445.3</v>
      </c>
    </row>
    <row r="401" ht="15.75" customHeight="1">
      <c r="B401" s="3">
        <f>IFERROR(__xludf.DUMMYFUNCTION("""COMPUTED_VALUE"""),42482.64583333333)</f>
        <v>42482.64583</v>
      </c>
      <c r="C401" s="2">
        <f>IFERROR(__xludf.DUMMYFUNCTION("""COMPUTED_VALUE"""),478.5)</f>
        <v>478.5</v>
      </c>
    </row>
    <row r="402" ht="15.75" customHeight="1">
      <c r="B402" s="3">
        <f>IFERROR(__xludf.DUMMYFUNCTION("""COMPUTED_VALUE"""),42489.64583333333)</f>
        <v>42489.64583</v>
      </c>
      <c r="C402" s="2">
        <f>IFERROR(__xludf.DUMMYFUNCTION("""COMPUTED_VALUE"""),484.9)</f>
        <v>484.9</v>
      </c>
    </row>
    <row r="403" ht="15.75" customHeight="1">
      <c r="B403" s="3">
        <f>IFERROR(__xludf.DUMMYFUNCTION("""COMPUTED_VALUE"""),42496.64583333333)</f>
        <v>42496.64583</v>
      </c>
      <c r="C403" s="2">
        <f>IFERROR(__xludf.DUMMYFUNCTION("""COMPUTED_VALUE"""),479.0)</f>
        <v>479</v>
      </c>
    </row>
    <row r="404" ht="15.75" customHeight="1">
      <c r="B404" s="3">
        <f>IFERROR(__xludf.DUMMYFUNCTION("""COMPUTED_VALUE"""),42503.64583333333)</f>
        <v>42503.64583</v>
      </c>
      <c r="C404" s="2">
        <f>IFERROR(__xludf.DUMMYFUNCTION("""COMPUTED_VALUE"""),506.9)</f>
        <v>506.9</v>
      </c>
    </row>
    <row r="405" ht="15.75" customHeight="1">
      <c r="B405" s="3">
        <f>IFERROR(__xludf.DUMMYFUNCTION("""COMPUTED_VALUE"""),42510.64583333333)</f>
        <v>42510.64583</v>
      </c>
      <c r="C405" s="2">
        <f>IFERROR(__xludf.DUMMYFUNCTION("""COMPUTED_VALUE"""),505.5)</f>
        <v>505.5</v>
      </c>
    </row>
    <row r="406" ht="15.75" customHeight="1">
      <c r="B406" s="3">
        <f>IFERROR(__xludf.DUMMYFUNCTION("""COMPUTED_VALUE"""),42517.64583333333)</f>
        <v>42517.64583</v>
      </c>
      <c r="C406" s="2">
        <f>IFERROR(__xludf.DUMMYFUNCTION("""COMPUTED_VALUE"""),525.0)</f>
        <v>525</v>
      </c>
    </row>
    <row r="407" ht="15.75" customHeight="1">
      <c r="B407" s="3">
        <f>IFERROR(__xludf.DUMMYFUNCTION("""COMPUTED_VALUE"""),42524.64583333333)</f>
        <v>42524.64583</v>
      </c>
      <c r="C407" s="2">
        <f>IFERROR(__xludf.DUMMYFUNCTION("""COMPUTED_VALUE"""),544.95)</f>
        <v>544.95</v>
      </c>
    </row>
    <row r="408" ht="15.75" customHeight="1">
      <c r="B408" s="3">
        <f>IFERROR(__xludf.DUMMYFUNCTION("""COMPUTED_VALUE"""),42531.64583333333)</f>
        <v>42531.64583</v>
      </c>
      <c r="C408" s="2">
        <f>IFERROR(__xludf.DUMMYFUNCTION("""COMPUTED_VALUE"""),549.15)</f>
        <v>549.15</v>
      </c>
    </row>
    <row r="409" ht="15.75" customHeight="1">
      <c r="B409" s="3">
        <f>IFERROR(__xludf.DUMMYFUNCTION("""COMPUTED_VALUE"""),42538.64583333333)</f>
        <v>42538.64583</v>
      </c>
      <c r="C409" s="2">
        <f>IFERROR(__xludf.DUMMYFUNCTION("""COMPUTED_VALUE"""),535.8)</f>
        <v>535.8</v>
      </c>
    </row>
    <row r="410" ht="15.75" customHeight="1">
      <c r="B410" s="3">
        <f>IFERROR(__xludf.DUMMYFUNCTION("""COMPUTED_VALUE"""),42545.64583333333)</f>
        <v>42545.64583</v>
      </c>
      <c r="C410" s="2">
        <f>IFERROR(__xludf.DUMMYFUNCTION("""COMPUTED_VALUE"""),528.0)</f>
        <v>528</v>
      </c>
    </row>
    <row r="411" ht="15.75" customHeight="1">
      <c r="B411" s="3">
        <f>IFERROR(__xludf.DUMMYFUNCTION("""COMPUTED_VALUE"""),42552.64583333333)</f>
        <v>42552.64583</v>
      </c>
      <c r="C411" s="2">
        <f>IFERROR(__xludf.DUMMYFUNCTION("""COMPUTED_VALUE"""),545.7)</f>
        <v>545.7</v>
      </c>
    </row>
    <row r="412" ht="15.75" customHeight="1">
      <c r="B412" s="3">
        <f>IFERROR(__xludf.DUMMYFUNCTION("""COMPUTED_VALUE"""),42559.64583333333)</f>
        <v>42559.64583</v>
      </c>
      <c r="C412" s="2">
        <f>IFERROR(__xludf.DUMMYFUNCTION("""COMPUTED_VALUE"""),548.5)</f>
        <v>548.5</v>
      </c>
    </row>
    <row r="413" ht="15.75" customHeight="1">
      <c r="B413" s="3">
        <f>IFERROR(__xludf.DUMMYFUNCTION("""COMPUTED_VALUE"""),42566.64583333333)</f>
        <v>42566.64583</v>
      </c>
      <c r="C413" s="2">
        <f>IFERROR(__xludf.DUMMYFUNCTION("""COMPUTED_VALUE"""),570.45)</f>
        <v>570.45</v>
      </c>
    </row>
    <row r="414" ht="15.75" customHeight="1">
      <c r="B414" s="3">
        <f>IFERROR(__xludf.DUMMYFUNCTION("""COMPUTED_VALUE"""),42573.64583333333)</f>
        <v>42573.64583</v>
      </c>
      <c r="C414" s="2">
        <f>IFERROR(__xludf.DUMMYFUNCTION("""COMPUTED_VALUE"""),576.8)</f>
        <v>576.8</v>
      </c>
    </row>
    <row r="415" ht="15.75" customHeight="1">
      <c r="B415" s="3">
        <f>IFERROR(__xludf.DUMMYFUNCTION("""COMPUTED_VALUE"""),42580.64583333333)</f>
        <v>42580.64583</v>
      </c>
      <c r="C415" s="2">
        <f>IFERROR(__xludf.DUMMYFUNCTION("""COMPUTED_VALUE"""),559.2)</f>
        <v>559.2</v>
      </c>
    </row>
    <row r="416" ht="15.75" customHeight="1">
      <c r="B416" s="3">
        <f>IFERROR(__xludf.DUMMYFUNCTION("""COMPUTED_VALUE"""),42587.64583333333)</f>
        <v>42587.64583</v>
      </c>
      <c r="C416" s="2">
        <f>IFERROR(__xludf.DUMMYFUNCTION("""COMPUTED_VALUE"""),569.0)</f>
        <v>569</v>
      </c>
    </row>
    <row r="417" ht="15.75" customHeight="1">
      <c r="B417" s="3">
        <f>IFERROR(__xludf.DUMMYFUNCTION("""COMPUTED_VALUE"""),42594.64583333333)</f>
        <v>42594.64583</v>
      </c>
      <c r="C417" s="2">
        <f>IFERROR(__xludf.DUMMYFUNCTION("""COMPUTED_VALUE"""),593.2)</f>
        <v>593.2</v>
      </c>
    </row>
    <row r="418" ht="15.75" customHeight="1">
      <c r="B418" s="3">
        <f>IFERROR(__xludf.DUMMYFUNCTION("""COMPUTED_VALUE"""),42601.64583333333)</f>
        <v>42601.64583</v>
      </c>
      <c r="C418" s="2">
        <f>IFERROR(__xludf.DUMMYFUNCTION("""COMPUTED_VALUE"""),598.0)</f>
        <v>598</v>
      </c>
    </row>
    <row r="419" ht="15.75" customHeight="1">
      <c r="B419" s="3">
        <f>IFERROR(__xludf.DUMMYFUNCTION("""COMPUTED_VALUE"""),42608.64583333333)</f>
        <v>42608.64583</v>
      </c>
      <c r="C419" s="2">
        <f>IFERROR(__xludf.DUMMYFUNCTION("""COMPUTED_VALUE"""),594.0)</f>
        <v>594</v>
      </c>
    </row>
    <row r="420" ht="15.75" customHeight="1">
      <c r="B420" s="3">
        <f>IFERROR(__xludf.DUMMYFUNCTION("""COMPUTED_VALUE"""),42615.64583333333)</f>
        <v>42615.64583</v>
      </c>
      <c r="C420" s="2">
        <f>IFERROR(__xludf.DUMMYFUNCTION("""COMPUTED_VALUE"""),603.85)</f>
        <v>603.85</v>
      </c>
    </row>
    <row r="421" ht="15.75" customHeight="1">
      <c r="B421" s="3">
        <f>IFERROR(__xludf.DUMMYFUNCTION("""COMPUTED_VALUE"""),42622.64583333333)</f>
        <v>42622.64583</v>
      </c>
      <c r="C421" s="2">
        <f>IFERROR(__xludf.DUMMYFUNCTION("""COMPUTED_VALUE"""),638.3)</f>
        <v>638.3</v>
      </c>
    </row>
    <row r="422" ht="15.75" customHeight="1">
      <c r="B422" s="3">
        <f>IFERROR(__xludf.DUMMYFUNCTION("""COMPUTED_VALUE"""),42629.64583333333)</f>
        <v>42629.64583</v>
      </c>
      <c r="C422" s="2">
        <f>IFERROR(__xludf.DUMMYFUNCTION("""COMPUTED_VALUE"""),612.4)</f>
        <v>612.4</v>
      </c>
    </row>
    <row r="423" ht="15.75" customHeight="1">
      <c r="B423" s="3">
        <f>IFERROR(__xludf.DUMMYFUNCTION("""COMPUTED_VALUE"""),42636.64583333333)</f>
        <v>42636.64583</v>
      </c>
      <c r="C423" s="2">
        <f>IFERROR(__xludf.DUMMYFUNCTION("""COMPUTED_VALUE"""),612.0)</f>
        <v>612</v>
      </c>
    </row>
    <row r="424" ht="15.75" customHeight="1">
      <c r="B424" s="3">
        <f>IFERROR(__xludf.DUMMYFUNCTION("""COMPUTED_VALUE"""),42643.64583333333)</f>
        <v>42643.64583</v>
      </c>
      <c r="C424" s="2">
        <f>IFERROR(__xludf.DUMMYFUNCTION("""COMPUTED_VALUE"""),560.0)</f>
        <v>560</v>
      </c>
    </row>
    <row r="425" ht="15.75" customHeight="1">
      <c r="B425" s="3">
        <f>IFERROR(__xludf.DUMMYFUNCTION("""COMPUTED_VALUE"""),42650.64583333333)</f>
        <v>42650.64583</v>
      </c>
      <c r="C425" s="2">
        <f>IFERROR(__xludf.DUMMYFUNCTION("""COMPUTED_VALUE"""),553.35)</f>
        <v>553.35</v>
      </c>
    </row>
    <row r="426" ht="15.75" customHeight="1">
      <c r="B426" s="3">
        <f>IFERROR(__xludf.DUMMYFUNCTION("""COMPUTED_VALUE"""),42657.64583333333)</f>
        <v>42657.64583</v>
      </c>
      <c r="C426" s="2">
        <f>IFERROR(__xludf.DUMMYFUNCTION("""COMPUTED_VALUE"""),538.75)</f>
        <v>538.75</v>
      </c>
    </row>
    <row r="427" ht="15.75" customHeight="1">
      <c r="B427" s="3">
        <f>IFERROR(__xludf.DUMMYFUNCTION("""COMPUTED_VALUE"""),42664.64583333333)</f>
        <v>42664.64583</v>
      </c>
      <c r="C427" s="2">
        <f>IFERROR(__xludf.DUMMYFUNCTION("""COMPUTED_VALUE"""),544.85)</f>
        <v>544.85</v>
      </c>
    </row>
    <row r="428" ht="15.75" customHeight="1">
      <c r="B428" s="3">
        <f>IFERROR(__xludf.DUMMYFUNCTION("""COMPUTED_VALUE"""),42671.64583333333)</f>
        <v>42671.64583</v>
      </c>
      <c r="C428" s="2">
        <f>IFERROR(__xludf.DUMMYFUNCTION("""COMPUTED_VALUE"""),531.5)</f>
        <v>531.5</v>
      </c>
    </row>
    <row r="429" ht="15.75" customHeight="1">
      <c r="B429" s="3">
        <f>IFERROR(__xludf.DUMMYFUNCTION("""COMPUTED_VALUE"""),42678.64583333333)</f>
        <v>42678.64583</v>
      </c>
      <c r="C429" s="2">
        <f>IFERROR(__xludf.DUMMYFUNCTION("""COMPUTED_VALUE"""),491.0)</f>
        <v>491</v>
      </c>
    </row>
    <row r="430" ht="15.75" customHeight="1">
      <c r="B430" s="3">
        <f>IFERROR(__xludf.DUMMYFUNCTION("""COMPUTED_VALUE"""),42685.64583333333)</f>
        <v>42685.64583</v>
      </c>
      <c r="C430" s="2">
        <f>IFERROR(__xludf.DUMMYFUNCTION("""COMPUTED_VALUE"""),513.6)</f>
        <v>513.6</v>
      </c>
    </row>
    <row r="431" ht="15.75" customHeight="1">
      <c r="B431" s="3">
        <f>IFERROR(__xludf.DUMMYFUNCTION("""COMPUTED_VALUE"""),42692.64583333333)</f>
        <v>42692.64583</v>
      </c>
      <c r="C431" s="2">
        <f>IFERROR(__xludf.DUMMYFUNCTION("""COMPUTED_VALUE"""),503.0)</f>
        <v>503</v>
      </c>
    </row>
    <row r="432" ht="15.75" customHeight="1">
      <c r="B432" s="3">
        <f>IFERROR(__xludf.DUMMYFUNCTION("""COMPUTED_VALUE"""),42699.64583333333)</f>
        <v>42699.64583</v>
      </c>
      <c r="C432" s="2">
        <f>IFERROR(__xludf.DUMMYFUNCTION("""COMPUTED_VALUE"""),482.55)</f>
        <v>482.55</v>
      </c>
    </row>
    <row r="433" ht="15.75" customHeight="1">
      <c r="B433" s="3">
        <f>IFERROR(__xludf.DUMMYFUNCTION("""COMPUTED_VALUE"""),42706.64583333333)</f>
        <v>42706.64583</v>
      </c>
      <c r="C433" s="2">
        <f>IFERROR(__xludf.DUMMYFUNCTION("""COMPUTED_VALUE"""),477.6)</f>
        <v>477.6</v>
      </c>
    </row>
    <row r="434" ht="15.75" customHeight="1">
      <c r="B434" s="3">
        <f>IFERROR(__xludf.DUMMYFUNCTION("""COMPUTED_VALUE"""),42713.64583333333)</f>
        <v>42713.64583</v>
      </c>
      <c r="C434" s="2">
        <f>IFERROR(__xludf.DUMMYFUNCTION("""COMPUTED_VALUE"""),464.7)</f>
        <v>464.7</v>
      </c>
    </row>
    <row r="435" ht="15.75" customHeight="1">
      <c r="B435" s="3">
        <f>IFERROR(__xludf.DUMMYFUNCTION("""COMPUTED_VALUE"""),42720.64583333333)</f>
        <v>42720.64583</v>
      </c>
      <c r="C435" s="2">
        <f>IFERROR(__xludf.DUMMYFUNCTION("""COMPUTED_VALUE"""),480.7)</f>
        <v>480.7</v>
      </c>
    </row>
    <row r="436" ht="15.75" customHeight="1">
      <c r="B436" s="3">
        <f>IFERROR(__xludf.DUMMYFUNCTION("""COMPUTED_VALUE"""),42727.64583333333)</f>
        <v>42727.64583</v>
      </c>
      <c r="C436" s="2">
        <f>IFERROR(__xludf.DUMMYFUNCTION("""COMPUTED_VALUE"""),472.75)</f>
        <v>472.75</v>
      </c>
    </row>
    <row r="437" ht="15.75" customHeight="1">
      <c r="B437" s="3">
        <f>IFERROR(__xludf.DUMMYFUNCTION("""COMPUTED_VALUE"""),42734.64583333333)</f>
        <v>42734.64583</v>
      </c>
      <c r="C437" s="2">
        <f>IFERROR(__xludf.DUMMYFUNCTION("""COMPUTED_VALUE"""),452.2)</f>
        <v>452.2</v>
      </c>
    </row>
    <row r="438" ht="15.75" customHeight="1"/>
    <row r="439" ht="15.75" customHeight="1"/>
    <row r="440" ht="15.75" customHeight="1"/>
    <row r="441" ht="15.75" customHeight="1">
      <c r="B441" s="2" t="str">
        <f>IFERROR(__xludf.DUMMYFUNCTION("GOOGLEFINANCE(""NSE:AXISBANK"", ""high"",DATE(2017,1,1),DATE(2018,1,1),""weekly"")"),"Date")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IFERROR(__xludf.DUMMYFUNCTION("""COMPUTED_VALUE"""),42741.64583333333)</f>
        <v>42741.64583</v>
      </c>
      <c r="C442" s="2">
        <f>IFERROR(__xludf.DUMMYFUNCTION("""COMPUTED_VALUE"""),463.9)</f>
        <v>463.9</v>
      </c>
    </row>
    <row r="443" ht="15.75" customHeight="1">
      <c r="B443" s="3">
        <f>IFERROR(__xludf.DUMMYFUNCTION("""COMPUTED_VALUE"""),42748.64583333333)</f>
        <v>42748.64583</v>
      </c>
      <c r="C443" s="2">
        <f>IFERROR(__xludf.DUMMYFUNCTION("""COMPUTED_VALUE"""),475.2)</f>
        <v>475.2</v>
      </c>
    </row>
    <row r="444" ht="15.75" customHeight="1">
      <c r="B444" s="3">
        <f>IFERROR(__xludf.DUMMYFUNCTION("""COMPUTED_VALUE"""),42755.64583333333)</f>
        <v>42755.64583</v>
      </c>
      <c r="C444" s="2">
        <f>IFERROR(__xludf.DUMMYFUNCTION("""COMPUTED_VALUE"""),491.7)</f>
        <v>491.7</v>
      </c>
    </row>
    <row r="445" ht="15.75" customHeight="1">
      <c r="B445" s="3">
        <f>IFERROR(__xludf.DUMMYFUNCTION("""COMPUTED_VALUE"""),42762.64583333333)</f>
        <v>42762.64583</v>
      </c>
      <c r="C445" s="2">
        <f>IFERROR(__xludf.DUMMYFUNCTION("""COMPUTED_VALUE"""),478.85)</f>
        <v>478.85</v>
      </c>
    </row>
    <row r="446" ht="15.75" customHeight="1">
      <c r="B446" s="3">
        <f>IFERROR(__xludf.DUMMYFUNCTION("""COMPUTED_VALUE"""),42769.64583333333)</f>
        <v>42769.64583</v>
      </c>
      <c r="C446" s="2">
        <f>IFERROR(__xludf.DUMMYFUNCTION("""COMPUTED_VALUE"""),492.5)</f>
        <v>492.5</v>
      </c>
    </row>
    <row r="447" ht="15.75" customHeight="1">
      <c r="B447" s="3">
        <f>IFERROR(__xludf.DUMMYFUNCTION("""COMPUTED_VALUE"""),42776.64583333333)</f>
        <v>42776.64583</v>
      </c>
      <c r="C447" s="2">
        <f>IFERROR(__xludf.DUMMYFUNCTION("""COMPUTED_VALUE"""),500.2)</f>
        <v>500.2</v>
      </c>
    </row>
    <row r="448" ht="15.75" customHeight="1">
      <c r="B448" s="3">
        <f>IFERROR(__xludf.DUMMYFUNCTION("""COMPUTED_VALUE"""),42783.64583333333)</f>
        <v>42783.64583</v>
      </c>
      <c r="C448" s="2">
        <f>IFERROR(__xludf.DUMMYFUNCTION("""COMPUTED_VALUE"""),504.0)</f>
        <v>504</v>
      </c>
    </row>
    <row r="449" ht="15.75" customHeight="1">
      <c r="B449" s="3">
        <f>IFERROR(__xludf.DUMMYFUNCTION("""COMPUTED_VALUE"""),42789.64583333333)</f>
        <v>42789.64583</v>
      </c>
      <c r="C449" s="2">
        <f>IFERROR(__xludf.DUMMYFUNCTION("""COMPUTED_VALUE"""),530.0)</f>
        <v>530</v>
      </c>
    </row>
    <row r="450" ht="15.75" customHeight="1">
      <c r="B450" s="3">
        <f>IFERROR(__xludf.DUMMYFUNCTION("""COMPUTED_VALUE"""),42797.64583333333)</f>
        <v>42797.64583</v>
      </c>
      <c r="C450" s="2">
        <f>IFERROR(__xludf.DUMMYFUNCTION("""COMPUTED_VALUE"""),527.9)</f>
        <v>527.9</v>
      </c>
    </row>
    <row r="451" ht="15.75" customHeight="1">
      <c r="B451" s="3">
        <f>IFERROR(__xludf.DUMMYFUNCTION("""COMPUTED_VALUE"""),42804.64583333333)</f>
        <v>42804.64583</v>
      </c>
      <c r="C451" s="2">
        <f>IFERROR(__xludf.DUMMYFUNCTION("""COMPUTED_VALUE"""),520.8)</f>
        <v>520.8</v>
      </c>
    </row>
    <row r="452" ht="15.75" customHeight="1">
      <c r="B452" s="3">
        <f>IFERROR(__xludf.DUMMYFUNCTION("""COMPUTED_VALUE"""),42811.64583333333)</f>
        <v>42811.64583</v>
      </c>
      <c r="C452" s="2">
        <f>IFERROR(__xludf.DUMMYFUNCTION("""COMPUTED_VALUE"""),525.65)</f>
        <v>525.65</v>
      </c>
    </row>
    <row r="453" ht="15.75" customHeight="1">
      <c r="B453" s="3">
        <f>IFERROR(__xludf.DUMMYFUNCTION("""COMPUTED_VALUE"""),42818.64583333333)</f>
        <v>42818.64583</v>
      </c>
      <c r="C453" s="2">
        <f>IFERROR(__xludf.DUMMYFUNCTION("""COMPUTED_VALUE"""),518.25)</f>
        <v>518.25</v>
      </c>
    </row>
    <row r="454" ht="15.75" customHeight="1">
      <c r="B454" s="3">
        <f>IFERROR(__xludf.DUMMYFUNCTION("""COMPUTED_VALUE"""),42825.64583333333)</f>
        <v>42825.64583</v>
      </c>
      <c r="C454" s="2">
        <f>IFERROR(__xludf.DUMMYFUNCTION("""COMPUTED_VALUE"""),513.0)</f>
        <v>513</v>
      </c>
    </row>
    <row r="455" ht="15.75" customHeight="1">
      <c r="B455" s="3">
        <f>IFERROR(__xludf.DUMMYFUNCTION("""COMPUTED_VALUE"""),42832.64583333333)</f>
        <v>42832.64583</v>
      </c>
      <c r="C455" s="2">
        <f>IFERROR(__xludf.DUMMYFUNCTION("""COMPUTED_VALUE"""),517.65)</f>
        <v>517.65</v>
      </c>
    </row>
    <row r="456" ht="15.75" customHeight="1">
      <c r="B456" s="3">
        <f>IFERROR(__xludf.DUMMYFUNCTION("""COMPUTED_VALUE"""),42838.64583333333)</f>
        <v>42838.64583</v>
      </c>
      <c r="C456" s="2">
        <f>IFERROR(__xludf.DUMMYFUNCTION("""COMPUTED_VALUE"""),520.4)</f>
        <v>520.4</v>
      </c>
    </row>
    <row r="457" ht="15.75" customHeight="1">
      <c r="B457" s="3">
        <f>IFERROR(__xludf.DUMMYFUNCTION("""COMPUTED_VALUE"""),42846.64583333333)</f>
        <v>42846.64583</v>
      </c>
      <c r="C457" s="2">
        <f>IFERROR(__xludf.DUMMYFUNCTION("""COMPUTED_VALUE"""),509.05)</f>
        <v>509.05</v>
      </c>
    </row>
    <row r="458" ht="15.75" customHeight="1">
      <c r="B458" s="3">
        <f>IFERROR(__xludf.DUMMYFUNCTION("""COMPUTED_VALUE"""),42853.64583333333)</f>
        <v>42853.64583</v>
      </c>
      <c r="C458" s="2">
        <f>IFERROR(__xludf.DUMMYFUNCTION("""COMPUTED_VALUE"""),525.0)</f>
        <v>525</v>
      </c>
    </row>
    <row r="459" ht="15.75" customHeight="1">
      <c r="B459" s="3">
        <f>IFERROR(__xludf.DUMMYFUNCTION("""COMPUTED_VALUE"""),42860.64583333333)</f>
        <v>42860.64583</v>
      </c>
      <c r="C459" s="2">
        <f>IFERROR(__xludf.DUMMYFUNCTION("""COMPUTED_VALUE"""),522.4)</f>
        <v>522.4</v>
      </c>
    </row>
    <row r="460" ht="15.75" customHeight="1">
      <c r="B460" s="3">
        <f>IFERROR(__xludf.DUMMYFUNCTION("""COMPUTED_VALUE"""),42867.64583333333)</f>
        <v>42867.64583</v>
      </c>
      <c r="C460" s="2">
        <f>IFERROR(__xludf.DUMMYFUNCTION("""COMPUTED_VALUE"""),534.6)</f>
        <v>534.6</v>
      </c>
    </row>
    <row r="461" ht="15.75" customHeight="1">
      <c r="B461" s="3">
        <f>IFERROR(__xludf.DUMMYFUNCTION("""COMPUTED_VALUE"""),42874.64583333333)</f>
        <v>42874.64583</v>
      </c>
      <c r="C461" s="2">
        <f>IFERROR(__xludf.DUMMYFUNCTION("""COMPUTED_VALUE"""),508.5)</f>
        <v>508.5</v>
      </c>
    </row>
    <row r="462" ht="15.75" customHeight="1">
      <c r="B462" s="3">
        <f>IFERROR(__xludf.DUMMYFUNCTION("""COMPUTED_VALUE"""),42881.64583333333)</f>
        <v>42881.64583</v>
      </c>
      <c r="C462" s="2">
        <f>IFERROR(__xludf.DUMMYFUNCTION("""COMPUTED_VALUE"""),513.0)</f>
        <v>513</v>
      </c>
    </row>
    <row r="463" ht="15.75" customHeight="1">
      <c r="B463" s="3">
        <f>IFERROR(__xludf.DUMMYFUNCTION("""COMPUTED_VALUE"""),42888.64583333333)</f>
        <v>42888.64583</v>
      </c>
      <c r="C463" s="2">
        <f>IFERROR(__xludf.DUMMYFUNCTION("""COMPUTED_VALUE"""),516.95)</f>
        <v>516.95</v>
      </c>
    </row>
    <row r="464" ht="15.75" customHeight="1">
      <c r="B464" s="3">
        <f>IFERROR(__xludf.DUMMYFUNCTION("""COMPUTED_VALUE"""),42895.64583333333)</f>
        <v>42895.64583</v>
      </c>
      <c r="C464" s="2">
        <f>IFERROR(__xludf.DUMMYFUNCTION("""COMPUTED_VALUE"""),521.8)</f>
        <v>521.8</v>
      </c>
    </row>
    <row r="465" ht="15.75" customHeight="1">
      <c r="B465" s="3">
        <f>IFERROR(__xludf.DUMMYFUNCTION("""COMPUTED_VALUE"""),42902.64583333333)</f>
        <v>42902.64583</v>
      </c>
      <c r="C465" s="2">
        <f>IFERROR(__xludf.DUMMYFUNCTION("""COMPUTED_VALUE"""),514.3)</f>
        <v>514.3</v>
      </c>
    </row>
    <row r="466" ht="15.75" customHeight="1">
      <c r="B466" s="3">
        <f>IFERROR(__xludf.DUMMYFUNCTION("""COMPUTED_VALUE"""),42909.64583333333)</f>
        <v>42909.64583</v>
      </c>
      <c r="C466" s="2">
        <f>IFERROR(__xludf.DUMMYFUNCTION("""COMPUTED_VALUE"""),525.35)</f>
        <v>525.35</v>
      </c>
    </row>
    <row r="467" ht="15.75" customHeight="1">
      <c r="B467" s="3">
        <f>IFERROR(__xludf.DUMMYFUNCTION("""COMPUTED_VALUE"""),42916.64583333333)</f>
        <v>42916.64583</v>
      </c>
      <c r="C467" s="2">
        <f>IFERROR(__xludf.DUMMYFUNCTION("""COMPUTED_VALUE"""),520.0)</f>
        <v>520</v>
      </c>
    </row>
    <row r="468" ht="15.75" customHeight="1">
      <c r="B468" s="3">
        <f>IFERROR(__xludf.DUMMYFUNCTION("""COMPUTED_VALUE"""),42923.64583333333)</f>
        <v>42923.64583</v>
      </c>
      <c r="C468" s="2">
        <f>IFERROR(__xludf.DUMMYFUNCTION("""COMPUTED_VALUE"""),521.8)</f>
        <v>521.8</v>
      </c>
    </row>
    <row r="469" ht="15.75" customHeight="1">
      <c r="B469" s="3">
        <f>IFERROR(__xludf.DUMMYFUNCTION("""COMPUTED_VALUE"""),42930.64583333333)</f>
        <v>42930.64583</v>
      </c>
      <c r="C469" s="2">
        <f>IFERROR(__xludf.DUMMYFUNCTION("""COMPUTED_VALUE"""),516.85)</f>
        <v>516.85</v>
      </c>
    </row>
    <row r="470" ht="15.75" customHeight="1">
      <c r="B470" s="3">
        <f>IFERROR(__xludf.DUMMYFUNCTION("""COMPUTED_VALUE"""),42937.64583333333)</f>
        <v>42937.64583</v>
      </c>
      <c r="C470" s="2">
        <f>IFERROR(__xludf.DUMMYFUNCTION("""COMPUTED_VALUE"""),544.2)</f>
        <v>544.2</v>
      </c>
    </row>
    <row r="471" ht="15.75" customHeight="1">
      <c r="B471" s="3">
        <f>IFERROR(__xludf.DUMMYFUNCTION("""COMPUTED_VALUE"""),42944.64583333333)</f>
        <v>42944.64583</v>
      </c>
      <c r="C471" s="2">
        <f>IFERROR(__xludf.DUMMYFUNCTION("""COMPUTED_VALUE"""),547.5)</f>
        <v>547.5</v>
      </c>
    </row>
    <row r="472" ht="15.75" customHeight="1">
      <c r="B472" s="3">
        <f>IFERROR(__xludf.DUMMYFUNCTION("""COMPUTED_VALUE"""),42951.64583333333)</f>
        <v>42951.64583</v>
      </c>
      <c r="C472" s="2">
        <f>IFERROR(__xludf.DUMMYFUNCTION("""COMPUTED_VALUE"""),524.05)</f>
        <v>524.05</v>
      </c>
    </row>
    <row r="473" ht="15.75" customHeight="1">
      <c r="B473" s="3">
        <f>IFERROR(__xludf.DUMMYFUNCTION("""COMPUTED_VALUE"""),42958.64583333333)</f>
        <v>42958.64583</v>
      </c>
      <c r="C473" s="2">
        <f>IFERROR(__xludf.DUMMYFUNCTION("""COMPUTED_VALUE"""),511.8)</f>
        <v>511.8</v>
      </c>
    </row>
    <row r="474" ht="15.75" customHeight="1">
      <c r="B474" s="3">
        <f>IFERROR(__xludf.DUMMYFUNCTION("""COMPUTED_VALUE"""),42965.64583333333)</f>
        <v>42965.64583</v>
      </c>
      <c r="C474" s="2">
        <f>IFERROR(__xludf.DUMMYFUNCTION("""COMPUTED_VALUE"""),503.45)</f>
        <v>503.45</v>
      </c>
    </row>
    <row r="475" ht="15.75" customHeight="1">
      <c r="B475" s="3">
        <f>IFERROR(__xludf.DUMMYFUNCTION("""COMPUTED_VALUE"""),42971.64583333333)</f>
        <v>42971.64583</v>
      </c>
      <c r="C475" s="2">
        <f>IFERROR(__xludf.DUMMYFUNCTION("""COMPUTED_VALUE"""),510.5)</f>
        <v>510.5</v>
      </c>
    </row>
    <row r="476" ht="15.75" customHeight="1">
      <c r="B476" s="3">
        <f>IFERROR(__xludf.DUMMYFUNCTION("""COMPUTED_VALUE"""),42979.64583333333)</f>
        <v>42979.64583</v>
      </c>
      <c r="C476" s="2">
        <f>IFERROR(__xludf.DUMMYFUNCTION("""COMPUTED_VALUE"""),512.9)</f>
        <v>512.9</v>
      </c>
    </row>
    <row r="477" ht="15.75" customHeight="1">
      <c r="B477" s="3">
        <f>IFERROR(__xludf.DUMMYFUNCTION("""COMPUTED_VALUE"""),42986.64583333333)</f>
        <v>42986.64583</v>
      </c>
      <c r="C477" s="2">
        <f>IFERROR(__xludf.DUMMYFUNCTION("""COMPUTED_VALUE"""),509.0)</f>
        <v>509</v>
      </c>
    </row>
    <row r="478" ht="15.75" customHeight="1">
      <c r="B478" s="3">
        <f>IFERROR(__xludf.DUMMYFUNCTION("""COMPUTED_VALUE"""),42993.64583333333)</f>
        <v>42993.64583</v>
      </c>
      <c r="C478" s="2">
        <f>IFERROR(__xludf.DUMMYFUNCTION("""COMPUTED_VALUE"""),521.8)</f>
        <v>521.8</v>
      </c>
    </row>
    <row r="479" ht="15.75" customHeight="1">
      <c r="B479" s="3">
        <f>IFERROR(__xludf.DUMMYFUNCTION("""COMPUTED_VALUE"""),43000.64583333333)</f>
        <v>43000.64583</v>
      </c>
      <c r="C479" s="2">
        <f>IFERROR(__xludf.DUMMYFUNCTION("""COMPUTED_VALUE"""),526.0)</f>
        <v>526</v>
      </c>
    </row>
    <row r="480" ht="15.75" customHeight="1">
      <c r="B480" s="3">
        <f>IFERROR(__xludf.DUMMYFUNCTION("""COMPUTED_VALUE"""),43007.64583333333)</f>
        <v>43007.64583</v>
      </c>
      <c r="C480" s="2">
        <f>IFERROR(__xludf.DUMMYFUNCTION("""COMPUTED_VALUE"""),518.2)</f>
        <v>518.2</v>
      </c>
    </row>
    <row r="481" ht="15.75" customHeight="1">
      <c r="B481" s="3">
        <f>IFERROR(__xludf.DUMMYFUNCTION("""COMPUTED_VALUE"""),43014.64583333333)</f>
        <v>43014.64583</v>
      </c>
      <c r="C481" s="2">
        <f>IFERROR(__xludf.DUMMYFUNCTION("""COMPUTED_VALUE"""),517.0)</f>
        <v>517</v>
      </c>
    </row>
    <row r="482" ht="15.75" customHeight="1">
      <c r="B482" s="3">
        <f>IFERROR(__xludf.DUMMYFUNCTION("""COMPUTED_VALUE"""),43021.64583333333)</f>
        <v>43021.64583</v>
      </c>
      <c r="C482" s="2">
        <f>IFERROR(__xludf.DUMMYFUNCTION("""COMPUTED_VALUE"""),534.65)</f>
        <v>534.65</v>
      </c>
    </row>
    <row r="483" ht="15.75" customHeight="1">
      <c r="B483" s="3">
        <f>IFERROR(__xludf.DUMMYFUNCTION("""COMPUTED_VALUE"""),43027.83333333333)</f>
        <v>43027.83333</v>
      </c>
      <c r="C483" s="2">
        <f>IFERROR(__xludf.DUMMYFUNCTION("""COMPUTED_VALUE"""),531.75)</f>
        <v>531.75</v>
      </c>
    </row>
    <row r="484" ht="15.75" customHeight="1">
      <c r="B484" s="3">
        <f>IFERROR(__xludf.DUMMYFUNCTION("""COMPUTED_VALUE"""),43035.64583333333)</f>
        <v>43035.64583</v>
      </c>
      <c r="C484" s="2">
        <f>IFERROR(__xludf.DUMMYFUNCTION("""COMPUTED_VALUE"""),491.4)</f>
        <v>491.4</v>
      </c>
    </row>
    <row r="485" ht="15.75" customHeight="1">
      <c r="B485" s="3">
        <f>IFERROR(__xludf.DUMMYFUNCTION("""COMPUTED_VALUE"""),43042.64583333333)</f>
        <v>43042.64583</v>
      </c>
      <c r="C485" s="2">
        <f>IFERROR(__xludf.DUMMYFUNCTION("""COMPUTED_VALUE"""),545.7)</f>
        <v>545.7</v>
      </c>
    </row>
    <row r="486" ht="15.75" customHeight="1">
      <c r="B486" s="3">
        <f>IFERROR(__xludf.DUMMYFUNCTION("""COMPUTED_VALUE"""),43049.64583333333)</f>
        <v>43049.64583</v>
      </c>
      <c r="C486" s="2">
        <f>IFERROR(__xludf.DUMMYFUNCTION("""COMPUTED_VALUE"""),555.45)</f>
        <v>555.45</v>
      </c>
    </row>
    <row r="487" ht="15.75" customHeight="1">
      <c r="B487" s="3">
        <f>IFERROR(__xludf.DUMMYFUNCTION("""COMPUTED_VALUE"""),43056.64583333333)</f>
        <v>43056.64583</v>
      </c>
      <c r="C487" s="2">
        <f>IFERROR(__xludf.DUMMYFUNCTION("""COMPUTED_VALUE"""),564.55)</f>
        <v>564.55</v>
      </c>
    </row>
    <row r="488" ht="15.75" customHeight="1">
      <c r="B488" s="3">
        <f>IFERROR(__xludf.DUMMYFUNCTION("""COMPUTED_VALUE"""),43063.64583333333)</f>
        <v>43063.64583</v>
      </c>
      <c r="C488" s="2">
        <f>IFERROR(__xludf.DUMMYFUNCTION("""COMPUTED_VALUE"""),548.9)</f>
        <v>548.9</v>
      </c>
    </row>
    <row r="489" ht="15.75" customHeight="1">
      <c r="B489" s="3">
        <f>IFERROR(__xludf.DUMMYFUNCTION("""COMPUTED_VALUE"""),43070.64583333333)</f>
        <v>43070.64583</v>
      </c>
      <c r="C489" s="2">
        <f>IFERROR(__xludf.DUMMYFUNCTION("""COMPUTED_VALUE"""),565.9)</f>
        <v>565.9</v>
      </c>
    </row>
    <row r="490" ht="15.75" customHeight="1">
      <c r="B490" s="3">
        <f>IFERROR(__xludf.DUMMYFUNCTION("""COMPUTED_VALUE"""),43077.64583333333)</f>
        <v>43077.64583</v>
      </c>
      <c r="C490" s="2">
        <f>IFERROR(__xludf.DUMMYFUNCTION("""COMPUTED_VALUE"""),544.5)</f>
        <v>544.5</v>
      </c>
    </row>
    <row r="491" ht="15.75" customHeight="1">
      <c r="B491" s="3">
        <f>IFERROR(__xludf.DUMMYFUNCTION("""COMPUTED_VALUE"""),43084.64583333333)</f>
        <v>43084.64583</v>
      </c>
      <c r="C491" s="2">
        <f>IFERROR(__xludf.DUMMYFUNCTION("""COMPUTED_VALUE"""),552.4)</f>
        <v>552.4</v>
      </c>
    </row>
    <row r="492" ht="15.75" customHeight="1">
      <c r="B492" s="3">
        <f>IFERROR(__xludf.DUMMYFUNCTION("""COMPUTED_VALUE"""),43091.64583333333)</f>
        <v>43091.64583</v>
      </c>
      <c r="C492" s="2">
        <f>IFERROR(__xludf.DUMMYFUNCTION("""COMPUTED_VALUE"""),557.8)</f>
        <v>557.8</v>
      </c>
    </row>
    <row r="493" ht="15.75" customHeight="1">
      <c r="B493" s="3">
        <f>IFERROR(__xludf.DUMMYFUNCTION("""COMPUTED_VALUE"""),43098.64583333333)</f>
        <v>43098.64583</v>
      </c>
      <c r="C493" s="2">
        <f>IFERROR(__xludf.DUMMYFUNCTION("""COMPUTED_VALUE"""),567.85)</f>
        <v>567.85</v>
      </c>
    </row>
    <row r="494" ht="15.75" customHeight="1"/>
    <row r="495" ht="15.75" customHeight="1"/>
    <row r="496" ht="15.75" customHeight="1">
      <c r="B496" s="2" t="str">
        <f>IFERROR(__xludf.DUMMYFUNCTION("GOOGLEFINANCE(""NSE:AXISBANK"", ""high"",DATE(2018,1,1),DATE(2019,1,1),""weekly"")"),"Date")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IFERROR(__xludf.DUMMYFUNCTION("""COMPUTED_VALUE"""),43105.64583333333)</f>
        <v>43105.64583</v>
      </c>
      <c r="C497" s="2">
        <f>IFERROR(__xludf.DUMMYFUNCTION("""COMPUTED_VALUE"""),569.8)</f>
        <v>569.8</v>
      </c>
    </row>
    <row r="498" ht="15.75" customHeight="1">
      <c r="B498" s="3">
        <f>IFERROR(__xludf.DUMMYFUNCTION("""COMPUTED_VALUE"""),43112.64583333333)</f>
        <v>43112.64583</v>
      </c>
      <c r="C498" s="2">
        <f>IFERROR(__xludf.DUMMYFUNCTION("""COMPUTED_VALUE"""),573.0)</f>
        <v>573</v>
      </c>
    </row>
    <row r="499" ht="15.75" customHeight="1">
      <c r="B499" s="3">
        <f>IFERROR(__xludf.DUMMYFUNCTION("""COMPUTED_VALUE"""),43119.64583333333)</f>
        <v>43119.64583</v>
      </c>
      <c r="C499" s="2">
        <f>IFERROR(__xludf.DUMMYFUNCTION("""COMPUTED_VALUE"""),597.15)</f>
        <v>597.15</v>
      </c>
    </row>
    <row r="500" ht="15.75" customHeight="1">
      <c r="B500" s="3">
        <f>IFERROR(__xludf.DUMMYFUNCTION("""COMPUTED_VALUE"""),43125.64583333333)</f>
        <v>43125.64583</v>
      </c>
      <c r="C500" s="2">
        <f>IFERROR(__xludf.DUMMYFUNCTION("""COMPUTED_VALUE"""),627.6)</f>
        <v>627.6</v>
      </c>
    </row>
    <row r="501" ht="15.75" customHeight="1">
      <c r="B501" s="3">
        <f>IFERROR(__xludf.DUMMYFUNCTION("""COMPUTED_VALUE"""),43133.64583333333)</f>
        <v>43133.64583</v>
      </c>
      <c r="C501" s="2">
        <f>IFERROR(__xludf.DUMMYFUNCTION("""COMPUTED_VALUE"""),620.9)</f>
        <v>620.9</v>
      </c>
    </row>
    <row r="502" ht="15.75" customHeight="1">
      <c r="B502" s="3">
        <f>IFERROR(__xludf.DUMMYFUNCTION("""COMPUTED_VALUE"""),43140.64583333333)</f>
        <v>43140.64583</v>
      </c>
      <c r="C502" s="2">
        <f>IFERROR(__xludf.DUMMYFUNCTION("""COMPUTED_VALUE"""),577.05)</f>
        <v>577.05</v>
      </c>
    </row>
    <row r="503" ht="15.75" customHeight="1">
      <c r="B503" s="3">
        <f>IFERROR(__xludf.DUMMYFUNCTION("""COMPUTED_VALUE"""),43147.64583333333)</f>
        <v>43147.64583</v>
      </c>
      <c r="C503" s="2">
        <f>IFERROR(__xludf.DUMMYFUNCTION("""COMPUTED_VALUE"""),568.0)</f>
        <v>568</v>
      </c>
    </row>
    <row r="504" ht="15.75" customHeight="1">
      <c r="B504" s="3">
        <f>IFERROR(__xludf.DUMMYFUNCTION("""COMPUTED_VALUE"""),43154.64583333333)</f>
        <v>43154.64583</v>
      </c>
      <c r="C504" s="2">
        <f>IFERROR(__xludf.DUMMYFUNCTION("""COMPUTED_VALUE"""),548.05)</f>
        <v>548.05</v>
      </c>
    </row>
    <row r="505" ht="15.75" customHeight="1">
      <c r="B505" s="3">
        <f>IFERROR(__xludf.DUMMYFUNCTION("""COMPUTED_VALUE"""),43160.64583333333)</f>
        <v>43160.64583</v>
      </c>
      <c r="C505" s="2">
        <f>IFERROR(__xludf.DUMMYFUNCTION("""COMPUTED_VALUE"""),554.4)</f>
        <v>554.4</v>
      </c>
    </row>
    <row r="506" ht="15.75" customHeight="1">
      <c r="B506" s="3">
        <f>IFERROR(__xludf.DUMMYFUNCTION("""COMPUTED_VALUE"""),43168.64583333333)</f>
        <v>43168.64583</v>
      </c>
      <c r="C506" s="2">
        <f>IFERROR(__xludf.DUMMYFUNCTION("""COMPUTED_VALUE"""),530.65)</f>
        <v>530.65</v>
      </c>
    </row>
    <row r="507" ht="15.75" customHeight="1">
      <c r="B507" s="3">
        <f>IFERROR(__xludf.DUMMYFUNCTION("""COMPUTED_VALUE"""),43175.64583333333)</f>
        <v>43175.64583</v>
      </c>
      <c r="C507" s="2">
        <f>IFERROR(__xludf.DUMMYFUNCTION("""COMPUTED_VALUE"""),539.2)</f>
        <v>539.2</v>
      </c>
    </row>
    <row r="508" ht="15.75" customHeight="1">
      <c r="B508" s="3">
        <f>IFERROR(__xludf.DUMMYFUNCTION("""COMPUTED_VALUE"""),43182.64583333333)</f>
        <v>43182.64583</v>
      </c>
      <c r="C508" s="2">
        <f>IFERROR(__xludf.DUMMYFUNCTION("""COMPUTED_VALUE"""),532.5)</f>
        <v>532.5</v>
      </c>
    </row>
    <row r="509" ht="15.75" customHeight="1">
      <c r="B509" s="3">
        <f>IFERROR(__xludf.DUMMYFUNCTION("""COMPUTED_VALUE"""),43187.64583333333)</f>
        <v>43187.64583</v>
      </c>
      <c r="C509" s="2">
        <f>IFERROR(__xludf.DUMMYFUNCTION("""COMPUTED_VALUE"""),522.55)</f>
        <v>522.55</v>
      </c>
    </row>
    <row r="510" ht="15.75" customHeight="1">
      <c r="B510" s="3">
        <f>IFERROR(__xludf.DUMMYFUNCTION("""COMPUTED_VALUE"""),43196.64583333333)</f>
        <v>43196.64583</v>
      </c>
      <c r="C510" s="2">
        <f>IFERROR(__xludf.DUMMYFUNCTION("""COMPUTED_VALUE"""),508.5)</f>
        <v>508.5</v>
      </c>
    </row>
    <row r="511" ht="15.75" customHeight="1">
      <c r="B511" s="3">
        <f>IFERROR(__xludf.DUMMYFUNCTION("""COMPUTED_VALUE"""),43203.64583333333)</f>
        <v>43203.64583</v>
      </c>
      <c r="C511" s="2">
        <f>IFERROR(__xludf.DUMMYFUNCTION("""COMPUTED_VALUE"""),555.55)</f>
        <v>555.55</v>
      </c>
    </row>
    <row r="512" ht="15.75" customHeight="1">
      <c r="B512" s="3">
        <f>IFERROR(__xludf.DUMMYFUNCTION("""COMPUTED_VALUE"""),43210.64583333333)</f>
        <v>43210.64583</v>
      </c>
      <c r="C512" s="2">
        <f>IFERROR(__xludf.DUMMYFUNCTION("""COMPUTED_VALUE"""),544.95)</f>
        <v>544.95</v>
      </c>
    </row>
    <row r="513" ht="15.75" customHeight="1">
      <c r="B513" s="3">
        <f>IFERROR(__xludf.DUMMYFUNCTION("""COMPUTED_VALUE"""),43217.64583333333)</f>
        <v>43217.64583</v>
      </c>
      <c r="C513" s="2">
        <f>IFERROR(__xludf.DUMMYFUNCTION("""COMPUTED_VALUE"""),543.1)</f>
        <v>543.1</v>
      </c>
    </row>
    <row r="514" ht="15.75" customHeight="1">
      <c r="B514" s="3">
        <f>IFERROR(__xludf.DUMMYFUNCTION("""COMPUTED_VALUE"""),43224.64583333333)</f>
        <v>43224.64583</v>
      </c>
      <c r="C514" s="2">
        <f>IFERROR(__xludf.DUMMYFUNCTION("""COMPUTED_VALUE"""),538.8)</f>
        <v>538.8</v>
      </c>
    </row>
    <row r="515" ht="15.75" customHeight="1">
      <c r="B515" s="3">
        <f>IFERROR(__xludf.DUMMYFUNCTION("""COMPUTED_VALUE"""),43231.64583333333)</f>
        <v>43231.64583</v>
      </c>
      <c r="C515" s="2">
        <f>IFERROR(__xludf.DUMMYFUNCTION("""COMPUTED_VALUE"""),556.5)</f>
        <v>556.5</v>
      </c>
    </row>
    <row r="516" ht="15.75" customHeight="1">
      <c r="B516" s="3">
        <f>IFERROR(__xludf.DUMMYFUNCTION("""COMPUTED_VALUE"""),43238.64583333333)</f>
        <v>43238.64583</v>
      </c>
      <c r="C516" s="2">
        <f>IFERROR(__xludf.DUMMYFUNCTION("""COMPUTED_VALUE"""),563.5)</f>
        <v>563.5</v>
      </c>
    </row>
    <row r="517" ht="15.75" customHeight="1">
      <c r="B517" s="3">
        <f>IFERROR(__xludf.DUMMYFUNCTION("""COMPUTED_VALUE"""),43245.64583333333)</f>
        <v>43245.64583</v>
      </c>
      <c r="C517" s="2">
        <f>IFERROR(__xludf.DUMMYFUNCTION("""COMPUTED_VALUE"""),543.5)</f>
        <v>543.5</v>
      </c>
    </row>
    <row r="518" ht="15.75" customHeight="1">
      <c r="B518" s="3">
        <f>IFERROR(__xludf.DUMMYFUNCTION("""COMPUTED_VALUE"""),43252.64583333333)</f>
        <v>43252.64583</v>
      </c>
      <c r="C518" s="2">
        <f>IFERROR(__xludf.DUMMYFUNCTION("""COMPUTED_VALUE"""),551.8)</f>
        <v>551.8</v>
      </c>
    </row>
    <row r="519" ht="15.75" customHeight="1">
      <c r="B519" s="3">
        <f>IFERROR(__xludf.DUMMYFUNCTION("""COMPUTED_VALUE"""),43259.64583333333)</f>
        <v>43259.64583</v>
      </c>
      <c r="C519" s="2">
        <f>IFERROR(__xludf.DUMMYFUNCTION("""COMPUTED_VALUE"""),550.0)</f>
        <v>550</v>
      </c>
    </row>
    <row r="520" ht="15.75" customHeight="1">
      <c r="B520" s="3">
        <f>IFERROR(__xludf.DUMMYFUNCTION("""COMPUTED_VALUE"""),43266.64583333333)</f>
        <v>43266.64583</v>
      </c>
      <c r="C520" s="2">
        <f>IFERROR(__xludf.DUMMYFUNCTION("""COMPUTED_VALUE"""),551.8)</f>
        <v>551.8</v>
      </c>
    </row>
    <row r="521" ht="15.75" customHeight="1">
      <c r="B521" s="3">
        <f>IFERROR(__xludf.DUMMYFUNCTION("""COMPUTED_VALUE"""),43273.64583333333)</f>
        <v>43273.64583</v>
      </c>
      <c r="C521" s="2">
        <f>IFERROR(__xludf.DUMMYFUNCTION("""COMPUTED_VALUE"""),531.0)</f>
        <v>531</v>
      </c>
    </row>
    <row r="522" ht="15.75" customHeight="1">
      <c r="B522" s="3">
        <f>IFERROR(__xludf.DUMMYFUNCTION("""COMPUTED_VALUE"""),43280.64583333333)</f>
        <v>43280.64583</v>
      </c>
      <c r="C522" s="2">
        <f>IFERROR(__xludf.DUMMYFUNCTION("""COMPUTED_VALUE"""),523.35)</f>
        <v>523.35</v>
      </c>
    </row>
    <row r="523" ht="15.75" customHeight="1">
      <c r="B523" s="3">
        <f>IFERROR(__xludf.DUMMYFUNCTION("""COMPUTED_VALUE"""),43287.64583333333)</f>
        <v>43287.64583</v>
      </c>
      <c r="C523" s="2">
        <f>IFERROR(__xludf.DUMMYFUNCTION("""COMPUTED_VALUE"""),519.9)</f>
        <v>519.9</v>
      </c>
    </row>
    <row r="524" ht="15.75" customHeight="1">
      <c r="B524" s="3">
        <f>IFERROR(__xludf.DUMMYFUNCTION("""COMPUTED_VALUE"""),43294.64583333333)</f>
        <v>43294.64583</v>
      </c>
      <c r="C524" s="2">
        <f>IFERROR(__xludf.DUMMYFUNCTION("""COMPUTED_VALUE"""),545.7)</f>
        <v>545.7</v>
      </c>
    </row>
    <row r="525" ht="15.75" customHeight="1">
      <c r="B525" s="3">
        <f>IFERROR(__xludf.DUMMYFUNCTION("""COMPUTED_VALUE"""),43301.64583333333)</f>
        <v>43301.64583</v>
      </c>
      <c r="C525" s="2">
        <f>IFERROR(__xludf.DUMMYFUNCTION("""COMPUTED_VALUE"""),542.4)</f>
        <v>542.4</v>
      </c>
    </row>
    <row r="526" ht="15.75" customHeight="1">
      <c r="B526" s="3">
        <f>IFERROR(__xludf.DUMMYFUNCTION("""COMPUTED_VALUE"""),43308.64583333333)</f>
        <v>43308.64583</v>
      </c>
      <c r="C526" s="2">
        <f>IFERROR(__xludf.DUMMYFUNCTION("""COMPUTED_VALUE"""),555.0)</f>
        <v>555</v>
      </c>
    </row>
    <row r="527" ht="15.75" customHeight="1">
      <c r="B527" s="3">
        <f>IFERROR(__xludf.DUMMYFUNCTION("""COMPUTED_VALUE"""),43315.64583333333)</f>
        <v>43315.64583</v>
      </c>
      <c r="C527" s="2">
        <f>IFERROR(__xludf.DUMMYFUNCTION("""COMPUTED_VALUE"""),584.45)</f>
        <v>584.45</v>
      </c>
    </row>
    <row r="528" ht="15.75" customHeight="1">
      <c r="B528" s="3">
        <f>IFERROR(__xludf.DUMMYFUNCTION("""COMPUTED_VALUE"""),43322.64583333333)</f>
        <v>43322.64583</v>
      </c>
      <c r="C528" s="2">
        <f>IFERROR(__xludf.DUMMYFUNCTION("""COMPUTED_VALUE"""),624.4)</f>
        <v>624.4</v>
      </c>
    </row>
    <row r="529" ht="15.75" customHeight="1">
      <c r="B529" s="3">
        <f>IFERROR(__xludf.DUMMYFUNCTION("""COMPUTED_VALUE"""),43329.64583333333)</f>
        <v>43329.64583</v>
      </c>
      <c r="C529" s="2">
        <f>IFERROR(__xludf.DUMMYFUNCTION("""COMPUTED_VALUE"""),635.0)</f>
        <v>635</v>
      </c>
    </row>
    <row r="530" ht="15.75" customHeight="1">
      <c r="B530" s="3">
        <f>IFERROR(__xludf.DUMMYFUNCTION("""COMPUTED_VALUE"""),43336.64583333333)</f>
        <v>43336.64583</v>
      </c>
      <c r="C530" s="2">
        <f>IFERROR(__xludf.DUMMYFUNCTION("""COMPUTED_VALUE"""),644.65)</f>
        <v>644.65</v>
      </c>
    </row>
    <row r="531" ht="15.75" customHeight="1">
      <c r="B531" s="3">
        <f>IFERROR(__xludf.DUMMYFUNCTION("""COMPUTED_VALUE"""),43343.64583333333)</f>
        <v>43343.64583</v>
      </c>
      <c r="C531" s="2">
        <f>IFERROR(__xludf.DUMMYFUNCTION("""COMPUTED_VALUE"""),667.65)</f>
        <v>667.65</v>
      </c>
    </row>
    <row r="532" ht="15.75" customHeight="1">
      <c r="B532" s="3">
        <f>IFERROR(__xludf.DUMMYFUNCTION("""COMPUTED_VALUE"""),43350.64583333333)</f>
        <v>43350.64583</v>
      </c>
      <c r="C532" s="2">
        <f>IFERROR(__xludf.DUMMYFUNCTION("""COMPUTED_VALUE"""),655.45)</f>
        <v>655.45</v>
      </c>
    </row>
    <row r="533" ht="15.75" customHeight="1">
      <c r="B533" s="3">
        <f>IFERROR(__xludf.DUMMYFUNCTION("""COMPUTED_VALUE"""),43357.64583333333)</f>
        <v>43357.64583</v>
      </c>
      <c r="C533" s="2">
        <f>IFERROR(__xludf.DUMMYFUNCTION("""COMPUTED_VALUE"""),677.95)</f>
        <v>677.95</v>
      </c>
    </row>
    <row r="534" ht="15.75" customHeight="1">
      <c r="B534" s="3">
        <f>IFERROR(__xludf.DUMMYFUNCTION("""COMPUTED_VALUE"""),43364.64583333333)</f>
        <v>43364.64583</v>
      </c>
      <c r="C534" s="2">
        <f>IFERROR(__xludf.DUMMYFUNCTION("""COMPUTED_VALUE"""),634.0)</f>
        <v>634</v>
      </c>
    </row>
    <row r="535" ht="15.75" customHeight="1">
      <c r="B535" s="3">
        <f>IFERROR(__xludf.DUMMYFUNCTION("""COMPUTED_VALUE"""),43371.64583333333)</f>
        <v>43371.64583</v>
      </c>
      <c r="C535" s="2">
        <f>IFERROR(__xludf.DUMMYFUNCTION("""COMPUTED_VALUE"""),624.35)</f>
        <v>624.35</v>
      </c>
    </row>
    <row r="536" ht="15.75" customHeight="1">
      <c r="B536" s="3">
        <f>IFERROR(__xludf.DUMMYFUNCTION("""COMPUTED_VALUE"""),43378.64583333333)</f>
        <v>43378.64583</v>
      </c>
      <c r="C536" s="2">
        <f>IFERROR(__xludf.DUMMYFUNCTION("""COMPUTED_VALUE"""),617.5)</f>
        <v>617.5</v>
      </c>
    </row>
    <row r="537" ht="15.75" customHeight="1">
      <c r="B537" s="3">
        <f>IFERROR(__xludf.DUMMYFUNCTION("""COMPUTED_VALUE"""),43385.64583333333)</f>
        <v>43385.64583</v>
      </c>
      <c r="C537" s="2">
        <f>IFERROR(__xludf.DUMMYFUNCTION("""COMPUTED_VALUE"""),602.25)</f>
        <v>602.25</v>
      </c>
    </row>
    <row r="538" ht="15.75" customHeight="1">
      <c r="B538" s="3">
        <f>IFERROR(__xludf.DUMMYFUNCTION("""COMPUTED_VALUE"""),43392.64583333333)</f>
        <v>43392.64583</v>
      </c>
      <c r="C538" s="2">
        <f>IFERROR(__xludf.DUMMYFUNCTION("""COMPUTED_VALUE"""),598.8)</f>
        <v>598.8</v>
      </c>
    </row>
    <row r="539" ht="15.75" customHeight="1">
      <c r="B539" s="3">
        <f>IFERROR(__xludf.DUMMYFUNCTION("""COMPUTED_VALUE"""),43399.64583333333)</f>
        <v>43399.64583</v>
      </c>
      <c r="C539" s="2">
        <f>IFERROR(__xludf.DUMMYFUNCTION("""COMPUTED_VALUE"""),576.95)</f>
        <v>576.95</v>
      </c>
    </row>
    <row r="540" ht="15.75" customHeight="1">
      <c r="B540" s="3">
        <f>IFERROR(__xludf.DUMMYFUNCTION("""COMPUTED_VALUE"""),43406.64583333333)</f>
        <v>43406.64583</v>
      </c>
      <c r="C540" s="2">
        <f>IFERROR(__xludf.DUMMYFUNCTION("""COMPUTED_VALUE"""),617.9)</f>
        <v>617.9</v>
      </c>
    </row>
    <row r="541" ht="15.75" customHeight="1">
      <c r="B541" s="3">
        <f>IFERROR(__xludf.DUMMYFUNCTION("""COMPUTED_VALUE"""),43413.64583333333)</f>
        <v>43413.64583</v>
      </c>
      <c r="C541" s="2">
        <f>IFERROR(__xludf.DUMMYFUNCTION("""COMPUTED_VALUE"""),633.0)</f>
        <v>633</v>
      </c>
    </row>
    <row r="542" ht="15.75" customHeight="1">
      <c r="B542" s="3">
        <f>IFERROR(__xludf.DUMMYFUNCTION("""COMPUTED_VALUE"""),43420.64583333333)</f>
        <v>43420.64583</v>
      </c>
      <c r="C542" s="2">
        <f>IFERROR(__xludf.DUMMYFUNCTION("""COMPUTED_VALUE"""),636.7)</f>
        <v>636.7</v>
      </c>
    </row>
    <row r="543" ht="15.75" customHeight="1">
      <c r="B543" s="3">
        <f>IFERROR(__xludf.DUMMYFUNCTION("""COMPUTED_VALUE"""),43426.64583333333)</f>
        <v>43426.64583</v>
      </c>
      <c r="C543" s="2">
        <f>IFERROR(__xludf.DUMMYFUNCTION("""COMPUTED_VALUE"""),629.4)</f>
        <v>629.4</v>
      </c>
    </row>
    <row r="544" ht="15.75" customHeight="1">
      <c r="B544" s="3">
        <f>IFERROR(__xludf.DUMMYFUNCTION("""COMPUTED_VALUE"""),43434.64583333333)</f>
        <v>43434.64583</v>
      </c>
      <c r="C544" s="2">
        <f>IFERROR(__xludf.DUMMYFUNCTION("""COMPUTED_VALUE"""),638.7)</f>
        <v>638.7</v>
      </c>
    </row>
    <row r="545" ht="15.75" customHeight="1">
      <c r="B545" s="3">
        <f>IFERROR(__xludf.DUMMYFUNCTION("""COMPUTED_VALUE"""),43441.64583333333)</f>
        <v>43441.64583</v>
      </c>
      <c r="C545" s="2">
        <f>IFERROR(__xludf.DUMMYFUNCTION("""COMPUTED_VALUE"""),633.0)</f>
        <v>633</v>
      </c>
    </row>
    <row r="546" ht="15.75" customHeight="1">
      <c r="B546" s="3">
        <f>IFERROR(__xludf.DUMMYFUNCTION("""COMPUTED_VALUE"""),43448.64583333333)</f>
        <v>43448.64583</v>
      </c>
      <c r="C546" s="2">
        <f>IFERROR(__xludf.DUMMYFUNCTION("""COMPUTED_VALUE"""),625.9)</f>
        <v>625.9</v>
      </c>
    </row>
    <row r="547" ht="15.75" customHeight="1">
      <c r="B547" s="3">
        <f>IFERROR(__xludf.DUMMYFUNCTION("""COMPUTED_VALUE"""),43455.64583333333)</f>
        <v>43455.64583</v>
      </c>
      <c r="C547" s="2">
        <f>IFERROR(__xludf.DUMMYFUNCTION("""COMPUTED_VALUE"""),651.65)</f>
        <v>651.65</v>
      </c>
    </row>
    <row r="548" ht="15.75" customHeight="1">
      <c r="B548" s="3">
        <f>IFERROR(__xludf.DUMMYFUNCTION("""COMPUTED_VALUE"""),43462.64583333333)</f>
        <v>43462.64583</v>
      </c>
      <c r="C548" s="2">
        <f>IFERROR(__xludf.DUMMYFUNCTION("""COMPUTED_VALUE"""),628.0)</f>
        <v>628</v>
      </c>
    </row>
    <row r="549" ht="15.75" customHeight="1"/>
    <row r="550" ht="15.75" customHeight="1"/>
    <row r="551" ht="15.75" customHeight="1">
      <c r="B551" s="2" t="str">
        <f>IFERROR(__xludf.DUMMYFUNCTION("GOOGLEFINANCE(""NSE:AXISBANK"", ""high"",DATE(2019,1,1),DATE(2020,1,1),""weekly"")"),"Date")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IFERROR(__xludf.DUMMYFUNCTION("""COMPUTED_VALUE"""),43469.64583333333)</f>
        <v>43469.64583</v>
      </c>
      <c r="C552" s="2">
        <f>IFERROR(__xludf.DUMMYFUNCTION("""COMPUTED_VALUE"""),631.95)</f>
        <v>631.95</v>
      </c>
    </row>
    <row r="553" ht="15.75" customHeight="1">
      <c r="B553" s="3">
        <f>IFERROR(__xludf.DUMMYFUNCTION("""COMPUTED_VALUE"""),43476.64583333333)</f>
        <v>43476.64583</v>
      </c>
      <c r="C553" s="2">
        <f>IFERROR(__xludf.DUMMYFUNCTION("""COMPUTED_VALUE"""),672.05)</f>
        <v>672.05</v>
      </c>
    </row>
    <row r="554" ht="15.75" customHeight="1">
      <c r="B554" s="3">
        <f>IFERROR(__xludf.DUMMYFUNCTION("""COMPUTED_VALUE"""),43483.64583333333)</f>
        <v>43483.64583</v>
      </c>
      <c r="C554" s="2">
        <f>IFERROR(__xludf.DUMMYFUNCTION("""COMPUTED_VALUE"""),680.0)</f>
        <v>680</v>
      </c>
    </row>
    <row r="555" ht="15.75" customHeight="1">
      <c r="B555" s="3">
        <f>IFERROR(__xludf.DUMMYFUNCTION("""COMPUTED_VALUE"""),43490.64583333333)</f>
        <v>43490.64583</v>
      </c>
      <c r="C555" s="2">
        <f>IFERROR(__xludf.DUMMYFUNCTION("""COMPUTED_VALUE"""),676.85)</f>
        <v>676.85</v>
      </c>
    </row>
    <row r="556" ht="15.75" customHeight="1">
      <c r="B556" s="3">
        <f>IFERROR(__xludf.DUMMYFUNCTION("""COMPUTED_VALUE"""),43497.64583333333)</f>
        <v>43497.64583</v>
      </c>
      <c r="C556" s="2">
        <f>IFERROR(__xludf.DUMMYFUNCTION("""COMPUTED_VALUE"""),726.85)</f>
        <v>726.85</v>
      </c>
    </row>
    <row r="557" ht="15.75" customHeight="1">
      <c r="B557" s="3">
        <f>IFERROR(__xludf.DUMMYFUNCTION("""COMPUTED_VALUE"""),43504.64583333333)</f>
        <v>43504.64583</v>
      </c>
      <c r="C557" s="2">
        <f>IFERROR(__xludf.DUMMYFUNCTION("""COMPUTED_VALUE"""),734.5)</f>
        <v>734.5</v>
      </c>
    </row>
    <row r="558" ht="15.75" customHeight="1">
      <c r="B558" s="3">
        <f>IFERROR(__xludf.DUMMYFUNCTION("""COMPUTED_VALUE"""),43511.64583333333)</f>
        <v>43511.64583</v>
      </c>
      <c r="C558" s="2">
        <f>IFERROR(__xludf.DUMMYFUNCTION("""COMPUTED_VALUE"""),719.9)</f>
        <v>719.9</v>
      </c>
    </row>
    <row r="559" ht="15.75" customHeight="1">
      <c r="B559" s="3">
        <f>IFERROR(__xludf.DUMMYFUNCTION("""COMPUTED_VALUE"""),43518.64583333333)</f>
        <v>43518.64583</v>
      </c>
      <c r="C559" s="2">
        <f>IFERROR(__xludf.DUMMYFUNCTION("""COMPUTED_VALUE"""),706.5)</f>
        <v>706.5</v>
      </c>
    </row>
    <row r="560" ht="15.75" customHeight="1">
      <c r="B560" s="3">
        <f>IFERROR(__xludf.DUMMYFUNCTION("""COMPUTED_VALUE"""),43525.64583333333)</f>
        <v>43525.64583</v>
      </c>
      <c r="C560" s="2">
        <f>IFERROR(__xludf.DUMMYFUNCTION("""COMPUTED_VALUE"""),727.8)</f>
        <v>727.8</v>
      </c>
    </row>
    <row r="561" ht="15.75" customHeight="1">
      <c r="B561" s="3">
        <f>IFERROR(__xludf.DUMMYFUNCTION("""COMPUTED_VALUE"""),43532.64583333333)</f>
        <v>43532.64583</v>
      </c>
      <c r="C561" s="2">
        <f>IFERROR(__xludf.DUMMYFUNCTION("""COMPUTED_VALUE"""),739.45)</f>
        <v>739.45</v>
      </c>
    </row>
    <row r="562" ht="15.75" customHeight="1">
      <c r="B562" s="3">
        <f>IFERROR(__xludf.DUMMYFUNCTION("""COMPUTED_VALUE"""),43539.64583333333)</f>
        <v>43539.64583</v>
      </c>
      <c r="C562" s="2">
        <f>IFERROR(__xludf.DUMMYFUNCTION("""COMPUTED_VALUE"""),751.0)</f>
        <v>751</v>
      </c>
    </row>
    <row r="563" ht="15.75" customHeight="1">
      <c r="B563" s="3">
        <f>IFERROR(__xludf.DUMMYFUNCTION("""COMPUTED_VALUE"""),43546.64583333333)</f>
        <v>43546.64583</v>
      </c>
      <c r="C563" s="2">
        <f>IFERROR(__xludf.DUMMYFUNCTION("""COMPUTED_VALUE"""),767.0)</f>
        <v>767</v>
      </c>
    </row>
    <row r="564" ht="15.75" customHeight="1">
      <c r="B564" s="3">
        <f>IFERROR(__xludf.DUMMYFUNCTION("""COMPUTED_VALUE"""),43553.64583333333)</f>
        <v>43553.64583</v>
      </c>
      <c r="C564" s="2">
        <f>IFERROR(__xludf.DUMMYFUNCTION("""COMPUTED_VALUE"""),787.65)</f>
        <v>787.65</v>
      </c>
    </row>
    <row r="565" ht="15.75" customHeight="1">
      <c r="B565" s="3">
        <f>IFERROR(__xludf.DUMMYFUNCTION("""COMPUTED_VALUE"""),43560.64583333333)</f>
        <v>43560.64583</v>
      </c>
      <c r="C565" s="2">
        <f>IFERROR(__xludf.DUMMYFUNCTION("""COMPUTED_VALUE"""),783.0)</f>
        <v>783</v>
      </c>
    </row>
    <row r="566" ht="15.75" customHeight="1">
      <c r="B566" s="3">
        <f>IFERROR(__xludf.DUMMYFUNCTION("""COMPUTED_VALUE"""),43567.64583333333)</f>
        <v>43567.64583</v>
      </c>
      <c r="C566" s="2">
        <f>IFERROR(__xludf.DUMMYFUNCTION("""COMPUTED_VALUE"""),768.0)</f>
        <v>768</v>
      </c>
    </row>
    <row r="567" ht="15.75" customHeight="1">
      <c r="B567" s="3">
        <f>IFERROR(__xludf.DUMMYFUNCTION("""COMPUTED_VALUE"""),43573.64583333333)</f>
        <v>43573.64583</v>
      </c>
      <c r="C567" s="2">
        <f>IFERROR(__xludf.DUMMYFUNCTION("""COMPUTED_VALUE"""),779.0)</f>
        <v>779</v>
      </c>
    </row>
    <row r="568" ht="15.75" customHeight="1">
      <c r="B568" s="3">
        <f>IFERROR(__xludf.DUMMYFUNCTION("""COMPUTED_VALUE"""),43581.64583333333)</f>
        <v>43581.64583</v>
      </c>
      <c r="C568" s="2">
        <f>IFERROR(__xludf.DUMMYFUNCTION("""COMPUTED_VALUE"""),768.9)</f>
        <v>768.9</v>
      </c>
    </row>
    <row r="569" ht="15.75" customHeight="1">
      <c r="B569" s="3">
        <f>IFERROR(__xludf.DUMMYFUNCTION("""COMPUTED_VALUE"""),43588.64583333333)</f>
        <v>43588.64583</v>
      </c>
      <c r="C569" s="2">
        <f>IFERROR(__xludf.DUMMYFUNCTION("""COMPUTED_VALUE"""),769.7)</f>
        <v>769.7</v>
      </c>
    </row>
    <row r="570" ht="15.75" customHeight="1">
      <c r="B570" s="3">
        <f>IFERROR(__xludf.DUMMYFUNCTION("""COMPUTED_VALUE"""),43595.64583333333)</f>
        <v>43595.64583</v>
      </c>
      <c r="C570" s="2">
        <f>IFERROR(__xludf.DUMMYFUNCTION("""COMPUTED_VALUE"""),755.5)</f>
        <v>755.5</v>
      </c>
    </row>
    <row r="571" ht="15.75" customHeight="1">
      <c r="B571" s="3">
        <f>IFERROR(__xludf.DUMMYFUNCTION("""COMPUTED_VALUE"""),43602.64583333333)</f>
        <v>43602.64583</v>
      </c>
      <c r="C571" s="2">
        <f>IFERROR(__xludf.DUMMYFUNCTION("""COMPUTED_VALUE"""),752.15)</f>
        <v>752.15</v>
      </c>
    </row>
    <row r="572" ht="15.75" customHeight="1">
      <c r="B572" s="3">
        <f>IFERROR(__xludf.DUMMYFUNCTION("""COMPUTED_VALUE"""),43609.64583333333)</f>
        <v>43609.64583</v>
      </c>
      <c r="C572" s="2">
        <f>IFERROR(__xludf.DUMMYFUNCTION("""COMPUTED_VALUE"""),804.3)</f>
        <v>804.3</v>
      </c>
    </row>
    <row r="573" ht="15.75" customHeight="1">
      <c r="B573" s="3">
        <f>IFERROR(__xludf.DUMMYFUNCTION("""COMPUTED_VALUE"""),43616.64583333333)</f>
        <v>43616.64583</v>
      </c>
      <c r="C573" s="2">
        <f>IFERROR(__xludf.DUMMYFUNCTION("""COMPUTED_VALUE"""),822.1)</f>
        <v>822.1</v>
      </c>
    </row>
    <row r="574" ht="15.75" customHeight="1">
      <c r="B574" s="3">
        <f>IFERROR(__xludf.DUMMYFUNCTION("""COMPUTED_VALUE"""),43623.64583333333)</f>
        <v>43623.64583</v>
      </c>
      <c r="C574" s="2">
        <f>IFERROR(__xludf.DUMMYFUNCTION("""COMPUTED_VALUE"""),827.75)</f>
        <v>827.75</v>
      </c>
    </row>
    <row r="575" ht="15.75" customHeight="1">
      <c r="B575" s="3">
        <f>IFERROR(__xludf.DUMMYFUNCTION("""COMPUTED_VALUE"""),43630.64583333333)</f>
        <v>43630.64583</v>
      </c>
      <c r="C575" s="2">
        <f>IFERROR(__xludf.DUMMYFUNCTION("""COMPUTED_VALUE"""),823.4)</f>
        <v>823.4</v>
      </c>
    </row>
    <row r="576" ht="15.75" customHeight="1">
      <c r="B576" s="3">
        <f>IFERROR(__xludf.DUMMYFUNCTION("""COMPUTED_VALUE"""),43637.64583333333)</f>
        <v>43637.64583</v>
      </c>
      <c r="C576" s="2">
        <f>IFERROR(__xludf.DUMMYFUNCTION("""COMPUTED_VALUE"""),801.0)</f>
        <v>801</v>
      </c>
    </row>
    <row r="577" ht="15.75" customHeight="1">
      <c r="B577" s="3">
        <f>IFERROR(__xludf.DUMMYFUNCTION("""COMPUTED_VALUE"""),43644.64583333333)</f>
        <v>43644.64583</v>
      </c>
      <c r="C577" s="2">
        <f>IFERROR(__xludf.DUMMYFUNCTION("""COMPUTED_VALUE"""),812.9)</f>
        <v>812.9</v>
      </c>
    </row>
    <row r="578" ht="15.75" customHeight="1">
      <c r="B578" s="3">
        <f>IFERROR(__xludf.DUMMYFUNCTION("""COMPUTED_VALUE"""),43651.64583333333)</f>
        <v>43651.64583</v>
      </c>
      <c r="C578" s="2">
        <f>IFERROR(__xludf.DUMMYFUNCTION("""COMPUTED_VALUE"""),819.0)</f>
        <v>819</v>
      </c>
    </row>
    <row r="579" ht="15.75" customHeight="1">
      <c r="B579" s="3">
        <f>IFERROR(__xludf.DUMMYFUNCTION("""COMPUTED_VALUE"""),43658.64583333333)</f>
        <v>43658.64583</v>
      </c>
      <c r="C579" s="2">
        <f>IFERROR(__xludf.DUMMYFUNCTION("""COMPUTED_VALUE"""),803.65)</f>
        <v>803.65</v>
      </c>
    </row>
    <row r="580" ht="15.75" customHeight="1">
      <c r="B580" s="3">
        <f>IFERROR(__xludf.DUMMYFUNCTION("""COMPUTED_VALUE"""),43665.64583333333)</f>
        <v>43665.64583</v>
      </c>
      <c r="C580" s="2">
        <f>IFERROR(__xludf.DUMMYFUNCTION("""COMPUTED_VALUE"""),765.55)</f>
        <v>765.55</v>
      </c>
    </row>
    <row r="581" ht="15.75" customHeight="1">
      <c r="B581" s="3">
        <f>IFERROR(__xludf.DUMMYFUNCTION("""COMPUTED_VALUE"""),43672.64583333333)</f>
        <v>43672.64583</v>
      </c>
      <c r="C581" s="2">
        <f>IFERROR(__xludf.DUMMYFUNCTION("""COMPUTED_VALUE"""),739.3)</f>
        <v>739.3</v>
      </c>
    </row>
    <row r="582" ht="15.75" customHeight="1">
      <c r="B582" s="3">
        <f>IFERROR(__xludf.DUMMYFUNCTION("""COMPUTED_VALUE"""),43679.64583333333)</f>
        <v>43679.64583</v>
      </c>
      <c r="C582" s="2">
        <f>IFERROR(__xludf.DUMMYFUNCTION("""COMPUTED_VALUE"""),740.0)</f>
        <v>740</v>
      </c>
    </row>
    <row r="583" ht="15.75" customHeight="1">
      <c r="B583" s="3">
        <f>IFERROR(__xludf.DUMMYFUNCTION("""COMPUTED_VALUE"""),43686.64583333333)</f>
        <v>43686.64583</v>
      </c>
      <c r="C583" s="2">
        <f>IFERROR(__xludf.DUMMYFUNCTION("""COMPUTED_VALUE"""),682.85)</f>
        <v>682.85</v>
      </c>
    </row>
    <row r="584" ht="15.75" customHeight="1">
      <c r="B584" s="3">
        <f>IFERROR(__xludf.DUMMYFUNCTION("""COMPUTED_VALUE"""),43693.64583333333)</f>
        <v>43693.64583</v>
      </c>
      <c r="C584" s="2">
        <f>IFERROR(__xludf.DUMMYFUNCTION("""COMPUTED_VALUE"""),678.0)</f>
        <v>678</v>
      </c>
    </row>
    <row r="585" ht="15.75" customHeight="1">
      <c r="B585" s="3">
        <f>IFERROR(__xludf.DUMMYFUNCTION("""COMPUTED_VALUE"""),43700.64583333333)</f>
        <v>43700.64583</v>
      </c>
      <c r="C585" s="2">
        <f>IFERROR(__xludf.DUMMYFUNCTION("""COMPUTED_VALUE"""),689.0)</f>
        <v>689</v>
      </c>
    </row>
    <row r="586" ht="15.75" customHeight="1">
      <c r="B586" s="3">
        <f>IFERROR(__xludf.DUMMYFUNCTION("""COMPUTED_VALUE"""),43707.64583333333)</f>
        <v>43707.64583</v>
      </c>
      <c r="C586" s="2">
        <f>IFERROR(__xludf.DUMMYFUNCTION("""COMPUTED_VALUE"""),697.55)</f>
        <v>697.55</v>
      </c>
    </row>
    <row r="587" ht="15.75" customHeight="1">
      <c r="B587" s="3">
        <f>IFERROR(__xludf.DUMMYFUNCTION("""COMPUTED_VALUE"""),43714.64583333333)</f>
        <v>43714.64583</v>
      </c>
      <c r="C587" s="2">
        <f>IFERROR(__xludf.DUMMYFUNCTION("""COMPUTED_VALUE"""),672.75)</f>
        <v>672.75</v>
      </c>
    </row>
    <row r="588" ht="15.75" customHeight="1">
      <c r="B588" s="3">
        <f>IFERROR(__xludf.DUMMYFUNCTION("""COMPUTED_VALUE"""),43721.64583333333)</f>
        <v>43721.64583</v>
      </c>
      <c r="C588" s="2">
        <f>IFERROR(__xludf.DUMMYFUNCTION("""COMPUTED_VALUE"""),683.5)</f>
        <v>683.5</v>
      </c>
    </row>
    <row r="589" ht="15.75" customHeight="1">
      <c r="B589" s="3">
        <f>IFERROR(__xludf.DUMMYFUNCTION("""COMPUTED_VALUE"""),43728.64583333333)</f>
        <v>43728.64583</v>
      </c>
      <c r="C589" s="2">
        <f>IFERROR(__xludf.DUMMYFUNCTION("""COMPUTED_VALUE"""),689.45)</f>
        <v>689.45</v>
      </c>
    </row>
    <row r="590" ht="15.75" customHeight="1">
      <c r="B590" s="3">
        <f>IFERROR(__xludf.DUMMYFUNCTION("""COMPUTED_VALUE"""),43735.64583333333)</f>
        <v>43735.64583</v>
      </c>
      <c r="C590" s="2">
        <f>IFERROR(__xludf.DUMMYFUNCTION("""COMPUTED_VALUE"""),733.25)</f>
        <v>733.25</v>
      </c>
    </row>
    <row r="591" ht="15.75" customHeight="1">
      <c r="B591" s="3">
        <f>IFERROR(__xludf.DUMMYFUNCTION("""COMPUTED_VALUE"""),43742.64583333333)</f>
        <v>43742.64583</v>
      </c>
      <c r="C591" s="2">
        <f>IFERROR(__xludf.DUMMYFUNCTION("""COMPUTED_VALUE"""),712.4)</f>
        <v>712.4</v>
      </c>
    </row>
    <row r="592" ht="15.75" customHeight="1">
      <c r="B592" s="3">
        <f>IFERROR(__xludf.DUMMYFUNCTION("""COMPUTED_VALUE"""),43749.64583333333)</f>
        <v>43749.64583</v>
      </c>
      <c r="C592" s="2">
        <f>IFERROR(__xludf.DUMMYFUNCTION("""COMPUTED_VALUE"""),689.5)</f>
        <v>689.5</v>
      </c>
    </row>
    <row r="593" ht="15.75" customHeight="1">
      <c r="B593" s="3">
        <f>IFERROR(__xludf.DUMMYFUNCTION("""COMPUTED_VALUE"""),43756.64583333333)</f>
        <v>43756.64583</v>
      </c>
      <c r="C593" s="2">
        <f>IFERROR(__xludf.DUMMYFUNCTION("""COMPUTED_VALUE"""),715.7)</f>
        <v>715.7</v>
      </c>
    </row>
    <row r="594" ht="15.75" customHeight="1">
      <c r="B594" s="3">
        <f>IFERROR(__xludf.DUMMYFUNCTION("""COMPUTED_VALUE"""),43763.79166666667)</f>
        <v>43763.79167</v>
      </c>
      <c r="C594" s="2">
        <f>IFERROR(__xludf.DUMMYFUNCTION("""COMPUTED_VALUE"""),730.0)</f>
        <v>730</v>
      </c>
    </row>
    <row r="595" ht="15.75" customHeight="1">
      <c r="B595" s="3">
        <f>IFERROR(__xludf.DUMMYFUNCTION("""COMPUTED_VALUE"""),43770.64583333333)</f>
        <v>43770.64583</v>
      </c>
      <c r="C595" s="2">
        <f>IFERROR(__xludf.DUMMYFUNCTION("""COMPUTED_VALUE"""),750.0)</f>
        <v>750</v>
      </c>
    </row>
    <row r="596" ht="15.75" customHeight="1">
      <c r="B596" s="3">
        <f>IFERROR(__xludf.DUMMYFUNCTION("""COMPUTED_VALUE"""),43777.64583333333)</f>
        <v>43777.64583</v>
      </c>
      <c r="C596" s="2">
        <f>IFERROR(__xludf.DUMMYFUNCTION("""COMPUTED_VALUE"""),756.0)</f>
        <v>756</v>
      </c>
    </row>
    <row r="597" ht="15.75" customHeight="1">
      <c r="B597" s="3">
        <f>IFERROR(__xludf.DUMMYFUNCTION("""COMPUTED_VALUE"""),43784.64583333333)</f>
        <v>43784.64583</v>
      </c>
      <c r="C597" s="2">
        <f>IFERROR(__xludf.DUMMYFUNCTION("""COMPUTED_VALUE"""),737.4)</f>
        <v>737.4</v>
      </c>
    </row>
    <row r="598" ht="15.75" customHeight="1">
      <c r="B598" s="3">
        <f>IFERROR(__xludf.DUMMYFUNCTION("""COMPUTED_VALUE"""),43791.64583333333)</f>
        <v>43791.64583</v>
      </c>
      <c r="C598" s="2">
        <f>IFERROR(__xludf.DUMMYFUNCTION("""COMPUTED_VALUE"""),753.85)</f>
        <v>753.85</v>
      </c>
    </row>
    <row r="599" ht="15.75" customHeight="1">
      <c r="B599" s="3">
        <f>IFERROR(__xludf.DUMMYFUNCTION("""COMPUTED_VALUE"""),43798.64583333333)</f>
        <v>43798.64583</v>
      </c>
      <c r="C599" s="2">
        <f>IFERROR(__xludf.DUMMYFUNCTION("""COMPUTED_VALUE"""),763.75)</f>
        <v>763.75</v>
      </c>
    </row>
    <row r="600" ht="15.75" customHeight="1">
      <c r="B600" s="3">
        <f>IFERROR(__xludf.DUMMYFUNCTION("""COMPUTED_VALUE"""),43805.64583333333)</f>
        <v>43805.64583</v>
      </c>
      <c r="C600" s="2">
        <f>IFERROR(__xludf.DUMMYFUNCTION("""COMPUTED_VALUE"""),747.0)</f>
        <v>747</v>
      </c>
    </row>
    <row r="601" ht="15.75" customHeight="1">
      <c r="B601" s="3">
        <f>IFERROR(__xludf.DUMMYFUNCTION("""COMPUTED_VALUE"""),43812.64583333333)</f>
        <v>43812.64583</v>
      </c>
      <c r="C601" s="2">
        <f>IFERROR(__xludf.DUMMYFUNCTION("""COMPUTED_VALUE"""),754.85)</f>
        <v>754.85</v>
      </c>
    </row>
    <row r="602" ht="15.75" customHeight="1">
      <c r="B602" s="3">
        <f>IFERROR(__xludf.DUMMYFUNCTION("""COMPUTED_VALUE"""),43819.64583333333)</f>
        <v>43819.64583</v>
      </c>
      <c r="C602" s="2">
        <f>IFERROR(__xludf.DUMMYFUNCTION("""COMPUTED_VALUE"""),756.5)</f>
        <v>756.5</v>
      </c>
    </row>
    <row r="603" ht="15.75" customHeight="1">
      <c r="B603" s="3">
        <f>IFERROR(__xludf.DUMMYFUNCTION("""COMPUTED_VALUE"""),43826.64583333333)</f>
        <v>43826.64583</v>
      </c>
      <c r="C603" s="2">
        <f>IFERROR(__xludf.DUMMYFUNCTION("""COMPUTED_VALUE"""),762.0)</f>
        <v>762</v>
      </c>
    </row>
    <row r="604" ht="15.75" customHeight="1"/>
    <row r="605" ht="15.75" customHeight="1"/>
    <row r="606" ht="15.75" customHeight="1">
      <c r="B606" s="2" t="str">
        <f>IFERROR(__xludf.DUMMYFUNCTION("GOOGLEFINANCE(""NSE:AXISBANK"", ""high"",DATE(2020,1,1),DATE(2021,1,1),""weekly"")"),"Date")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IFERROR(__xludf.DUMMYFUNCTION("""COMPUTED_VALUE"""),43833.64583333333)</f>
        <v>43833.64583</v>
      </c>
      <c r="C607" s="2">
        <f>IFERROR(__xludf.DUMMYFUNCTION("""COMPUTED_VALUE"""),765.85)</f>
        <v>765.85</v>
      </c>
    </row>
    <row r="608" ht="15.75" customHeight="1">
      <c r="B608" s="3">
        <f>IFERROR(__xludf.DUMMYFUNCTION("""COMPUTED_VALUE"""),43840.64583333333)</f>
        <v>43840.64583</v>
      </c>
      <c r="C608" s="2">
        <f>IFERROR(__xludf.DUMMYFUNCTION("""COMPUTED_VALUE"""),751.8)</f>
        <v>751.8</v>
      </c>
    </row>
    <row r="609" ht="15.75" customHeight="1">
      <c r="B609" s="3">
        <f>IFERROR(__xludf.DUMMYFUNCTION("""COMPUTED_VALUE"""),43847.64583333333)</f>
        <v>43847.64583</v>
      </c>
      <c r="C609" s="2">
        <f>IFERROR(__xludf.DUMMYFUNCTION("""COMPUTED_VALUE"""),751.4)</f>
        <v>751.4</v>
      </c>
    </row>
    <row r="610" ht="15.75" customHeight="1">
      <c r="B610" s="3">
        <f>IFERROR(__xludf.DUMMYFUNCTION("""COMPUTED_VALUE"""),43854.64583333333)</f>
        <v>43854.64583</v>
      </c>
      <c r="C610" s="2">
        <f>IFERROR(__xludf.DUMMYFUNCTION("""COMPUTED_VALUE"""),746.2)</f>
        <v>746.2</v>
      </c>
    </row>
    <row r="611" ht="15.75" customHeight="1">
      <c r="B611" s="3">
        <f>IFERROR(__xludf.DUMMYFUNCTION("""COMPUTED_VALUE"""),43862.70833333333)</f>
        <v>43862.70833</v>
      </c>
      <c r="C611" s="2">
        <f>IFERROR(__xludf.DUMMYFUNCTION("""COMPUTED_VALUE"""),748.45)</f>
        <v>748.45</v>
      </c>
    </row>
    <row r="612" ht="15.75" customHeight="1">
      <c r="B612" s="3">
        <f>IFERROR(__xludf.DUMMYFUNCTION("""COMPUTED_VALUE"""),43868.64583333333)</f>
        <v>43868.64583</v>
      </c>
      <c r="C612" s="2">
        <f>IFERROR(__xludf.DUMMYFUNCTION("""COMPUTED_VALUE"""),749.2)</f>
        <v>749.2</v>
      </c>
    </row>
    <row r="613" ht="15.75" customHeight="1">
      <c r="B613" s="3">
        <f>IFERROR(__xludf.DUMMYFUNCTION("""COMPUTED_VALUE"""),43875.64583333333)</f>
        <v>43875.64583</v>
      </c>
      <c r="C613" s="2">
        <f>IFERROR(__xludf.DUMMYFUNCTION("""COMPUTED_VALUE"""),760.7)</f>
        <v>760.7</v>
      </c>
    </row>
    <row r="614" ht="15.75" customHeight="1">
      <c r="B614" s="3">
        <f>IFERROR(__xludf.DUMMYFUNCTION("""COMPUTED_VALUE"""),43881.64583333333)</f>
        <v>43881.64583</v>
      </c>
      <c r="C614" s="2">
        <f>IFERROR(__xludf.DUMMYFUNCTION("""COMPUTED_VALUE"""),754.0)</f>
        <v>754</v>
      </c>
    </row>
    <row r="615" ht="15.75" customHeight="1">
      <c r="B615" s="3">
        <f>IFERROR(__xludf.DUMMYFUNCTION("""COMPUTED_VALUE"""),43889.64583333333)</f>
        <v>43889.64583</v>
      </c>
      <c r="C615" s="2">
        <f>IFERROR(__xludf.DUMMYFUNCTION("""COMPUTED_VALUE"""),739.45)</f>
        <v>739.45</v>
      </c>
    </row>
    <row r="616" ht="15.75" customHeight="1">
      <c r="B616" s="3">
        <f>IFERROR(__xludf.DUMMYFUNCTION("""COMPUTED_VALUE"""),43896.64583333333)</f>
        <v>43896.64583</v>
      </c>
      <c r="C616" s="2">
        <f>IFERROR(__xludf.DUMMYFUNCTION("""COMPUTED_VALUE"""),713.25)</f>
        <v>713.25</v>
      </c>
    </row>
    <row r="617" ht="15.75" customHeight="1">
      <c r="B617" s="3">
        <f>IFERROR(__xludf.DUMMYFUNCTION("""COMPUTED_VALUE"""),43903.64583333333)</f>
        <v>43903.64583</v>
      </c>
      <c r="C617" s="2">
        <f>IFERROR(__xludf.DUMMYFUNCTION("""COMPUTED_VALUE"""),641.85)</f>
        <v>641.85</v>
      </c>
    </row>
    <row r="618" ht="15.75" customHeight="1">
      <c r="B618" s="3">
        <f>IFERROR(__xludf.DUMMYFUNCTION("""COMPUTED_VALUE"""),43910.64583333333)</f>
        <v>43910.64583</v>
      </c>
      <c r="C618" s="2">
        <f>IFERROR(__xludf.DUMMYFUNCTION("""COMPUTED_VALUE"""),545.0)</f>
        <v>545</v>
      </c>
    </row>
    <row r="619" ht="15.75" customHeight="1">
      <c r="B619" s="3">
        <f>IFERROR(__xludf.DUMMYFUNCTION("""COMPUTED_VALUE"""),43917.64583333333)</f>
        <v>43917.64583</v>
      </c>
      <c r="C619" s="2">
        <f>IFERROR(__xludf.DUMMYFUNCTION("""COMPUTED_VALUE"""),409.45)</f>
        <v>409.45</v>
      </c>
    </row>
    <row r="620" ht="15.75" customHeight="1">
      <c r="B620" s="3">
        <f>IFERROR(__xludf.DUMMYFUNCTION("""COMPUTED_VALUE"""),43924.64583333333)</f>
        <v>43924.64583</v>
      </c>
      <c r="C620" s="2">
        <f>IFERROR(__xludf.DUMMYFUNCTION("""COMPUTED_VALUE"""),389.8)</f>
        <v>389.8</v>
      </c>
    </row>
    <row r="621" ht="15.75" customHeight="1">
      <c r="B621" s="3">
        <f>IFERROR(__xludf.DUMMYFUNCTION("""COMPUTED_VALUE"""),43930.64583333333)</f>
        <v>43930.64583</v>
      </c>
      <c r="C621" s="2">
        <f>IFERROR(__xludf.DUMMYFUNCTION("""COMPUTED_VALUE"""),427.7)</f>
        <v>427.7</v>
      </c>
    </row>
    <row r="622" ht="15.75" customHeight="1">
      <c r="B622" s="3">
        <f>IFERROR(__xludf.DUMMYFUNCTION("""COMPUTED_VALUE"""),43938.64583333333)</f>
        <v>43938.64583</v>
      </c>
      <c r="C622" s="2">
        <f>IFERROR(__xludf.DUMMYFUNCTION("""COMPUTED_VALUE"""),485.9)</f>
        <v>485.9</v>
      </c>
    </row>
    <row r="623" ht="15.75" customHeight="1">
      <c r="B623" s="3">
        <f>IFERROR(__xludf.DUMMYFUNCTION("""COMPUTED_VALUE"""),43945.64583333333)</f>
        <v>43945.64583</v>
      </c>
      <c r="C623" s="2">
        <f>IFERROR(__xludf.DUMMYFUNCTION("""COMPUTED_VALUE"""),483.45)</f>
        <v>483.45</v>
      </c>
    </row>
    <row r="624" ht="15.75" customHeight="1">
      <c r="B624" s="3">
        <f>IFERROR(__xludf.DUMMYFUNCTION("""COMPUTED_VALUE"""),43951.64583333333)</f>
        <v>43951.64583</v>
      </c>
      <c r="C624" s="2">
        <f>IFERROR(__xludf.DUMMYFUNCTION("""COMPUTED_VALUE"""),461.9)</f>
        <v>461.9</v>
      </c>
    </row>
    <row r="625" ht="15.75" customHeight="1">
      <c r="B625" s="3">
        <f>IFERROR(__xludf.DUMMYFUNCTION("""COMPUTED_VALUE"""),43959.64583333333)</f>
        <v>43959.64583</v>
      </c>
      <c r="C625" s="2">
        <f>IFERROR(__xludf.DUMMYFUNCTION("""COMPUTED_VALUE"""),424.0)</f>
        <v>424</v>
      </c>
    </row>
    <row r="626" ht="15.75" customHeight="1">
      <c r="B626" s="3">
        <f>IFERROR(__xludf.DUMMYFUNCTION("""COMPUTED_VALUE"""),43966.64583333333)</f>
        <v>43966.64583</v>
      </c>
      <c r="C626" s="2">
        <f>IFERROR(__xludf.DUMMYFUNCTION("""COMPUTED_VALUE"""),416.45)</f>
        <v>416.45</v>
      </c>
    </row>
    <row r="627" ht="15.75" customHeight="1">
      <c r="B627" s="3">
        <f>IFERROR(__xludf.DUMMYFUNCTION("""COMPUTED_VALUE"""),43973.64583333333)</f>
        <v>43973.64583</v>
      </c>
      <c r="C627" s="2">
        <f>IFERROR(__xludf.DUMMYFUNCTION("""COMPUTED_VALUE"""),389.0)</f>
        <v>389</v>
      </c>
    </row>
    <row r="628" ht="15.75" customHeight="1">
      <c r="B628" s="3">
        <f>IFERROR(__xludf.DUMMYFUNCTION("""COMPUTED_VALUE"""),43980.64583333333)</f>
        <v>43980.64583</v>
      </c>
      <c r="C628" s="2">
        <f>IFERROR(__xludf.DUMMYFUNCTION("""COMPUTED_VALUE"""),407.65)</f>
        <v>407.65</v>
      </c>
    </row>
    <row r="629" ht="15.75" customHeight="1">
      <c r="B629" s="3">
        <f>IFERROR(__xludf.DUMMYFUNCTION("""COMPUTED_VALUE"""),43987.64583333333)</f>
        <v>43987.64583</v>
      </c>
      <c r="C629" s="2">
        <f>IFERROR(__xludf.DUMMYFUNCTION("""COMPUTED_VALUE"""),432.0)</f>
        <v>432</v>
      </c>
    </row>
    <row r="630" ht="15.75" customHeight="1">
      <c r="B630" s="3">
        <f>IFERROR(__xludf.DUMMYFUNCTION("""COMPUTED_VALUE"""),43994.64583333333)</f>
        <v>43994.64583</v>
      </c>
      <c r="C630" s="2">
        <f>IFERROR(__xludf.DUMMYFUNCTION("""COMPUTED_VALUE"""),444.75)</f>
        <v>444.75</v>
      </c>
    </row>
    <row r="631" ht="15.75" customHeight="1">
      <c r="B631" s="3">
        <f>IFERROR(__xludf.DUMMYFUNCTION("""COMPUTED_VALUE"""),44001.64583333333)</f>
        <v>44001.64583</v>
      </c>
      <c r="C631" s="2">
        <f>IFERROR(__xludf.DUMMYFUNCTION("""COMPUTED_VALUE"""),422.3)</f>
        <v>422.3</v>
      </c>
    </row>
    <row r="632" ht="15.75" customHeight="1">
      <c r="B632" s="3">
        <f>IFERROR(__xludf.DUMMYFUNCTION("""COMPUTED_VALUE"""),44008.64583333333)</f>
        <v>44008.64583</v>
      </c>
      <c r="C632" s="2">
        <f>IFERROR(__xludf.DUMMYFUNCTION("""COMPUTED_VALUE"""),448.5)</f>
        <v>448.5</v>
      </c>
    </row>
    <row r="633" ht="15.75" customHeight="1">
      <c r="B633" s="3">
        <f>IFERROR(__xludf.DUMMYFUNCTION("""COMPUTED_VALUE"""),44015.64583333333)</f>
        <v>44015.64583</v>
      </c>
      <c r="C633" s="2">
        <f>IFERROR(__xludf.DUMMYFUNCTION("""COMPUTED_VALUE"""),441.5)</f>
        <v>441.5</v>
      </c>
    </row>
    <row r="634" ht="15.75" customHeight="1">
      <c r="B634" s="3">
        <f>IFERROR(__xludf.DUMMYFUNCTION("""COMPUTED_VALUE"""),44022.64583333333)</f>
        <v>44022.64583</v>
      </c>
      <c r="C634" s="2">
        <f>IFERROR(__xludf.DUMMYFUNCTION("""COMPUTED_VALUE"""),461.4)</f>
        <v>461.4</v>
      </c>
    </row>
    <row r="635" ht="15.75" customHeight="1">
      <c r="B635" s="3">
        <f>IFERROR(__xludf.DUMMYFUNCTION("""COMPUTED_VALUE"""),44029.64583333333)</f>
        <v>44029.64583</v>
      </c>
      <c r="C635" s="2">
        <f>IFERROR(__xludf.DUMMYFUNCTION("""COMPUTED_VALUE"""),446.4)</f>
        <v>446.4</v>
      </c>
    </row>
    <row r="636" ht="15.75" customHeight="1">
      <c r="B636" s="3">
        <f>IFERROR(__xludf.DUMMYFUNCTION("""COMPUTED_VALUE"""),44036.64583333333)</f>
        <v>44036.64583</v>
      </c>
      <c r="C636" s="2">
        <f>IFERROR(__xludf.DUMMYFUNCTION("""COMPUTED_VALUE"""),484.6)</f>
        <v>484.6</v>
      </c>
    </row>
    <row r="637" ht="15.75" customHeight="1">
      <c r="B637" s="3">
        <f>IFERROR(__xludf.DUMMYFUNCTION("""COMPUTED_VALUE"""),44043.64583333333)</f>
        <v>44043.64583</v>
      </c>
      <c r="C637" s="2">
        <f>IFERROR(__xludf.DUMMYFUNCTION("""COMPUTED_VALUE"""),448.0)</f>
        <v>448</v>
      </c>
    </row>
    <row r="638" ht="15.75" customHeight="1">
      <c r="B638" s="3">
        <f>IFERROR(__xludf.DUMMYFUNCTION("""COMPUTED_VALUE"""),44050.64583333333)</f>
        <v>44050.64583</v>
      </c>
      <c r="C638" s="2">
        <f>IFERROR(__xludf.DUMMYFUNCTION("""COMPUTED_VALUE"""),446.85)</f>
        <v>446.85</v>
      </c>
    </row>
    <row r="639" ht="15.75" customHeight="1">
      <c r="B639" s="3">
        <f>IFERROR(__xludf.DUMMYFUNCTION("""COMPUTED_VALUE"""),44057.64583333333)</f>
        <v>44057.64583</v>
      </c>
      <c r="C639" s="2">
        <f>IFERROR(__xludf.DUMMYFUNCTION("""COMPUTED_VALUE"""),456.75)</f>
        <v>456.75</v>
      </c>
    </row>
    <row r="640" ht="15.75" customHeight="1">
      <c r="B640" s="3">
        <f>IFERROR(__xludf.DUMMYFUNCTION("""COMPUTED_VALUE"""),44064.64583333333)</f>
        <v>44064.64583</v>
      </c>
      <c r="C640" s="2">
        <f>IFERROR(__xludf.DUMMYFUNCTION("""COMPUTED_VALUE"""),451.95)</f>
        <v>451.95</v>
      </c>
    </row>
    <row r="641" ht="15.75" customHeight="1">
      <c r="B641" s="3">
        <f>IFERROR(__xludf.DUMMYFUNCTION("""COMPUTED_VALUE"""),44071.64583333333)</f>
        <v>44071.64583</v>
      </c>
      <c r="C641" s="2">
        <f>IFERROR(__xludf.DUMMYFUNCTION("""COMPUTED_VALUE"""),513.0)</f>
        <v>513</v>
      </c>
    </row>
    <row r="642" ht="15.75" customHeight="1">
      <c r="B642" s="3">
        <f>IFERROR(__xludf.DUMMYFUNCTION("""COMPUTED_VALUE"""),44078.64583333333)</f>
        <v>44078.64583</v>
      </c>
      <c r="C642" s="2">
        <f>IFERROR(__xludf.DUMMYFUNCTION("""COMPUTED_VALUE"""),533.85)</f>
        <v>533.85</v>
      </c>
    </row>
    <row r="643" ht="15.75" customHeight="1">
      <c r="B643" s="3">
        <f>IFERROR(__xludf.DUMMYFUNCTION("""COMPUTED_VALUE"""),44085.64583333333)</f>
        <v>44085.64583</v>
      </c>
      <c r="C643" s="2">
        <f>IFERROR(__xludf.DUMMYFUNCTION("""COMPUTED_VALUE"""),467.15)</f>
        <v>467.15</v>
      </c>
    </row>
    <row r="644" ht="15.75" customHeight="1">
      <c r="B644" s="3">
        <f>IFERROR(__xludf.DUMMYFUNCTION("""COMPUTED_VALUE"""),44092.64583333333)</f>
        <v>44092.64583</v>
      </c>
      <c r="C644" s="2">
        <f>IFERROR(__xludf.DUMMYFUNCTION("""COMPUTED_VALUE"""),455.0)</f>
        <v>455</v>
      </c>
    </row>
    <row r="645" ht="15.75" customHeight="1">
      <c r="B645" s="3">
        <f>IFERROR(__xludf.DUMMYFUNCTION("""COMPUTED_VALUE"""),44099.64583333333)</f>
        <v>44099.64583</v>
      </c>
      <c r="C645" s="2">
        <f>IFERROR(__xludf.DUMMYFUNCTION("""COMPUTED_VALUE"""),444.0)</f>
        <v>444</v>
      </c>
    </row>
    <row r="646" ht="15.75" customHeight="1">
      <c r="B646" s="3">
        <f>IFERROR(__xludf.DUMMYFUNCTION("""COMPUTED_VALUE"""),44105.64583333333)</f>
        <v>44105.64583</v>
      </c>
      <c r="C646" s="2">
        <f>IFERROR(__xludf.DUMMYFUNCTION("""COMPUTED_VALUE"""),445.3)</f>
        <v>445.3</v>
      </c>
    </row>
    <row r="647" ht="15.75" customHeight="1">
      <c r="B647" s="3">
        <f>IFERROR(__xludf.DUMMYFUNCTION("""COMPUTED_VALUE"""),44113.64583333333)</f>
        <v>44113.64583</v>
      </c>
      <c r="C647" s="2">
        <f>IFERROR(__xludf.DUMMYFUNCTION("""COMPUTED_VALUE"""),469.8)</f>
        <v>469.8</v>
      </c>
    </row>
    <row r="648" ht="15.75" customHeight="1">
      <c r="B648" s="3">
        <f>IFERROR(__xludf.DUMMYFUNCTION("""COMPUTED_VALUE"""),44120.64583333333)</f>
        <v>44120.64583</v>
      </c>
      <c r="C648" s="2">
        <f>IFERROR(__xludf.DUMMYFUNCTION("""COMPUTED_VALUE"""),481.95)</f>
        <v>481.95</v>
      </c>
    </row>
    <row r="649" ht="15.75" customHeight="1">
      <c r="B649" s="3">
        <f>IFERROR(__xludf.DUMMYFUNCTION("""COMPUTED_VALUE"""),44127.64583333333)</f>
        <v>44127.64583</v>
      </c>
      <c r="C649" s="2">
        <f>IFERROR(__xludf.DUMMYFUNCTION("""COMPUTED_VALUE"""),515.5)</f>
        <v>515.5</v>
      </c>
    </row>
    <row r="650" ht="15.75" customHeight="1">
      <c r="B650" s="3">
        <f>IFERROR(__xludf.DUMMYFUNCTION("""COMPUTED_VALUE"""),44134.64583333333)</f>
        <v>44134.64583</v>
      </c>
      <c r="C650" s="2">
        <f>IFERROR(__xludf.DUMMYFUNCTION("""COMPUTED_VALUE"""),517.5)</f>
        <v>517.5</v>
      </c>
    </row>
    <row r="651" ht="15.75" customHeight="1">
      <c r="B651" s="3">
        <f>IFERROR(__xludf.DUMMYFUNCTION("""COMPUTED_VALUE"""),44141.64583333333)</f>
        <v>44141.64583</v>
      </c>
      <c r="C651" s="2">
        <f>IFERROR(__xludf.DUMMYFUNCTION("""COMPUTED_VALUE"""),546.0)</f>
        <v>546</v>
      </c>
    </row>
    <row r="652" ht="15.75" customHeight="1">
      <c r="B652" s="3">
        <f>IFERROR(__xludf.DUMMYFUNCTION("""COMPUTED_VALUE"""),44155.64583333333)</f>
        <v>44155.64583</v>
      </c>
      <c r="C652" s="2">
        <f>IFERROR(__xludf.DUMMYFUNCTION("""COMPUTED_VALUE"""),640.0)</f>
        <v>640</v>
      </c>
    </row>
    <row r="653" ht="15.75" customHeight="1">
      <c r="B653" s="3">
        <f>IFERROR(__xludf.DUMMYFUNCTION("""COMPUTED_VALUE"""),44162.64583333333)</f>
        <v>44162.64583</v>
      </c>
      <c r="C653" s="2">
        <f>IFERROR(__xludf.DUMMYFUNCTION("""COMPUTED_VALUE"""),630.0)</f>
        <v>630</v>
      </c>
    </row>
    <row r="654" ht="15.75" customHeight="1">
      <c r="B654" s="3">
        <f>IFERROR(__xludf.DUMMYFUNCTION("""COMPUTED_VALUE"""),44169.64583333333)</f>
        <v>44169.64583</v>
      </c>
      <c r="C654" s="2">
        <f>IFERROR(__xludf.DUMMYFUNCTION("""COMPUTED_VALUE"""),616.45)</f>
        <v>616.45</v>
      </c>
    </row>
    <row r="655" ht="15.75" customHeight="1">
      <c r="B655" s="3">
        <f>IFERROR(__xludf.DUMMYFUNCTION("""COMPUTED_VALUE"""),44176.64583333333)</f>
        <v>44176.64583</v>
      </c>
      <c r="C655" s="2">
        <f>IFERROR(__xludf.DUMMYFUNCTION("""COMPUTED_VALUE"""),636.7)</f>
        <v>636.7</v>
      </c>
    </row>
    <row r="656" ht="15.75" customHeight="1">
      <c r="B656" s="3">
        <f>IFERROR(__xludf.DUMMYFUNCTION("""COMPUTED_VALUE"""),44183.64583333333)</f>
        <v>44183.64583</v>
      </c>
      <c r="C656" s="2">
        <f>IFERROR(__xludf.DUMMYFUNCTION("""COMPUTED_VALUE"""),623.8)</f>
        <v>623.8</v>
      </c>
    </row>
    <row r="657" ht="15.75" customHeight="1">
      <c r="B657" s="3">
        <f>IFERROR(__xludf.DUMMYFUNCTION("""COMPUTED_VALUE"""),44189.64583333333)</f>
        <v>44189.64583</v>
      </c>
      <c r="C657" s="2">
        <f>IFERROR(__xludf.DUMMYFUNCTION("""COMPUTED_VALUE"""),614.0)</f>
        <v>614</v>
      </c>
    </row>
    <row r="658" ht="15.75" customHeight="1">
      <c r="B658" s="3">
        <f>IFERROR(__xludf.DUMMYFUNCTION("""COMPUTED_VALUE"""),44197.64583333333)</f>
        <v>44197.64583</v>
      </c>
      <c r="C658" s="2">
        <f>IFERROR(__xludf.DUMMYFUNCTION("""COMPUTED_VALUE"""),634.0)</f>
        <v>634</v>
      </c>
    </row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IFERROR(__xludf.DUMMYFUNCTION("GOOGLEFINANCE(""NSE:IDFC"", ""high"",DATE(2009,1,1),DATE(2010,1,1),""weekly"")"),"Date")</f>
        <v>Date</v>
      </c>
      <c r="C1" s="2" t="str">
        <f>IFERROR(__xludf.DUMMYFUNCTION("""COMPUTED_VALUE"""),"High")</f>
        <v>High</v>
      </c>
    </row>
    <row r="2">
      <c r="A2" s="2" t="s">
        <v>8</v>
      </c>
      <c r="B2" s="3">
        <f>IFERROR(__xludf.DUMMYFUNCTION("""COMPUTED_VALUE"""),39815.645833333336)</f>
        <v>39815.64583</v>
      </c>
      <c r="C2" s="2">
        <f>IFERROR(__xludf.DUMMYFUNCTION("""COMPUTED_VALUE"""),74.2)</f>
        <v>74.2</v>
      </c>
    </row>
    <row r="3">
      <c r="A3" s="2" t="s">
        <v>9</v>
      </c>
      <c r="B3" s="3">
        <f>IFERROR(__xludf.DUMMYFUNCTION("""COMPUTED_VALUE"""),39822.645833333336)</f>
        <v>39822.64583</v>
      </c>
      <c r="C3" s="2">
        <f>IFERROR(__xludf.DUMMYFUNCTION("""COMPUTED_VALUE"""),75.2)</f>
        <v>75.2</v>
      </c>
    </row>
    <row r="4">
      <c r="A4" s="2" t="s">
        <v>10</v>
      </c>
      <c r="B4" s="3">
        <f>IFERROR(__xludf.DUMMYFUNCTION("""COMPUTED_VALUE"""),39829.645833333336)</f>
        <v>39829.64583</v>
      </c>
      <c r="C4" s="2">
        <f>IFERROR(__xludf.DUMMYFUNCTION("""COMPUTED_VALUE"""),61.65)</f>
        <v>61.65</v>
      </c>
    </row>
    <row r="5">
      <c r="A5" s="2" t="s">
        <v>11</v>
      </c>
      <c r="B5" s="3">
        <f>IFERROR(__xludf.DUMMYFUNCTION("""COMPUTED_VALUE"""),39836.645833333336)</f>
        <v>39836.64583</v>
      </c>
      <c r="C5" s="2">
        <f>IFERROR(__xludf.DUMMYFUNCTION("""COMPUTED_VALUE"""),62.4)</f>
        <v>62.4</v>
      </c>
    </row>
    <row r="6">
      <c r="A6" s="2" t="s">
        <v>12</v>
      </c>
      <c r="B6" s="3">
        <f>IFERROR(__xludf.DUMMYFUNCTION("""COMPUTED_VALUE"""),39843.645833333336)</f>
        <v>39843.64583</v>
      </c>
      <c r="C6" s="2">
        <f>IFERROR(__xludf.DUMMYFUNCTION("""COMPUTED_VALUE"""),61.0)</f>
        <v>61</v>
      </c>
    </row>
    <row r="7">
      <c r="A7" s="2" t="s">
        <v>13</v>
      </c>
      <c r="B7" s="3">
        <f>IFERROR(__xludf.DUMMYFUNCTION("""COMPUTED_VALUE"""),39850.645833333336)</f>
        <v>39850.64583</v>
      </c>
      <c r="C7" s="2">
        <f>IFERROR(__xludf.DUMMYFUNCTION("""COMPUTED_VALUE"""),58.25)</f>
        <v>58.25</v>
      </c>
    </row>
    <row r="8">
      <c r="B8" s="3">
        <f>IFERROR(__xludf.DUMMYFUNCTION("""COMPUTED_VALUE"""),39857.645833333336)</f>
        <v>39857.64583</v>
      </c>
      <c r="C8" s="2">
        <f>IFERROR(__xludf.DUMMYFUNCTION("""COMPUTED_VALUE"""),59.9)</f>
        <v>59.9</v>
      </c>
    </row>
    <row r="9">
      <c r="B9" s="3">
        <f>IFERROR(__xludf.DUMMYFUNCTION("""COMPUTED_VALUE"""),39864.645833333336)</f>
        <v>39864.64583</v>
      </c>
      <c r="C9" s="2">
        <f>IFERROR(__xludf.DUMMYFUNCTION("""COMPUTED_VALUE"""),59.75)</f>
        <v>59.75</v>
      </c>
    </row>
    <row r="10">
      <c r="B10" s="3">
        <f>IFERROR(__xludf.DUMMYFUNCTION("""COMPUTED_VALUE"""),39871.645833333336)</f>
        <v>39871.64583</v>
      </c>
      <c r="C10" s="2">
        <f>IFERROR(__xludf.DUMMYFUNCTION("""COMPUTED_VALUE"""),54.8)</f>
        <v>54.8</v>
      </c>
    </row>
    <row r="11">
      <c r="B11" s="3">
        <f>IFERROR(__xludf.DUMMYFUNCTION("""COMPUTED_VALUE"""),39878.645833333336)</f>
        <v>39878.64583</v>
      </c>
      <c r="C11" s="2">
        <f>IFERROR(__xludf.DUMMYFUNCTION("""COMPUTED_VALUE"""),52.15)</f>
        <v>52.15</v>
      </c>
    </row>
    <row r="12">
      <c r="B12" s="3">
        <f>IFERROR(__xludf.DUMMYFUNCTION("""COMPUTED_VALUE"""),39885.645833333336)</f>
        <v>39885.64583</v>
      </c>
      <c r="C12" s="2">
        <f>IFERROR(__xludf.DUMMYFUNCTION("""COMPUTED_VALUE"""),48.8)</f>
        <v>48.8</v>
      </c>
    </row>
    <row r="13">
      <c r="B13" s="3">
        <f>IFERROR(__xludf.DUMMYFUNCTION("""COMPUTED_VALUE"""),39892.645833333336)</f>
        <v>39892.64583</v>
      </c>
      <c r="C13" s="2">
        <f>IFERROR(__xludf.DUMMYFUNCTION("""COMPUTED_VALUE"""),53.2)</f>
        <v>53.2</v>
      </c>
    </row>
    <row r="14">
      <c r="B14" s="3">
        <f>IFERROR(__xludf.DUMMYFUNCTION("""COMPUTED_VALUE"""),39899.645833333336)</f>
        <v>39899.64583</v>
      </c>
      <c r="C14" s="2">
        <f>IFERROR(__xludf.DUMMYFUNCTION("""COMPUTED_VALUE"""),59.0)</f>
        <v>59</v>
      </c>
    </row>
    <row r="15">
      <c r="B15" s="3">
        <f>IFERROR(__xludf.DUMMYFUNCTION("""COMPUTED_VALUE"""),39905.645833333336)</f>
        <v>39905.64583</v>
      </c>
      <c r="C15" s="2">
        <f>IFERROR(__xludf.DUMMYFUNCTION("""COMPUTED_VALUE"""),63.0)</f>
        <v>63</v>
      </c>
    </row>
    <row r="16">
      <c r="B16" s="3">
        <f>IFERROR(__xludf.DUMMYFUNCTION("""COMPUTED_VALUE"""),39912.645833333336)</f>
        <v>39912.64583</v>
      </c>
      <c r="C16" s="2">
        <f>IFERROR(__xludf.DUMMYFUNCTION("""COMPUTED_VALUE"""),69.5)</f>
        <v>69.5</v>
      </c>
    </row>
    <row r="17">
      <c r="B17" s="3">
        <f>IFERROR(__xludf.DUMMYFUNCTION("""COMPUTED_VALUE"""),39920.645833333336)</f>
        <v>39920.64583</v>
      </c>
      <c r="C17" s="2">
        <f>IFERROR(__xludf.DUMMYFUNCTION("""COMPUTED_VALUE"""),73.45)</f>
        <v>73.45</v>
      </c>
    </row>
    <row r="18">
      <c r="B18" s="3">
        <f>IFERROR(__xludf.DUMMYFUNCTION("""COMPUTED_VALUE"""),39927.645833333336)</f>
        <v>39927.64583</v>
      </c>
      <c r="C18" s="2">
        <f>IFERROR(__xludf.DUMMYFUNCTION("""COMPUTED_VALUE"""),80.85)</f>
        <v>80.85</v>
      </c>
    </row>
    <row r="19">
      <c r="B19" s="3">
        <f>IFERROR(__xludf.DUMMYFUNCTION("""COMPUTED_VALUE"""),39932.645833333336)</f>
        <v>39932.64583</v>
      </c>
      <c r="C19" s="2">
        <f>IFERROR(__xludf.DUMMYFUNCTION("""COMPUTED_VALUE"""),77.9)</f>
        <v>77.9</v>
      </c>
    </row>
    <row r="20">
      <c r="B20" s="3">
        <f>IFERROR(__xludf.DUMMYFUNCTION("""COMPUTED_VALUE"""),39941.645833333336)</f>
        <v>39941.64583</v>
      </c>
      <c r="C20" s="2">
        <f>IFERROR(__xludf.DUMMYFUNCTION("""COMPUTED_VALUE"""),92.45)</f>
        <v>92.45</v>
      </c>
    </row>
    <row r="21" ht="15.75" customHeight="1">
      <c r="B21" s="3">
        <f>IFERROR(__xludf.DUMMYFUNCTION("""COMPUTED_VALUE"""),39948.645833333336)</f>
        <v>39948.64583</v>
      </c>
      <c r="C21" s="2">
        <f>IFERROR(__xludf.DUMMYFUNCTION("""COMPUTED_VALUE"""),99.7)</f>
        <v>99.7</v>
      </c>
    </row>
    <row r="22" ht="15.75" customHeight="1">
      <c r="B22" s="3">
        <f>IFERROR(__xludf.DUMMYFUNCTION("""COMPUTED_VALUE"""),39955.645833333336)</f>
        <v>39955.64583</v>
      </c>
      <c r="C22" s="2">
        <f>IFERROR(__xludf.DUMMYFUNCTION("""COMPUTED_VALUE"""),143.0)</f>
        <v>143</v>
      </c>
    </row>
    <row r="23" ht="15.75" customHeight="1">
      <c r="B23" s="3">
        <f>IFERROR(__xludf.DUMMYFUNCTION("""COMPUTED_VALUE"""),39962.645833333336)</f>
        <v>39962.64583</v>
      </c>
      <c r="C23" s="2">
        <f>IFERROR(__xludf.DUMMYFUNCTION("""COMPUTED_VALUE"""),128.8)</f>
        <v>128.8</v>
      </c>
    </row>
    <row r="24" ht="15.75" customHeight="1">
      <c r="B24" s="3">
        <f>IFERROR(__xludf.DUMMYFUNCTION("""COMPUTED_VALUE"""),39969.645833333336)</f>
        <v>39969.64583</v>
      </c>
      <c r="C24" s="2">
        <f>IFERROR(__xludf.DUMMYFUNCTION("""COMPUTED_VALUE"""),138.85)</f>
        <v>138.85</v>
      </c>
    </row>
    <row r="25" ht="15.75" customHeight="1">
      <c r="B25" s="3">
        <f>IFERROR(__xludf.DUMMYFUNCTION("""COMPUTED_VALUE"""),39976.645833333336)</f>
        <v>39976.64583</v>
      </c>
      <c r="C25" s="2">
        <f>IFERROR(__xludf.DUMMYFUNCTION("""COMPUTED_VALUE"""),147.65)</f>
        <v>147.65</v>
      </c>
    </row>
    <row r="26" ht="15.75" customHeight="1">
      <c r="B26" s="3">
        <f>IFERROR(__xludf.DUMMYFUNCTION("""COMPUTED_VALUE"""),39983.645833333336)</f>
        <v>39983.64583</v>
      </c>
      <c r="C26" s="2">
        <f>IFERROR(__xludf.DUMMYFUNCTION("""COMPUTED_VALUE"""),144.9)</f>
        <v>144.9</v>
      </c>
    </row>
    <row r="27" ht="15.75" customHeight="1">
      <c r="B27" s="3">
        <f>IFERROR(__xludf.DUMMYFUNCTION("""COMPUTED_VALUE"""),39990.645833333336)</f>
        <v>39990.64583</v>
      </c>
      <c r="C27" s="2">
        <f>IFERROR(__xludf.DUMMYFUNCTION("""COMPUTED_VALUE"""),138.2)</f>
        <v>138.2</v>
      </c>
    </row>
    <row r="28" ht="15.75" customHeight="1">
      <c r="B28" s="3">
        <f>IFERROR(__xludf.DUMMYFUNCTION("""COMPUTED_VALUE"""),39997.645833333336)</f>
        <v>39997.64583</v>
      </c>
      <c r="C28" s="2">
        <f>IFERROR(__xludf.DUMMYFUNCTION("""COMPUTED_VALUE"""),146.3)</f>
        <v>146.3</v>
      </c>
    </row>
    <row r="29" ht="15.75" customHeight="1">
      <c r="B29" s="3">
        <f>IFERROR(__xludf.DUMMYFUNCTION("""COMPUTED_VALUE"""),40004.645833333336)</f>
        <v>40004.64583</v>
      </c>
      <c r="C29" s="2">
        <f>IFERROR(__xludf.DUMMYFUNCTION("""COMPUTED_VALUE"""),149.95)</f>
        <v>149.95</v>
      </c>
    </row>
    <row r="30" ht="15.75" customHeight="1">
      <c r="B30" s="3">
        <f>IFERROR(__xludf.DUMMYFUNCTION("""COMPUTED_VALUE"""),40011.645833333336)</f>
        <v>40011.64583</v>
      </c>
      <c r="C30" s="2">
        <f>IFERROR(__xludf.DUMMYFUNCTION("""COMPUTED_VALUE"""),144.9)</f>
        <v>144.9</v>
      </c>
    </row>
    <row r="31" ht="15.75" customHeight="1">
      <c r="B31" s="3">
        <f>IFERROR(__xludf.DUMMYFUNCTION("""COMPUTED_VALUE"""),40018.645833333336)</f>
        <v>40018.64583</v>
      </c>
      <c r="C31" s="2">
        <f>IFERROR(__xludf.DUMMYFUNCTION("""COMPUTED_VALUE"""),145.4)</f>
        <v>145.4</v>
      </c>
    </row>
    <row r="32" ht="15.75" customHeight="1">
      <c r="B32" s="3">
        <f>IFERROR(__xludf.DUMMYFUNCTION("""COMPUTED_VALUE"""),40025.645833333336)</f>
        <v>40025.64583</v>
      </c>
      <c r="C32" s="2">
        <f>IFERROR(__xludf.DUMMYFUNCTION("""COMPUTED_VALUE"""),139.25)</f>
        <v>139.25</v>
      </c>
    </row>
    <row r="33" ht="15.75" customHeight="1">
      <c r="B33" s="3">
        <f>IFERROR(__xludf.DUMMYFUNCTION("""COMPUTED_VALUE"""),40032.645833333336)</f>
        <v>40032.64583</v>
      </c>
      <c r="C33" s="2">
        <f>IFERROR(__xludf.DUMMYFUNCTION("""COMPUTED_VALUE"""),142.5)</f>
        <v>142.5</v>
      </c>
    </row>
    <row r="34" ht="15.75" customHeight="1">
      <c r="B34" s="3">
        <f>IFERROR(__xludf.DUMMYFUNCTION("""COMPUTED_VALUE"""),40039.645833333336)</f>
        <v>40039.64583</v>
      </c>
      <c r="C34" s="2">
        <f>IFERROR(__xludf.DUMMYFUNCTION("""COMPUTED_VALUE"""),143.5)</f>
        <v>143.5</v>
      </c>
    </row>
    <row r="35" ht="15.75" customHeight="1">
      <c r="B35" s="3">
        <f>IFERROR(__xludf.DUMMYFUNCTION("""COMPUTED_VALUE"""),40046.645833333336)</f>
        <v>40046.64583</v>
      </c>
      <c r="C35" s="2">
        <f>IFERROR(__xludf.DUMMYFUNCTION("""COMPUTED_VALUE"""),136.45)</f>
        <v>136.45</v>
      </c>
    </row>
    <row r="36" ht="15.75" customHeight="1">
      <c r="B36" s="3">
        <f>IFERROR(__xludf.DUMMYFUNCTION("""COMPUTED_VALUE"""),40053.645833333336)</f>
        <v>40053.64583</v>
      </c>
      <c r="C36" s="2">
        <f>IFERROR(__xludf.DUMMYFUNCTION("""COMPUTED_VALUE"""),136.9)</f>
        <v>136.9</v>
      </c>
    </row>
    <row r="37" ht="15.75" customHeight="1">
      <c r="B37" s="3">
        <f>IFERROR(__xludf.DUMMYFUNCTION("""COMPUTED_VALUE"""),40060.645833333336)</f>
        <v>40060.64583</v>
      </c>
      <c r="C37" s="2">
        <f>IFERROR(__xludf.DUMMYFUNCTION("""COMPUTED_VALUE"""),135.95)</f>
        <v>135.95</v>
      </c>
    </row>
    <row r="38" ht="15.75" customHeight="1">
      <c r="B38" s="3">
        <f>IFERROR(__xludf.DUMMYFUNCTION("""COMPUTED_VALUE"""),40067.645833333336)</f>
        <v>40067.64583</v>
      </c>
      <c r="C38" s="2">
        <f>IFERROR(__xludf.DUMMYFUNCTION("""COMPUTED_VALUE"""),150.45)</f>
        <v>150.45</v>
      </c>
    </row>
    <row r="39" ht="15.75" customHeight="1">
      <c r="B39" s="3">
        <f>IFERROR(__xludf.DUMMYFUNCTION("""COMPUTED_VALUE"""),40074.645833333336)</f>
        <v>40074.64583</v>
      </c>
      <c r="C39" s="2">
        <f>IFERROR(__xludf.DUMMYFUNCTION("""COMPUTED_VALUE"""),147.0)</f>
        <v>147</v>
      </c>
    </row>
    <row r="40" ht="15.75" customHeight="1">
      <c r="B40" s="3">
        <f>IFERROR(__xludf.DUMMYFUNCTION("""COMPUTED_VALUE"""),40081.645833333336)</f>
        <v>40081.64583</v>
      </c>
      <c r="C40" s="2">
        <f>IFERROR(__xludf.DUMMYFUNCTION("""COMPUTED_VALUE"""),150.25)</f>
        <v>150.25</v>
      </c>
    </row>
    <row r="41" ht="15.75" customHeight="1">
      <c r="B41" s="3">
        <f>IFERROR(__xludf.DUMMYFUNCTION("""COMPUTED_VALUE"""),40087.645833333336)</f>
        <v>40087.64583</v>
      </c>
      <c r="C41" s="2">
        <f>IFERROR(__xludf.DUMMYFUNCTION("""COMPUTED_VALUE"""),155.85)</f>
        <v>155.85</v>
      </c>
    </row>
    <row r="42" ht="15.75" customHeight="1">
      <c r="B42" s="3">
        <f>IFERROR(__xludf.DUMMYFUNCTION("""COMPUTED_VALUE"""),40095.645833333336)</f>
        <v>40095.64583</v>
      </c>
      <c r="C42" s="2">
        <f>IFERROR(__xludf.DUMMYFUNCTION("""COMPUTED_VALUE"""),157.9)</f>
        <v>157.9</v>
      </c>
    </row>
    <row r="43" ht="15.75" customHeight="1">
      <c r="B43" s="3">
        <f>IFERROR(__xludf.DUMMYFUNCTION("""COMPUTED_VALUE"""),40109.645833333336)</f>
        <v>40109.64583</v>
      </c>
      <c r="C43" s="2">
        <f>IFERROR(__xludf.DUMMYFUNCTION("""COMPUTED_VALUE"""),163.0)</f>
        <v>163</v>
      </c>
    </row>
    <row r="44" ht="15.75" customHeight="1">
      <c r="B44" s="3">
        <f>IFERROR(__xludf.DUMMYFUNCTION("""COMPUTED_VALUE"""),40116.645833333336)</f>
        <v>40116.64583</v>
      </c>
      <c r="C44" s="2">
        <f>IFERROR(__xludf.DUMMYFUNCTION("""COMPUTED_VALUE"""),162.75)</f>
        <v>162.75</v>
      </c>
    </row>
    <row r="45" ht="15.75" customHeight="1">
      <c r="B45" s="3">
        <f>IFERROR(__xludf.DUMMYFUNCTION("""COMPUTED_VALUE"""),40123.645833333336)</f>
        <v>40123.64583</v>
      </c>
      <c r="C45" s="2">
        <f>IFERROR(__xludf.DUMMYFUNCTION("""COMPUTED_VALUE"""),158.8)</f>
        <v>158.8</v>
      </c>
    </row>
    <row r="46" ht="15.75" customHeight="1">
      <c r="B46" s="3">
        <f>IFERROR(__xludf.DUMMYFUNCTION("""COMPUTED_VALUE"""),40130.645833333336)</f>
        <v>40130.64583</v>
      </c>
      <c r="C46" s="2">
        <f>IFERROR(__xludf.DUMMYFUNCTION("""COMPUTED_VALUE"""),172.5)</f>
        <v>172.5</v>
      </c>
    </row>
    <row r="47" ht="15.75" customHeight="1">
      <c r="B47" s="3">
        <f>IFERROR(__xludf.DUMMYFUNCTION("""COMPUTED_VALUE"""),40137.645833333336)</f>
        <v>40137.64583</v>
      </c>
      <c r="C47" s="2">
        <f>IFERROR(__xludf.DUMMYFUNCTION("""COMPUTED_VALUE"""),179.0)</f>
        <v>179</v>
      </c>
    </row>
    <row r="48" ht="15.75" customHeight="1">
      <c r="B48" s="3">
        <f>IFERROR(__xludf.DUMMYFUNCTION("""COMPUTED_VALUE"""),40144.645833333336)</f>
        <v>40144.64583</v>
      </c>
      <c r="C48" s="2">
        <f>IFERROR(__xludf.DUMMYFUNCTION("""COMPUTED_VALUE"""),175.4)</f>
        <v>175.4</v>
      </c>
    </row>
    <row r="49" ht="15.75" customHeight="1">
      <c r="B49" s="3">
        <f>IFERROR(__xludf.DUMMYFUNCTION("""COMPUTED_VALUE"""),40151.645833333336)</f>
        <v>40151.64583</v>
      </c>
      <c r="C49" s="2">
        <f>IFERROR(__xludf.DUMMYFUNCTION("""COMPUTED_VALUE"""),174.85)</f>
        <v>174.85</v>
      </c>
    </row>
    <row r="50" ht="15.75" customHeight="1">
      <c r="B50" s="3">
        <f>IFERROR(__xludf.DUMMYFUNCTION("""COMPUTED_VALUE"""),40158.645833333336)</f>
        <v>40158.64583</v>
      </c>
      <c r="C50" s="2">
        <f>IFERROR(__xludf.DUMMYFUNCTION("""COMPUTED_VALUE"""),169.55)</f>
        <v>169.55</v>
      </c>
    </row>
    <row r="51" ht="15.75" customHeight="1">
      <c r="B51" s="3">
        <f>IFERROR(__xludf.DUMMYFUNCTION("""COMPUTED_VALUE"""),40165.645833333336)</f>
        <v>40165.64583</v>
      </c>
      <c r="C51" s="2">
        <f>IFERROR(__xludf.DUMMYFUNCTION("""COMPUTED_VALUE"""),165.5)</f>
        <v>165.5</v>
      </c>
    </row>
    <row r="52" ht="15.75" customHeight="1">
      <c r="B52" s="3">
        <f>IFERROR(__xludf.DUMMYFUNCTION("""COMPUTED_VALUE"""),40171.645833333336)</f>
        <v>40171.64583</v>
      </c>
      <c r="C52" s="2">
        <f>IFERROR(__xludf.DUMMYFUNCTION("""COMPUTED_VALUE"""),158.45)</f>
        <v>158.45</v>
      </c>
    </row>
    <row r="53" ht="15.75" customHeight="1"/>
    <row r="54" ht="15.75" customHeight="1"/>
    <row r="55" ht="15.75" customHeight="1"/>
    <row r="56" ht="15.75" customHeight="1">
      <c r="B56" s="2" t="str">
        <f>IFERROR(__xludf.DUMMYFUNCTION("GOOGLEFINANCE(""NSE:IDFC"", ""high"",DATE(2010,1,1),DATE(2011,1,1),""weekly"")"),"Date")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IFERROR(__xludf.DUMMYFUNCTION("""COMPUTED_VALUE"""),40186.645833333336)</f>
        <v>40186.64583</v>
      </c>
      <c r="C57" s="2">
        <f>IFERROR(__xludf.DUMMYFUNCTION("""COMPUTED_VALUE"""),167.2)</f>
        <v>167.2</v>
      </c>
    </row>
    <row r="58" ht="15.75" customHeight="1">
      <c r="B58" s="3">
        <f>IFERROR(__xludf.DUMMYFUNCTION("""COMPUTED_VALUE"""),40193.645833333336)</f>
        <v>40193.64583</v>
      </c>
      <c r="C58" s="2">
        <f>IFERROR(__xludf.DUMMYFUNCTION("""COMPUTED_VALUE"""),166.7)</f>
        <v>166.7</v>
      </c>
    </row>
    <row r="59" ht="15.75" customHeight="1">
      <c r="B59" s="3">
        <f>IFERROR(__xludf.DUMMYFUNCTION("""COMPUTED_VALUE"""),40200.645833333336)</f>
        <v>40200.64583</v>
      </c>
      <c r="C59" s="2">
        <f>IFERROR(__xludf.DUMMYFUNCTION("""COMPUTED_VALUE"""),162.4)</f>
        <v>162.4</v>
      </c>
    </row>
    <row r="60" ht="15.75" customHeight="1">
      <c r="B60" s="3">
        <f>IFERROR(__xludf.DUMMYFUNCTION("""COMPUTED_VALUE"""),40207.645833333336)</f>
        <v>40207.64583</v>
      </c>
      <c r="C60" s="2">
        <f>IFERROR(__xludf.DUMMYFUNCTION("""COMPUTED_VALUE"""),153.1)</f>
        <v>153.1</v>
      </c>
    </row>
    <row r="61" ht="15.75" customHeight="1">
      <c r="B61" s="3">
        <f>IFERROR(__xludf.DUMMYFUNCTION("""COMPUTED_VALUE"""),40220.645833333336)</f>
        <v>40220.64583</v>
      </c>
      <c r="C61" s="2">
        <f>IFERROR(__xludf.DUMMYFUNCTION("""COMPUTED_VALUE"""),147.6)</f>
        <v>147.6</v>
      </c>
    </row>
    <row r="62" ht="15.75" customHeight="1">
      <c r="B62" s="3">
        <f>IFERROR(__xludf.DUMMYFUNCTION("""COMPUTED_VALUE"""),40228.645833333336)</f>
        <v>40228.64583</v>
      </c>
      <c r="C62" s="2">
        <f>IFERROR(__xludf.DUMMYFUNCTION("""COMPUTED_VALUE"""),157.7)</f>
        <v>157.7</v>
      </c>
    </row>
    <row r="63" ht="15.75" customHeight="1">
      <c r="B63" s="3">
        <f>IFERROR(__xludf.DUMMYFUNCTION("""COMPUTED_VALUE"""),40235.645833333336)</f>
        <v>40235.64583</v>
      </c>
      <c r="C63" s="2">
        <f>IFERROR(__xludf.DUMMYFUNCTION("""COMPUTED_VALUE"""),164.35)</f>
        <v>164.35</v>
      </c>
    </row>
    <row r="64" ht="15.75" customHeight="1">
      <c r="B64" s="3">
        <f>IFERROR(__xludf.DUMMYFUNCTION("""COMPUTED_VALUE"""),40242.645833333336)</f>
        <v>40242.64583</v>
      </c>
      <c r="C64" s="2">
        <f>IFERROR(__xludf.DUMMYFUNCTION("""COMPUTED_VALUE"""),166.7)</f>
        <v>166.7</v>
      </c>
    </row>
    <row r="65" ht="15.75" customHeight="1">
      <c r="B65" s="3">
        <f>IFERROR(__xludf.DUMMYFUNCTION("""COMPUTED_VALUE"""),40249.645833333336)</f>
        <v>40249.64583</v>
      </c>
      <c r="C65" s="2">
        <f>IFERROR(__xludf.DUMMYFUNCTION("""COMPUTED_VALUE"""),167.4)</f>
        <v>167.4</v>
      </c>
    </row>
    <row r="66" ht="15.75" customHeight="1">
      <c r="B66" s="3">
        <f>IFERROR(__xludf.DUMMYFUNCTION("""COMPUTED_VALUE"""),40256.645833333336)</f>
        <v>40256.64583</v>
      </c>
      <c r="C66" s="2">
        <f>IFERROR(__xludf.DUMMYFUNCTION("""COMPUTED_VALUE"""),168.0)</f>
        <v>168</v>
      </c>
    </row>
    <row r="67" ht="15.75" customHeight="1">
      <c r="B67" s="3">
        <f>IFERROR(__xludf.DUMMYFUNCTION("""COMPUTED_VALUE"""),40263.645833333336)</f>
        <v>40263.64583</v>
      </c>
      <c r="C67" s="2">
        <f>IFERROR(__xludf.DUMMYFUNCTION("""COMPUTED_VALUE"""),164.9)</f>
        <v>164.9</v>
      </c>
    </row>
    <row r="68" ht="15.75" customHeight="1">
      <c r="B68" s="3">
        <f>IFERROR(__xludf.DUMMYFUNCTION("""COMPUTED_VALUE"""),40269.645833333336)</f>
        <v>40269.64583</v>
      </c>
      <c r="C68" s="2">
        <f>IFERROR(__xludf.DUMMYFUNCTION("""COMPUTED_VALUE"""),163.7)</f>
        <v>163.7</v>
      </c>
    </row>
    <row r="69" ht="15.75" customHeight="1">
      <c r="B69" s="3">
        <f>IFERROR(__xludf.DUMMYFUNCTION("""COMPUTED_VALUE"""),40277.645833333336)</f>
        <v>40277.64583</v>
      </c>
      <c r="C69" s="2">
        <f>IFERROR(__xludf.DUMMYFUNCTION("""COMPUTED_VALUE"""),175.2)</f>
        <v>175.2</v>
      </c>
    </row>
    <row r="70" ht="15.75" customHeight="1">
      <c r="B70" s="3">
        <f>IFERROR(__xludf.DUMMYFUNCTION("""COMPUTED_VALUE"""),40284.645833333336)</f>
        <v>40284.64583</v>
      </c>
      <c r="C70" s="2">
        <f>IFERROR(__xludf.DUMMYFUNCTION("""COMPUTED_VALUE"""),175.9)</f>
        <v>175.9</v>
      </c>
    </row>
    <row r="71" ht="15.75" customHeight="1">
      <c r="B71" s="3">
        <f>IFERROR(__xludf.DUMMYFUNCTION("""COMPUTED_VALUE"""),40291.645833333336)</f>
        <v>40291.64583</v>
      </c>
      <c r="C71" s="2">
        <f>IFERROR(__xludf.DUMMYFUNCTION("""COMPUTED_VALUE"""),174.35)</f>
        <v>174.35</v>
      </c>
    </row>
    <row r="72" ht="15.75" customHeight="1">
      <c r="B72" s="3">
        <f>IFERROR(__xludf.DUMMYFUNCTION("""COMPUTED_VALUE"""),40298.645833333336)</f>
        <v>40298.64583</v>
      </c>
      <c r="C72" s="2">
        <f>IFERROR(__xludf.DUMMYFUNCTION("""COMPUTED_VALUE"""),173.6)</f>
        <v>173.6</v>
      </c>
    </row>
    <row r="73" ht="15.75" customHeight="1">
      <c r="B73" s="3">
        <f>IFERROR(__xludf.DUMMYFUNCTION("""COMPUTED_VALUE"""),40305.645833333336)</f>
        <v>40305.64583</v>
      </c>
      <c r="C73" s="2">
        <f>IFERROR(__xludf.DUMMYFUNCTION("""COMPUTED_VALUE"""),174.0)</f>
        <v>174</v>
      </c>
    </row>
    <row r="74" ht="15.75" customHeight="1">
      <c r="B74" s="3">
        <f>IFERROR(__xludf.DUMMYFUNCTION("""COMPUTED_VALUE"""),40312.645833333336)</f>
        <v>40312.64583</v>
      </c>
      <c r="C74" s="2">
        <f>IFERROR(__xludf.DUMMYFUNCTION("""COMPUTED_VALUE"""),167.75)</f>
        <v>167.75</v>
      </c>
    </row>
    <row r="75" ht="15.75" customHeight="1">
      <c r="B75" s="3">
        <f>IFERROR(__xludf.DUMMYFUNCTION("""COMPUTED_VALUE"""),40319.645833333336)</f>
        <v>40319.64583</v>
      </c>
      <c r="C75" s="2">
        <f>IFERROR(__xludf.DUMMYFUNCTION("""COMPUTED_VALUE"""),164.0)</f>
        <v>164</v>
      </c>
    </row>
    <row r="76" ht="15.75" customHeight="1">
      <c r="B76" s="3">
        <f>IFERROR(__xludf.DUMMYFUNCTION("""COMPUTED_VALUE"""),40326.645833333336)</f>
        <v>40326.64583</v>
      </c>
      <c r="C76" s="2">
        <f>IFERROR(__xludf.DUMMYFUNCTION("""COMPUTED_VALUE"""),160.3)</f>
        <v>160.3</v>
      </c>
    </row>
    <row r="77" ht="15.75" customHeight="1">
      <c r="B77" s="3">
        <f>IFERROR(__xludf.DUMMYFUNCTION("""COMPUTED_VALUE"""),40333.645833333336)</f>
        <v>40333.64583</v>
      </c>
      <c r="C77" s="2">
        <f>IFERROR(__xludf.DUMMYFUNCTION("""COMPUTED_VALUE"""),163.8)</f>
        <v>163.8</v>
      </c>
    </row>
    <row r="78" ht="15.75" customHeight="1">
      <c r="B78" s="3">
        <f>IFERROR(__xludf.DUMMYFUNCTION("""COMPUTED_VALUE"""),40340.645833333336)</f>
        <v>40340.64583</v>
      </c>
      <c r="C78" s="2">
        <f>IFERROR(__xludf.DUMMYFUNCTION("""COMPUTED_VALUE"""),168.65)</f>
        <v>168.65</v>
      </c>
    </row>
    <row r="79" ht="15.75" customHeight="1">
      <c r="B79" s="3">
        <f>IFERROR(__xludf.DUMMYFUNCTION("""COMPUTED_VALUE"""),40347.645833333336)</f>
        <v>40347.64583</v>
      </c>
      <c r="C79" s="2">
        <f>IFERROR(__xludf.DUMMYFUNCTION("""COMPUTED_VALUE"""),170.0)</f>
        <v>170</v>
      </c>
    </row>
    <row r="80" ht="15.75" customHeight="1">
      <c r="B80" s="3">
        <f>IFERROR(__xludf.DUMMYFUNCTION("""COMPUTED_VALUE"""),40354.645833333336)</f>
        <v>40354.64583</v>
      </c>
      <c r="C80" s="2">
        <f>IFERROR(__xludf.DUMMYFUNCTION("""COMPUTED_VALUE"""),174.5)</f>
        <v>174.5</v>
      </c>
    </row>
    <row r="81" ht="15.75" customHeight="1">
      <c r="B81" s="3">
        <f>IFERROR(__xludf.DUMMYFUNCTION("""COMPUTED_VALUE"""),40361.645833333336)</f>
        <v>40361.64583</v>
      </c>
      <c r="C81" s="2">
        <f>IFERROR(__xludf.DUMMYFUNCTION("""COMPUTED_VALUE"""),183.9)</f>
        <v>183.9</v>
      </c>
    </row>
    <row r="82" ht="15.75" customHeight="1">
      <c r="B82" s="3">
        <f>IFERROR(__xludf.DUMMYFUNCTION("""COMPUTED_VALUE"""),40368.645833333336)</f>
        <v>40368.64583</v>
      </c>
      <c r="C82" s="2">
        <f>IFERROR(__xludf.DUMMYFUNCTION("""COMPUTED_VALUE"""),185.9)</f>
        <v>185.9</v>
      </c>
    </row>
    <row r="83" ht="15.75" customHeight="1">
      <c r="B83" s="3">
        <f>IFERROR(__xludf.DUMMYFUNCTION("""COMPUTED_VALUE"""),40375.645833333336)</f>
        <v>40375.64583</v>
      </c>
      <c r="C83" s="2">
        <f>IFERROR(__xludf.DUMMYFUNCTION("""COMPUTED_VALUE"""),196.35)</f>
        <v>196.35</v>
      </c>
    </row>
    <row r="84" ht="15.75" customHeight="1">
      <c r="B84" s="3">
        <f>IFERROR(__xludf.DUMMYFUNCTION("""COMPUTED_VALUE"""),40382.645833333336)</f>
        <v>40382.64583</v>
      </c>
      <c r="C84" s="2">
        <f>IFERROR(__xludf.DUMMYFUNCTION("""COMPUTED_VALUE"""),196.0)</f>
        <v>196</v>
      </c>
    </row>
    <row r="85" ht="15.75" customHeight="1">
      <c r="B85" s="3">
        <f>IFERROR(__xludf.DUMMYFUNCTION("""COMPUTED_VALUE"""),40389.645833333336)</f>
        <v>40389.64583</v>
      </c>
      <c r="C85" s="2">
        <f>IFERROR(__xludf.DUMMYFUNCTION("""COMPUTED_VALUE"""),195.5)</f>
        <v>195.5</v>
      </c>
    </row>
    <row r="86" ht="15.75" customHeight="1">
      <c r="B86" s="3">
        <f>IFERROR(__xludf.DUMMYFUNCTION("""COMPUTED_VALUE"""),40396.645833333336)</f>
        <v>40396.64583</v>
      </c>
      <c r="C86" s="2">
        <f>IFERROR(__xludf.DUMMYFUNCTION("""COMPUTED_VALUE"""),189.5)</f>
        <v>189.5</v>
      </c>
    </row>
    <row r="87" ht="15.75" customHeight="1">
      <c r="B87" s="3">
        <f>IFERROR(__xludf.DUMMYFUNCTION("""COMPUTED_VALUE"""),40403.645833333336)</f>
        <v>40403.64583</v>
      </c>
      <c r="C87" s="2">
        <f>IFERROR(__xludf.DUMMYFUNCTION("""COMPUTED_VALUE"""),185.9)</f>
        <v>185.9</v>
      </c>
    </row>
    <row r="88" ht="15.75" customHeight="1">
      <c r="B88" s="3">
        <f>IFERROR(__xludf.DUMMYFUNCTION("""COMPUTED_VALUE"""),40410.645833333336)</f>
        <v>40410.64583</v>
      </c>
      <c r="C88" s="2">
        <f>IFERROR(__xludf.DUMMYFUNCTION("""COMPUTED_VALUE"""),188.4)</f>
        <v>188.4</v>
      </c>
    </row>
    <row r="89" ht="15.75" customHeight="1">
      <c r="B89" s="3">
        <f>IFERROR(__xludf.DUMMYFUNCTION("""COMPUTED_VALUE"""),40417.645833333336)</f>
        <v>40417.64583</v>
      </c>
      <c r="C89" s="2">
        <f>IFERROR(__xludf.DUMMYFUNCTION("""COMPUTED_VALUE"""),189.75)</f>
        <v>189.75</v>
      </c>
    </row>
    <row r="90" ht="15.75" customHeight="1">
      <c r="B90" s="3">
        <f>IFERROR(__xludf.DUMMYFUNCTION("""COMPUTED_VALUE"""),40424.645833333336)</f>
        <v>40424.64583</v>
      </c>
      <c r="C90" s="2">
        <f>IFERROR(__xludf.DUMMYFUNCTION("""COMPUTED_VALUE"""),184.8)</f>
        <v>184.8</v>
      </c>
    </row>
    <row r="91" ht="15.75" customHeight="1">
      <c r="B91" s="3">
        <f>IFERROR(__xludf.DUMMYFUNCTION("""COMPUTED_VALUE"""),40430.645833333336)</f>
        <v>40430.64583</v>
      </c>
      <c r="C91" s="2">
        <f>IFERROR(__xludf.DUMMYFUNCTION("""COMPUTED_VALUE"""),190.5)</f>
        <v>190.5</v>
      </c>
    </row>
    <row r="92" ht="15.75" customHeight="1">
      <c r="B92" s="3">
        <f>IFERROR(__xludf.DUMMYFUNCTION("""COMPUTED_VALUE"""),40438.645833333336)</f>
        <v>40438.64583</v>
      </c>
      <c r="C92" s="2">
        <f>IFERROR(__xludf.DUMMYFUNCTION("""COMPUTED_VALUE"""),201.0)</f>
        <v>201</v>
      </c>
    </row>
    <row r="93" ht="15.75" customHeight="1">
      <c r="B93" s="3">
        <f>IFERROR(__xludf.DUMMYFUNCTION("""COMPUTED_VALUE"""),40445.645833333336)</f>
        <v>40445.64583</v>
      </c>
      <c r="C93" s="2">
        <f>IFERROR(__xludf.DUMMYFUNCTION("""COMPUTED_VALUE"""),207.2)</f>
        <v>207.2</v>
      </c>
    </row>
    <row r="94" ht="15.75" customHeight="1">
      <c r="B94" s="3">
        <f>IFERROR(__xludf.DUMMYFUNCTION("""COMPUTED_VALUE"""),40452.645833333336)</f>
        <v>40452.64583</v>
      </c>
      <c r="C94" s="2">
        <f>IFERROR(__xludf.DUMMYFUNCTION("""COMPUTED_VALUE"""),214.0)</f>
        <v>214</v>
      </c>
    </row>
    <row r="95" ht="15.75" customHeight="1">
      <c r="B95" s="3">
        <f>IFERROR(__xludf.DUMMYFUNCTION("""COMPUTED_VALUE"""),40459.645833333336)</f>
        <v>40459.64583</v>
      </c>
      <c r="C95" s="2">
        <f>IFERROR(__xludf.DUMMYFUNCTION("""COMPUTED_VALUE"""),213.3)</f>
        <v>213.3</v>
      </c>
    </row>
    <row r="96" ht="15.75" customHeight="1">
      <c r="B96" s="3">
        <f>IFERROR(__xludf.DUMMYFUNCTION("""COMPUTED_VALUE"""),40466.645833333336)</f>
        <v>40466.64583</v>
      </c>
      <c r="C96" s="2">
        <f>IFERROR(__xludf.DUMMYFUNCTION("""COMPUTED_VALUE"""),214.65)</f>
        <v>214.65</v>
      </c>
    </row>
    <row r="97" ht="15.75" customHeight="1">
      <c r="B97" s="3">
        <f>IFERROR(__xludf.DUMMYFUNCTION("""COMPUTED_VALUE"""),40473.645833333336)</f>
        <v>40473.64583</v>
      </c>
      <c r="C97" s="2">
        <f>IFERROR(__xludf.DUMMYFUNCTION("""COMPUTED_VALUE"""),208.85)</f>
        <v>208.85</v>
      </c>
    </row>
    <row r="98" ht="15.75" customHeight="1">
      <c r="B98" s="3">
        <f>IFERROR(__xludf.DUMMYFUNCTION("""COMPUTED_VALUE"""),40480.645833333336)</f>
        <v>40480.64583</v>
      </c>
      <c r="C98" s="2">
        <f>IFERROR(__xludf.DUMMYFUNCTION("""COMPUTED_VALUE"""),211.2)</f>
        <v>211.2</v>
      </c>
    </row>
    <row r="99" ht="15.75" customHeight="1">
      <c r="B99" s="3">
        <f>IFERROR(__xludf.DUMMYFUNCTION("""COMPUTED_VALUE"""),40487.645833333336)</f>
        <v>40487.64583</v>
      </c>
      <c r="C99" s="2">
        <f>IFERROR(__xludf.DUMMYFUNCTION("""COMPUTED_VALUE"""),217.25)</f>
        <v>217.25</v>
      </c>
    </row>
    <row r="100" ht="15.75" customHeight="1">
      <c r="B100" s="3">
        <f>IFERROR(__xludf.DUMMYFUNCTION("""COMPUTED_VALUE"""),40494.645833333336)</f>
        <v>40494.64583</v>
      </c>
      <c r="C100" s="2">
        <f>IFERROR(__xludf.DUMMYFUNCTION("""COMPUTED_VALUE"""),218.25)</f>
        <v>218.25</v>
      </c>
    </row>
    <row r="101" ht="15.75" customHeight="1">
      <c r="B101" s="3">
        <f>IFERROR(__xludf.DUMMYFUNCTION("""COMPUTED_VALUE"""),40501.645833333336)</f>
        <v>40501.64583</v>
      </c>
      <c r="C101" s="2">
        <f>IFERROR(__xludf.DUMMYFUNCTION("""COMPUTED_VALUE"""),197.4)</f>
        <v>197.4</v>
      </c>
    </row>
    <row r="102" ht="15.75" customHeight="1">
      <c r="B102" s="3">
        <f>IFERROR(__xludf.DUMMYFUNCTION("""COMPUTED_VALUE"""),40508.645833333336)</f>
        <v>40508.64583</v>
      </c>
      <c r="C102" s="2">
        <f>IFERROR(__xludf.DUMMYFUNCTION("""COMPUTED_VALUE"""),193.95)</f>
        <v>193.95</v>
      </c>
    </row>
    <row r="103" ht="15.75" customHeight="1">
      <c r="B103" s="3">
        <f>IFERROR(__xludf.DUMMYFUNCTION("""COMPUTED_VALUE"""),40515.645833333336)</f>
        <v>40515.64583</v>
      </c>
      <c r="C103" s="2">
        <f>IFERROR(__xludf.DUMMYFUNCTION("""COMPUTED_VALUE"""),193.95)</f>
        <v>193.95</v>
      </c>
    </row>
    <row r="104" ht="15.75" customHeight="1">
      <c r="B104" s="3">
        <f>IFERROR(__xludf.DUMMYFUNCTION("""COMPUTED_VALUE"""),40522.645833333336)</f>
        <v>40522.64583</v>
      </c>
      <c r="C104" s="2">
        <f>IFERROR(__xludf.DUMMYFUNCTION("""COMPUTED_VALUE"""),187.6)</f>
        <v>187.6</v>
      </c>
    </row>
    <row r="105" ht="15.75" customHeight="1">
      <c r="B105" s="3">
        <f>IFERROR(__xludf.DUMMYFUNCTION("""COMPUTED_VALUE"""),40528.645833333336)</f>
        <v>40528.64583</v>
      </c>
      <c r="C105" s="2">
        <f>IFERROR(__xludf.DUMMYFUNCTION("""COMPUTED_VALUE"""),177.1)</f>
        <v>177.1</v>
      </c>
    </row>
    <row r="106" ht="15.75" customHeight="1">
      <c r="B106" s="3">
        <f>IFERROR(__xludf.DUMMYFUNCTION("""COMPUTED_VALUE"""),40536.645833333336)</f>
        <v>40536.64583</v>
      </c>
      <c r="C106" s="2">
        <f>IFERROR(__xludf.DUMMYFUNCTION("""COMPUTED_VALUE"""),181.95)</f>
        <v>181.95</v>
      </c>
    </row>
    <row r="107" ht="15.75" customHeight="1">
      <c r="B107" s="3">
        <f>IFERROR(__xludf.DUMMYFUNCTION("""COMPUTED_VALUE"""),40543.645833333336)</f>
        <v>40543.64583</v>
      </c>
      <c r="C107" s="2">
        <f>IFERROR(__xludf.DUMMYFUNCTION("""COMPUTED_VALUE"""),183.3)</f>
        <v>183.3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IFERROR(__xludf.DUMMYFUNCTION("GOOGLEFINANCE(""NSE:IDFC"", ""high"",DATE(2011,1,1),DATE(2012,1,1),""weekly"")"),"Date")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IFERROR(__xludf.DUMMYFUNCTION("""COMPUTED_VALUE"""),40550.645833333336)</f>
        <v>40550.64583</v>
      </c>
      <c r="C112" s="2">
        <f>IFERROR(__xludf.DUMMYFUNCTION("""COMPUTED_VALUE"""),185.65)</f>
        <v>185.65</v>
      </c>
    </row>
    <row r="113" ht="15.75" customHeight="1">
      <c r="B113" s="3">
        <f>IFERROR(__xludf.DUMMYFUNCTION("""COMPUTED_VALUE"""),40557.645833333336)</f>
        <v>40557.64583</v>
      </c>
      <c r="C113" s="2">
        <f>IFERROR(__xludf.DUMMYFUNCTION("""COMPUTED_VALUE"""),169.4)</f>
        <v>169.4</v>
      </c>
    </row>
    <row r="114" ht="15.75" customHeight="1">
      <c r="B114" s="3">
        <f>IFERROR(__xludf.DUMMYFUNCTION("""COMPUTED_VALUE"""),40564.645833333336)</f>
        <v>40564.64583</v>
      </c>
      <c r="C114" s="2">
        <f>IFERROR(__xludf.DUMMYFUNCTION("""COMPUTED_VALUE"""),160.25)</f>
        <v>160.25</v>
      </c>
    </row>
    <row r="115" ht="15.75" customHeight="1">
      <c r="B115" s="3">
        <f>IFERROR(__xludf.DUMMYFUNCTION("""COMPUTED_VALUE"""),40571.645833333336)</f>
        <v>40571.64583</v>
      </c>
      <c r="C115" s="2">
        <f>IFERROR(__xludf.DUMMYFUNCTION("""COMPUTED_VALUE"""),160.0)</f>
        <v>160</v>
      </c>
    </row>
    <row r="116" ht="15.75" customHeight="1">
      <c r="B116" s="3">
        <f>IFERROR(__xludf.DUMMYFUNCTION("""COMPUTED_VALUE"""),40578.645833333336)</f>
        <v>40578.64583</v>
      </c>
      <c r="C116" s="2">
        <f>IFERROR(__xludf.DUMMYFUNCTION("""COMPUTED_VALUE"""),150.5)</f>
        <v>150.5</v>
      </c>
    </row>
    <row r="117" ht="15.75" customHeight="1">
      <c r="B117" s="3">
        <f>IFERROR(__xludf.DUMMYFUNCTION("""COMPUTED_VALUE"""),40585.645833333336)</f>
        <v>40585.64583</v>
      </c>
      <c r="C117" s="2">
        <f>IFERROR(__xludf.DUMMYFUNCTION("""COMPUTED_VALUE"""),138.7)</f>
        <v>138.7</v>
      </c>
    </row>
    <row r="118" ht="15.75" customHeight="1">
      <c r="B118" s="3">
        <f>IFERROR(__xludf.DUMMYFUNCTION("""COMPUTED_VALUE"""),40592.645833333336)</f>
        <v>40592.64583</v>
      </c>
      <c r="C118" s="2">
        <f>IFERROR(__xludf.DUMMYFUNCTION("""COMPUTED_VALUE"""),150.4)</f>
        <v>150.4</v>
      </c>
    </row>
    <row r="119" ht="15.75" customHeight="1">
      <c r="B119" s="3">
        <f>IFERROR(__xludf.DUMMYFUNCTION("""COMPUTED_VALUE"""),40599.645833333336)</f>
        <v>40599.64583</v>
      </c>
      <c r="C119" s="2">
        <f>IFERROR(__xludf.DUMMYFUNCTION("""COMPUTED_VALUE"""),146.9)</f>
        <v>146.9</v>
      </c>
    </row>
    <row r="120" ht="15.75" customHeight="1">
      <c r="B120" s="3">
        <f>IFERROR(__xludf.DUMMYFUNCTION("""COMPUTED_VALUE"""),40606.645833333336)</f>
        <v>40606.64583</v>
      </c>
      <c r="C120" s="2">
        <f>IFERROR(__xludf.DUMMYFUNCTION("""COMPUTED_VALUE"""),154.4)</f>
        <v>154.4</v>
      </c>
    </row>
    <row r="121" ht="15.75" customHeight="1">
      <c r="B121" s="3">
        <f>IFERROR(__xludf.DUMMYFUNCTION("""COMPUTED_VALUE"""),40613.645833333336)</f>
        <v>40613.64583</v>
      </c>
      <c r="C121" s="2">
        <f>IFERROR(__xludf.DUMMYFUNCTION("""COMPUTED_VALUE"""),147.85)</f>
        <v>147.85</v>
      </c>
    </row>
    <row r="122" ht="15.75" customHeight="1">
      <c r="B122" s="3">
        <f>IFERROR(__xludf.DUMMYFUNCTION("""COMPUTED_VALUE"""),40620.645833333336)</f>
        <v>40620.64583</v>
      </c>
      <c r="C122" s="2">
        <f>IFERROR(__xludf.DUMMYFUNCTION("""COMPUTED_VALUE"""),147.5)</f>
        <v>147.5</v>
      </c>
    </row>
    <row r="123" ht="15.75" customHeight="1">
      <c r="B123" s="3">
        <f>IFERROR(__xludf.DUMMYFUNCTION("""COMPUTED_VALUE"""),40627.645833333336)</f>
        <v>40627.64583</v>
      </c>
      <c r="C123" s="2">
        <f>IFERROR(__xludf.DUMMYFUNCTION("""COMPUTED_VALUE"""),156.45)</f>
        <v>156.45</v>
      </c>
    </row>
    <row r="124" ht="15.75" customHeight="1">
      <c r="B124" s="3">
        <f>IFERROR(__xludf.DUMMYFUNCTION("""COMPUTED_VALUE"""),40634.645833333336)</f>
        <v>40634.64583</v>
      </c>
      <c r="C124" s="2">
        <f>IFERROR(__xludf.DUMMYFUNCTION("""COMPUTED_VALUE"""),161.55)</f>
        <v>161.55</v>
      </c>
    </row>
    <row r="125" ht="15.75" customHeight="1">
      <c r="B125" s="3">
        <f>IFERROR(__xludf.DUMMYFUNCTION("""COMPUTED_VALUE"""),40641.645833333336)</f>
        <v>40641.64583</v>
      </c>
      <c r="C125" s="2">
        <f>IFERROR(__xludf.DUMMYFUNCTION("""COMPUTED_VALUE"""),167.2)</f>
        <v>167.2</v>
      </c>
    </row>
    <row r="126" ht="15.75" customHeight="1">
      <c r="B126" s="3">
        <f>IFERROR(__xludf.DUMMYFUNCTION("""COMPUTED_VALUE"""),40648.645833333336)</f>
        <v>40648.64583</v>
      </c>
      <c r="C126" s="2">
        <f>IFERROR(__xludf.DUMMYFUNCTION("""COMPUTED_VALUE"""),160.5)</f>
        <v>160.5</v>
      </c>
    </row>
    <row r="127" ht="15.75" customHeight="1">
      <c r="B127" s="3">
        <f>IFERROR(__xludf.DUMMYFUNCTION("""COMPUTED_VALUE"""),40654.645833333336)</f>
        <v>40654.64583</v>
      </c>
      <c r="C127" s="2">
        <f>IFERROR(__xludf.DUMMYFUNCTION("""COMPUTED_VALUE"""),160.2)</f>
        <v>160.2</v>
      </c>
    </row>
    <row r="128" ht="15.75" customHeight="1">
      <c r="B128" s="3">
        <f>IFERROR(__xludf.DUMMYFUNCTION("""COMPUTED_VALUE"""),40662.645833333336)</f>
        <v>40662.64583</v>
      </c>
      <c r="C128" s="2">
        <f>IFERROR(__xludf.DUMMYFUNCTION("""COMPUTED_VALUE"""),158.0)</f>
        <v>158</v>
      </c>
    </row>
    <row r="129" ht="15.75" customHeight="1">
      <c r="B129" s="3">
        <f>IFERROR(__xludf.DUMMYFUNCTION("""COMPUTED_VALUE"""),40669.645833333336)</f>
        <v>40669.64583</v>
      </c>
      <c r="C129" s="2">
        <f>IFERROR(__xludf.DUMMYFUNCTION("""COMPUTED_VALUE"""),145.95)</f>
        <v>145.95</v>
      </c>
    </row>
    <row r="130" ht="15.75" customHeight="1">
      <c r="B130" s="3">
        <f>IFERROR(__xludf.DUMMYFUNCTION("""COMPUTED_VALUE"""),40676.645833333336)</f>
        <v>40676.64583</v>
      </c>
      <c r="C130" s="2">
        <f>IFERROR(__xludf.DUMMYFUNCTION("""COMPUTED_VALUE"""),138.4)</f>
        <v>138.4</v>
      </c>
    </row>
    <row r="131" ht="15.75" customHeight="1">
      <c r="B131" s="3">
        <f>IFERROR(__xludf.DUMMYFUNCTION("""COMPUTED_VALUE"""),40683.645833333336)</f>
        <v>40683.64583</v>
      </c>
      <c r="C131" s="2">
        <f>IFERROR(__xludf.DUMMYFUNCTION("""COMPUTED_VALUE"""),139.3)</f>
        <v>139.3</v>
      </c>
    </row>
    <row r="132" ht="15.75" customHeight="1">
      <c r="B132" s="3">
        <f>IFERROR(__xludf.DUMMYFUNCTION("""COMPUTED_VALUE"""),40690.645833333336)</f>
        <v>40690.64583</v>
      </c>
      <c r="C132" s="2">
        <f>IFERROR(__xludf.DUMMYFUNCTION("""COMPUTED_VALUE"""),138.45)</f>
        <v>138.45</v>
      </c>
    </row>
    <row r="133" ht="15.75" customHeight="1">
      <c r="B133" s="3">
        <f>IFERROR(__xludf.DUMMYFUNCTION("""COMPUTED_VALUE"""),40697.645833333336)</f>
        <v>40697.64583</v>
      </c>
      <c r="C133" s="2">
        <f>IFERROR(__xludf.DUMMYFUNCTION("""COMPUTED_VALUE"""),142.9)</f>
        <v>142.9</v>
      </c>
    </row>
    <row r="134" ht="15.75" customHeight="1">
      <c r="B134" s="3">
        <f>IFERROR(__xludf.DUMMYFUNCTION("""COMPUTED_VALUE"""),40704.645833333336)</f>
        <v>40704.64583</v>
      </c>
      <c r="C134" s="2">
        <f>IFERROR(__xludf.DUMMYFUNCTION("""COMPUTED_VALUE"""),137.95)</f>
        <v>137.95</v>
      </c>
    </row>
    <row r="135" ht="15.75" customHeight="1">
      <c r="B135" s="3">
        <f>IFERROR(__xludf.DUMMYFUNCTION("""COMPUTED_VALUE"""),40711.645833333336)</f>
        <v>40711.64583</v>
      </c>
      <c r="C135" s="2">
        <f>IFERROR(__xludf.DUMMYFUNCTION("""COMPUTED_VALUE"""),133.95)</f>
        <v>133.95</v>
      </c>
    </row>
    <row r="136" ht="15.75" customHeight="1">
      <c r="B136" s="3">
        <f>IFERROR(__xludf.DUMMYFUNCTION("""COMPUTED_VALUE"""),40718.645833333336)</f>
        <v>40718.64583</v>
      </c>
      <c r="C136" s="2">
        <f>IFERROR(__xludf.DUMMYFUNCTION("""COMPUTED_VALUE"""),124.7)</f>
        <v>124.7</v>
      </c>
    </row>
    <row r="137" ht="15.75" customHeight="1">
      <c r="B137" s="3">
        <f>IFERROR(__xludf.DUMMYFUNCTION("""COMPUTED_VALUE"""),40725.645833333336)</f>
        <v>40725.64583</v>
      </c>
      <c r="C137" s="2">
        <f>IFERROR(__xludf.DUMMYFUNCTION("""COMPUTED_VALUE"""),135.8)</f>
        <v>135.8</v>
      </c>
    </row>
    <row r="138" ht="15.75" customHeight="1">
      <c r="B138" s="3">
        <f>IFERROR(__xludf.DUMMYFUNCTION("""COMPUTED_VALUE"""),40732.645833333336)</f>
        <v>40732.64583</v>
      </c>
      <c r="C138" s="2">
        <f>IFERROR(__xludf.DUMMYFUNCTION("""COMPUTED_VALUE"""),139.85)</f>
        <v>139.85</v>
      </c>
    </row>
    <row r="139" ht="15.75" customHeight="1">
      <c r="B139" s="3">
        <f>IFERROR(__xludf.DUMMYFUNCTION("""COMPUTED_VALUE"""),40739.645833333336)</f>
        <v>40739.64583</v>
      </c>
      <c r="C139" s="2">
        <f>IFERROR(__xludf.DUMMYFUNCTION("""COMPUTED_VALUE"""),140.25)</f>
        <v>140.25</v>
      </c>
    </row>
    <row r="140" ht="15.75" customHeight="1">
      <c r="B140" s="3">
        <f>IFERROR(__xludf.DUMMYFUNCTION("""COMPUTED_VALUE"""),40746.645833333336)</f>
        <v>40746.64583</v>
      </c>
      <c r="C140" s="2">
        <f>IFERROR(__xludf.DUMMYFUNCTION("""COMPUTED_VALUE"""),144.3)</f>
        <v>144.3</v>
      </c>
    </row>
    <row r="141" ht="15.75" customHeight="1">
      <c r="B141" s="3">
        <f>IFERROR(__xludf.DUMMYFUNCTION("""COMPUTED_VALUE"""),40753.645833333336)</f>
        <v>40753.64583</v>
      </c>
      <c r="C141" s="2">
        <f>IFERROR(__xludf.DUMMYFUNCTION("""COMPUTED_VALUE"""),145.0)</f>
        <v>145</v>
      </c>
    </row>
    <row r="142" ht="15.75" customHeight="1">
      <c r="B142" s="3">
        <f>IFERROR(__xludf.DUMMYFUNCTION("""COMPUTED_VALUE"""),40760.645833333336)</f>
        <v>40760.64583</v>
      </c>
      <c r="C142" s="2">
        <f>IFERROR(__xludf.DUMMYFUNCTION("""COMPUTED_VALUE"""),130.3)</f>
        <v>130.3</v>
      </c>
    </row>
    <row r="143" ht="15.75" customHeight="1">
      <c r="B143" s="3">
        <f>IFERROR(__xludf.DUMMYFUNCTION("""COMPUTED_VALUE"""),40767.645833333336)</f>
        <v>40767.64583</v>
      </c>
      <c r="C143" s="2">
        <f>IFERROR(__xludf.DUMMYFUNCTION("""COMPUTED_VALUE"""),126.3)</f>
        <v>126.3</v>
      </c>
    </row>
    <row r="144" ht="15.75" customHeight="1">
      <c r="B144" s="3">
        <f>IFERROR(__xludf.DUMMYFUNCTION("""COMPUTED_VALUE"""),40774.645833333336)</f>
        <v>40774.64583</v>
      </c>
      <c r="C144" s="2">
        <f>IFERROR(__xludf.DUMMYFUNCTION("""COMPUTED_VALUE"""),122.5)</f>
        <v>122.5</v>
      </c>
    </row>
    <row r="145" ht="15.75" customHeight="1">
      <c r="B145" s="3">
        <f>IFERROR(__xludf.DUMMYFUNCTION("""COMPUTED_VALUE"""),40781.645833333336)</f>
        <v>40781.64583</v>
      </c>
      <c r="C145" s="2">
        <f>IFERROR(__xludf.DUMMYFUNCTION("""COMPUTED_VALUE"""),115.5)</f>
        <v>115.5</v>
      </c>
    </row>
    <row r="146" ht="15.75" customHeight="1">
      <c r="B146" s="3">
        <f>IFERROR(__xludf.DUMMYFUNCTION("""COMPUTED_VALUE"""),40788.645833333336)</f>
        <v>40788.64583</v>
      </c>
      <c r="C146" s="2">
        <f>IFERROR(__xludf.DUMMYFUNCTION("""COMPUTED_VALUE"""),118.3)</f>
        <v>118.3</v>
      </c>
    </row>
    <row r="147" ht="15.75" customHeight="1">
      <c r="B147" s="3">
        <f>IFERROR(__xludf.DUMMYFUNCTION("""COMPUTED_VALUE"""),40795.645833333336)</f>
        <v>40795.64583</v>
      </c>
      <c r="C147" s="2">
        <f>IFERROR(__xludf.DUMMYFUNCTION("""COMPUTED_VALUE"""),118.45)</f>
        <v>118.45</v>
      </c>
    </row>
    <row r="148" ht="15.75" customHeight="1">
      <c r="B148" s="3">
        <f>IFERROR(__xludf.DUMMYFUNCTION("""COMPUTED_VALUE"""),40802.645833333336)</f>
        <v>40802.64583</v>
      </c>
      <c r="C148" s="2">
        <f>IFERROR(__xludf.DUMMYFUNCTION("""COMPUTED_VALUE"""),113.85)</f>
        <v>113.85</v>
      </c>
    </row>
    <row r="149" ht="15.75" customHeight="1">
      <c r="B149" s="3">
        <f>IFERROR(__xludf.DUMMYFUNCTION("""COMPUTED_VALUE"""),40809.645833333336)</f>
        <v>40809.64583</v>
      </c>
      <c r="C149" s="2">
        <f>IFERROR(__xludf.DUMMYFUNCTION("""COMPUTED_VALUE"""),116.15)</f>
        <v>116.15</v>
      </c>
    </row>
    <row r="150" ht="15.75" customHeight="1">
      <c r="B150" s="3">
        <f>IFERROR(__xludf.DUMMYFUNCTION("""COMPUTED_VALUE"""),40816.645833333336)</f>
        <v>40816.64583</v>
      </c>
      <c r="C150" s="2">
        <f>IFERROR(__xludf.DUMMYFUNCTION("""COMPUTED_VALUE"""),114.25)</f>
        <v>114.25</v>
      </c>
    </row>
    <row r="151" ht="15.75" customHeight="1">
      <c r="B151" s="3">
        <f>IFERROR(__xludf.DUMMYFUNCTION("""COMPUTED_VALUE"""),40823.645833333336)</f>
        <v>40823.64583</v>
      </c>
      <c r="C151" s="2">
        <f>IFERROR(__xludf.DUMMYFUNCTION("""COMPUTED_VALUE"""),117.75)</f>
        <v>117.75</v>
      </c>
    </row>
    <row r="152" ht="15.75" customHeight="1">
      <c r="B152" s="3">
        <f>IFERROR(__xludf.DUMMYFUNCTION("""COMPUTED_VALUE"""),40830.645833333336)</f>
        <v>40830.64583</v>
      </c>
      <c r="C152" s="2">
        <f>IFERROR(__xludf.DUMMYFUNCTION("""COMPUTED_VALUE"""),125.9)</f>
        <v>125.9</v>
      </c>
    </row>
    <row r="153" ht="15.75" customHeight="1">
      <c r="B153" s="3">
        <f>IFERROR(__xludf.DUMMYFUNCTION("""COMPUTED_VALUE"""),40837.645833333336)</f>
        <v>40837.64583</v>
      </c>
      <c r="C153" s="2">
        <f>IFERROR(__xludf.DUMMYFUNCTION("""COMPUTED_VALUE"""),127.75)</f>
        <v>127.75</v>
      </c>
    </row>
    <row r="154" ht="15.75" customHeight="1">
      <c r="B154" s="3">
        <f>IFERROR(__xludf.DUMMYFUNCTION("""COMPUTED_VALUE"""),40844.645833333336)</f>
        <v>40844.64583</v>
      </c>
      <c r="C154" s="2">
        <f>IFERROR(__xludf.DUMMYFUNCTION("""COMPUTED_VALUE"""),134.5)</f>
        <v>134.5</v>
      </c>
    </row>
    <row r="155" ht="15.75" customHeight="1">
      <c r="B155" s="3">
        <f>IFERROR(__xludf.DUMMYFUNCTION("""COMPUTED_VALUE"""),40851.645833333336)</f>
        <v>40851.64583</v>
      </c>
      <c r="C155" s="2">
        <f>IFERROR(__xludf.DUMMYFUNCTION("""COMPUTED_VALUE"""),135.95)</f>
        <v>135.95</v>
      </c>
    </row>
    <row r="156" ht="15.75" customHeight="1">
      <c r="B156" s="3">
        <f>IFERROR(__xludf.DUMMYFUNCTION("""COMPUTED_VALUE"""),40858.645833333336)</f>
        <v>40858.64583</v>
      </c>
      <c r="C156" s="2">
        <f>IFERROR(__xludf.DUMMYFUNCTION("""COMPUTED_VALUE"""),130.35)</f>
        <v>130.35</v>
      </c>
    </row>
    <row r="157" ht="15.75" customHeight="1">
      <c r="B157" s="3">
        <f>IFERROR(__xludf.DUMMYFUNCTION("""COMPUTED_VALUE"""),40865.645833333336)</f>
        <v>40865.64583</v>
      </c>
      <c r="C157" s="2">
        <f>IFERROR(__xludf.DUMMYFUNCTION("""COMPUTED_VALUE"""),121.5)</f>
        <v>121.5</v>
      </c>
    </row>
    <row r="158" ht="15.75" customHeight="1">
      <c r="B158" s="3">
        <f>IFERROR(__xludf.DUMMYFUNCTION("""COMPUTED_VALUE"""),40872.645833333336)</f>
        <v>40872.64583</v>
      </c>
      <c r="C158" s="2">
        <f>IFERROR(__xludf.DUMMYFUNCTION("""COMPUTED_VALUE"""),111.0)</f>
        <v>111</v>
      </c>
    </row>
    <row r="159" ht="15.75" customHeight="1">
      <c r="B159" s="3">
        <f>IFERROR(__xludf.DUMMYFUNCTION("""COMPUTED_VALUE"""),40879.645833333336)</f>
        <v>40879.64583</v>
      </c>
      <c r="C159" s="2">
        <f>IFERROR(__xludf.DUMMYFUNCTION("""COMPUTED_VALUE"""),117.25)</f>
        <v>117.25</v>
      </c>
    </row>
    <row r="160" ht="15.75" customHeight="1">
      <c r="B160" s="3">
        <f>IFERROR(__xludf.DUMMYFUNCTION("""COMPUTED_VALUE"""),40886.645833333336)</f>
        <v>40886.64583</v>
      </c>
      <c r="C160" s="2">
        <f>IFERROR(__xludf.DUMMYFUNCTION("""COMPUTED_VALUE"""),119.35)</f>
        <v>119.35</v>
      </c>
    </row>
    <row r="161" ht="15.75" customHeight="1">
      <c r="B161" s="3">
        <f>IFERROR(__xludf.DUMMYFUNCTION("""COMPUTED_VALUE"""),40893.645833333336)</f>
        <v>40893.64583</v>
      </c>
      <c r="C161" s="2">
        <f>IFERROR(__xludf.DUMMYFUNCTION("""COMPUTED_VALUE"""),111.3)</f>
        <v>111.3</v>
      </c>
    </row>
    <row r="162" ht="15.75" customHeight="1">
      <c r="B162" s="3">
        <f>IFERROR(__xludf.DUMMYFUNCTION("""COMPUTED_VALUE"""),40900.645833333336)</f>
        <v>40900.64583</v>
      </c>
      <c r="C162" s="2">
        <f>IFERROR(__xludf.DUMMYFUNCTION("""COMPUTED_VALUE"""),104.3)</f>
        <v>104.3</v>
      </c>
    </row>
    <row r="163" ht="15.75" customHeight="1">
      <c r="B163" s="3">
        <f>IFERROR(__xludf.DUMMYFUNCTION("""COMPUTED_VALUE"""),40907.645833333336)</f>
        <v>40907.64583</v>
      </c>
      <c r="C163" s="2">
        <f>IFERROR(__xludf.DUMMYFUNCTION("""COMPUTED_VALUE"""),100.9)</f>
        <v>100.9</v>
      </c>
    </row>
    <row r="164" ht="15.75" customHeight="1"/>
    <row r="165" ht="15.75" customHeight="1"/>
    <row r="166" ht="15.75" customHeight="1">
      <c r="B166" s="2" t="str">
        <f>IFERROR(__xludf.DUMMYFUNCTION("GOOGLEFINANCE(""NSE:IDFC"", ""high"",DATE(2012,1,1),DATE(2013,1,1),""weekly"")"),"Date")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IFERROR(__xludf.DUMMYFUNCTION("""COMPUTED_VALUE"""),40921.645833333336)</f>
        <v>40921.64583</v>
      </c>
      <c r="C167" s="2">
        <f>IFERROR(__xludf.DUMMYFUNCTION("""COMPUTED_VALUE"""),111.85)</f>
        <v>111.85</v>
      </c>
    </row>
    <row r="168" ht="15.75" customHeight="1">
      <c r="B168" s="3">
        <f>IFERROR(__xludf.DUMMYFUNCTION("""COMPUTED_VALUE"""),40928.645833333336)</f>
        <v>40928.64583</v>
      </c>
      <c r="C168" s="2">
        <f>IFERROR(__xludf.DUMMYFUNCTION("""COMPUTED_VALUE"""),129.5)</f>
        <v>129.5</v>
      </c>
    </row>
    <row r="169" ht="15.75" customHeight="1">
      <c r="B169" s="3">
        <f>IFERROR(__xludf.DUMMYFUNCTION("""COMPUTED_VALUE"""),40935.645833333336)</f>
        <v>40935.64583</v>
      </c>
      <c r="C169" s="2">
        <f>IFERROR(__xludf.DUMMYFUNCTION("""COMPUTED_VALUE"""),132.2)</f>
        <v>132.2</v>
      </c>
    </row>
    <row r="170" ht="15.75" customHeight="1">
      <c r="B170" s="3">
        <f>IFERROR(__xludf.DUMMYFUNCTION("""COMPUTED_VALUE"""),40942.645833333336)</f>
        <v>40942.64583</v>
      </c>
      <c r="C170" s="2">
        <f>IFERROR(__xludf.DUMMYFUNCTION("""COMPUTED_VALUE"""),139.85)</f>
        <v>139.85</v>
      </c>
    </row>
    <row r="171" ht="15.75" customHeight="1">
      <c r="B171" s="3">
        <f>IFERROR(__xludf.DUMMYFUNCTION("""COMPUTED_VALUE"""),40949.645833333336)</f>
        <v>40949.64583</v>
      </c>
      <c r="C171" s="2">
        <f>IFERROR(__xludf.DUMMYFUNCTION("""COMPUTED_VALUE"""),142.4)</f>
        <v>142.4</v>
      </c>
    </row>
    <row r="172" ht="15.75" customHeight="1">
      <c r="B172" s="3">
        <f>IFERROR(__xludf.DUMMYFUNCTION("""COMPUTED_VALUE"""),40956.645833333336)</f>
        <v>40956.64583</v>
      </c>
      <c r="C172" s="2">
        <f>IFERROR(__xludf.DUMMYFUNCTION("""COMPUTED_VALUE"""),161.0)</f>
        <v>161</v>
      </c>
    </row>
    <row r="173" ht="15.75" customHeight="1">
      <c r="B173" s="3">
        <f>IFERROR(__xludf.DUMMYFUNCTION("""COMPUTED_VALUE"""),40963.645833333336)</f>
        <v>40963.64583</v>
      </c>
      <c r="C173" s="2">
        <f>IFERROR(__xludf.DUMMYFUNCTION("""COMPUTED_VALUE"""),153.5)</f>
        <v>153.5</v>
      </c>
    </row>
    <row r="174" ht="15.75" customHeight="1">
      <c r="B174" s="3">
        <f>IFERROR(__xludf.DUMMYFUNCTION("""COMPUTED_VALUE"""),40977.645833333336)</f>
        <v>40977.64583</v>
      </c>
      <c r="C174" s="2">
        <f>IFERROR(__xludf.DUMMYFUNCTION("""COMPUTED_VALUE"""),147.1)</f>
        <v>147.1</v>
      </c>
    </row>
    <row r="175" ht="15.75" customHeight="1">
      <c r="B175" s="3">
        <f>IFERROR(__xludf.DUMMYFUNCTION("""COMPUTED_VALUE"""),40984.645833333336)</f>
        <v>40984.64583</v>
      </c>
      <c r="C175" s="2">
        <f>IFERROR(__xludf.DUMMYFUNCTION("""COMPUTED_VALUE"""),154.4)</f>
        <v>154.4</v>
      </c>
    </row>
    <row r="176" ht="15.75" customHeight="1">
      <c r="B176" s="3">
        <f>IFERROR(__xludf.DUMMYFUNCTION("""COMPUTED_VALUE"""),40991.645833333336)</f>
        <v>40991.64583</v>
      </c>
      <c r="C176" s="2">
        <f>IFERROR(__xludf.DUMMYFUNCTION("""COMPUTED_VALUE"""),145.0)</f>
        <v>145</v>
      </c>
    </row>
    <row r="177" ht="15.75" customHeight="1">
      <c r="B177" s="3">
        <f>IFERROR(__xludf.DUMMYFUNCTION("""COMPUTED_VALUE"""),40998.645833333336)</f>
        <v>40998.64583</v>
      </c>
      <c r="C177" s="2">
        <f>IFERROR(__xludf.DUMMYFUNCTION("""COMPUTED_VALUE"""),135.9)</f>
        <v>135.9</v>
      </c>
    </row>
    <row r="178" ht="15.75" customHeight="1">
      <c r="B178" s="3">
        <f>IFERROR(__xludf.DUMMYFUNCTION("""COMPUTED_VALUE"""),41003.645833333336)</f>
        <v>41003.64583</v>
      </c>
      <c r="C178" s="2">
        <f>IFERROR(__xludf.DUMMYFUNCTION("""COMPUTED_VALUE"""),139.4)</f>
        <v>139.4</v>
      </c>
    </row>
    <row r="179" ht="15.75" customHeight="1">
      <c r="B179" s="3">
        <f>IFERROR(__xludf.DUMMYFUNCTION("""COMPUTED_VALUE"""),41012.645833333336)</f>
        <v>41012.64583</v>
      </c>
      <c r="C179" s="2">
        <f>IFERROR(__xludf.DUMMYFUNCTION("""COMPUTED_VALUE"""),138.9)</f>
        <v>138.9</v>
      </c>
    </row>
    <row r="180" ht="15.75" customHeight="1">
      <c r="B180" s="3">
        <f>IFERROR(__xludf.DUMMYFUNCTION("""COMPUTED_VALUE"""),41019.645833333336)</f>
        <v>41019.64583</v>
      </c>
      <c r="C180" s="2">
        <f>IFERROR(__xludf.DUMMYFUNCTION("""COMPUTED_VALUE"""),137.0)</f>
        <v>137</v>
      </c>
    </row>
    <row r="181" ht="15.75" customHeight="1">
      <c r="B181" s="3">
        <f>IFERROR(__xludf.DUMMYFUNCTION("""COMPUTED_VALUE"""),41033.645833333336)</f>
        <v>41033.64583</v>
      </c>
      <c r="C181" s="2">
        <f>IFERROR(__xludf.DUMMYFUNCTION("""COMPUTED_VALUE"""),122.95)</f>
        <v>122.95</v>
      </c>
    </row>
    <row r="182" ht="15.75" customHeight="1">
      <c r="B182" s="3">
        <f>IFERROR(__xludf.DUMMYFUNCTION("""COMPUTED_VALUE"""),41040.645833333336)</f>
        <v>41040.64583</v>
      </c>
      <c r="C182" s="2">
        <f>IFERROR(__xludf.DUMMYFUNCTION("""COMPUTED_VALUE"""),122.7)</f>
        <v>122.7</v>
      </c>
    </row>
    <row r="183" ht="15.75" customHeight="1">
      <c r="B183" s="3">
        <f>IFERROR(__xludf.DUMMYFUNCTION("""COMPUTED_VALUE"""),41047.645833333336)</f>
        <v>41047.64583</v>
      </c>
      <c r="C183" s="2">
        <f>IFERROR(__xludf.DUMMYFUNCTION("""COMPUTED_VALUE"""),123.35)</f>
        <v>123.35</v>
      </c>
    </row>
    <row r="184" ht="15.75" customHeight="1">
      <c r="B184" s="3">
        <f>IFERROR(__xludf.DUMMYFUNCTION("""COMPUTED_VALUE"""),41054.645833333336)</f>
        <v>41054.64583</v>
      </c>
      <c r="C184" s="2">
        <f>IFERROR(__xludf.DUMMYFUNCTION("""COMPUTED_VALUE"""),126.0)</f>
        <v>126</v>
      </c>
    </row>
    <row r="185" ht="15.75" customHeight="1">
      <c r="B185" s="3">
        <f>IFERROR(__xludf.DUMMYFUNCTION("""COMPUTED_VALUE"""),41061.645833333336)</f>
        <v>41061.64583</v>
      </c>
      <c r="C185" s="2">
        <f>IFERROR(__xludf.DUMMYFUNCTION("""COMPUTED_VALUE"""),127.4)</f>
        <v>127.4</v>
      </c>
    </row>
    <row r="186" ht="15.75" customHeight="1">
      <c r="B186" s="3">
        <f>IFERROR(__xludf.DUMMYFUNCTION("""COMPUTED_VALUE"""),41068.645833333336)</f>
        <v>41068.64583</v>
      </c>
      <c r="C186" s="2">
        <f>IFERROR(__xludf.DUMMYFUNCTION("""COMPUTED_VALUE"""),133.4)</f>
        <v>133.4</v>
      </c>
    </row>
    <row r="187" ht="15.75" customHeight="1">
      <c r="B187" s="3">
        <f>IFERROR(__xludf.DUMMYFUNCTION("""COMPUTED_VALUE"""),41075.645833333336)</f>
        <v>41075.64583</v>
      </c>
      <c r="C187" s="2">
        <f>IFERROR(__xludf.DUMMYFUNCTION("""COMPUTED_VALUE"""),136.55)</f>
        <v>136.55</v>
      </c>
    </row>
    <row r="188" ht="15.75" customHeight="1">
      <c r="B188" s="3">
        <f>IFERROR(__xludf.DUMMYFUNCTION("""COMPUTED_VALUE"""),41082.645833333336)</f>
        <v>41082.64583</v>
      </c>
      <c r="C188" s="2">
        <f>IFERROR(__xludf.DUMMYFUNCTION("""COMPUTED_VALUE"""),134.2)</f>
        <v>134.2</v>
      </c>
    </row>
    <row r="189" ht="15.75" customHeight="1">
      <c r="B189" s="3">
        <f>IFERROR(__xludf.DUMMYFUNCTION("""COMPUTED_VALUE"""),41089.645833333336)</f>
        <v>41089.64583</v>
      </c>
      <c r="C189" s="2">
        <f>IFERROR(__xludf.DUMMYFUNCTION("""COMPUTED_VALUE"""),136.9)</f>
        <v>136.9</v>
      </c>
    </row>
    <row r="190" ht="15.75" customHeight="1">
      <c r="B190" s="3">
        <f>IFERROR(__xludf.DUMMYFUNCTION("""COMPUTED_VALUE"""),41096.645833333336)</f>
        <v>41096.64583</v>
      </c>
      <c r="C190" s="2">
        <f>IFERROR(__xludf.DUMMYFUNCTION("""COMPUTED_VALUE"""),143.5)</f>
        <v>143.5</v>
      </c>
    </row>
    <row r="191" ht="15.75" customHeight="1">
      <c r="B191" s="3">
        <f>IFERROR(__xludf.DUMMYFUNCTION("""COMPUTED_VALUE"""),41103.645833333336)</f>
        <v>41103.64583</v>
      </c>
      <c r="C191" s="2">
        <f>IFERROR(__xludf.DUMMYFUNCTION("""COMPUTED_VALUE"""),142.9)</f>
        <v>142.9</v>
      </c>
    </row>
    <row r="192" ht="15.75" customHeight="1">
      <c r="B192" s="3">
        <f>IFERROR(__xludf.DUMMYFUNCTION("""COMPUTED_VALUE"""),41110.645833333336)</f>
        <v>41110.64583</v>
      </c>
      <c r="C192" s="2">
        <f>IFERROR(__xludf.DUMMYFUNCTION("""COMPUTED_VALUE"""),140.6)</f>
        <v>140.6</v>
      </c>
    </row>
    <row r="193" ht="15.75" customHeight="1">
      <c r="B193" s="3">
        <f>IFERROR(__xludf.DUMMYFUNCTION("""COMPUTED_VALUE"""),41117.645833333336)</f>
        <v>41117.64583</v>
      </c>
      <c r="C193" s="2">
        <f>IFERROR(__xludf.DUMMYFUNCTION("""COMPUTED_VALUE"""),135.95)</f>
        <v>135.95</v>
      </c>
    </row>
    <row r="194" ht="15.75" customHeight="1">
      <c r="B194" s="3">
        <f>IFERROR(__xludf.DUMMYFUNCTION("""COMPUTED_VALUE"""),41124.645833333336)</f>
        <v>41124.64583</v>
      </c>
      <c r="C194" s="2">
        <f>IFERROR(__xludf.DUMMYFUNCTION("""COMPUTED_VALUE"""),136.9)</f>
        <v>136.9</v>
      </c>
    </row>
    <row r="195" ht="15.75" customHeight="1">
      <c r="B195" s="3">
        <f>IFERROR(__xludf.DUMMYFUNCTION("""COMPUTED_VALUE"""),41131.645833333336)</f>
        <v>41131.64583</v>
      </c>
      <c r="C195" s="2">
        <f>IFERROR(__xludf.DUMMYFUNCTION("""COMPUTED_VALUE"""),137.0)</f>
        <v>137</v>
      </c>
    </row>
    <row r="196" ht="15.75" customHeight="1">
      <c r="B196" s="3">
        <f>IFERROR(__xludf.DUMMYFUNCTION("""COMPUTED_VALUE"""),41138.645833333336)</f>
        <v>41138.64583</v>
      </c>
      <c r="C196" s="2">
        <f>IFERROR(__xludf.DUMMYFUNCTION("""COMPUTED_VALUE"""),143.75)</f>
        <v>143.75</v>
      </c>
    </row>
    <row r="197" ht="15.75" customHeight="1">
      <c r="B197" s="3">
        <f>IFERROR(__xludf.DUMMYFUNCTION("""COMPUTED_VALUE"""),41145.645833333336)</f>
        <v>41145.64583</v>
      </c>
      <c r="C197" s="2">
        <f>IFERROR(__xludf.DUMMYFUNCTION("""COMPUTED_VALUE"""),146.15)</f>
        <v>146.15</v>
      </c>
    </row>
    <row r="198" ht="15.75" customHeight="1">
      <c r="B198" s="3">
        <f>IFERROR(__xludf.DUMMYFUNCTION("""COMPUTED_VALUE"""),41152.645833333336)</f>
        <v>41152.64583</v>
      </c>
      <c r="C198" s="2">
        <f>IFERROR(__xludf.DUMMYFUNCTION("""COMPUTED_VALUE"""),143.05)</f>
        <v>143.05</v>
      </c>
    </row>
    <row r="199" ht="15.75" customHeight="1">
      <c r="B199" s="3">
        <f>IFERROR(__xludf.DUMMYFUNCTION("""COMPUTED_VALUE"""),41166.645833333336)</f>
        <v>41166.64583</v>
      </c>
      <c r="C199" s="2">
        <f>IFERROR(__xludf.DUMMYFUNCTION("""COMPUTED_VALUE"""),139.65)</f>
        <v>139.65</v>
      </c>
    </row>
    <row r="200" ht="15.75" customHeight="1">
      <c r="B200" s="3">
        <f>IFERROR(__xludf.DUMMYFUNCTION("""COMPUTED_VALUE"""),41173.645833333336)</f>
        <v>41173.64583</v>
      </c>
      <c r="C200" s="2">
        <f>IFERROR(__xludf.DUMMYFUNCTION("""COMPUTED_VALUE"""),155.9)</f>
        <v>155.9</v>
      </c>
    </row>
    <row r="201" ht="15.75" customHeight="1">
      <c r="B201" s="3">
        <f>IFERROR(__xludf.DUMMYFUNCTION("""COMPUTED_VALUE"""),41180.645833333336)</f>
        <v>41180.64583</v>
      </c>
      <c r="C201" s="2">
        <f>IFERROR(__xludf.DUMMYFUNCTION("""COMPUTED_VALUE"""),161.9)</f>
        <v>161.9</v>
      </c>
    </row>
    <row r="202" ht="15.75" customHeight="1">
      <c r="B202" s="3">
        <f>IFERROR(__xludf.DUMMYFUNCTION("""COMPUTED_VALUE"""),41187.645833333336)</f>
        <v>41187.64583</v>
      </c>
      <c r="C202" s="2">
        <f>IFERROR(__xludf.DUMMYFUNCTION("""COMPUTED_VALUE"""),164.8)</f>
        <v>164.8</v>
      </c>
    </row>
    <row r="203" ht="15.75" customHeight="1">
      <c r="B203" s="3">
        <f>IFERROR(__xludf.DUMMYFUNCTION("""COMPUTED_VALUE"""),41194.645833333336)</f>
        <v>41194.64583</v>
      </c>
      <c r="C203" s="2">
        <f>IFERROR(__xludf.DUMMYFUNCTION("""COMPUTED_VALUE"""),161.9)</f>
        <v>161.9</v>
      </c>
    </row>
    <row r="204" ht="15.75" customHeight="1">
      <c r="B204" s="3">
        <f>IFERROR(__xludf.DUMMYFUNCTION("""COMPUTED_VALUE"""),41201.645833333336)</f>
        <v>41201.64583</v>
      </c>
      <c r="C204" s="2">
        <f>IFERROR(__xludf.DUMMYFUNCTION("""COMPUTED_VALUE"""),156.35)</f>
        <v>156.35</v>
      </c>
    </row>
    <row r="205" ht="15.75" customHeight="1">
      <c r="B205" s="3">
        <f>IFERROR(__xludf.DUMMYFUNCTION("""COMPUTED_VALUE"""),41208.645833333336)</f>
        <v>41208.64583</v>
      </c>
      <c r="C205" s="2">
        <f>IFERROR(__xludf.DUMMYFUNCTION("""COMPUTED_VALUE"""),160.25)</f>
        <v>160.25</v>
      </c>
    </row>
    <row r="206" ht="15.75" customHeight="1">
      <c r="B206" s="3">
        <f>IFERROR(__xludf.DUMMYFUNCTION("""COMPUTED_VALUE"""),41215.645833333336)</f>
        <v>41215.64583</v>
      </c>
      <c r="C206" s="2">
        <f>IFERROR(__xludf.DUMMYFUNCTION("""COMPUTED_VALUE"""),169.25)</f>
        <v>169.25</v>
      </c>
    </row>
    <row r="207" ht="15.75" customHeight="1">
      <c r="B207" s="3">
        <f>IFERROR(__xludf.DUMMYFUNCTION("""COMPUTED_VALUE"""),41222.645833333336)</f>
        <v>41222.64583</v>
      </c>
      <c r="C207" s="2">
        <f>IFERROR(__xludf.DUMMYFUNCTION("""COMPUTED_VALUE"""),168.8)</f>
        <v>168.8</v>
      </c>
    </row>
    <row r="208" ht="15.75" customHeight="1">
      <c r="B208" s="3">
        <f>IFERROR(__xludf.DUMMYFUNCTION("""COMPUTED_VALUE"""),41229.645833333336)</f>
        <v>41229.64583</v>
      </c>
      <c r="C208" s="2">
        <f>IFERROR(__xludf.DUMMYFUNCTION("""COMPUTED_VALUE"""),166.05)</f>
        <v>166.05</v>
      </c>
    </row>
    <row r="209" ht="15.75" customHeight="1">
      <c r="B209" s="3">
        <f>IFERROR(__xludf.DUMMYFUNCTION("""COMPUTED_VALUE"""),41236.645833333336)</f>
        <v>41236.64583</v>
      </c>
      <c r="C209" s="2">
        <f>IFERROR(__xludf.DUMMYFUNCTION("""COMPUTED_VALUE"""),161.25)</f>
        <v>161.25</v>
      </c>
    </row>
    <row r="210" ht="15.75" customHeight="1">
      <c r="B210" s="3">
        <f>IFERROR(__xludf.DUMMYFUNCTION("""COMPUTED_VALUE"""),41243.645833333336)</f>
        <v>41243.64583</v>
      </c>
      <c r="C210" s="2">
        <f>IFERROR(__xludf.DUMMYFUNCTION("""COMPUTED_VALUE"""),174.7)</f>
        <v>174.7</v>
      </c>
    </row>
    <row r="211" ht="15.75" customHeight="1">
      <c r="B211" s="3">
        <f>IFERROR(__xludf.DUMMYFUNCTION("""COMPUTED_VALUE"""),41250.645833333336)</f>
        <v>41250.64583</v>
      </c>
      <c r="C211" s="2">
        <f>IFERROR(__xludf.DUMMYFUNCTION("""COMPUTED_VALUE"""),179.5)</f>
        <v>179.5</v>
      </c>
    </row>
    <row r="212" ht="15.75" customHeight="1">
      <c r="B212" s="3">
        <f>IFERROR(__xludf.DUMMYFUNCTION("""COMPUTED_VALUE"""),41257.645833333336)</f>
        <v>41257.64583</v>
      </c>
      <c r="C212" s="2">
        <f>IFERROR(__xludf.DUMMYFUNCTION("""COMPUTED_VALUE"""),179.4)</f>
        <v>179.4</v>
      </c>
    </row>
    <row r="213" ht="15.75" customHeight="1">
      <c r="B213" s="3">
        <f>IFERROR(__xludf.DUMMYFUNCTION("""COMPUTED_VALUE"""),41264.645833333336)</f>
        <v>41264.64583</v>
      </c>
      <c r="C213" s="2">
        <f>IFERROR(__xludf.DUMMYFUNCTION("""COMPUTED_VALUE"""),179.45)</f>
        <v>179.45</v>
      </c>
    </row>
    <row r="214" ht="15.75" customHeight="1">
      <c r="B214" s="3">
        <f>IFERROR(__xludf.DUMMYFUNCTION("""COMPUTED_VALUE"""),41271.645833333336)</f>
        <v>41271.64583</v>
      </c>
      <c r="C214" s="2">
        <f>IFERROR(__xludf.DUMMYFUNCTION("""COMPUTED_VALUE"""),174.75)</f>
        <v>174.75</v>
      </c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IFERROR(__xludf.DUMMYFUNCTION("GOOGLEFINANCE(""NSE:IDFC"", ""high"",DATE(2013,1,1),DATE(2014,1,1),""weekly"")"),"Date")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IFERROR(__xludf.DUMMYFUNCTION("""COMPUTED_VALUE"""),41278.645833333336)</f>
        <v>41278.64583</v>
      </c>
      <c r="C222" s="2">
        <f>IFERROR(__xludf.DUMMYFUNCTION("""COMPUTED_VALUE"""),184.45)</f>
        <v>184.45</v>
      </c>
    </row>
    <row r="223" ht="15.75" customHeight="1">
      <c r="B223" s="3">
        <f>IFERROR(__xludf.DUMMYFUNCTION("""COMPUTED_VALUE"""),41285.645833333336)</f>
        <v>41285.64583</v>
      </c>
      <c r="C223" s="2">
        <f>IFERROR(__xludf.DUMMYFUNCTION("""COMPUTED_VALUE"""),185.3)</f>
        <v>185.3</v>
      </c>
    </row>
    <row r="224" ht="15.75" customHeight="1">
      <c r="B224" s="3">
        <f>IFERROR(__xludf.DUMMYFUNCTION("""COMPUTED_VALUE"""),41292.645833333336)</f>
        <v>41292.64583</v>
      </c>
      <c r="C224" s="2">
        <f>IFERROR(__xludf.DUMMYFUNCTION("""COMPUTED_VALUE"""),177.8)</f>
        <v>177.8</v>
      </c>
    </row>
    <row r="225" ht="15.75" customHeight="1">
      <c r="B225" s="3">
        <f>IFERROR(__xludf.DUMMYFUNCTION("""COMPUTED_VALUE"""),41299.645833333336)</f>
        <v>41299.64583</v>
      </c>
      <c r="C225" s="2">
        <f>IFERROR(__xludf.DUMMYFUNCTION("""COMPUTED_VALUE"""),179.75)</f>
        <v>179.75</v>
      </c>
    </row>
    <row r="226" ht="15.75" customHeight="1">
      <c r="B226" s="3">
        <f>IFERROR(__xludf.DUMMYFUNCTION("""COMPUTED_VALUE"""),41306.645833333336)</f>
        <v>41306.64583</v>
      </c>
      <c r="C226" s="2">
        <f>IFERROR(__xludf.DUMMYFUNCTION("""COMPUTED_VALUE"""),174.85)</f>
        <v>174.85</v>
      </c>
    </row>
    <row r="227" ht="15.75" customHeight="1">
      <c r="B227" s="3">
        <f>IFERROR(__xludf.DUMMYFUNCTION("""COMPUTED_VALUE"""),41313.645833333336)</f>
        <v>41313.64583</v>
      </c>
      <c r="C227" s="2">
        <f>IFERROR(__xludf.DUMMYFUNCTION("""COMPUTED_VALUE"""),171.15)</f>
        <v>171.15</v>
      </c>
    </row>
    <row r="228" ht="15.75" customHeight="1">
      <c r="B228" s="3">
        <f>IFERROR(__xludf.DUMMYFUNCTION("""COMPUTED_VALUE"""),41320.645833333336)</f>
        <v>41320.64583</v>
      </c>
      <c r="C228" s="2">
        <f>IFERROR(__xludf.DUMMYFUNCTION("""COMPUTED_VALUE"""),162.35)</f>
        <v>162.35</v>
      </c>
    </row>
    <row r="229" ht="15.75" customHeight="1">
      <c r="B229" s="3">
        <f>IFERROR(__xludf.DUMMYFUNCTION("""COMPUTED_VALUE"""),41327.645833333336)</f>
        <v>41327.64583</v>
      </c>
      <c r="C229" s="2">
        <f>IFERROR(__xludf.DUMMYFUNCTION("""COMPUTED_VALUE"""),164.9)</f>
        <v>164.9</v>
      </c>
    </row>
    <row r="230" ht="15.75" customHeight="1">
      <c r="B230" s="3">
        <f>IFERROR(__xludf.DUMMYFUNCTION("""COMPUTED_VALUE"""),41334.645833333336)</f>
        <v>41334.64583</v>
      </c>
      <c r="C230" s="2">
        <f>IFERROR(__xludf.DUMMYFUNCTION("""COMPUTED_VALUE"""),160.0)</f>
        <v>160</v>
      </c>
    </row>
    <row r="231" ht="15.75" customHeight="1">
      <c r="B231" s="3">
        <f>IFERROR(__xludf.DUMMYFUNCTION("""COMPUTED_VALUE"""),41341.645833333336)</f>
        <v>41341.64583</v>
      </c>
      <c r="C231" s="2">
        <f>IFERROR(__xludf.DUMMYFUNCTION("""COMPUTED_VALUE"""),160.9)</f>
        <v>160.9</v>
      </c>
    </row>
    <row r="232" ht="15.75" customHeight="1">
      <c r="B232" s="3">
        <f>IFERROR(__xludf.DUMMYFUNCTION("""COMPUTED_VALUE"""),41348.645833333336)</f>
        <v>41348.64583</v>
      </c>
      <c r="C232" s="2">
        <f>IFERROR(__xludf.DUMMYFUNCTION("""COMPUTED_VALUE"""),162.45)</f>
        <v>162.45</v>
      </c>
    </row>
    <row r="233" ht="15.75" customHeight="1">
      <c r="B233" s="3">
        <f>IFERROR(__xludf.DUMMYFUNCTION("""COMPUTED_VALUE"""),41355.645833333336)</f>
        <v>41355.64583</v>
      </c>
      <c r="C233" s="2">
        <f>IFERROR(__xludf.DUMMYFUNCTION("""COMPUTED_VALUE"""),156.25)</f>
        <v>156.25</v>
      </c>
    </row>
    <row r="234" ht="15.75" customHeight="1">
      <c r="B234" s="3">
        <f>IFERROR(__xludf.DUMMYFUNCTION("""COMPUTED_VALUE"""),41361.645833333336)</f>
        <v>41361.64583</v>
      </c>
      <c r="C234" s="2">
        <f>IFERROR(__xludf.DUMMYFUNCTION("""COMPUTED_VALUE"""),146.65)</f>
        <v>146.65</v>
      </c>
    </row>
    <row r="235" ht="15.75" customHeight="1">
      <c r="B235" s="3">
        <f>IFERROR(__xludf.DUMMYFUNCTION("""COMPUTED_VALUE"""),41369.645833333336)</f>
        <v>41369.64583</v>
      </c>
      <c r="C235" s="2">
        <f>IFERROR(__xludf.DUMMYFUNCTION("""COMPUTED_VALUE"""),149.0)</f>
        <v>149</v>
      </c>
    </row>
    <row r="236" ht="15.75" customHeight="1">
      <c r="B236" s="3">
        <f>IFERROR(__xludf.DUMMYFUNCTION("""COMPUTED_VALUE"""),41376.645833333336)</f>
        <v>41376.64583</v>
      </c>
      <c r="C236" s="2">
        <f>IFERROR(__xludf.DUMMYFUNCTION("""COMPUTED_VALUE"""),146.7)</f>
        <v>146.7</v>
      </c>
    </row>
    <row r="237" ht="15.75" customHeight="1">
      <c r="B237" s="3">
        <f>IFERROR(__xludf.DUMMYFUNCTION("""COMPUTED_VALUE"""),41382.645833333336)</f>
        <v>41382.64583</v>
      </c>
      <c r="C237" s="2">
        <f>IFERROR(__xludf.DUMMYFUNCTION("""COMPUTED_VALUE"""),162.35)</f>
        <v>162.35</v>
      </c>
    </row>
    <row r="238" ht="15.75" customHeight="1">
      <c r="B238" s="3">
        <f>IFERROR(__xludf.DUMMYFUNCTION("""COMPUTED_VALUE"""),41390.645833333336)</f>
        <v>41390.64583</v>
      </c>
      <c r="C238" s="2">
        <f>IFERROR(__xludf.DUMMYFUNCTION("""COMPUTED_VALUE"""),162.25)</f>
        <v>162.25</v>
      </c>
    </row>
    <row r="239" ht="15.75" customHeight="1">
      <c r="B239" s="3">
        <f>IFERROR(__xludf.DUMMYFUNCTION("""COMPUTED_VALUE"""),41397.645833333336)</f>
        <v>41397.64583</v>
      </c>
      <c r="C239" s="2">
        <f>IFERROR(__xludf.DUMMYFUNCTION("""COMPUTED_VALUE"""),159.0)</f>
        <v>159</v>
      </c>
    </row>
    <row r="240" ht="15.75" customHeight="1">
      <c r="B240" s="3">
        <f>IFERROR(__xludf.DUMMYFUNCTION("""COMPUTED_VALUE"""),41411.645833333336)</f>
        <v>41411.64583</v>
      </c>
      <c r="C240" s="2">
        <f>IFERROR(__xludf.DUMMYFUNCTION("""COMPUTED_VALUE"""),165.45)</f>
        <v>165.45</v>
      </c>
    </row>
    <row r="241" ht="15.75" customHeight="1">
      <c r="B241" s="3">
        <f>IFERROR(__xludf.DUMMYFUNCTION("""COMPUTED_VALUE"""),41418.645833333336)</f>
        <v>41418.64583</v>
      </c>
      <c r="C241" s="2">
        <f>IFERROR(__xludf.DUMMYFUNCTION("""COMPUTED_VALUE"""),165.3)</f>
        <v>165.3</v>
      </c>
    </row>
    <row r="242" ht="15.75" customHeight="1">
      <c r="B242" s="3">
        <f>IFERROR(__xludf.DUMMYFUNCTION("""COMPUTED_VALUE"""),41425.645833333336)</f>
        <v>41425.64583</v>
      </c>
      <c r="C242" s="2">
        <f>IFERROR(__xludf.DUMMYFUNCTION("""COMPUTED_VALUE"""),160.15)</f>
        <v>160.15</v>
      </c>
    </row>
    <row r="243" ht="15.75" customHeight="1">
      <c r="B243" s="3">
        <f>IFERROR(__xludf.DUMMYFUNCTION("""COMPUTED_VALUE"""),41432.645833333336)</f>
        <v>41432.64583</v>
      </c>
      <c r="C243" s="2">
        <f>IFERROR(__xludf.DUMMYFUNCTION("""COMPUTED_VALUE"""),151.1)</f>
        <v>151.1</v>
      </c>
    </row>
    <row r="244" ht="15.75" customHeight="1">
      <c r="B244" s="3">
        <f>IFERROR(__xludf.DUMMYFUNCTION("""COMPUTED_VALUE"""),41439.645833333336)</f>
        <v>41439.64583</v>
      </c>
      <c r="C244" s="2">
        <f>IFERROR(__xludf.DUMMYFUNCTION("""COMPUTED_VALUE"""),149.45)</f>
        <v>149.45</v>
      </c>
    </row>
    <row r="245" ht="15.75" customHeight="1">
      <c r="B245" s="3">
        <f>IFERROR(__xludf.DUMMYFUNCTION("""COMPUTED_VALUE"""),41446.645833333336)</f>
        <v>41446.64583</v>
      </c>
      <c r="C245" s="2">
        <f>IFERROR(__xludf.DUMMYFUNCTION("""COMPUTED_VALUE"""),147.65)</f>
        <v>147.65</v>
      </c>
    </row>
    <row r="246" ht="15.75" customHeight="1">
      <c r="B246" s="3">
        <f>IFERROR(__xludf.DUMMYFUNCTION("""COMPUTED_VALUE"""),41453.645833333336)</f>
        <v>41453.64583</v>
      </c>
      <c r="C246" s="2">
        <f>IFERROR(__xludf.DUMMYFUNCTION("""COMPUTED_VALUE"""),136.35)</f>
        <v>136.35</v>
      </c>
    </row>
    <row r="247" ht="15.75" customHeight="1">
      <c r="B247" s="3">
        <f>IFERROR(__xludf.DUMMYFUNCTION("""COMPUTED_VALUE"""),41460.645833333336)</f>
        <v>41460.64583</v>
      </c>
      <c r="C247" s="2">
        <f>IFERROR(__xludf.DUMMYFUNCTION("""COMPUTED_VALUE"""),133.4)</f>
        <v>133.4</v>
      </c>
    </row>
    <row r="248" ht="15.75" customHeight="1">
      <c r="B248" s="3">
        <f>IFERROR(__xludf.DUMMYFUNCTION("""COMPUTED_VALUE"""),41467.645833333336)</f>
        <v>41467.64583</v>
      </c>
      <c r="C248" s="2">
        <f>IFERROR(__xludf.DUMMYFUNCTION("""COMPUTED_VALUE"""),135.65)</f>
        <v>135.65</v>
      </c>
    </row>
    <row r="249" ht="15.75" customHeight="1">
      <c r="B249" s="3">
        <f>IFERROR(__xludf.DUMMYFUNCTION("""COMPUTED_VALUE"""),41474.645833333336)</f>
        <v>41474.64583</v>
      </c>
      <c r="C249" s="2">
        <f>IFERROR(__xludf.DUMMYFUNCTION("""COMPUTED_VALUE"""),138.4)</f>
        <v>138.4</v>
      </c>
    </row>
    <row r="250" ht="15.75" customHeight="1">
      <c r="B250" s="3">
        <f>IFERROR(__xludf.DUMMYFUNCTION("""COMPUTED_VALUE"""),41481.645833333336)</f>
        <v>41481.64583</v>
      </c>
      <c r="C250" s="2">
        <f>IFERROR(__xludf.DUMMYFUNCTION("""COMPUTED_VALUE"""),129.5)</f>
        <v>129.5</v>
      </c>
    </row>
    <row r="251" ht="15.75" customHeight="1">
      <c r="B251" s="3">
        <f>IFERROR(__xludf.DUMMYFUNCTION("""COMPUTED_VALUE"""),41488.645833333336)</f>
        <v>41488.64583</v>
      </c>
      <c r="C251" s="2">
        <f>IFERROR(__xludf.DUMMYFUNCTION("""COMPUTED_VALUE"""),116.3)</f>
        <v>116.3</v>
      </c>
    </row>
    <row r="252" ht="15.75" customHeight="1">
      <c r="B252" s="3">
        <f>IFERROR(__xludf.DUMMYFUNCTION("""COMPUTED_VALUE"""),41494.645833333336)</f>
        <v>41494.64583</v>
      </c>
      <c r="C252" s="2">
        <f>IFERROR(__xludf.DUMMYFUNCTION("""COMPUTED_VALUE"""),109.35)</f>
        <v>109.35</v>
      </c>
    </row>
    <row r="253" ht="15.75" customHeight="1">
      <c r="B253" s="3">
        <f>IFERROR(__xludf.DUMMYFUNCTION("""COMPUTED_VALUE"""),41502.645833333336)</f>
        <v>41502.64583</v>
      </c>
      <c r="C253" s="2">
        <f>IFERROR(__xludf.DUMMYFUNCTION("""COMPUTED_VALUE"""),114.2)</f>
        <v>114.2</v>
      </c>
    </row>
    <row r="254" ht="15.75" customHeight="1">
      <c r="B254" s="3">
        <f>IFERROR(__xludf.DUMMYFUNCTION("""COMPUTED_VALUE"""),41509.645833333336)</f>
        <v>41509.64583</v>
      </c>
      <c r="C254" s="2">
        <f>IFERROR(__xludf.DUMMYFUNCTION("""COMPUTED_VALUE"""),110.0)</f>
        <v>110</v>
      </c>
    </row>
    <row r="255" ht="15.75" customHeight="1">
      <c r="B255" s="3">
        <f>IFERROR(__xludf.DUMMYFUNCTION("""COMPUTED_VALUE"""),41516.645833333336)</f>
        <v>41516.64583</v>
      </c>
      <c r="C255" s="2">
        <f>IFERROR(__xludf.DUMMYFUNCTION("""COMPUTED_VALUE"""),105.4)</f>
        <v>105.4</v>
      </c>
    </row>
    <row r="256" ht="15.75" customHeight="1">
      <c r="B256" s="3">
        <f>IFERROR(__xludf.DUMMYFUNCTION("""COMPUTED_VALUE"""),41523.645833333336)</f>
        <v>41523.64583</v>
      </c>
      <c r="C256" s="2">
        <f>IFERROR(__xludf.DUMMYFUNCTION("""COMPUTED_VALUE"""),88.3)</f>
        <v>88.3</v>
      </c>
    </row>
    <row r="257" ht="15.75" customHeight="1">
      <c r="B257" s="3">
        <f>IFERROR(__xludf.DUMMYFUNCTION("""COMPUTED_VALUE"""),41530.645833333336)</f>
        <v>41530.64583</v>
      </c>
      <c r="C257" s="2">
        <f>IFERROR(__xludf.DUMMYFUNCTION("""COMPUTED_VALUE"""),99.85)</f>
        <v>99.85</v>
      </c>
    </row>
    <row r="258" ht="15.75" customHeight="1">
      <c r="B258" s="3">
        <f>IFERROR(__xludf.DUMMYFUNCTION("""COMPUTED_VALUE"""),41537.645833333336)</f>
        <v>41537.64583</v>
      </c>
      <c r="C258" s="2">
        <f>IFERROR(__xludf.DUMMYFUNCTION("""COMPUTED_VALUE"""),103.5)</f>
        <v>103.5</v>
      </c>
    </row>
    <row r="259" ht="15.75" customHeight="1">
      <c r="B259" s="3">
        <f>IFERROR(__xludf.DUMMYFUNCTION("""COMPUTED_VALUE"""),41544.645833333336)</f>
        <v>41544.64583</v>
      </c>
      <c r="C259" s="2">
        <f>IFERROR(__xludf.DUMMYFUNCTION("""COMPUTED_VALUE"""),98.8)</f>
        <v>98.8</v>
      </c>
    </row>
    <row r="260" ht="15.75" customHeight="1">
      <c r="B260" s="3">
        <f>IFERROR(__xludf.DUMMYFUNCTION("""COMPUTED_VALUE"""),41551.645833333336)</f>
        <v>41551.64583</v>
      </c>
      <c r="C260" s="2">
        <f>IFERROR(__xludf.DUMMYFUNCTION("""COMPUTED_VALUE"""),95.3)</f>
        <v>95.3</v>
      </c>
    </row>
    <row r="261" ht="15.75" customHeight="1">
      <c r="B261" s="3">
        <f>IFERROR(__xludf.DUMMYFUNCTION("""COMPUTED_VALUE"""),41558.645833333336)</f>
        <v>41558.64583</v>
      </c>
      <c r="C261" s="2">
        <f>IFERROR(__xludf.DUMMYFUNCTION("""COMPUTED_VALUE"""),99.25)</f>
        <v>99.25</v>
      </c>
    </row>
    <row r="262" ht="15.75" customHeight="1">
      <c r="B262" s="3">
        <f>IFERROR(__xludf.DUMMYFUNCTION("""COMPUTED_VALUE"""),41565.645833333336)</f>
        <v>41565.64583</v>
      </c>
      <c r="C262" s="2">
        <f>IFERROR(__xludf.DUMMYFUNCTION("""COMPUTED_VALUE"""),99.5)</f>
        <v>99.5</v>
      </c>
    </row>
    <row r="263" ht="15.75" customHeight="1">
      <c r="B263" s="3">
        <f>IFERROR(__xludf.DUMMYFUNCTION("""COMPUTED_VALUE"""),41572.645833333336)</f>
        <v>41572.64583</v>
      </c>
      <c r="C263" s="2">
        <f>IFERROR(__xludf.DUMMYFUNCTION("""COMPUTED_VALUE"""),105.85)</f>
        <v>105.85</v>
      </c>
    </row>
    <row r="264" ht="15.75" customHeight="1">
      <c r="B264" s="3">
        <f>IFERROR(__xludf.DUMMYFUNCTION("""COMPUTED_VALUE"""),41579.645833333336)</f>
        <v>41579.64583</v>
      </c>
      <c r="C264" s="2">
        <f>IFERROR(__xludf.DUMMYFUNCTION("""COMPUTED_VALUE"""),115.5)</f>
        <v>115.5</v>
      </c>
    </row>
    <row r="265" ht="15.75" customHeight="1">
      <c r="B265" s="3">
        <f>IFERROR(__xludf.DUMMYFUNCTION("""COMPUTED_VALUE"""),41586.645833333336)</f>
        <v>41586.64583</v>
      </c>
      <c r="C265" s="2">
        <f>IFERROR(__xludf.DUMMYFUNCTION("""COMPUTED_VALUE"""),115.45)</f>
        <v>115.45</v>
      </c>
    </row>
    <row r="266" ht="15.75" customHeight="1">
      <c r="B266" s="3">
        <f>IFERROR(__xludf.DUMMYFUNCTION("""COMPUTED_VALUE"""),41592.645833333336)</f>
        <v>41592.64583</v>
      </c>
      <c r="C266" s="2">
        <f>IFERROR(__xludf.DUMMYFUNCTION("""COMPUTED_VALUE"""),106.1)</f>
        <v>106.1</v>
      </c>
    </row>
    <row r="267" ht="15.75" customHeight="1">
      <c r="B267" s="3">
        <f>IFERROR(__xludf.DUMMYFUNCTION("""COMPUTED_VALUE"""),41600.645833333336)</f>
        <v>41600.64583</v>
      </c>
      <c r="C267" s="2">
        <f>IFERROR(__xludf.DUMMYFUNCTION("""COMPUTED_VALUE"""),109.4)</f>
        <v>109.4</v>
      </c>
    </row>
    <row r="268" ht="15.75" customHeight="1">
      <c r="B268" s="3">
        <f>IFERROR(__xludf.DUMMYFUNCTION("""COMPUTED_VALUE"""),41607.645833333336)</f>
        <v>41607.64583</v>
      </c>
      <c r="C268" s="2">
        <f>IFERROR(__xludf.DUMMYFUNCTION("""COMPUTED_VALUE"""),105.0)</f>
        <v>105</v>
      </c>
    </row>
    <row r="269" ht="15.75" customHeight="1">
      <c r="B269" s="3">
        <f>IFERROR(__xludf.DUMMYFUNCTION("""COMPUTED_VALUE"""),41614.645833333336)</f>
        <v>41614.64583</v>
      </c>
      <c r="C269" s="2">
        <f>IFERROR(__xludf.DUMMYFUNCTION("""COMPUTED_VALUE"""),114.6)</f>
        <v>114.6</v>
      </c>
    </row>
    <row r="270" ht="15.75" customHeight="1">
      <c r="B270" s="3">
        <f>IFERROR(__xludf.DUMMYFUNCTION("""COMPUTED_VALUE"""),41621.645833333336)</f>
        <v>41621.64583</v>
      </c>
      <c r="C270" s="2">
        <f>IFERROR(__xludf.DUMMYFUNCTION("""COMPUTED_VALUE"""),117.8)</f>
        <v>117.8</v>
      </c>
    </row>
    <row r="271" ht="15.75" customHeight="1">
      <c r="B271" s="3">
        <f>IFERROR(__xludf.DUMMYFUNCTION("""COMPUTED_VALUE"""),41628.645833333336)</f>
        <v>41628.64583</v>
      </c>
      <c r="C271" s="2">
        <f>IFERROR(__xludf.DUMMYFUNCTION("""COMPUTED_VALUE"""),107.8)</f>
        <v>107.8</v>
      </c>
    </row>
    <row r="272" ht="15.75" customHeight="1">
      <c r="B272" s="3">
        <f>IFERROR(__xludf.DUMMYFUNCTION("""COMPUTED_VALUE"""),41635.645833333336)</f>
        <v>41635.64583</v>
      </c>
      <c r="C272" s="2">
        <f>IFERROR(__xludf.DUMMYFUNCTION("""COMPUTED_VALUE"""),108.4)</f>
        <v>108.4</v>
      </c>
    </row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IFERROR(__xludf.DUMMYFUNCTION("GOOGLEFINANCE(""NSE:IDFC"", ""high"",DATE(2014,1,1),DATE(2015,1,1),""weekly"")"),"Date")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IFERROR(__xludf.DUMMYFUNCTION("""COMPUTED_VALUE"""),41642.645833333336)</f>
        <v>41642.64583</v>
      </c>
      <c r="C277" s="2">
        <f>IFERROR(__xludf.DUMMYFUNCTION("""COMPUTED_VALUE"""),111.4)</f>
        <v>111.4</v>
      </c>
    </row>
    <row r="278" ht="15.75" customHeight="1">
      <c r="B278" s="3">
        <f>IFERROR(__xludf.DUMMYFUNCTION("""COMPUTED_VALUE"""),41649.645833333336)</f>
        <v>41649.64583</v>
      </c>
      <c r="C278" s="2">
        <f>IFERROR(__xludf.DUMMYFUNCTION("""COMPUTED_VALUE"""),105.5)</f>
        <v>105.5</v>
      </c>
    </row>
    <row r="279" ht="15.75" customHeight="1">
      <c r="B279" s="3">
        <f>IFERROR(__xludf.DUMMYFUNCTION("""COMPUTED_VALUE"""),41656.645833333336)</f>
        <v>41656.64583</v>
      </c>
      <c r="C279" s="2">
        <f>IFERROR(__xludf.DUMMYFUNCTION("""COMPUTED_VALUE"""),103.4)</f>
        <v>103.4</v>
      </c>
    </row>
    <row r="280" ht="15.75" customHeight="1">
      <c r="B280" s="3">
        <f>IFERROR(__xludf.DUMMYFUNCTION("""COMPUTED_VALUE"""),41663.645833333336)</f>
        <v>41663.64583</v>
      </c>
      <c r="C280" s="2">
        <f>IFERROR(__xludf.DUMMYFUNCTION("""COMPUTED_VALUE"""),101.5)</f>
        <v>101.5</v>
      </c>
    </row>
    <row r="281" ht="15.75" customHeight="1">
      <c r="B281" s="3">
        <f>IFERROR(__xludf.DUMMYFUNCTION("""COMPUTED_VALUE"""),41670.645833333336)</f>
        <v>41670.64583</v>
      </c>
      <c r="C281" s="2">
        <f>IFERROR(__xludf.DUMMYFUNCTION("""COMPUTED_VALUE"""),97.45)</f>
        <v>97.45</v>
      </c>
    </row>
    <row r="282" ht="15.75" customHeight="1">
      <c r="B282" s="3">
        <f>IFERROR(__xludf.DUMMYFUNCTION("""COMPUTED_VALUE"""),41677.645833333336)</f>
        <v>41677.64583</v>
      </c>
      <c r="C282" s="2">
        <f>IFERROR(__xludf.DUMMYFUNCTION("""COMPUTED_VALUE"""),97.15)</f>
        <v>97.15</v>
      </c>
    </row>
    <row r="283" ht="15.75" customHeight="1">
      <c r="B283" s="3">
        <f>IFERROR(__xludf.DUMMYFUNCTION("""COMPUTED_VALUE"""),41684.645833333336)</f>
        <v>41684.64583</v>
      </c>
      <c r="C283" s="2">
        <f>IFERROR(__xludf.DUMMYFUNCTION("""COMPUTED_VALUE"""),99.85)</f>
        <v>99.85</v>
      </c>
    </row>
    <row r="284" ht="15.75" customHeight="1">
      <c r="B284" s="3">
        <f>IFERROR(__xludf.DUMMYFUNCTION("""COMPUTED_VALUE"""),41691.645833333336)</f>
        <v>41691.64583</v>
      </c>
      <c r="C284" s="2">
        <f>IFERROR(__xludf.DUMMYFUNCTION("""COMPUTED_VALUE"""),98.85)</f>
        <v>98.85</v>
      </c>
    </row>
    <row r="285" ht="15.75" customHeight="1">
      <c r="B285" s="3">
        <f>IFERROR(__xludf.DUMMYFUNCTION("""COMPUTED_VALUE"""),41698.645833333336)</f>
        <v>41698.64583</v>
      </c>
      <c r="C285" s="2">
        <f>IFERROR(__xludf.DUMMYFUNCTION("""COMPUTED_VALUE"""),97.65)</f>
        <v>97.65</v>
      </c>
    </row>
    <row r="286" ht="15.75" customHeight="1">
      <c r="B286" s="3">
        <f>IFERROR(__xludf.DUMMYFUNCTION("""COMPUTED_VALUE"""),41705.645833333336)</f>
        <v>41705.64583</v>
      </c>
      <c r="C286" s="2">
        <f>IFERROR(__xludf.DUMMYFUNCTION("""COMPUTED_VALUE"""),106.2)</f>
        <v>106.2</v>
      </c>
    </row>
    <row r="287" ht="15.75" customHeight="1">
      <c r="B287" s="3">
        <f>IFERROR(__xludf.DUMMYFUNCTION("""COMPUTED_VALUE"""),41712.645833333336)</f>
        <v>41712.64583</v>
      </c>
      <c r="C287" s="2">
        <f>IFERROR(__xludf.DUMMYFUNCTION("""COMPUTED_VALUE"""),116.55)</f>
        <v>116.55</v>
      </c>
    </row>
    <row r="288" ht="15.75" customHeight="1">
      <c r="B288" s="3">
        <f>IFERROR(__xludf.DUMMYFUNCTION("""COMPUTED_VALUE"""),41726.645833333336)</f>
        <v>41726.64583</v>
      </c>
      <c r="C288" s="2">
        <f>IFERROR(__xludf.DUMMYFUNCTION("""COMPUTED_VALUE"""),126.3)</f>
        <v>126.3</v>
      </c>
    </row>
    <row r="289" ht="15.75" customHeight="1">
      <c r="B289" s="3">
        <f>IFERROR(__xludf.DUMMYFUNCTION("""COMPUTED_VALUE"""),41733.645833333336)</f>
        <v>41733.64583</v>
      </c>
      <c r="C289" s="2">
        <f>IFERROR(__xludf.DUMMYFUNCTION("""COMPUTED_VALUE"""),139.0)</f>
        <v>139</v>
      </c>
    </row>
    <row r="290" ht="15.75" customHeight="1">
      <c r="B290" s="3">
        <f>IFERROR(__xludf.DUMMYFUNCTION("""COMPUTED_VALUE"""),41740.645833333336)</f>
        <v>41740.64583</v>
      </c>
      <c r="C290" s="2">
        <f>IFERROR(__xludf.DUMMYFUNCTION("""COMPUTED_VALUE"""),126.9)</f>
        <v>126.9</v>
      </c>
    </row>
    <row r="291" ht="15.75" customHeight="1">
      <c r="B291" s="3">
        <f>IFERROR(__xludf.DUMMYFUNCTION("""COMPUTED_VALUE"""),41746.645833333336)</f>
        <v>41746.64583</v>
      </c>
      <c r="C291" s="2">
        <f>IFERROR(__xludf.DUMMYFUNCTION("""COMPUTED_VALUE"""),124.0)</f>
        <v>124</v>
      </c>
    </row>
    <row r="292" ht="15.75" customHeight="1">
      <c r="B292" s="3">
        <f>IFERROR(__xludf.DUMMYFUNCTION("""COMPUTED_VALUE"""),41754.645833333336)</f>
        <v>41754.64583</v>
      </c>
      <c r="C292" s="2">
        <f>IFERROR(__xludf.DUMMYFUNCTION("""COMPUTED_VALUE"""),121.15)</f>
        <v>121.15</v>
      </c>
    </row>
    <row r="293" ht="15.75" customHeight="1">
      <c r="B293" s="3">
        <f>IFERROR(__xludf.DUMMYFUNCTION("""COMPUTED_VALUE"""),41761.645833333336)</f>
        <v>41761.64583</v>
      </c>
      <c r="C293" s="2">
        <f>IFERROR(__xludf.DUMMYFUNCTION("""COMPUTED_VALUE"""),116.4)</f>
        <v>116.4</v>
      </c>
    </row>
    <row r="294" ht="15.75" customHeight="1">
      <c r="B294" s="3">
        <f>IFERROR(__xludf.DUMMYFUNCTION("""COMPUTED_VALUE"""),41768.645833333336)</f>
        <v>41768.64583</v>
      </c>
      <c r="C294" s="2">
        <f>IFERROR(__xludf.DUMMYFUNCTION("""COMPUTED_VALUE"""),117.8)</f>
        <v>117.8</v>
      </c>
    </row>
    <row r="295" ht="15.75" customHeight="1">
      <c r="B295" s="3">
        <f>IFERROR(__xludf.DUMMYFUNCTION("""COMPUTED_VALUE"""),41775.645833333336)</f>
        <v>41775.64583</v>
      </c>
      <c r="C295" s="2">
        <f>IFERROR(__xludf.DUMMYFUNCTION("""COMPUTED_VALUE"""),129.3)</f>
        <v>129.3</v>
      </c>
    </row>
    <row r="296" ht="15.75" customHeight="1">
      <c r="B296" s="3">
        <f>IFERROR(__xludf.DUMMYFUNCTION("""COMPUTED_VALUE"""),41782.645833333336)</f>
        <v>41782.64583</v>
      </c>
      <c r="C296" s="2">
        <f>IFERROR(__xludf.DUMMYFUNCTION("""COMPUTED_VALUE"""),144.0)</f>
        <v>144</v>
      </c>
    </row>
    <row r="297" ht="15.75" customHeight="1">
      <c r="B297" s="3">
        <f>IFERROR(__xludf.DUMMYFUNCTION("""COMPUTED_VALUE"""),41789.645833333336)</f>
        <v>41789.64583</v>
      </c>
      <c r="C297" s="2">
        <f>IFERROR(__xludf.DUMMYFUNCTION("""COMPUTED_VALUE"""),147.2)</f>
        <v>147.2</v>
      </c>
    </row>
    <row r="298" ht="15.75" customHeight="1">
      <c r="B298" s="3">
        <f>IFERROR(__xludf.DUMMYFUNCTION("""COMPUTED_VALUE"""),41796.645833333336)</f>
        <v>41796.64583</v>
      </c>
      <c r="C298" s="2">
        <f>IFERROR(__xludf.DUMMYFUNCTION("""COMPUTED_VALUE"""),138.65)</f>
        <v>138.65</v>
      </c>
    </row>
    <row r="299" ht="15.75" customHeight="1">
      <c r="B299" s="3">
        <f>IFERROR(__xludf.DUMMYFUNCTION("""COMPUTED_VALUE"""),41803.645833333336)</f>
        <v>41803.64583</v>
      </c>
      <c r="C299" s="2">
        <f>IFERROR(__xludf.DUMMYFUNCTION("""COMPUTED_VALUE"""),140.15)</f>
        <v>140.15</v>
      </c>
    </row>
    <row r="300" ht="15.75" customHeight="1">
      <c r="B300" s="3">
        <f>IFERROR(__xludf.DUMMYFUNCTION("""COMPUTED_VALUE"""),41810.645833333336)</f>
        <v>41810.64583</v>
      </c>
      <c r="C300" s="2">
        <f>IFERROR(__xludf.DUMMYFUNCTION("""COMPUTED_VALUE"""),133.45)</f>
        <v>133.45</v>
      </c>
    </row>
    <row r="301" ht="15.75" customHeight="1">
      <c r="B301" s="3">
        <f>IFERROR(__xludf.DUMMYFUNCTION("""COMPUTED_VALUE"""),41817.645833333336)</f>
        <v>41817.64583</v>
      </c>
      <c r="C301" s="2">
        <f>IFERROR(__xludf.DUMMYFUNCTION("""COMPUTED_VALUE"""),131.05)</f>
        <v>131.05</v>
      </c>
    </row>
    <row r="302" ht="15.75" customHeight="1">
      <c r="B302" s="3">
        <f>IFERROR(__xludf.DUMMYFUNCTION("""COMPUTED_VALUE"""),41824.645833333336)</f>
        <v>41824.64583</v>
      </c>
      <c r="C302" s="2">
        <f>IFERROR(__xludf.DUMMYFUNCTION("""COMPUTED_VALUE"""),137.95)</f>
        <v>137.95</v>
      </c>
    </row>
    <row r="303" ht="15.75" customHeight="1">
      <c r="B303" s="3">
        <f>IFERROR(__xludf.DUMMYFUNCTION("""COMPUTED_VALUE"""),41831.645833333336)</f>
        <v>41831.64583</v>
      </c>
      <c r="C303" s="2">
        <f>IFERROR(__xludf.DUMMYFUNCTION("""COMPUTED_VALUE"""),159.9)</f>
        <v>159.9</v>
      </c>
    </row>
    <row r="304" ht="15.75" customHeight="1">
      <c r="B304" s="3">
        <f>IFERROR(__xludf.DUMMYFUNCTION("""COMPUTED_VALUE"""),41838.645833333336)</f>
        <v>41838.64583</v>
      </c>
      <c r="C304" s="2">
        <f>IFERROR(__xludf.DUMMYFUNCTION("""COMPUTED_VALUE"""),165.65)</f>
        <v>165.65</v>
      </c>
    </row>
    <row r="305" ht="15.75" customHeight="1">
      <c r="B305" s="3">
        <f>IFERROR(__xludf.DUMMYFUNCTION("""COMPUTED_VALUE"""),41845.645833333336)</f>
        <v>41845.64583</v>
      </c>
      <c r="C305" s="2">
        <f>IFERROR(__xludf.DUMMYFUNCTION("""COMPUTED_VALUE"""),166.65)</f>
        <v>166.65</v>
      </c>
    </row>
    <row r="306" ht="15.75" customHeight="1">
      <c r="B306" s="3">
        <f>IFERROR(__xludf.DUMMYFUNCTION("""COMPUTED_VALUE"""),41852.645833333336)</f>
        <v>41852.64583</v>
      </c>
      <c r="C306" s="2">
        <f>IFERROR(__xludf.DUMMYFUNCTION("""COMPUTED_VALUE"""),158.75)</f>
        <v>158.75</v>
      </c>
    </row>
    <row r="307" ht="15.75" customHeight="1">
      <c r="B307" s="3">
        <f>IFERROR(__xludf.DUMMYFUNCTION("""COMPUTED_VALUE"""),41859.645833333336)</f>
        <v>41859.64583</v>
      </c>
      <c r="C307" s="2">
        <f>IFERROR(__xludf.DUMMYFUNCTION("""COMPUTED_VALUE"""),153.8)</f>
        <v>153.8</v>
      </c>
    </row>
    <row r="308" ht="15.75" customHeight="1">
      <c r="B308" s="3">
        <f>IFERROR(__xludf.DUMMYFUNCTION("""COMPUTED_VALUE"""),41865.645833333336)</f>
        <v>41865.64583</v>
      </c>
      <c r="C308" s="2">
        <f>IFERROR(__xludf.DUMMYFUNCTION("""COMPUTED_VALUE"""),149.15)</f>
        <v>149.15</v>
      </c>
    </row>
    <row r="309" ht="15.75" customHeight="1">
      <c r="B309" s="3">
        <f>IFERROR(__xludf.DUMMYFUNCTION("""COMPUTED_VALUE"""),41873.645833333336)</f>
        <v>41873.64583</v>
      </c>
      <c r="C309" s="2">
        <f>IFERROR(__xludf.DUMMYFUNCTION("""COMPUTED_VALUE"""),153.35)</f>
        <v>153.35</v>
      </c>
    </row>
    <row r="310" ht="15.75" customHeight="1">
      <c r="B310" s="3">
        <f>IFERROR(__xludf.DUMMYFUNCTION("""COMPUTED_VALUE"""),41879.645833333336)</f>
        <v>41879.64583</v>
      </c>
      <c r="C310" s="2">
        <f>IFERROR(__xludf.DUMMYFUNCTION("""COMPUTED_VALUE"""),150.45)</f>
        <v>150.45</v>
      </c>
    </row>
    <row r="311" ht="15.75" customHeight="1">
      <c r="B311" s="3">
        <f>IFERROR(__xludf.DUMMYFUNCTION("""COMPUTED_VALUE"""),41887.645833333336)</f>
        <v>41887.64583</v>
      </c>
      <c r="C311" s="2">
        <f>IFERROR(__xludf.DUMMYFUNCTION("""COMPUTED_VALUE"""),147.5)</f>
        <v>147.5</v>
      </c>
    </row>
    <row r="312" ht="15.75" customHeight="1">
      <c r="B312" s="3">
        <f>IFERROR(__xludf.DUMMYFUNCTION("""COMPUTED_VALUE"""),41894.645833333336)</f>
        <v>41894.64583</v>
      </c>
      <c r="C312" s="2">
        <f>IFERROR(__xludf.DUMMYFUNCTION("""COMPUTED_VALUE"""),152.4)</f>
        <v>152.4</v>
      </c>
    </row>
    <row r="313" ht="15.75" customHeight="1">
      <c r="B313" s="3">
        <f>IFERROR(__xludf.DUMMYFUNCTION("""COMPUTED_VALUE"""),41901.645833333336)</f>
        <v>41901.64583</v>
      </c>
      <c r="C313" s="2">
        <f>IFERROR(__xludf.DUMMYFUNCTION("""COMPUTED_VALUE"""),150.75)</f>
        <v>150.75</v>
      </c>
    </row>
    <row r="314" ht="15.75" customHeight="1">
      <c r="B314" s="3">
        <f>IFERROR(__xludf.DUMMYFUNCTION("""COMPUTED_VALUE"""),41908.645833333336)</f>
        <v>41908.64583</v>
      </c>
      <c r="C314" s="2">
        <f>IFERROR(__xludf.DUMMYFUNCTION("""COMPUTED_VALUE"""),147.0)</f>
        <v>147</v>
      </c>
    </row>
    <row r="315" ht="15.75" customHeight="1">
      <c r="B315" s="3">
        <f>IFERROR(__xludf.DUMMYFUNCTION("""COMPUTED_VALUE"""),41913.645833333336)</f>
        <v>41913.64583</v>
      </c>
      <c r="C315" s="2">
        <f>IFERROR(__xludf.DUMMYFUNCTION("""COMPUTED_VALUE"""),142.95)</f>
        <v>142.95</v>
      </c>
    </row>
    <row r="316" ht="15.75" customHeight="1">
      <c r="B316" s="3">
        <f>IFERROR(__xludf.DUMMYFUNCTION("""COMPUTED_VALUE"""),41922.645833333336)</f>
        <v>41922.64583</v>
      </c>
      <c r="C316" s="2">
        <f>IFERROR(__xludf.DUMMYFUNCTION("""COMPUTED_VALUE"""),141.45)</f>
        <v>141.45</v>
      </c>
    </row>
    <row r="317" ht="15.75" customHeight="1">
      <c r="B317" s="3">
        <f>IFERROR(__xludf.DUMMYFUNCTION("""COMPUTED_VALUE"""),41929.645833333336)</f>
        <v>41929.64583</v>
      </c>
      <c r="C317" s="2">
        <f>IFERROR(__xludf.DUMMYFUNCTION("""COMPUTED_VALUE"""),141.85)</f>
        <v>141.85</v>
      </c>
    </row>
    <row r="318" ht="15.75" customHeight="1">
      <c r="B318" s="3">
        <f>IFERROR(__xludf.DUMMYFUNCTION("""COMPUTED_VALUE"""),41935.645833333336)</f>
        <v>41935.64583</v>
      </c>
      <c r="C318" s="2">
        <f>IFERROR(__xludf.DUMMYFUNCTION("""COMPUTED_VALUE"""),147.25)</f>
        <v>147.25</v>
      </c>
    </row>
    <row r="319" ht="15.75" customHeight="1">
      <c r="B319" s="3">
        <f>IFERROR(__xludf.DUMMYFUNCTION("""COMPUTED_VALUE"""),41943.645833333336)</f>
        <v>41943.64583</v>
      </c>
      <c r="C319" s="2">
        <f>IFERROR(__xludf.DUMMYFUNCTION("""COMPUTED_VALUE"""),157.65)</f>
        <v>157.65</v>
      </c>
    </row>
    <row r="320" ht="15.75" customHeight="1">
      <c r="B320" s="3">
        <f>IFERROR(__xludf.DUMMYFUNCTION("""COMPUTED_VALUE"""),41950.645833333336)</f>
        <v>41950.64583</v>
      </c>
      <c r="C320" s="2">
        <f>IFERROR(__xludf.DUMMYFUNCTION("""COMPUTED_VALUE"""),158.4)</f>
        <v>158.4</v>
      </c>
    </row>
    <row r="321" ht="15.75" customHeight="1">
      <c r="B321" s="3">
        <f>IFERROR(__xludf.DUMMYFUNCTION("""COMPUTED_VALUE"""),41957.64583333333)</f>
        <v>41957.64583</v>
      </c>
      <c r="C321" s="2">
        <f>IFERROR(__xludf.DUMMYFUNCTION("""COMPUTED_VALUE"""),159.65)</f>
        <v>159.65</v>
      </c>
    </row>
    <row r="322" ht="15.75" customHeight="1">
      <c r="B322" s="3">
        <f>IFERROR(__xludf.DUMMYFUNCTION("""COMPUTED_VALUE"""),41964.64583333333)</f>
        <v>41964.64583</v>
      </c>
      <c r="C322" s="2">
        <f>IFERROR(__xludf.DUMMYFUNCTION("""COMPUTED_VALUE"""),162.95)</f>
        <v>162.95</v>
      </c>
    </row>
    <row r="323" ht="15.75" customHeight="1">
      <c r="B323" s="3">
        <f>IFERROR(__xludf.DUMMYFUNCTION("""COMPUTED_VALUE"""),41971.64583333333)</f>
        <v>41971.64583</v>
      </c>
      <c r="C323" s="2">
        <f>IFERROR(__xludf.DUMMYFUNCTION("""COMPUTED_VALUE"""),161.8)</f>
        <v>161.8</v>
      </c>
    </row>
    <row r="324" ht="15.75" customHeight="1">
      <c r="B324" s="3">
        <f>IFERROR(__xludf.DUMMYFUNCTION("""COMPUTED_VALUE"""),41978.64583333333)</f>
        <v>41978.64583</v>
      </c>
      <c r="C324" s="2">
        <f>IFERROR(__xludf.DUMMYFUNCTION("""COMPUTED_VALUE"""),166.0)</f>
        <v>166</v>
      </c>
    </row>
    <row r="325" ht="15.75" customHeight="1">
      <c r="B325" s="3">
        <f>IFERROR(__xludf.DUMMYFUNCTION("""COMPUTED_VALUE"""),41985.64583333333)</f>
        <v>41985.64583</v>
      </c>
      <c r="C325" s="2">
        <f>IFERROR(__xludf.DUMMYFUNCTION("""COMPUTED_VALUE"""),161.5)</f>
        <v>161.5</v>
      </c>
    </row>
    <row r="326" ht="15.75" customHeight="1">
      <c r="B326" s="3">
        <f>IFERROR(__xludf.DUMMYFUNCTION("""COMPUTED_VALUE"""),41992.64583333333)</f>
        <v>41992.64583</v>
      </c>
      <c r="C326" s="2">
        <f>IFERROR(__xludf.DUMMYFUNCTION("""COMPUTED_VALUE"""),158.7)</f>
        <v>158.7</v>
      </c>
    </row>
    <row r="327" ht="15.75" customHeight="1">
      <c r="B327" s="3">
        <f>IFERROR(__xludf.DUMMYFUNCTION("""COMPUTED_VALUE"""),41999.64583333333)</f>
        <v>41999.64583</v>
      </c>
      <c r="C327" s="2">
        <f>IFERROR(__xludf.DUMMYFUNCTION("""COMPUTED_VALUE"""),158.85)</f>
        <v>158.85</v>
      </c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IFERROR(__xludf.DUMMYFUNCTION("GOOGLEFINANCE(""NSE:HDFC"",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IFERROR(__xludf.DUMMYFUNCTION("""COMPUTED_VALUE"""),67.49)</f>
        <v>67.49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IFERROR(__xludf.DUMMYFUNCTION("""COMPUTED_VALUE"""),65.19)</f>
        <v>65.19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IFERROR(__xludf.DUMMYFUNCTION("""COMPUTED_VALUE"""),65.8)</f>
        <v>65.8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IFERROR(__xludf.DUMMYFUNCTION("""COMPUTED_VALUE"""),64.3)</f>
        <v>64.3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IFERROR(__xludf.DUMMYFUNCTION("""COMPUTED_VALUE"""),65.0)</f>
        <v>65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IFERROR(__xludf.DUMMYFUNCTION("""COMPUTED_VALUE"""),64.8)</f>
        <v>64.8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IFERROR(__xludf.DUMMYFUNCTION("""COMPUTED_VALUE"""),69.5)</f>
        <v>69.5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IFERROR(__xludf.DUMMYFUNCTION("""COMPUTED_VALUE"""),68.6)</f>
        <v>68.6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IFERROR(__xludf.DUMMYFUNCTION("""COMPUTED_VALUE"""),69.08)</f>
        <v>69.08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IFERROR(__xludf.DUMMYFUNCTION("""COMPUTED_VALUE"""),69.0)</f>
        <v>69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IFERROR(__xludf.DUMMYFUNCTION("""COMPUTED_VALUE"""),68.0)</f>
        <v>68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IFERROR(__xludf.DUMMYFUNCTION("""COMPUTED_VALUE"""),68.5)</f>
        <v>68.5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IFERROR(__xludf.DUMMYFUNCTION("""COMPUTED_VALUE"""),68.99)</f>
        <v>68.99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IFERROR(__xludf.DUMMYFUNCTION("""COMPUTED_VALUE"""),68.5)</f>
        <v>68.5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IFERROR(__xludf.DUMMYFUNCTION("""COMPUTED_VALUE"""),68.99)</f>
        <v>68.99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IFERROR(__xludf.DUMMYFUNCTION("""COMPUTED_VALUE"""),67.99)</f>
        <v>67.99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IFERROR(__xludf.DUMMYFUNCTION("""COMPUTED_VALUE"""),64.5)</f>
        <v>64.5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IFERROR(__xludf.DUMMYFUNCTION("""COMPUTED_VALUE"""),65.8)</f>
        <v>65.8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IFERROR(__xludf.DUMMYFUNCTION("""COMPUTED_VALUE"""),65.5)</f>
        <v>65.5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IFERROR(__xludf.DUMMYFUNCTION("""COMPUTED_VALUE"""),66.19)</f>
        <v>66.19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IFERROR(__xludf.DUMMYFUNCTION("""COMPUTED_VALUE"""),63.0)</f>
        <v>63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IFERROR(__xludf.DUMMYFUNCTION("""COMPUTED_VALUE"""),61.98)</f>
        <v>61.98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IFERROR(__xludf.DUMMYFUNCTION("""COMPUTED_VALUE"""),63.9)</f>
        <v>63.9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IFERROR(__xludf.DUMMYFUNCTION("""COMPUTED_VALUE"""),67.37)</f>
        <v>67.37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IFERROR(__xludf.DUMMYFUNCTION("""COMPUTED_VALUE"""),65.45)</f>
        <v>65.45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IFERROR(__xludf.DUMMYFUNCTION("""COMPUTED_VALUE"""),66.5)</f>
        <v>66.5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IFERROR(__xludf.DUMMYFUNCTION("""COMPUTED_VALUE"""),65.2)</f>
        <v>65.2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IFERROR(__xludf.DUMMYFUNCTION("""COMPUTED_VALUE"""),64.83)</f>
        <v>64.83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IFERROR(__xludf.DUMMYFUNCTION("""COMPUTED_VALUE"""),63.0)</f>
        <v>63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IFERROR(__xludf.DUMMYFUNCTION("""COMPUTED_VALUE"""),62.4)</f>
        <v>62.4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IFERROR(__xludf.DUMMYFUNCTION("""COMPUTED_VALUE"""),64.65)</f>
        <v>64.65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IFERROR(__xludf.DUMMYFUNCTION("""COMPUTED_VALUE"""),63.49)</f>
        <v>63.49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IFERROR(__xludf.DUMMYFUNCTION("""COMPUTED_VALUE"""),63.3)</f>
        <v>63.3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IFERROR(__xludf.DUMMYFUNCTION("""COMPUTED_VALUE"""),62.0)</f>
        <v>62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IFERROR(__xludf.DUMMYFUNCTION("""COMPUTED_VALUE"""),59.0)</f>
        <v>59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IFERROR(__xludf.DUMMYFUNCTION("""COMPUTED_VALUE"""),60.09)</f>
        <v>60.09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IFERROR(__xludf.DUMMYFUNCTION("""COMPUTED_VALUE"""),59.99)</f>
        <v>59.99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IFERROR(__xludf.DUMMYFUNCTION("""COMPUTED_VALUE"""),59.73)</f>
        <v>59.73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IFERROR(__xludf.DUMMYFUNCTION("""COMPUTED_VALUE"""),60.2)</f>
        <v>60.2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IFERROR(__xludf.DUMMYFUNCTION("""COMPUTED_VALUE"""),61.5)</f>
        <v>61.5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IFERROR(__xludf.DUMMYFUNCTION("""COMPUTED_VALUE"""),67.4)</f>
        <v>67.4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IFERROR(__xludf.DUMMYFUNCTION("""COMPUTED_VALUE"""),63.9)</f>
        <v>63.9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IFERROR(__xludf.DUMMYFUNCTION("""COMPUTED_VALUE"""),64.15)</f>
        <v>64.15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IFERROR(__xludf.DUMMYFUNCTION("""COMPUTED_VALUE"""),63.55)</f>
        <v>63.55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IFERROR(__xludf.DUMMYFUNCTION("""COMPUTED_VALUE"""),63.8)</f>
        <v>63.8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IFERROR(__xludf.DUMMYFUNCTION("""COMPUTED_VALUE"""),66.65)</f>
        <v>66.65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IFERROR(__xludf.DUMMYFUNCTION("""COMPUTED_VALUE"""),69.5)</f>
        <v>69.5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IFERROR(__xludf.DUMMYFUNCTION("""COMPUTED_VALUE"""),69.0)</f>
        <v>69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IFERROR(__xludf.DUMMYFUNCTION("""COMPUTED_VALUE"""),69.0)</f>
        <v>69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IFERROR(__xludf.DUMMYFUNCTION("""COMPUTED_VALUE"""),77.4)</f>
        <v>77.4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IFERROR(__xludf.DUMMYFUNCTION("""COMPUTED_VALUE"""),76.4)</f>
        <v>76.4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IFERROR(__xludf.DUMMYFUNCTION("""COMPUTED_VALUE"""),72.6)</f>
        <v>72.6</v>
      </c>
    </row>
    <row r="54" ht="15.75" customHeight="1"/>
    <row r="55" ht="15.75" customHeight="1"/>
    <row r="56" ht="15.75" customHeight="1">
      <c r="B56" s="2" t="str">
        <f>IFERROR(__xludf.DUMMYFUNCTION("GOOGLEFINANCE(""NSE:HDFC"",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IFERROR(__xludf.DUMMYFUNCTION("""COMPUTED_VALUE"""),72.58)</f>
        <v>72.58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IFERROR(__xludf.DUMMYFUNCTION("""COMPUTED_VALUE"""),75.0)</f>
        <v>75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IFERROR(__xludf.DUMMYFUNCTION("""COMPUTED_VALUE"""),75.0)</f>
        <v>75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IFERROR(__xludf.DUMMYFUNCTION("""COMPUTED_VALUE"""),76.75)</f>
        <v>76.75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IFERROR(__xludf.DUMMYFUNCTION("""COMPUTED_VALUE"""),76.0)</f>
        <v>76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IFERROR(__xludf.DUMMYFUNCTION("""COMPUTED_VALUE"""),75.6)</f>
        <v>75.6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IFERROR(__xludf.DUMMYFUNCTION("""COMPUTED_VALUE"""),78.88)</f>
        <v>78.88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IFERROR(__xludf.DUMMYFUNCTION("""COMPUTED_VALUE"""),76.5)</f>
        <v>76.5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IFERROR(__xludf.DUMMYFUNCTION("""COMPUTED_VALUE"""),75.96)</f>
        <v>75.96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IFERROR(__xludf.DUMMYFUNCTION("""COMPUTED_VALUE"""),75.02)</f>
        <v>75.02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IFERROR(__xludf.DUMMYFUNCTION("""COMPUTED_VALUE"""),74.98)</f>
        <v>74.98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IFERROR(__xludf.DUMMYFUNCTION("""COMPUTED_VALUE"""),71.58)</f>
        <v>71.58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IFERROR(__xludf.DUMMYFUNCTION("""COMPUTED_VALUE"""),74.8)</f>
        <v>74.8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IFERROR(__xludf.DUMMYFUNCTION("""COMPUTED_VALUE"""),69.8)</f>
        <v>69.8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IFERROR(__xludf.DUMMYFUNCTION("""COMPUTED_VALUE"""),69.55)</f>
        <v>69.55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IFERROR(__xludf.DUMMYFUNCTION("""COMPUTED_VALUE"""),67.57)</f>
        <v>67.57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IFERROR(__xludf.DUMMYFUNCTION("""COMPUTED_VALUE"""),72.0)</f>
        <v>72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IFERROR(__xludf.DUMMYFUNCTION("""COMPUTED_VALUE"""),71.7)</f>
        <v>71.7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IFERROR(__xludf.DUMMYFUNCTION("""COMPUTED_VALUE"""),68.8)</f>
        <v>68.8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IFERROR(__xludf.DUMMYFUNCTION("""COMPUTED_VALUE"""),71.46)</f>
        <v>71.46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IFERROR(__xludf.DUMMYFUNCTION("""COMPUTED_VALUE"""),76.0)</f>
        <v>76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IFERROR(__xludf.DUMMYFUNCTION("""COMPUTED_VALUE"""),78.18)</f>
        <v>78.18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IFERROR(__xludf.DUMMYFUNCTION("""COMPUTED_VALUE"""),80.4)</f>
        <v>80.4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IFERROR(__xludf.DUMMYFUNCTION("""COMPUTED_VALUE"""),94.0)</f>
        <v>94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IFERROR(__xludf.DUMMYFUNCTION("""COMPUTED_VALUE"""),83.0)</f>
        <v>83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IFERROR(__xludf.DUMMYFUNCTION("""COMPUTED_VALUE"""),87.0)</f>
        <v>87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IFERROR(__xludf.DUMMYFUNCTION("""COMPUTED_VALUE"""),84.0)</f>
        <v>84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IFERROR(__xludf.DUMMYFUNCTION("""COMPUTED_VALUE"""),84.0)</f>
        <v>84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IFERROR(__xludf.DUMMYFUNCTION("""COMPUTED_VALUE"""),84.98)</f>
        <v>84.98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IFERROR(__xludf.DUMMYFUNCTION("""COMPUTED_VALUE"""),85.8)</f>
        <v>85.8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IFERROR(__xludf.DUMMYFUNCTION("""COMPUTED_VALUE"""),89.58)</f>
        <v>89.58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IFERROR(__xludf.DUMMYFUNCTION("""COMPUTED_VALUE"""),96.4)</f>
        <v>96.4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IFERROR(__xludf.DUMMYFUNCTION("""COMPUTED_VALUE"""),104.2)</f>
        <v>104.2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IFERROR(__xludf.DUMMYFUNCTION("""COMPUTED_VALUE"""),97.79)</f>
        <v>97.79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IFERROR(__xludf.DUMMYFUNCTION("""COMPUTED_VALUE"""),101.6)</f>
        <v>101.6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IFERROR(__xludf.DUMMYFUNCTION("""COMPUTED_VALUE"""),102.0)</f>
        <v>102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IFERROR(__xludf.DUMMYFUNCTION("""COMPUTED_VALUE"""),100.98)</f>
        <v>100.98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IFERROR(__xludf.DUMMYFUNCTION("""COMPUTED_VALUE"""),102.9)</f>
        <v>102.9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IFERROR(__xludf.DUMMYFUNCTION("""COMPUTED_VALUE"""),104.97)</f>
        <v>104.97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IFERROR(__xludf.DUMMYFUNCTION("""COMPUTED_VALUE"""),111.0)</f>
        <v>111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IFERROR(__xludf.DUMMYFUNCTION("""COMPUTED_VALUE"""),113.0)</f>
        <v>113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IFERROR(__xludf.DUMMYFUNCTION("""COMPUTED_VALUE"""),109.2)</f>
        <v>109.2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IFERROR(__xludf.DUMMYFUNCTION("""COMPUTED_VALUE"""),107.6)</f>
        <v>107.6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IFERROR(__xludf.DUMMYFUNCTION("""COMPUTED_VALUE"""),107.0)</f>
        <v>107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IFERROR(__xludf.DUMMYFUNCTION("""COMPUTED_VALUE"""),111.6)</f>
        <v>111.6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IFERROR(__xludf.DUMMYFUNCTION("""COMPUTED_VALUE"""),116.0)</f>
        <v>116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IFERROR(__xludf.DUMMYFUNCTION("""COMPUTED_VALUE"""),129.4)</f>
        <v>129.4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IFERROR(__xludf.DUMMYFUNCTION("""COMPUTED_VALUE"""),133.42)</f>
        <v>133.42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IFERROR(__xludf.DUMMYFUNCTION("""COMPUTED_VALUE"""),140.0)</f>
        <v>140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IFERROR(__xludf.DUMMYFUNCTION("GOOGLEFINANCE(""NSE:HDFC"",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IFERROR(__xludf.DUMMYFUNCTION("""COMPUTED_VALUE"""),135.4)</f>
        <v>135.4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IFERROR(__xludf.DUMMYFUNCTION("""COMPUTED_VALUE"""),134.99)</f>
        <v>134.99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IFERROR(__xludf.DUMMYFUNCTION("""COMPUTED_VALUE"""),131.32)</f>
        <v>131.32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IFERROR(__xludf.DUMMYFUNCTION("""COMPUTED_VALUE"""),136.4)</f>
        <v>136.4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IFERROR(__xludf.DUMMYFUNCTION("""COMPUTED_VALUE"""),134.4)</f>
        <v>134.4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IFERROR(__xludf.DUMMYFUNCTION("""COMPUTED_VALUE"""),132.4)</f>
        <v>132.4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IFERROR(__xludf.DUMMYFUNCTION("""COMPUTED_VALUE"""),137.36)</f>
        <v>137.36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IFERROR(__xludf.DUMMYFUNCTION("""COMPUTED_VALUE"""),135.99)</f>
        <v>135.99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IFERROR(__xludf.DUMMYFUNCTION("""COMPUTED_VALUE"""),131.4)</f>
        <v>131.4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IFERROR(__xludf.DUMMYFUNCTION("""COMPUTED_VALUE"""),130.09)</f>
        <v>130.09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IFERROR(__xludf.DUMMYFUNCTION("""COMPUTED_VALUE"""),129.2)</f>
        <v>129.2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IFERROR(__xludf.DUMMYFUNCTION("""COMPUTED_VALUE"""),126.0)</f>
        <v>126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IFERROR(__xludf.DUMMYFUNCTION("""COMPUTED_VALUE"""),124.4)</f>
        <v>124.4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IFERROR(__xludf.DUMMYFUNCTION("""COMPUTED_VALUE"""),136.38)</f>
        <v>136.38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IFERROR(__xludf.DUMMYFUNCTION("""COMPUTED_VALUE"""),138.38)</f>
        <v>138.38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IFERROR(__xludf.DUMMYFUNCTION("""COMPUTED_VALUE"""),127.97)</f>
        <v>127.97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IFERROR(__xludf.DUMMYFUNCTION("""COMPUTED_VALUE"""),127.6)</f>
        <v>127.6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IFERROR(__xludf.DUMMYFUNCTION("""COMPUTED_VALUE"""),131.2)</f>
        <v>131.2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IFERROR(__xludf.DUMMYFUNCTION("""COMPUTED_VALUE"""),130.77)</f>
        <v>130.77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IFERROR(__xludf.DUMMYFUNCTION("""COMPUTED_VALUE"""),124.0)</f>
        <v>124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IFERROR(__xludf.DUMMYFUNCTION("""COMPUTED_VALUE"""),119.0)</f>
        <v>119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IFERROR(__xludf.DUMMYFUNCTION("""COMPUTED_VALUE"""),117.0)</f>
        <v>117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IFERROR(__xludf.DUMMYFUNCTION("""COMPUTED_VALUE"""),125.6)</f>
        <v>125.6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IFERROR(__xludf.DUMMYFUNCTION("""COMPUTED_VALUE"""),121.8)</f>
        <v>121.8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IFERROR(__xludf.DUMMYFUNCTION("""COMPUTED_VALUE"""),116.8)</f>
        <v>116.8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IFERROR(__xludf.DUMMYFUNCTION("""COMPUTED_VALUE"""),111.8)</f>
        <v>111.8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IFERROR(__xludf.DUMMYFUNCTION("""COMPUTED_VALUE"""),113.59)</f>
        <v>113.59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IFERROR(__xludf.DUMMYFUNCTION("""COMPUTED_VALUE"""),112.88)</f>
        <v>112.88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IFERROR(__xludf.DUMMYFUNCTION("""COMPUTED_VALUE"""),120.78)</f>
        <v>120.78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IFERROR(__xludf.DUMMYFUNCTION("""COMPUTED_VALUE"""),119.8)</f>
        <v>119.8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IFERROR(__xludf.DUMMYFUNCTION("""COMPUTED_VALUE"""),115.97)</f>
        <v>115.97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IFERROR(__xludf.DUMMYFUNCTION("""COMPUTED_VALUE"""),115.0)</f>
        <v>115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IFERROR(__xludf.DUMMYFUNCTION("""COMPUTED_VALUE"""),113.8)</f>
        <v>113.8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IFERROR(__xludf.DUMMYFUNCTION("""COMPUTED_VALUE"""),113.41)</f>
        <v>113.41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IFERROR(__xludf.DUMMYFUNCTION("""COMPUTED_VALUE"""),112.99)</f>
        <v>112.99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IFERROR(__xludf.DUMMYFUNCTION("""COMPUTED_VALUE"""),124.36)</f>
        <v>124.36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IFERROR(__xludf.DUMMYFUNCTION("""COMPUTED_VALUE"""),128.2)</f>
        <v>128.2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IFERROR(__xludf.DUMMYFUNCTION("""COMPUTED_VALUE"""),126.98)</f>
        <v>126.98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IFERROR(__xludf.DUMMYFUNCTION("""COMPUTED_VALUE"""),126.37)</f>
        <v>126.37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IFERROR(__xludf.DUMMYFUNCTION("""COMPUTED_VALUE"""),140.58)</f>
        <v>140.58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IFERROR(__xludf.DUMMYFUNCTION("""COMPUTED_VALUE"""),133.4)</f>
        <v>133.4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IFERROR(__xludf.DUMMYFUNCTION("""COMPUTED_VALUE"""),133.0)</f>
        <v>133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IFERROR(__xludf.DUMMYFUNCTION("""COMPUTED_VALUE"""),135.0)</f>
        <v>135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IFERROR(__xludf.DUMMYFUNCTION("""COMPUTED_VALUE"""),141.78)</f>
        <v>141.78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IFERROR(__xludf.DUMMYFUNCTION("""COMPUTED_VALUE"""),143.64)</f>
        <v>143.64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IFERROR(__xludf.DUMMYFUNCTION("""COMPUTED_VALUE"""),155.0)</f>
        <v>155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IFERROR(__xludf.DUMMYFUNCTION("""COMPUTED_VALUE"""),161.58)</f>
        <v>161.58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IFERROR(__xludf.DUMMYFUNCTION("""COMPUTED_VALUE"""),158.94)</f>
        <v>158.94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IFERROR(__xludf.DUMMYFUNCTION("""COMPUTED_VALUE"""),160.59)</f>
        <v>160.59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IFERROR(__xludf.DUMMYFUNCTION("""COMPUTED_VALUE"""),159.7)</f>
        <v>159.7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IFERROR(__xludf.DUMMYFUNCTION("""COMPUTED_VALUE"""),154.2)</f>
        <v>154.2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IFERROR(__xludf.DUMMYFUNCTION("GOOGLEFINANCE(""NSE:HDFC"",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IFERROR(__xludf.DUMMYFUNCTION("""COMPUTED_VALUE"""),154.78)</f>
        <v>154.78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IFERROR(__xludf.DUMMYFUNCTION("""COMPUTED_VALUE"""),149.0)</f>
        <v>149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IFERROR(__xludf.DUMMYFUNCTION("""COMPUTED_VALUE"""),156.4)</f>
        <v>156.4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IFERROR(__xludf.DUMMYFUNCTION("""COMPUTED_VALUE"""),155.0)</f>
        <v>155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IFERROR(__xludf.DUMMYFUNCTION("""COMPUTED_VALUE"""),164.0)</f>
        <v>164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IFERROR(__xludf.DUMMYFUNCTION("""COMPUTED_VALUE"""),164.4)</f>
        <v>164.4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IFERROR(__xludf.DUMMYFUNCTION("""COMPUTED_VALUE"""),158.6)</f>
        <v>158.6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IFERROR(__xludf.DUMMYFUNCTION("""COMPUTED_VALUE"""),158.0)</f>
        <v>158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IFERROR(__xludf.DUMMYFUNCTION("""COMPUTED_VALUE"""),162.0)</f>
        <v>162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IFERROR(__xludf.DUMMYFUNCTION("""COMPUTED_VALUE"""),166.0)</f>
        <v>166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IFERROR(__xludf.DUMMYFUNCTION("""COMPUTED_VALUE"""),162.2)</f>
        <v>162.2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IFERROR(__xludf.DUMMYFUNCTION("""COMPUTED_VALUE"""),153.74)</f>
        <v>153.74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IFERROR(__xludf.DUMMYFUNCTION("""COMPUTED_VALUE"""),151.88)</f>
        <v>151.88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IFERROR(__xludf.DUMMYFUNCTION("""COMPUTED_VALUE"""),147.0)</f>
        <v>147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IFERROR(__xludf.DUMMYFUNCTION("""COMPUTED_VALUE"""),145.0)</f>
        <v>145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IFERROR(__xludf.DUMMYFUNCTION("""COMPUTED_VALUE"""),146.0)</f>
        <v>146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IFERROR(__xludf.DUMMYFUNCTION("""COMPUTED_VALUE"""),153.0)</f>
        <v>153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IFERROR(__xludf.DUMMYFUNCTION("""COMPUTED_VALUE"""),153.0)</f>
        <v>153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IFERROR(__xludf.DUMMYFUNCTION("""COMPUTED_VALUE"""),155.03)</f>
        <v>155.03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IFERROR(__xludf.DUMMYFUNCTION("""COMPUTED_VALUE"""),154.6)</f>
        <v>154.6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IFERROR(__xludf.DUMMYFUNCTION("""COMPUTED_VALUE"""),156.2)</f>
        <v>156.2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IFERROR(__xludf.DUMMYFUNCTION("""COMPUTED_VALUE"""),169.98)</f>
        <v>169.98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IFERROR(__xludf.DUMMYFUNCTION("""COMPUTED_VALUE"""),172.8)</f>
        <v>172.8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IFERROR(__xludf.DUMMYFUNCTION("""COMPUTED_VALUE"""),175.8)</f>
        <v>175.8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IFERROR(__xludf.DUMMYFUNCTION("""COMPUTED_VALUE"""),182.4)</f>
        <v>182.4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IFERROR(__xludf.DUMMYFUNCTION("""COMPUTED_VALUE"""),187.96)</f>
        <v>187.96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IFERROR(__xludf.DUMMYFUNCTION("""COMPUTED_VALUE"""),188.0)</f>
        <v>188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IFERROR(__xludf.DUMMYFUNCTION("""COMPUTED_VALUE"""),181.76)</f>
        <v>181.76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IFERROR(__xludf.DUMMYFUNCTION("""COMPUTED_VALUE"""),190.0)</f>
        <v>190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IFERROR(__xludf.DUMMYFUNCTION("""COMPUTED_VALUE"""),188.4)</f>
        <v>188.4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IFERROR(__xludf.DUMMYFUNCTION("""COMPUTED_VALUE"""),191.96)</f>
        <v>191.96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IFERROR(__xludf.DUMMYFUNCTION("""COMPUTED_VALUE"""),189.4)</f>
        <v>189.4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IFERROR(__xludf.DUMMYFUNCTION("""COMPUTED_VALUE"""),187.8)</f>
        <v>187.8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IFERROR(__xludf.DUMMYFUNCTION("""COMPUTED_VALUE"""),185.0)</f>
        <v>185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IFERROR(__xludf.DUMMYFUNCTION("""COMPUTED_VALUE"""),188.01)</f>
        <v>188.01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IFERROR(__xludf.DUMMYFUNCTION("""COMPUTED_VALUE"""),216.18)</f>
        <v>216.18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IFERROR(__xludf.DUMMYFUNCTION("""COMPUTED_VALUE"""),213.6)</f>
        <v>213.6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IFERROR(__xludf.DUMMYFUNCTION("""COMPUTED_VALUE"""),210.0)</f>
        <v>210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IFERROR(__xludf.DUMMYFUNCTION("""COMPUTED_VALUE"""),209.0)</f>
        <v>209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IFERROR(__xludf.DUMMYFUNCTION("""COMPUTED_VALUE"""),204.0)</f>
        <v>204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IFERROR(__xludf.DUMMYFUNCTION("""COMPUTED_VALUE"""),198.0)</f>
        <v>198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IFERROR(__xludf.DUMMYFUNCTION("""COMPUTED_VALUE"""),192.8)</f>
        <v>192.8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IFERROR(__xludf.DUMMYFUNCTION("""COMPUTED_VALUE"""),202.0)</f>
        <v>202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IFERROR(__xludf.DUMMYFUNCTION("""COMPUTED_VALUE"""),216.0)</f>
        <v>216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IFERROR(__xludf.DUMMYFUNCTION("""COMPUTED_VALUE"""),218.0)</f>
        <v>218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IFERROR(__xludf.DUMMYFUNCTION("""COMPUTED_VALUE"""),233.5)</f>
        <v>233.5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IFERROR(__xludf.DUMMYFUNCTION("""COMPUTED_VALUE"""),231.39)</f>
        <v>231.39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IFERROR(__xludf.DUMMYFUNCTION("""COMPUTED_VALUE"""),251.55)</f>
        <v>251.55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IFERROR(__xludf.DUMMYFUNCTION("""COMPUTED_VALUE"""),261.99)</f>
        <v>261.99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IFERROR(__xludf.DUMMYFUNCTION("""COMPUTED_VALUE"""),250.0)</f>
        <v>250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IFERROR(__xludf.DUMMYFUNCTION("GOOGLEFINANCE(""NSE:HDFC"",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IFERROR(__xludf.DUMMYFUNCTION("""COMPUTED_VALUE"""),255.92)</f>
        <v>255.92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IFERROR(__xludf.DUMMYFUNCTION("""COMPUTED_VALUE"""),256.39)</f>
        <v>256.39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IFERROR(__xludf.DUMMYFUNCTION("""COMPUTED_VALUE"""),251.22)</f>
        <v>251.22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IFERROR(__xludf.DUMMYFUNCTION("""COMPUTED_VALUE"""),261.6)</f>
        <v>261.6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IFERROR(__xludf.DUMMYFUNCTION("""COMPUTED_VALUE"""),283.94)</f>
        <v>283.94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IFERROR(__xludf.DUMMYFUNCTION("""COMPUTED_VALUE"""),276.0)</f>
        <v>276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IFERROR(__xludf.DUMMYFUNCTION("""COMPUTED_VALUE"""),277.0)</f>
        <v>277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IFERROR(__xludf.DUMMYFUNCTION("""COMPUTED_VALUE"""),282.0)</f>
        <v>282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IFERROR(__xludf.DUMMYFUNCTION("""COMPUTED_VALUE"""),279.98)</f>
        <v>279.98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IFERROR(__xludf.DUMMYFUNCTION("""COMPUTED_VALUE"""),271.79)</f>
        <v>271.79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IFERROR(__xludf.DUMMYFUNCTION("""COMPUTED_VALUE"""),278.2)</f>
        <v>278.2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IFERROR(__xludf.DUMMYFUNCTION("""COMPUTED_VALUE"""),271.6)</f>
        <v>271.6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IFERROR(__xludf.DUMMYFUNCTION("""COMPUTED_VALUE"""),276.0)</f>
        <v>276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IFERROR(__xludf.DUMMYFUNCTION("""COMPUTED_VALUE"""),275.8)</f>
        <v>275.8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IFERROR(__xludf.DUMMYFUNCTION("""COMPUTED_VALUE"""),270.0)</f>
        <v>270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IFERROR(__xludf.DUMMYFUNCTION("""COMPUTED_VALUE"""),264.57)</f>
        <v>264.57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IFERROR(__xludf.DUMMYFUNCTION("""COMPUTED_VALUE"""),269.6)</f>
        <v>269.6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IFERROR(__xludf.DUMMYFUNCTION("""COMPUTED_VALUE"""),279.6)</f>
        <v>279.6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IFERROR(__xludf.DUMMYFUNCTION("""COMPUTED_VALUE"""),284.04)</f>
        <v>284.04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IFERROR(__xludf.DUMMYFUNCTION("""COMPUTED_VALUE"""),255.98)</f>
        <v>255.98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IFERROR(__xludf.DUMMYFUNCTION("""COMPUTED_VALUE"""),245.79)</f>
        <v>245.79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IFERROR(__xludf.DUMMYFUNCTION("""COMPUTED_VALUE"""),247.0)</f>
        <v>247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IFERROR(__xludf.DUMMYFUNCTION("""COMPUTED_VALUE"""),240.0)</f>
        <v>240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IFERROR(__xludf.DUMMYFUNCTION("""COMPUTED_VALUE"""),228.8)</f>
        <v>228.8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IFERROR(__xludf.DUMMYFUNCTION("""COMPUTED_VALUE"""),230.0)</f>
        <v>230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IFERROR(__xludf.DUMMYFUNCTION("""COMPUTED_VALUE"""),249.8)</f>
        <v>249.8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IFERROR(__xludf.DUMMYFUNCTION("""COMPUTED_VALUE"""),243.0)</f>
        <v>243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IFERROR(__xludf.DUMMYFUNCTION("""COMPUTED_VALUE"""),226.0)</f>
        <v>226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IFERROR(__xludf.DUMMYFUNCTION("""COMPUTED_VALUE"""),242.6)</f>
        <v>242.6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IFERROR(__xludf.DUMMYFUNCTION("""COMPUTED_VALUE"""),252.65)</f>
        <v>252.65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IFERROR(__xludf.DUMMYFUNCTION("""COMPUTED_VALUE"""),256.98)</f>
        <v>256.98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IFERROR(__xludf.DUMMYFUNCTION("""COMPUTED_VALUE"""),264.0)</f>
        <v>264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IFERROR(__xludf.DUMMYFUNCTION("""COMPUTED_VALUE"""),266.9)</f>
        <v>266.9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IFERROR(__xludf.DUMMYFUNCTION("""COMPUTED_VALUE"""),265.52)</f>
        <v>265.52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IFERROR(__xludf.DUMMYFUNCTION("""COMPUTED_VALUE"""),274.0)</f>
        <v>274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IFERROR(__xludf.DUMMYFUNCTION("""COMPUTED_VALUE"""),271.99)</f>
        <v>271.99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IFERROR(__xludf.DUMMYFUNCTION("""COMPUTED_VALUE"""),287.95)</f>
        <v>287.95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IFERROR(__xludf.DUMMYFUNCTION("""COMPUTED_VALUE"""),308.0)</f>
        <v>308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IFERROR(__xludf.DUMMYFUNCTION("""COMPUTED_VALUE"""),306.6)</f>
        <v>306.6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IFERROR(__xludf.DUMMYFUNCTION("""COMPUTED_VALUE"""),307.18)</f>
        <v>307.18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IFERROR(__xludf.DUMMYFUNCTION("""COMPUTED_VALUE"""),347.48)</f>
        <v>347.48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IFERROR(__xludf.DUMMYFUNCTION("""COMPUTED_VALUE"""),300.0)</f>
        <v>300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IFERROR(__xludf.DUMMYFUNCTION("""COMPUTED_VALUE"""),314.6)</f>
        <v>314.6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IFERROR(__xludf.DUMMYFUNCTION("""COMPUTED_VALUE"""),323.8)</f>
        <v>323.8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IFERROR(__xludf.DUMMYFUNCTION("""COMPUTED_VALUE"""),340.8)</f>
        <v>340.8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IFERROR(__xludf.DUMMYFUNCTION("""COMPUTED_VALUE"""),333.79)</f>
        <v>333.79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IFERROR(__xludf.DUMMYFUNCTION("""COMPUTED_VALUE"""),332.0)</f>
        <v>332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IFERROR(__xludf.DUMMYFUNCTION("""COMPUTED_VALUE"""),316.0)</f>
        <v>316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IFERROR(__xludf.DUMMYFUNCTION("""COMPUTED_VALUE"""),320.0)</f>
        <v>320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IFERROR(__xludf.DUMMYFUNCTION("""COMPUTED_VALUE"""),330.0)</f>
        <v>330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IFERROR(__xludf.DUMMYFUNCTION("GOOGLEFINANCE(""NSE:HDFC"",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IFERROR(__xludf.DUMMYFUNCTION("""COMPUTED_VALUE"""),327.94)</f>
        <v>327.94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IFERROR(__xludf.DUMMYFUNCTION("""COMPUTED_VALUE"""),324.6)</f>
        <v>324.6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IFERROR(__xludf.DUMMYFUNCTION("""COMPUTED_VALUE"""),325.19)</f>
        <v>325.19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IFERROR(__xludf.DUMMYFUNCTION("""COMPUTED_VALUE"""),340.94)</f>
        <v>340.94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IFERROR(__xludf.DUMMYFUNCTION("""COMPUTED_VALUE"""),352.0)</f>
        <v>352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IFERROR(__xludf.DUMMYFUNCTION("""COMPUTED_VALUE"""),365.6)</f>
        <v>365.6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IFERROR(__xludf.DUMMYFUNCTION("""COMPUTED_VALUE"""),364.2)</f>
        <v>364.2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IFERROR(__xludf.DUMMYFUNCTION("""COMPUTED_VALUE"""),344.8)</f>
        <v>344.8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IFERROR(__xludf.DUMMYFUNCTION("""COMPUTED_VALUE"""),330.0)</f>
        <v>330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IFERROR(__xludf.DUMMYFUNCTION("""COMPUTED_VALUE"""),318.77)</f>
        <v>318.77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IFERROR(__xludf.DUMMYFUNCTION("""COMPUTED_VALUE"""),323.0)</f>
        <v>323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IFERROR(__xludf.DUMMYFUNCTION("""COMPUTED_VALUE"""),322.4)</f>
        <v>322.4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IFERROR(__xludf.DUMMYFUNCTION("""COMPUTED_VALUE"""),322.2)</f>
        <v>322.2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IFERROR(__xludf.DUMMYFUNCTION("""COMPUTED_VALUE"""),306.78)</f>
        <v>306.78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IFERROR(__xludf.DUMMYFUNCTION("""COMPUTED_VALUE"""),323.0)</f>
        <v>323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IFERROR(__xludf.DUMMYFUNCTION("""COMPUTED_VALUE"""),333.98)</f>
        <v>333.98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IFERROR(__xludf.DUMMYFUNCTION("""COMPUTED_VALUE"""),357.6)</f>
        <v>357.6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IFERROR(__xludf.DUMMYFUNCTION("""COMPUTED_VALUE"""),341.78)</f>
        <v>341.78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IFERROR(__xludf.DUMMYFUNCTION("""COMPUTED_VALUE"""),339.0)</f>
        <v>339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IFERROR(__xludf.DUMMYFUNCTION("""COMPUTED_VALUE"""),348.93)</f>
        <v>348.93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IFERROR(__xludf.DUMMYFUNCTION("""COMPUTED_VALUE"""),379.98)</f>
        <v>379.98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IFERROR(__xludf.DUMMYFUNCTION("""COMPUTED_VALUE"""),380.4)</f>
        <v>380.4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IFERROR(__xludf.DUMMYFUNCTION("""COMPUTED_VALUE"""),390.91)</f>
        <v>390.91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IFERROR(__xludf.DUMMYFUNCTION("""COMPUTED_VALUE"""),367.0)</f>
        <v>367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IFERROR(__xludf.DUMMYFUNCTION("""COMPUTED_VALUE"""),379.56)</f>
        <v>379.56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IFERROR(__xludf.DUMMYFUNCTION("""COMPUTED_VALUE"""),409.0)</f>
        <v>409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IFERROR(__xludf.DUMMYFUNCTION("""COMPUTED_VALUE"""),409.2)</f>
        <v>409.2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IFERROR(__xludf.DUMMYFUNCTION("""COMPUTED_VALUE"""),400.22)</f>
        <v>400.22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IFERROR(__xludf.DUMMYFUNCTION("""COMPUTED_VALUE"""),402.4)</f>
        <v>402.4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IFERROR(__xludf.DUMMYFUNCTION("""COMPUTED_VALUE"""),410.0)</f>
        <v>410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IFERROR(__xludf.DUMMYFUNCTION("""COMPUTED_VALUE"""),407.8)</f>
        <v>407.8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IFERROR(__xludf.DUMMYFUNCTION("""COMPUTED_VALUE"""),420.0)</f>
        <v>420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IFERROR(__xludf.DUMMYFUNCTION("""COMPUTED_VALUE"""),400.0)</f>
        <v>400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IFERROR(__xludf.DUMMYFUNCTION("""COMPUTED_VALUE"""),399.81)</f>
        <v>399.81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IFERROR(__xludf.DUMMYFUNCTION("""COMPUTED_VALUE"""),404.4)</f>
        <v>404.4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IFERROR(__xludf.DUMMYFUNCTION("""COMPUTED_VALUE"""),429.94)</f>
        <v>429.94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IFERROR(__xludf.DUMMYFUNCTION("""COMPUTED_VALUE"""),448.0)</f>
        <v>448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IFERROR(__xludf.DUMMYFUNCTION("""COMPUTED_VALUE"""),484.8)</f>
        <v>484.8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IFERROR(__xludf.DUMMYFUNCTION("""COMPUTED_VALUE"""),509.6)</f>
        <v>509.6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IFERROR(__xludf.DUMMYFUNCTION("""COMPUTED_VALUE"""),539.8)</f>
        <v>539.8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IFERROR(__xludf.DUMMYFUNCTION("""COMPUTED_VALUE"""),512.67)</f>
        <v>512.67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IFERROR(__xludf.DUMMYFUNCTION("""COMPUTED_VALUE"""),519.0)</f>
        <v>519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IFERROR(__xludf.DUMMYFUNCTION("""COMPUTED_VALUE"""),537.8)</f>
        <v>537.8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IFERROR(__xludf.DUMMYFUNCTION("""COMPUTED_VALUE"""),579.8)</f>
        <v>579.8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IFERROR(__xludf.DUMMYFUNCTION("""COMPUTED_VALUE"""),562.99)</f>
        <v>562.99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IFERROR(__xludf.DUMMYFUNCTION("""COMPUTED_VALUE"""),546.2)</f>
        <v>546.2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IFERROR(__xludf.DUMMYFUNCTION("""COMPUTED_VALUE"""),561.8)</f>
        <v>561.8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IFERROR(__xludf.DUMMYFUNCTION("""COMPUTED_VALUE"""),589.88)</f>
        <v>589.88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IFERROR(__xludf.DUMMYFUNCTION("""COMPUTED_VALUE"""),642.01)</f>
        <v>642.01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IFERROR(__xludf.DUMMYFUNCTION("""COMPUTED_VALUE"""),612.15)</f>
        <v>612.15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IFERROR(__xludf.DUMMYFUNCTION("""COMPUTED_VALUE"""),590.2)</f>
        <v>590.2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IFERROR(__xludf.DUMMYFUNCTION("GOOGLEFINANCE(""NSE:HDFC"",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IFERROR(__xludf.DUMMYFUNCTION("""COMPUTED_VALUE"""),638.0)</f>
        <v>638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IFERROR(__xludf.DUMMYFUNCTION("""COMPUTED_VALUE"""),652.4)</f>
        <v>652.4</v>
      </c>
    </row>
    <row r="334" ht="15.75" customHeight="1">
      <c r="B334" s="3">
        <f>IFERROR(__xludf.DUMMYFUNCTION("""COMPUTED_VALUE"""),39464.645833333336)</f>
        <v>39464.64583</v>
      </c>
      <c r="C334" s="2">
        <f>IFERROR(__xludf.DUMMYFUNCTION("""COMPUTED_VALUE"""),629.6)</f>
        <v>629.6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IFERROR(__xludf.DUMMYFUNCTION("""COMPUTED_VALUE"""),567.8)</f>
        <v>567.8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IFERROR(__xludf.DUMMYFUNCTION("""COMPUTED_VALUE"""),601.77)</f>
        <v>601.77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IFERROR(__xludf.DUMMYFUNCTION("""COMPUTED_VALUE"""),619.6)</f>
        <v>619.6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IFERROR(__xludf.DUMMYFUNCTION("""COMPUTED_VALUE"""),589.95)</f>
        <v>589.95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IFERROR(__xludf.DUMMYFUNCTION("""COMPUTED_VALUE"""),591.8)</f>
        <v>591.8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IFERROR(__xludf.DUMMYFUNCTION("""COMPUTED_VALUE"""),567.94)</f>
        <v>567.94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IFERROR(__xludf.DUMMYFUNCTION("""COMPUTED_VALUE"""),562.0)</f>
        <v>562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IFERROR(__xludf.DUMMYFUNCTION("""COMPUTED_VALUE"""),548.8)</f>
        <v>548.8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IFERROR(__xludf.DUMMYFUNCTION("""COMPUTED_VALUE"""),484.99)</f>
        <v>484.99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IFERROR(__xludf.DUMMYFUNCTION("""COMPUTED_VALUE"""),543.8)</f>
        <v>543.8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IFERROR(__xludf.DUMMYFUNCTION("""COMPUTED_VALUE"""),522.8)</f>
        <v>522.8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IFERROR(__xludf.DUMMYFUNCTION("""COMPUTED_VALUE"""),489.8)</f>
        <v>489.8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IFERROR(__xludf.DUMMYFUNCTION("""COMPUTED_VALUE"""),507.0)</f>
        <v>507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IFERROR(__xludf.DUMMYFUNCTION("""COMPUTED_VALUE"""),542.6)</f>
        <v>542.6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IFERROR(__xludf.DUMMYFUNCTION("""COMPUTED_VALUE"""),583.0)</f>
        <v>583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IFERROR(__xludf.DUMMYFUNCTION("""COMPUTED_VALUE"""),565.54)</f>
        <v>565.54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IFERROR(__xludf.DUMMYFUNCTION("""COMPUTED_VALUE"""),569.0)</f>
        <v>569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IFERROR(__xludf.DUMMYFUNCTION("""COMPUTED_VALUE"""),560.0)</f>
        <v>560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IFERROR(__xludf.DUMMYFUNCTION("""COMPUTED_VALUE"""),539.8)</f>
        <v>539.8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IFERROR(__xludf.DUMMYFUNCTION("""COMPUTED_VALUE"""),522.0)</f>
        <v>522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IFERROR(__xludf.DUMMYFUNCTION("""COMPUTED_VALUE"""),459.98)</f>
        <v>459.98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IFERROR(__xludf.DUMMYFUNCTION("""COMPUTED_VALUE"""),469.0)</f>
        <v>469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IFERROR(__xludf.DUMMYFUNCTION("""COMPUTED_VALUE"""),458.0)</f>
        <v>458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IFERROR(__xludf.DUMMYFUNCTION("""COMPUTED_VALUE"""),419.6)</f>
        <v>419.6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IFERROR(__xludf.DUMMYFUNCTION("""COMPUTED_VALUE"""),432.78)</f>
        <v>432.78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IFERROR(__xludf.DUMMYFUNCTION("""COMPUTED_VALUE"""),417.0)</f>
        <v>417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IFERROR(__xludf.DUMMYFUNCTION("""COMPUTED_VALUE"""),485.0)</f>
        <v>485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IFERROR(__xludf.DUMMYFUNCTION("""COMPUTED_VALUE"""),482.98)</f>
        <v>482.98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IFERROR(__xludf.DUMMYFUNCTION("""COMPUTED_VALUE"""),519.78)</f>
        <v>519.78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IFERROR(__xludf.DUMMYFUNCTION("""COMPUTED_VALUE"""),520.0)</f>
        <v>520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IFERROR(__xludf.DUMMYFUNCTION("""COMPUTED_VALUE"""),479.8)</f>
        <v>479.8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IFERROR(__xludf.DUMMYFUNCTION("""COMPUTED_VALUE"""),478.41)</f>
        <v>478.41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IFERROR(__xludf.DUMMYFUNCTION("""COMPUTED_VALUE"""),492.93)</f>
        <v>492.93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IFERROR(__xludf.DUMMYFUNCTION("""COMPUTED_VALUE"""),482.97)</f>
        <v>482.97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IFERROR(__xludf.DUMMYFUNCTION("""COMPUTED_VALUE"""),466.57)</f>
        <v>466.57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IFERROR(__xludf.DUMMYFUNCTION("""COMPUTED_VALUE"""),470.0)</f>
        <v>470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IFERROR(__xludf.DUMMYFUNCTION("""COMPUTED_VALUE"""),446.8)</f>
        <v>446.8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IFERROR(__xludf.DUMMYFUNCTION("""COMPUTED_VALUE"""),414.8)</f>
        <v>414.8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IFERROR(__xludf.DUMMYFUNCTION("""COMPUTED_VALUE"""),389.54)</f>
        <v>389.54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IFERROR(__xludf.DUMMYFUNCTION("""COMPUTED_VALUE"""),401.2)</f>
        <v>401.2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IFERROR(__xludf.DUMMYFUNCTION("""COMPUTED_VALUE"""),363.0)</f>
        <v>363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IFERROR(__xludf.DUMMYFUNCTION("""COMPUTED_VALUE"""),399.8)</f>
        <v>399.8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IFERROR(__xludf.DUMMYFUNCTION("""COMPUTED_VALUE"""),357.0)</f>
        <v>357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IFERROR(__xludf.DUMMYFUNCTION("""COMPUTED_VALUE"""),317.8)</f>
        <v>317.8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IFERROR(__xludf.DUMMYFUNCTION("""COMPUTED_VALUE"""),297.2)</f>
        <v>297.2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IFERROR(__xludf.DUMMYFUNCTION("""COMPUTED_VALUE"""),309.6)</f>
        <v>309.6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IFERROR(__xludf.DUMMYFUNCTION("""COMPUTED_VALUE"""),330.0)</f>
        <v>330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IFERROR(__xludf.DUMMYFUNCTION("""COMPUTED_VALUE"""),335.76)</f>
        <v>335.76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IFERROR(__xludf.DUMMYFUNCTION("""COMPUTED_VALUE"""),314.4)</f>
        <v>314.4</v>
      </c>
    </row>
    <row r="384" ht="15.75" customHeight="1"/>
    <row r="385" ht="15.75" customHeight="1"/>
    <row r="386" ht="15.75" customHeight="1">
      <c r="B386" s="2" t="str">
        <f>IFERROR(__xludf.DUMMYFUNCTION("GOOGLEFINANCE(""NSE:HDFC"",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IFERROR(__xludf.DUMMYFUNCTION("""COMPUTED_VALUE"""),312.36)</f>
        <v>312.36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IFERROR(__xludf.DUMMYFUNCTION("""COMPUTED_VALUE"""),380.0)</f>
        <v>380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IFERROR(__xludf.DUMMYFUNCTION("""COMPUTED_VALUE"""),330.6)</f>
        <v>330.6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IFERROR(__xludf.DUMMYFUNCTION("""COMPUTED_VALUE"""),314.0)</f>
        <v>314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IFERROR(__xludf.DUMMYFUNCTION("""COMPUTED_VALUE"""),312.89)</f>
        <v>312.89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IFERROR(__xludf.DUMMYFUNCTION("""COMPUTED_VALUE"""),305.21)</f>
        <v>305.21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IFERROR(__xludf.DUMMYFUNCTION("""COMPUTED_VALUE"""),310.0)</f>
        <v>310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IFERROR(__xludf.DUMMYFUNCTION("""COMPUTED_VALUE"""),309.94)</f>
        <v>309.94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IFERROR(__xludf.DUMMYFUNCTION("""COMPUTED_VALUE"""),267.0)</f>
        <v>267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IFERROR(__xludf.DUMMYFUNCTION("""COMPUTED_VALUE"""),251.95)</f>
        <v>251.95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IFERROR(__xludf.DUMMYFUNCTION("""COMPUTED_VALUE"""),277.57)</f>
        <v>277.57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IFERROR(__xludf.DUMMYFUNCTION("""COMPUTED_VALUE"""),285.74)</f>
        <v>285.74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IFERROR(__xludf.DUMMYFUNCTION("""COMPUTED_VALUE"""),334.37)</f>
        <v>334.37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IFERROR(__xludf.DUMMYFUNCTION("""COMPUTED_VALUE"""),323.98)</f>
        <v>323.98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IFERROR(__xludf.DUMMYFUNCTION("""COMPUTED_VALUE"""),349.78)</f>
        <v>349.78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IFERROR(__xludf.DUMMYFUNCTION("""COMPUTED_VALUE"""),369.58)</f>
        <v>369.58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IFERROR(__xludf.DUMMYFUNCTION("""COMPUTED_VALUE"""),366.35)</f>
        <v>366.35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IFERROR(__xludf.DUMMYFUNCTION("""COMPUTED_VALUE"""),366.96)</f>
        <v>366.96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IFERROR(__xludf.DUMMYFUNCTION("""COMPUTED_VALUE"""),396.8)</f>
        <v>396.8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IFERROR(__xludf.DUMMYFUNCTION("""COMPUTED_VALUE"""),390.0)</f>
        <v>390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IFERROR(__xludf.DUMMYFUNCTION("""COMPUTED_VALUE"""),569.48)</f>
        <v>569.48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IFERROR(__xludf.DUMMYFUNCTION("""COMPUTED_VALUE"""),446.8)</f>
        <v>446.8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IFERROR(__xludf.DUMMYFUNCTION("""COMPUTED_VALUE"""),499.8)</f>
        <v>499.8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IFERROR(__xludf.DUMMYFUNCTION("""COMPUTED_VALUE"""),489.0)</f>
        <v>489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IFERROR(__xludf.DUMMYFUNCTION("""COMPUTED_VALUE"""),465.0)</f>
        <v>465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IFERROR(__xludf.DUMMYFUNCTION("""COMPUTED_VALUE"""),489.6)</f>
        <v>489.6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IFERROR(__xludf.DUMMYFUNCTION("""COMPUTED_VALUE"""),519.0)</f>
        <v>519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IFERROR(__xludf.DUMMYFUNCTION("""COMPUTED_VALUE"""),523.62)</f>
        <v>523.62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IFERROR(__xludf.DUMMYFUNCTION("""COMPUTED_VALUE"""),510.0)</f>
        <v>510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IFERROR(__xludf.DUMMYFUNCTION("""COMPUTED_VALUE"""),519.6)</f>
        <v>519.6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IFERROR(__xludf.DUMMYFUNCTION("""COMPUTED_VALUE"""),511.98)</f>
        <v>511.98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IFERROR(__xludf.DUMMYFUNCTION("""COMPUTED_VALUE"""),513.76)</f>
        <v>513.76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IFERROR(__xludf.DUMMYFUNCTION("""COMPUTED_VALUE"""),493.74)</f>
        <v>493.74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IFERROR(__xludf.DUMMYFUNCTION("""COMPUTED_VALUE"""),490.0)</f>
        <v>490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IFERROR(__xludf.DUMMYFUNCTION("""COMPUTED_VALUE"""),507.93)</f>
        <v>507.93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IFERROR(__xludf.DUMMYFUNCTION("""COMPUTED_VALUE"""),504.0)</f>
        <v>504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IFERROR(__xludf.DUMMYFUNCTION("""COMPUTED_VALUE"""),518.8)</f>
        <v>518.8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IFERROR(__xludf.DUMMYFUNCTION("""COMPUTED_VALUE"""),519.6)</f>
        <v>519.6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IFERROR(__xludf.DUMMYFUNCTION("""COMPUTED_VALUE"""),554.0)</f>
        <v>554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IFERROR(__xludf.DUMMYFUNCTION("""COMPUTED_VALUE"""),560.8)</f>
        <v>560.8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IFERROR(__xludf.DUMMYFUNCTION("""COMPUTED_VALUE"""),552.26)</f>
        <v>552.26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IFERROR(__xludf.DUMMYFUNCTION("""COMPUTED_VALUE"""),570.96)</f>
        <v>570.96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IFERROR(__xludf.DUMMYFUNCTION("""COMPUTED_VALUE"""),560.98)</f>
        <v>560.98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IFERROR(__xludf.DUMMYFUNCTION("""COMPUTED_VALUE"""),544.2)</f>
        <v>544.2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IFERROR(__xludf.DUMMYFUNCTION("""COMPUTED_VALUE"""),565.0)</f>
        <v>565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IFERROR(__xludf.DUMMYFUNCTION("""COMPUTED_VALUE"""),564.4)</f>
        <v>564.4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IFERROR(__xludf.DUMMYFUNCTION("""COMPUTED_VALUE"""),569.02)</f>
        <v>569.02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IFERROR(__xludf.DUMMYFUNCTION("""COMPUTED_VALUE"""),564.98)</f>
        <v>564.98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IFERROR(__xludf.DUMMYFUNCTION("""COMPUTED_VALUE"""),561.0)</f>
        <v>561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IFERROR(__xludf.DUMMYFUNCTION("""COMPUTED_VALUE"""),543.99)</f>
        <v>543.99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IFERROR(__xludf.DUMMYFUNCTION("""COMPUTED_VALUE"""),535.68)</f>
        <v>535.68</v>
      </c>
    </row>
    <row r="438" ht="15.75" customHeight="1"/>
    <row r="439" ht="15.75" customHeight="1"/>
    <row r="440" ht="15.75" customHeight="1"/>
    <row r="441" ht="15.75" customHeight="1">
      <c r="B441" s="2" t="str">
        <f>IFERROR(__xludf.DUMMYFUNCTION("GOOGLEFINANCE(""NSE:HDFC"",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IFERROR(__xludf.DUMMYFUNCTION("""COMPUTED_VALUE"""),547.4)</f>
        <v>547.4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IFERROR(__xludf.DUMMYFUNCTION("""COMPUTED_VALUE"""),528.89)</f>
        <v>528.89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IFERROR(__xludf.DUMMYFUNCTION("""COMPUTED_VALUE"""),518.0)</f>
        <v>518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IFERROR(__xludf.DUMMYFUNCTION("""COMPUTED_VALUE"""),484.0)</f>
        <v>484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IFERROR(__xludf.DUMMYFUNCTION("""COMPUTED_VALUE"""),488.0)</f>
        <v>488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IFERROR(__xludf.DUMMYFUNCTION("""COMPUTED_VALUE"""),499.8)</f>
        <v>499.8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IFERROR(__xludf.DUMMYFUNCTION("""COMPUTED_VALUE"""),507.0)</f>
        <v>507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IFERROR(__xludf.DUMMYFUNCTION("""COMPUTED_VALUE"""),525.55)</f>
        <v>525.55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IFERROR(__xludf.DUMMYFUNCTION("""COMPUTED_VALUE"""),544.0)</f>
        <v>544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IFERROR(__xludf.DUMMYFUNCTION("""COMPUTED_VALUE"""),551.9)</f>
        <v>551.9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IFERROR(__xludf.DUMMYFUNCTION("""COMPUTED_VALUE"""),536.99)</f>
        <v>536.99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IFERROR(__xludf.DUMMYFUNCTION("""COMPUTED_VALUE"""),558.8)</f>
        <v>558.8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IFERROR(__xludf.DUMMYFUNCTION("""COMPUTED_VALUE"""),569.9)</f>
        <v>569.9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IFERROR(__xludf.DUMMYFUNCTION("""COMPUTED_VALUE"""),571.32)</f>
        <v>571.32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IFERROR(__xludf.DUMMYFUNCTION("""COMPUTED_VALUE"""),556.4)</f>
        <v>556.4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IFERROR(__xludf.DUMMYFUNCTION("""COMPUTED_VALUE"""),576.34)</f>
        <v>576.34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IFERROR(__xludf.DUMMYFUNCTION("""COMPUTED_VALUE"""),569.8)</f>
        <v>569.8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IFERROR(__xludf.DUMMYFUNCTION("""COMPUTED_VALUE"""),563.9)</f>
        <v>563.9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IFERROR(__xludf.DUMMYFUNCTION("""COMPUTED_VALUE"""),556.9)</f>
        <v>556.9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IFERROR(__xludf.DUMMYFUNCTION("""COMPUTED_VALUE"""),560.6)</f>
        <v>560.6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IFERROR(__xludf.DUMMYFUNCTION("""COMPUTED_VALUE"""),560.98)</f>
        <v>560.98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IFERROR(__xludf.DUMMYFUNCTION("""COMPUTED_VALUE"""),564.6)</f>
        <v>564.6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IFERROR(__xludf.DUMMYFUNCTION("""COMPUTED_VALUE"""),591.39)</f>
        <v>591.39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IFERROR(__xludf.DUMMYFUNCTION("""COMPUTED_VALUE"""),608.0)</f>
        <v>608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IFERROR(__xludf.DUMMYFUNCTION("""COMPUTED_VALUE"""),594.0)</f>
        <v>594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IFERROR(__xludf.DUMMYFUNCTION("""COMPUTED_VALUE"""),597.0)</f>
        <v>597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IFERROR(__xludf.DUMMYFUNCTION("""COMPUTED_VALUE"""),629.0)</f>
        <v>629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IFERROR(__xludf.DUMMYFUNCTION("""COMPUTED_VALUE"""),617.4)</f>
        <v>617.4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IFERROR(__xludf.DUMMYFUNCTION("""COMPUTED_VALUE"""),604.35)</f>
        <v>604.35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IFERROR(__xludf.DUMMYFUNCTION("""COMPUTED_VALUE"""),618.44)</f>
        <v>618.44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IFERROR(__xludf.DUMMYFUNCTION("""COMPUTED_VALUE"""),625.78)</f>
        <v>625.78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IFERROR(__xludf.DUMMYFUNCTION("""COMPUTED_VALUE"""),668.7)</f>
        <v>668.7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IFERROR(__xludf.DUMMYFUNCTION("""COMPUTED_VALUE"""),644.95)</f>
        <v>644.95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IFERROR(__xludf.DUMMYFUNCTION("""COMPUTED_VALUE"""),636.8)</f>
        <v>636.8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IFERROR(__xludf.DUMMYFUNCTION("""COMPUTED_VALUE"""),642.5)</f>
        <v>642.5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IFERROR(__xludf.DUMMYFUNCTION("""COMPUTED_VALUE"""),709.45)</f>
        <v>709.45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IFERROR(__xludf.DUMMYFUNCTION("""COMPUTED_VALUE"""),742.5)</f>
        <v>742.5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IFERROR(__xludf.DUMMYFUNCTION("""COMPUTED_VALUE"""),747.45)</f>
        <v>747.45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IFERROR(__xludf.DUMMYFUNCTION("""COMPUTED_VALUE"""),766.9)</f>
        <v>766.9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IFERROR(__xludf.DUMMYFUNCTION("""COMPUTED_VALUE"""),860.8)</f>
        <v>860.8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IFERROR(__xludf.DUMMYFUNCTION("""COMPUTED_VALUE"""),763.5)</f>
        <v>763.5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IFERROR(__xludf.DUMMYFUNCTION("""COMPUTED_VALUE"""),711.95)</f>
        <v>711.95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IFERROR(__xludf.DUMMYFUNCTION("""COMPUTED_VALUE"""),744.95)</f>
        <v>744.95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IFERROR(__xludf.DUMMYFUNCTION("""COMPUTED_VALUE"""),740.0)</f>
        <v>740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IFERROR(__xludf.DUMMYFUNCTION("""COMPUTED_VALUE"""),722.9)</f>
        <v>722.9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IFERROR(__xludf.DUMMYFUNCTION("""COMPUTED_VALUE"""),720.0)</f>
        <v>720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IFERROR(__xludf.DUMMYFUNCTION("""COMPUTED_VALUE"""),710.0)</f>
        <v>710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IFERROR(__xludf.DUMMYFUNCTION("""COMPUTED_VALUE"""),712.0)</f>
        <v>712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IFERROR(__xludf.DUMMYFUNCTION("""COMPUTED_VALUE"""),697.2)</f>
        <v>697.2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IFERROR(__xludf.DUMMYFUNCTION("""COMPUTED_VALUE"""),704.75)</f>
        <v>704.75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IFERROR(__xludf.DUMMYFUNCTION("""COMPUTED_VALUE"""),734.0)</f>
        <v>734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IFERROR(__xludf.DUMMYFUNCTION("GOOGLEFINANCE(""NSE:HDFC"",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IFERROR(__xludf.DUMMYFUNCTION("""COMPUTED_VALUE"""),738.8)</f>
        <v>738.8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IFERROR(__xludf.DUMMYFUNCTION("""COMPUTED_VALUE"""),687.5)</f>
        <v>687.5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IFERROR(__xludf.DUMMYFUNCTION("""COMPUTED_VALUE"""),668.95)</f>
        <v>668.95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IFERROR(__xludf.DUMMYFUNCTION("""COMPUTED_VALUE"""),682.8)</f>
        <v>682.8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IFERROR(__xludf.DUMMYFUNCTION("""COMPUTED_VALUE"""),648.35)</f>
        <v>648.35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IFERROR(__xludf.DUMMYFUNCTION("""COMPUTED_VALUE"""),626.05)</f>
        <v>626.05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IFERROR(__xludf.DUMMYFUNCTION("""COMPUTED_VALUE"""),663.8)</f>
        <v>663.8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IFERROR(__xludf.DUMMYFUNCTION("""COMPUTED_VALUE"""),661.5)</f>
        <v>661.5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IFERROR(__xludf.DUMMYFUNCTION("""COMPUTED_VALUE"""),687.0)</f>
        <v>687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IFERROR(__xludf.DUMMYFUNCTION("""COMPUTED_VALUE"""),683.1)</f>
        <v>683.1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IFERROR(__xludf.DUMMYFUNCTION("""COMPUTED_VALUE"""),675.45)</f>
        <v>675.45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IFERROR(__xludf.DUMMYFUNCTION("""COMPUTED_VALUE"""),667.0)</f>
        <v>667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IFERROR(__xludf.DUMMYFUNCTION("""COMPUTED_VALUE"""),715.0)</f>
        <v>715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IFERROR(__xludf.DUMMYFUNCTION("""COMPUTED_VALUE"""),722.5)</f>
        <v>722.5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IFERROR(__xludf.DUMMYFUNCTION("""COMPUTED_VALUE"""),723.25)</f>
        <v>723.25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IFERROR(__xludf.DUMMYFUNCTION("""COMPUTED_VALUE"""),733.85)</f>
        <v>733.85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IFERROR(__xludf.DUMMYFUNCTION("""COMPUTED_VALUE"""),737.9)</f>
        <v>737.9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IFERROR(__xludf.DUMMYFUNCTION("""COMPUTED_VALUE"""),711.35)</f>
        <v>711.35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IFERROR(__xludf.DUMMYFUNCTION("""COMPUTED_VALUE"""),670.0)</f>
        <v>670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IFERROR(__xludf.DUMMYFUNCTION("""COMPUTED_VALUE"""),663.4)</f>
        <v>663.4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IFERROR(__xludf.DUMMYFUNCTION("""COMPUTED_VALUE"""),659.85)</f>
        <v>659.85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IFERROR(__xludf.DUMMYFUNCTION("""COMPUTED_VALUE"""),692.95)</f>
        <v>692.95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IFERROR(__xludf.DUMMYFUNCTION("""COMPUTED_VALUE"""),674.65)</f>
        <v>674.65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IFERROR(__xludf.DUMMYFUNCTION("""COMPUTED_VALUE"""),659.5)</f>
        <v>659.5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IFERROR(__xludf.DUMMYFUNCTION("""COMPUTED_VALUE"""),670.45)</f>
        <v>670.45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IFERROR(__xludf.DUMMYFUNCTION("""COMPUTED_VALUE"""),712.0)</f>
        <v>712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IFERROR(__xludf.DUMMYFUNCTION("""COMPUTED_VALUE"""),732.95)</f>
        <v>732.95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IFERROR(__xludf.DUMMYFUNCTION("""COMPUTED_VALUE"""),715.0)</f>
        <v>715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IFERROR(__xludf.DUMMYFUNCTION("""COMPUTED_VALUE"""),712.0)</f>
        <v>712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IFERROR(__xludf.DUMMYFUNCTION("""COMPUTED_VALUE"""),714.0)</f>
        <v>714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IFERROR(__xludf.DUMMYFUNCTION("""COMPUTED_VALUE"""),707.0)</f>
        <v>707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IFERROR(__xludf.DUMMYFUNCTION("""COMPUTED_VALUE"""),688.9)</f>
        <v>688.9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IFERROR(__xludf.DUMMYFUNCTION("""COMPUTED_VALUE"""),681.45)</f>
        <v>681.45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IFERROR(__xludf.DUMMYFUNCTION("""COMPUTED_VALUE"""),657.5)</f>
        <v>657.5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IFERROR(__xludf.DUMMYFUNCTION("""COMPUTED_VALUE"""),685.75)</f>
        <v>685.75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IFERROR(__xludf.DUMMYFUNCTION("""COMPUTED_VALUE"""),671.9)</f>
        <v>671.9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IFERROR(__xludf.DUMMYFUNCTION("""COMPUTED_VALUE"""),675.0)</f>
        <v>675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IFERROR(__xludf.DUMMYFUNCTION("""COMPUTED_VALUE"""),679.9)</f>
        <v>679.9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IFERROR(__xludf.DUMMYFUNCTION("""COMPUTED_VALUE"""),660.0)</f>
        <v>660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IFERROR(__xludf.DUMMYFUNCTION("""COMPUTED_VALUE"""),655.55)</f>
        <v>655.55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IFERROR(__xludf.DUMMYFUNCTION("""COMPUTED_VALUE"""),679.0)</f>
        <v>679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IFERROR(__xludf.DUMMYFUNCTION("""COMPUTED_VALUE"""),679.9)</f>
        <v>679.9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IFERROR(__xludf.DUMMYFUNCTION("""COMPUTED_VALUE"""),699.5)</f>
        <v>699.5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IFERROR(__xludf.DUMMYFUNCTION("""COMPUTED_VALUE"""),695.05)</f>
        <v>695.05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IFERROR(__xludf.DUMMYFUNCTION("""COMPUTED_VALUE"""),690.3)</f>
        <v>690.3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IFERROR(__xludf.DUMMYFUNCTION("""COMPUTED_VALUE"""),676.7)</f>
        <v>676.7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IFERROR(__xludf.DUMMYFUNCTION("""COMPUTED_VALUE"""),645.9)</f>
        <v>645.9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IFERROR(__xludf.DUMMYFUNCTION("""COMPUTED_VALUE"""),669.0)</f>
        <v>669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IFERROR(__xludf.DUMMYFUNCTION("""COMPUTED_VALUE"""),677.85)</f>
        <v>677.85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IFERROR(__xludf.DUMMYFUNCTION("""COMPUTED_VALUE"""),661.0)</f>
        <v>661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IFERROR(__xludf.DUMMYFUNCTION("""COMPUTED_VALUE"""),668.65)</f>
        <v>668.65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IFERROR(__xludf.DUMMYFUNCTION("""COMPUTED_VALUE"""),675.8)</f>
        <v>675.8</v>
      </c>
    </row>
    <row r="549" ht="15.75" customHeight="1"/>
    <row r="550" ht="15.75" customHeight="1"/>
    <row r="551" ht="15.75" customHeight="1">
      <c r="B551" s="2" t="str">
        <f>IFERROR(__xludf.DUMMYFUNCTION("GOOGLEFINANCE(""NSE:HDFC"",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IFERROR(__xludf.DUMMYFUNCTION("""COMPUTED_VALUE"""),701.65)</f>
        <v>701.65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IFERROR(__xludf.DUMMYFUNCTION("""COMPUTED_VALUE"""),695.0)</f>
        <v>695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IFERROR(__xludf.DUMMYFUNCTION("""COMPUTED_VALUE"""),717.0)</f>
        <v>717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IFERROR(__xludf.DUMMYFUNCTION("""COMPUTED_VALUE"""),701.95)</f>
        <v>701.95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IFERROR(__xludf.DUMMYFUNCTION("""COMPUTED_VALUE"""),709.0)</f>
        <v>709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IFERROR(__xludf.DUMMYFUNCTION("""COMPUTED_VALUE"""),726.2)</f>
        <v>726.2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IFERROR(__xludf.DUMMYFUNCTION("""COMPUTED_VALUE"""),721.15)</f>
        <v>721.15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IFERROR(__xludf.DUMMYFUNCTION("""COMPUTED_VALUE"""),682.3)</f>
        <v>682.3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IFERROR(__xludf.DUMMYFUNCTION("""COMPUTED_VALUE"""),689.25)</f>
        <v>689.25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IFERROR(__xludf.DUMMYFUNCTION("""COMPUTED_VALUE"""),672.0)</f>
        <v>672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IFERROR(__xludf.DUMMYFUNCTION("""COMPUTED_VALUE"""),677.0)</f>
        <v>677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IFERROR(__xludf.DUMMYFUNCTION("""COMPUTED_VALUE"""),689.0)</f>
        <v>689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IFERROR(__xludf.DUMMYFUNCTION("""COMPUTED_VALUE"""),685.25)</f>
        <v>685.25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IFERROR(__xludf.DUMMYFUNCTION("""COMPUTED_VALUE"""),692.25)</f>
        <v>692.25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IFERROR(__xludf.DUMMYFUNCTION("""COMPUTED_VALUE"""),681.8)</f>
        <v>681.8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IFERROR(__xludf.DUMMYFUNCTION("""COMPUTED_VALUE"""),670.75)</f>
        <v>670.75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IFERROR(__xludf.DUMMYFUNCTION("""COMPUTED_VALUE"""),650.4)</f>
        <v>650.4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IFERROR(__xludf.DUMMYFUNCTION("""COMPUTED_VALUE"""),667.65)</f>
        <v>667.65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IFERROR(__xludf.DUMMYFUNCTION("""COMPUTED_VALUE"""),667.3)</f>
        <v>667.3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IFERROR(__xludf.DUMMYFUNCTION("""COMPUTED_VALUE"""),658.4)</f>
        <v>658.4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IFERROR(__xludf.DUMMYFUNCTION("""COMPUTED_VALUE"""),664.9)</f>
        <v>664.9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IFERROR(__xludf.DUMMYFUNCTION("""COMPUTED_VALUE"""),650.75)</f>
        <v>650.75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IFERROR(__xludf.DUMMYFUNCTION("""COMPUTED_VALUE"""),655.0)</f>
        <v>655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IFERROR(__xludf.DUMMYFUNCTION("""COMPUTED_VALUE"""),685.5)</f>
        <v>685.5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IFERROR(__xludf.DUMMYFUNCTION("""COMPUTED_VALUE"""),684.5)</f>
        <v>684.5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IFERROR(__xludf.DUMMYFUNCTION("""COMPUTED_VALUE"""),696.95)</f>
        <v>696.95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IFERROR(__xludf.DUMMYFUNCTION("""COMPUTED_VALUE"""),682.7)</f>
        <v>682.7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IFERROR(__xludf.DUMMYFUNCTION("""COMPUTED_VALUE"""),701.95)</f>
        <v>701.95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IFERROR(__xludf.DUMMYFUNCTION("""COMPUTED_VALUE"""),725.0)</f>
        <v>725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IFERROR(__xludf.DUMMYFUNCTION("""COMPUTED_VALUE"""),719.2)</f>
        <v>719.2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IFERROR(__xludf.DUMMYFUNCTION("""COMPUTED_VALUE"""),735.0)</f>
        <v>735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IFERROR(__xludf.DUMMYFUNCTION("""COMPUTED_VALUE"""),739.1)</f>
        <v>739.1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IFERROR(__xludf.DUMMYFUNCTION("""COMPUTED_VALUE"""),773.35)</f>
        <v>773.35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IFERROR(__xludf.DUMMYFUNCTION("""COMPUTED_VALUE"""),785.45)</f>
        <v>785.45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IFERROR(__xludf.DUMMYFUNCTION("""COMPUTED_VALUE"""),784.65)</f>
        <v>784.65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IFERROR(__xludf.DUMMYFUNCTION("""COMPUTED_VALUE"""),794.0)</f>
        <v>794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IFERROR(__xludf.DUMMYFUNCTION("""COMPUTED_VALUE"""),756.8)</f>
        <v>756.8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IFERROR(__xludf.DUMMYFUNCTION("""COMPUTED_VALUE"""),763.0)</f>
        <v>763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IFERROR(__xludf.DUMMYFUNCTION("""COMPUTED_VALUE"""),768.9)</f>
        <v>768.9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IFERROR(__xludf.DUMMYFUNCTION("""COMPUTED_VALUE"""),772.5)</f>
        <v>772.5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IFERROR(__xludf.DUMMYFUNCTION("""COMPUTED_VALUE"""),805.85)</f>
        <v>805.85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IFERROR(__xludf.DUMMYFUNCTION("""COMPUTED_VALUE"""),832.1)</f>
        <v>832.1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IFERROR(__xludf.DUMMYFUNCTION("""COMPUTED_VALUE"""),787.45)</f>
        <v>787.45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IFERROR(__xludf.DUMMYFUNCTION("""COMPUTED_VALUE"""),849.9)</f>
        <v>849.9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IFERROR(__xludf.DUMMYFUNCTION("""COMPUTED_VALUE"""),851.95)</f>
        <v>851.95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IFERROR(__xludf.DUMMYFUNCTION("""COMPUTED_VALUE"""),882.3)</f>
        <v>882.3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IFERROR(__xludf.DUMMYFUNCTION("""COMPUTED_VALUE"""),859.15)</f>
        <v>859.15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IFERROR(__xludf.DUMMYFUNCTION("""COMPUTED_VALUE"""),841.6)</f>
        <v>841.6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IFERROR(__xludf.DUMMYFUNCTION("GOOGLEFINANCE(""NSE:HDFC"",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IFERROR(__xludf.DUMMYFUNCTION("""COMPUTED_VALUE"""),850.9)</f>
        <v>850.9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IFERROR(__xludf.DUMMYFUNCTION("""COMPUTED_VALUE"""),845.0)</f>
        <v>845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IFERROR(__xludf.DUMMYFUNCTION("""COMPUTED_VALUE"""),834.5)</f>
        <v>834.5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IFERROR(__xludf.DUMMYFUNCTION("""COMPUTED_VALUE"""),827.3)</f>
        <v>827.3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IFERROR(__xludf.DUMMYFUNCTION("""COMPUTED_VALUE"""),813.0)</f>
        <v>813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IFERROR(__xludf.DUMMYFUNCTION("""COMPUTED_VALUE"""),821.75)</f>
        <v>821.75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IFERROR(__xludf.DUMMYFUNCTION("""COMPUTED_VALUE"""),820.5)</f>
        <v>820.5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IFERROR(__xludf.DUMMYFUNCTION("""COMPUTED_VALUE"""),828.4)</f>
        <v>828.4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IFERROR(__xludf.DUMMYFUNCTION("""COMPUTED_VALUE"""),810.35)</f>
        <v>810.35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IFERROR(__xludf.DUMMYFUNCTION("""COMPUTED_VALUE"""),816.0)</f>
        <v>816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IFERROR(__xludf.DUMMYFUNCTION("""COMPUTED_VALUE"""),838.55)</f>
        <v>838.55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IFERROR(__xludf.DUMMYFUNCTION("""COMPUTED_VALUE"""),816.0)</f>
        <v>816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IFERROR(__xludf.DUMMYFUNCTION("""COMPUTED_VALUE"""),830.0)</f>
        <v>830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IFERROR(__xludf.DUMMYFUNCTION("""COMPUTED_VALUE"""),835.4)</f>
        <v>835.4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IFERROR(__xludf.DUMMYFUNCTION("""COMPUTED_VALUE"""),788.0)</f>
        <v>788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IFERROR(__xludf.DUMMYFUNCTION("""COMPUTED_VALUE"""),821.0)</f>
        <v>821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IFERROR(__xludf.DUMMYFUNCTION("""COMPUTED_VALUE"""),885.4)</f>
        <v>885.4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IFERROR(__xludf.DUMMYFUNCTION("""COMPUTED_VALUE"""),874.5)</f>
        <v>874.5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IFERROR(__xludf.DUMMYFUNCTION("""COMPUTED_VALUE"""),917.5)</f>
        <v>917.5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IFERROR(__xludf.DUMMYFUNCTION("""COMPUTED_VALUE"""),916.7)</f>
        <v>916.7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IFERROR(__xludf.DUMMYFUNCTION("""COMPUTED_VALUE"""),931.4)</f>
        <v>931.4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IFERROR(__xludf.DUMMYFUNCTION("""COMPUTED_VALUE"""),898.65)</f>
        <v>898.65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IFERROR(__xludf.DUMMYFUNCTION("""COMPUTED_VALUE"""),864.05)</f>
        <v>864.05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IFERROR(__xludf.DUMMYFUNCTION("""COMPUTED_VALUE"""),855.05)</f>
        <v>855.05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IFERROR(__xludf.DUMMYFUNCTION("""COMPUTED_VALUE"""),886.5)</f>
        <v>886.5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IFERROR(__xludf.DUMMYFUNCTION("""COMPUTED_VALUE"""),893.0)</f>
        <v>893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IFERROR(__xludf.DUMMYFUNCTION("""COMPUTED_VALUE"""),859.55)</f>
        <v>859.55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IFERROR(__xludf.DUMMYFUNCTION("""COMPUTED_VALUE"""),853.6)</f>
        <v>853.6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IFERROR(__xludf.DUMMYFUNCTION("""COMPUTED_VALUE"""),838.45)</f>
        <v>838.45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IFERROR(__xludf.DUMMYFUNCTION("""COMPUTED_VALUE"""),827.3)</f>
        <v>827.3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IFERROR(__xludf.DUMMYFUNCTION("""COMPUTED_VALUE"""),817.0)</f>
        <v>817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IFERROR(__xludf.DUMMYFUNCTION("""COMPUTED_VALUE"""),799.3)</f>
        <v>799.3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IFERROR(__xludf.DUMMYFUNCTION("""COMPUTED_VALUE"""),759.45)</f>
        <v>759.45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IFERROR(__xludf.DUMMYFUNCTION("""COMPUTED_VALUE"""),749.8)</f>
        <v>749.8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IFERROR(__xludf.DUMMYFUNCTION("""COMPUTED_VALUE"""),774.9)</f>
        <v>774.9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IFERROR(__xludf.DUMMYFUNCTION("""COMPUTED_VALUE"""),825.0)</f>
        <v>825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IFERROR(__xludf.DUMMYFUNCTION("""COMPUTED_VALUE"""),843.6)</f>
        <v>843.6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IFERROR(__xludf.DUMMYFUNCTION("""COMPUTED_VALUE"""),799.5)</f>
        <v>799.5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IFERROR(__xludf.DUMMYFUNCTION("""COMPUTED_VALUE"""),806.4)</f>
        <v>806.4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IFERROR(__xludf.DUMMYFUNCTION("""COMPUTED_VALUE"""),817.8)</f>
        <v>817.8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IFERROR(__xludf.DUMMYFUNCTION("""COMPUTED_VALUE"""),822.0)</f>
        <v>822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IFERROR(__xludf.DUMMYFUNCTION("""COMPUTED_VALUE"""),826.5)</f>
        <v>826.5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IFERROR(__xludf.DUMMYFUNCTION("""COMPUTED_VALUE"""),859.3)</f>
        <v>859.3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IFERROR(__xludf.DUMMYFUNCTION("""COMPUTED_VALUE"""),864.9)</f>
        <v>864.9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IFERROR(__xludf.DUMMYFUNCTION("""COMPUTED_VALUE"""),814.0)</f>
        <v>814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IFERROR(__xludf.DUMMYFUNCTION("""COMPUTED_VALUE"""),826.1)</f>
        <v>826.1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IFERROR(__xludf.DUMMYFUNCTION("""COMPUTED_VALUE"""),827.45)</f>
        <v>827.45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IFERROR(__xludf.DUMMYFUNCTION("""COMPUTED_VALUE"""),839.0)</f>
        <v>839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IFERROR(__xludf.DUMMYFUNCTION("""COMPUTED_VALUE"""),842.95)</f>
        <v>842.95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IFERROR(__xludf.DUMMYFUNCTION("""COMPUTED_VALUE"""),809.8)</f>
        <v>809.8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IFERROR(__xludf.DUMMYFUNCTION("""COMPUTED_VALUE"""),807.2)</f>
        <v>807.2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IFERROR(__xludf.DUMMYFUNCTION("GOOGLEFINANCE(""NSE:HDFC"",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IFERROR(__xludf.DUMMYFUNCTION("""COMPUTED_VALUE"""),809.5)</f>
        <v>809.5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IFERROR(__xludf.DUMMYFUNCTION("""COMPUTED_VALUE"""),806.85)</f>
        <v>806.85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IFERROR(__xludf.DUMMYFUNCTION("""COMPUTED_VALUE"""),866.5)</f>
        <v>866.5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IFERROR(__xludf.DUMMYFUNCTION("""COMPUTED_VALUE"""),859.45)</f>
        <v>859.45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IFERROR(__xludf.DUMMYFUNCTION("""COMPUTED_VALUE"""),845.0)</f>
        <v>845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IFERROR(__xludf.DUMMYFUNCTION("""COMPUTED_VALUE"""),808.65)</f>
        <v>808.65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IFERROR(__xludf.DUMMYFUNCTION("""COMPUTED_VALUE"""),786.65)</f>
        <v>786.65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IFERROR(__xludf.DUMMYFUNCTION("""COMPUTED_VALUE"""),807.5)</f>
        <v>807.5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IFERROR(__xludf.DUMMYFUNCTION("""COMPUTED_VALUE"""),824.05)</f>
        <v>824.05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IFERROR(__xludf.DUMMYFUNCTION("""COMPUTED_VALUE"""),853.9)</f>
        <v>853.9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IFERROR(__xludf.DUMMYFUNCTION("""COMPUTED_VALUE"""),868.8)</f>
        <v>868.8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IFERROR(__xludf.DUMMYFUNCTION("""COMPUTED_VALUE"""),880.0)</f>
        <v>880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IFERROR(__xludf.DUMMYFUNCTION("""COMPUTED_VALUE"""),908.1)</f>
        <v>908.1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IFERROR(__xludf.DUMMYFUNCTION("""COMPUTED_VALUE"""),934.4)</f>
        <v>934.4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IFERROR(__xludf.DUMMYFUNCTION("""COMPUTED_VALUE"""),918.65)</f>
        <v>918.65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IFERROR(__xludf.DUMMYFUNCTION("""COMPUTED_VALUE"""),897.0)</f>
        <v>897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IFERROR(__xludf.DUMMYFUNCTION("""COMPUTED_VALUE"""),914.75)</f>
        <v>914.75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IFERROR(__xludf.DUMMYFUNCTION("""COMPUTED_VALUE"""),912.15)</f>
        <v>912.15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IFERROR(__xludf.DUMMYFUNCTION("""COMPUTED_VALUE"""),956.45)</f>
        <v>956.45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IFERROR(__xludf.DUMMYFUNCTION("""COMPUTED_VALUE"""),946.0)</f>
        <v>946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IFERROR(__xludf.DUMMYFUNCTION("""COMPUTED_VALUE"""),944.4)</f>
        <v>944.4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IFERROR(__xludf.DUMMYFUNCTION("""COMPUTED_VALUE"""),938.7)</f>
        <v>938.7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IFERROR(__xludf.DUMMYFUNCTION("""COMPUTED_VALUE"""),985.0)</f>
        <v>985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IFERROR(__xludf.DUMMYFUNCTION("""COMPUTED_VALUE"""),983.55)</f>
        <v>983.55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IFERROR(__xludf.DUMMYFUNCTION("""COMPUTED_VALUE"""),1003.4)</f>
        <v>1003.4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IFERROR(__xludf.DUMMYFUNCTION("""COMPUTED_VALUE"""),1017.15)</f>
        <v>1017.15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IFERROR(__xludf.DUMMYFUNCTION("""COMPUTED_VALUE"""),1046.5)</f>
        <v>1046.5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IFERROR(__xludf.DUMMYFUNCTION("""COMPUTED_VALUE"""),1011.95)</f>
        <v>1011.95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IFERROR(__xludf.DUMMYFUNCTION("""COMPUTED_VALUE"""),1079.7)</f>
        <v>1079.7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IFERROR(__xludf.DUMMYFUNCTION("""COMPUTED_VALUE"""),1092.3)</f>
        <v>1092.3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IFERROR(__xludf.DUMMYFUNCTION("""COMPUTED_VALUE"""),1061.0)</f>
        <v>1061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IFERROR(__xludf.DUMMYFUNCTION("""COMPUTED_VALUE"""),1151.4)</f>
        <v>1151.4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IFERROR(__xludf.DUMMYFUNCTION("""COMPUTED_VALUE"""),1125.55)</f>
        <v>1125.55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IFERROR(__xludf.DUMMYFUNCTION("""COMPUTED_VALUE"""),1079.9)</f>
        <v>1079.9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IFERROR(__xludf.DUMMYFUNCTION("""COMPUTED_VALUE"""),1084.1)</f>
        <v>1084.1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IFERROR(__xludf.DUMMYFUNCTION("""COMPUTED_VALUE"""),1065.9)</f>
        <v>1065.9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IFERROR(__xludf.DUMMYFUNCTION("""COMPUTED_VALUE"""),1074.0)</f>
        <v>1074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IFERROR(__xludf.DUMMYFUNCTION("""COMPUTED_VALUE"""),1084.0)</f>
        <v>1084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IFERROR(__xludf.DUMMYFUNCTION("""COMPUTED_VALUE"""),1062.9)</f>
        <v>1062.9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IFERROR(__xludf.DUMMYFUNCTION("""COMPUTED_VALUE"""),1047.0)</f>
        <v>1047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IFERROR(__xludf.DUMMYFUNCTION("""COMPUTED_VALUE"""),1026.2)</f>
        <v>1026.2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IFERROR(__xludf.DUMMYFUNCTION("""COMPUTED_VALUE"""),1035.35)</f>
        <v>1035.35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IFERROR(__xludf.DUMMYFUNCTION("""COMPUTED_VALUE"""),1110.0)</f>
        <v>1110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IFERROR(__xludf.DUMMYFUNCTION("""COMPUTED_VALUE"""),1126.9)</f>
        <v>1126.9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IFERROR(__xludf.DUMMYFUNCTION("""COMPUTED_VALUE"""),1149.5)</f>
        <v>1149.5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IFERROR(__xludf.DUMMYFUNCTION("""COMPUTED_VALUE"""),1139.4)</f>
        <v>1139.4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IFERROR(__xludf.DUMMYFUNCTION("""COMPUTED_VALUE"""),1177.8)</f>
        <v>1177.8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IFERROR(__xludf.DUMMYFUNCTION("""COMPUTED_VALUE"""),1166.1)</f>
        <v>1166.1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IFERROR(__xludf.DUMMYFUNCTION("""COMPUTED_VALUE"""),1128.8)</f>
        <v>1128.8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IFERROR(__xludf.DUMMYFUNCTION("""COMPUTED_VALUE"""),1129.9)</f>
        <v>1129.9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IFERROR(__xludf.DUMMYFUNCTION("""COMPUTED_VALUE"""),1165.9)</f>
        <v>1165.9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IFERROR(__xludf.DUMMYFUNCTION("GOOGLEFINANCE(""NSE:HDFC"",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IFERROR(__xludf.DUMMYFUNCTION("""COMPUTED_VALUE"""),1176.95)</f>
        <v>1176.95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IFERROR(__xludf.DUMMYFUNCTION("""COMPUTED_VALUE"""),1175.0)</f>
        <v>1175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IFERROR(__xludf.DUMMYFUNCTION("""COMPUTED_VALUE"""),1210.9)</f>
        <v>1210.9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IFERROR(__xludf.DUMMYFUNCTION("""COMPUTED_VALUE"""),1340.95)</f>
        <v>1340.95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IFERROR(__xludf.DUMMYFUNCTION("""COMPUTED_VALUE"""),1361.85)</f>
        <v>1361.85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IFERROR(__xludf.DUMMYFUNCTION("""COMPUTED_VALUE"""),1292.0)</f>
        <v>1292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IFERROR(__xludf.DUMMYFUNCTION("""COMPUTED_VALUE"""),1293.0)</f>
        <v>1293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IFERROR(__xludf.DUMMYFUNCTION("""COMPUTED_VALUE"""),1357.35)</f>
        <v>1357.35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IFERROR(__xludf.DUMMYFUNCTION("""COMPUTED_VALUE"""),1402.3)</f>
        <v>1402.3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IFERROR(__xludf.DUMMYFUNCTION("""COMPUTED_VALUE"""),1397.5)</f>
        <v>1397.5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IFERROR(__xludf.DUMMYFUNCTION("""COMPUTED_VALUE"""),1354.6)</f>
        <v>1354.6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IFERROR(__xludf.DUMMYFUNCTION("""COMPUTED_VALUE"""),1386.75)</f>
        <v>1386.75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IFERROR(__xludf.DUMMYFUNCTION("""COMPUTED_VALUE"""),1341.9)</f>
        <v>1341.9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IFERROR(__xludf.DUMMYFUNCTION("""COMPUTED_VALUE"""),1354.15)</f>
        <v>1354.15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IFERROR(__xludf.DUMMYFUNCTION("""COMPUTED_VALUE"""),1315.95)</f>
        <v>1315.95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IFERROR(__xludf.DUMMYFUNCTION("""COMPUTED_VALUE"""),1305.75)</f>
        <v>1305.75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IFERROR(__xludf.DUMMYFUNCTION("""COMPUTED_VALUE"""),1255.0)</f>
        <v>1255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IFERROR(__xludf.DUMMYFUNCTION("""COMPUTED_VALUE"""),1205.75)</f>
        <v>1205.75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IFERROR(__xludf.DUMMYFUNCTION("""COMPUTED_VALUE"""),1236.45)</f>
        <v>1236.45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IFERROR(__xludf.DUMMYFUNCTION("""COMPUTED_VALUE"""),1292.95)</f>
        <v>1292.95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IFERROR(__xludf.DUMMYFUNCTION("""COMPUTED_VALUE"""),1288.0)</f>
        <v>1288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IFERROR(__xludf.DUMMYFUNCTION("""COMPUTED_VALUE"""),1255.0)</f>
        <v>1255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IFERROR(__xludf.DUMMYFUNCTION("""COMPUTED_VALUE"""),1205.0)</f>
        <v>1205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IFERROR(__xludf.DUMMYFUNCTION("""COMPUTED_VALUE"""),1247.55)</f>
        <v>1247.55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IFERROR(__xludf.DUMMYFUNCTION("""COMPUTED_VALUE"""),1314.0)</f>
        <v>1314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IFERROR(__xludf.DUMMYFUNCTION("""COMPUTED_VALUE"""),1323.0)</f>
        <v>1323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IFERROR(__xludf.DUMMYFUNCTION("""COMPUTED_VALUE"""),1347.4)</f>
        <v>1347.4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IFERROR(__xludf.DUMMYFUNCTION("""COMPUTED_VALUE"""),1372.4)</f>
        <v>1372.4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IFERROR(__xludf.DUMMYFUNCTION("""COMPUTED_VALUE"""),1365.0)</f>
        <v>1365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IFERROR(__xludf.DUMMYFUNCTION("""COMPUTED_VALUE"""),1359.15)</f>
        <v>1359.15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IFERROR(__xludf.DUMMYFUNCTION("""COMPUTED_VALUE"""),1350.5)</f>
        <v>1350.5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IFERROR(__xludf.DUMMYFUNCTION("""COMPUTED_VALUE"""),1333.4)</f>
        <v>1333.4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IFERROR(__xludf.DUMMYFUNCTION("""COMPUTED_VALUE"""),1306.2)</f>
        <v>1306.2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IFERROR(__xludf.DUMMYFUNCTION("""COMPUTED_VALUE"""),1215.7)</f>
        <v>1215.7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IFERROR(__xludf.DUMMYFUNCTION("""COMPUTED_VALUE"""),1213.8)</f>
        <v>1213.8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IFERROR(__xludf.DUMMYFUNCTION("""COMPUTED_VALUE"""),1203.4)</f>
        <v>1203.4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IFERROR(__xludf.DUMMYFUNCTION("""COMPUTED_VALUE"""),1235.75)</f>
        <v>1235.75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IFERROR(__xludf.DUMMYFUNCTION("""COMPUTED_VALUE"""),1217.0)</f>
        <v>1217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IFERROR(__xludf.DUMMYFUNCTION("""COMPUTED_VALUE"""),1244.0)</f>
        <v>1244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IFERROR(__xludf.DUMMYFUNCTION("""COMPUTED_VALUE"""),1299.0)</f>
        <v>1299</v>
      </c>
    </row>
    <row r="757" ht="15.75" customHeight="1">
      <c r="B757" s="3">
        <f>IFERROR(__xludf.DUMMYFUNCTION("""COMPUTED_VALUE"""),42293.64583333333)</f>
        <v>42293.64583</v>
      </c>
      <c r="C757" s="2">
        <f>IFERROR(__xludf.DUMMYFUNCTION("""COMPUTED_VALUE"""),1315.8)</f>
        <v>1315.8</v>
      </c>
    </row>
    <row r="758" ht="15.75" customHeight="1">
      <c r="B758" s="3">
        <f>IFERROR(__xludf.DUMMYFUNCTION("""COMPUTED_VALUE"""),42300.64583333333)</f>
        <v>42300.64583</v>
      </c>
      <c r="C758" s="2">
        <f>IFERROR(__xludf.DUMMYFUNCTION("""COMPUTED_VALUE"""),1344.0)</f>
        <v>1344</v>
      </c>
    </row>
    <row r="759" ht="15.75" customHeight="1">
      <c r="B759" s="3">
        <f>IFERROR(__xludf.DUMMYFUNCTION("""COMPUTED_VALUE"""),42307.64583333333)</f>
        <v>42307.64583</v>
      </c>
      <c r="C759" s="2">
        <f>IFERROR(__xludf.DUMMYFUNCTION("""COMPUTED_VALUE"""),1350.0)</f>
        <v>1350</v>
      </c>
    </row>
    <row r="760" ht="15.75" customHeight="1">
      <c r="B760" s="3">
        <f>IFERROR(__xludf.DUMMYFUNCTION("""COMPUTED_VALUE"""),42314.64583333333)</f>
        <v>42314.64583</v>
      </c>
      <c r="C760" s="2">
        <f>IFERROR(__xludf.DUMMYFUNCTION("""COMPUTED_VALUE"""),1267.0)</f>
        <v>1267</v>
      </c>
    </row>
    <row r="761" ht="15.75" customHeight="1">
      <c r="B761" s="3">
        <f>IFERROR(__xludf.DUMMYFUNCTION("""COMPUTED_VALUE"""),42321.64583333333)</f>
        <v>42321.64583</v>
      </c>
      <c r="C761" s="2">
        <f>IFERROR(__xludf.DUMMYFUNCTION("""COMPUTED_VALUE"""),1203.3)</f>
        <v>1203.3</v>
      </c>
    </row>
    <row r="762" ht="15.75" customHeight="1">
      <c r="B762" s="3">
        <f>IFERROR(__xludf.DUMMYFUNCTION("""COMPUTED_VALUE"""),42328.64583333333)</f>
        <v>42328.64583</v>
      </c>
      <c r="C762" s="2">
        <f>IFERROR(__xludf.DUMMYFUNCTION("""COMPUTED_VALUE"""),1222.2)</f>
        <v>1222.2</v>
      </c>
    </row>
    <row r="763" ht="15.75" customHeight="1">
      <c r="B763" s="3">
        <f>IFERROR(__xludf.DUMMYFUNCTION("""COMPUTED_VALUE"""),42335.64583333333)</f>
        <v>42335.64583</v>
      </c>
      <c r="C763" s="2">
        <f>IFERROR(__xludf.DUMMYFUNCTION("""COMPUTED_VALUE"""),1242.15)</f>
        <v>1242.15</v>
      </c>
    </row>
    <row r="764" ht="15.75" customHeight="1">
      <c r="B764" s="3">
        <f>IFERROR(__xludf.DUMMYFUNCTION("""COMPUTED_VALUE"""),42342.64583333333)</f>
        <v>42342.64583</v>
      </c>
      <c r="C764" s="2">
        <f>IFERROR(__xludf.DUMMYFUNCTION("""COMPUTED_VALUE"""),1233.3)</f>
        <v>1233.3</v>
      </c>
    </row>
    <row r="765" ht="15.75" customHeight="1">
      <c r="B765" s="3">
        <f>IFERROR(__xludf.DUMMYFUNCTION("""COMPUTED_VALUE"""),42349.64583333333)</f>
        <v>42349.64583</v>
      </c>
      <c r="C765" s="2">
        <f>IFERROR(__xludf.DUMMYFUNCTION("""COMPUTED_VALUE"""),1188.0)</f>
        <v>1188</v>
      </c>
    </row>
    <row r="766" ht="15.75" customHeight="1">
      <c r="B766" s="3">
        <f>IFERROR(__xludf.DUMMYFUNCTION("""COMPUTED_VALUE"""),42356.64583333333)</f>
        <v>42356.64583</v>
      </c>
      <c r="C766" s="2">
        <f>IFERROR(__xludf.DUMMYFUNCTION("""COMPUTED_VALUE"""),1247.9)</f>
        <v>1247.9</v>
      </c>
    </row>
    <row r="767" ht="15.75" customHeight="1">
      <c r="B767" s="3">
        <f>IFERROR(__xludf.DUMMYFUNCTION("""COMPUTED_VALUE"""),42362.64583333333)</f>
        <v>42362.64583</v>
      </c>
      <c r="C767" s="2">
        <f>IFERROR(__xludf.DUMMYFUNCTION("""COMPUTED_VALUE"""),1245.0)</f>
        <v>1245</v>
      </c>
    </row>
    <row r="768" ht="15.75" customHeight="1">
      <c r="B768" s="3">
        <f>IFERROR(__xludf.DUMMYFUNCTION("""COMPUTED_VALUE"""),42370.64583333333)</f>
        <v>42370.64583</v>
      </c>
      <c r="C768" s="2">
        <f>IFERROR(__xludf.DUMMYFUNCTION("""COMPUTED_VALUE"""),1274.7)</f>
        <v>1274.7</v>
      </c>
    </row>
    <row r="769" ht="15.75" customHeight="1"/>
    <row r="770" ht="15.75" customHeight="1"/>
    <row r="771" ht="15.75" customHeight="1">
      <c r="B771" s="2" t="str">
        <f>IFERROR(__xludf.DUMMYFUNCTION("GOOGLEFINANCE(""NSE:HDFC"",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IFERROR(__xludf.DUMMYFUNCTION("""COMPUTED_VALUE"""),1253.9)</f>
        <v>1253.9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IFERROR(__xludf.DUMMYFUNCTION("""COMPUTED_VALUE"""),1173.65)</f>
        <v>1173.65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IFERROR(__xludf.DUMMYFUNCTION("""COMPUTED_VALUE"""),1198.1)</f>
        <v>1198.1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IFERROR(__xludf.DUMMYFUNCTION("""COMPUTED_VALUE"""),1188.45)</f>
        <v>1188.45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IFERROR(__xludf.DUMMYFUNCTION("""COMPUTED_VALUE"""),1193.95)</f>
        <v>1193.95</v>
      </c>
    </row>
    <row r="777" ht="15.75" customHeight="1">
      <c r="B777" s="3">
        <f>IFERROR(__xludf.DUMMYFUNCTION("""COMPUTED_VALUE"""),42412.64583333333)</f>
        <v>42412.64583</v>
      </c>
      <c r="C777" s="2">
        <f>IFERROR(__xludf.DUMMYFUNCTION("""COMPUTED_VALUE"""),1186.0)</f>
        <v>1186</v>
      </c>
    </row>
    <row r="778" ht="15.75" customHeight="1">
      <c r="B778" s="3">
        <f>IFERROR(__xludf.DUMMYFUNCTION("""COMPUTED_VALUE"""),42419.64583333333)</f>
        <v>42419.64583</v>
      </c>
      <c r="C778" s="2">
        <f>IFERROR(__xludf.DUMMYFUNCTION("""COMPUTED_VALUE"""),1102.0)</f>
        <v>1102</v>
      </c>
    </row>
    <row r="779" ht="15.75" customHeight="1">
      <c r="B779" s="3">
        <f>IFERROR(__xludf.DUMMYFUNCTION("""COMPUTED_VALUE"""),42426.64583333333)</f>
        <v>42426.64583</v>
      </c>
      <c r="C779" s="2">
        <f>IFERROR(__xludf.DUMMYFUNCTION("""COMPUTED_VALUE"""),1063.75)</f>
        <v>1063.75</v>
      </c>
    </row>
    <row r="780" ht="15.75" customHeight="1">
      <c r="B780" s="3">
        <f>IFERROR(__xludf.DUMMYFUNCTION("""COMPUTED_VALUE"""),42433.64583333333)</f>
        <v>42433.64583</v>
      </c>
      <c r="C780" s="2">
        <f>IFERROR(__xludf.DUMMYFUNCTION("""COMPUTED_VALUE"""),1135.8)</f>
        <v>1135.8</v>
      </c>
    </row>
    <row r="781" ht="15.75" customHeight="1">
      <c r="B781" s="3">
        <f>IFERROR(__xludf.DUMMYFUNCTION("""COMPUTED_VALUE"""),42440.64583333333)</f>
        <v>42440.64583</v>
      </c>
      <c r="C781" s="2">
        <f>IFERROR(__xludf.DUMMYFUNCTION("""COMPUTED_VALUE"""),1167.0)</f>
        <v>1167</v>
      </c>
    </row>
    <row r="782" ht="15.75" customHeight="1">
      <c r="B782" s="3">
        <f>IFERROR(__xludf.DUMMYFUNCTION("""COMPUTED_VALUE"""),42447.64583333333)</f>
        <v>42447.64583</v>
      </c>
      <c r="C782" s="2">
        <f>IFERROR(__xludf.DUMMYFUNCTION("""COMPUTED_VALUE"""),1175.0)</f>
        <v>1175</v>
      </c>
    </row>
    <row r="783" ht="15.75" customHeight="1">
      <c r="B783" s="3">
        <f>IFERROR(__xludf.DUMMYFUNCTION("""COMPUTED_VALUE"""),42452.64583333333)</f>
        <v>42452.64583</v>
      </c>
      <c r="C783" s="2">
        <f>IFERROR(__xludf.DUMMYFUNCTION("""COMPUTED_VALUE"""),1174.0)</f>
        <v>1174</v>
      </c>
    </row>
    <row r="784" ht="15.75" customHeight="1">
      <c r="B784" s="3">
        <f>IFERROR(__xludf.DUMMYFUNCTION("""COMPUTED_VALUE"""),42461.64583333333)</f>
        <v>42461.64583</v>
      </c>
      <c r="C784" s="2">
        <f>IFERROR(__xludf.DUMMYFUNCTION("""COMPUTED_VALUE"""),1170.25)</f>
        <v>1170.25</v>
      </c>
    </row>
    <row r="785" ht="15.75" customHeight="1">
      <c r="B785" s="3">
        <f>IFERROR(__xludf.DUMMYFUNCTION("""COMPUTED_VALUE"""),42468.64583333333)</f>
        <v>42468.64583</v>
      </c>
      <c r="C785" s="2">
        <f>IFERROR(__xludf.DUMMYFUNCTION("""COMPUTED_VALUE"""),1124.25)</f>
        <v>1124.25</v>
      </c>
    </row>
    <row r="786" ht="15.75" customHeight="1">
      <c r="B786" s="3">
        <f>IFERROR(__xludf.DUMMYFUNCTION("""COMPUTED_VALUE"""),42473.64583333333)</f>
        <v>42473.64583</v>
      </c>
      <c r="C786" s="2">
        <f>IFERROR(__xludf.DUMMYFUNCTION("""COMPUTED_VALUE"""),1117.45)</f>
        <v>1117.45</v>
      </c>
    </row>
    <row r="787" ht="15.75" customHeight="1">
      <c r="B787" s="3">
        <f>IFERROR(__xludf.DUMMYFUNCTION("""COMPUTED_VALUE"""),42482.64583333333)</f>
        <v>42482.64583</v>
      </c>
      <c r="C787" s="2">
        <f>IFERROR(__xludf.DUMMYFUNCTION("""COMPUTED_VALUE"""),1158.65)</f>
        <v>1158.65</v>
      </c>
    </row>
    <row r="788" ht="15.75" customHeight="1">
      <c r="B788" s="3">
        <f>IFERROR(__xludf.DUMMYFUNCTION("""COMPUTED_VALUE"""),42489.64583333333)</f>
        <v>42489.64583</v>
      </c>
      <c r="C788" s="2">
        <f>IFERROR(__xludf.DUMMYFUNCTION("""COMPUTED_VALUE"""),1131.85)</f>
        <v>1131.85</v>
      </c>
    </row>
    <row r="789" ht="15.75" customHeight="1">
      <c r="B789" s="3">
        <f>IFERROR(__xludf.DUMMYFUNCTION("""COMPUTED_VALUE"""),42496.64583333333)</f>
        <v>42496.64583</v>
      </c>
      <c r="C789" s="2">
        <f>IFERROR(__xludf.DUMMYFUNCTION("""COMPUTED_VALUE"""),1176.2)</f>
        <v>1176.2</v>
      </c>
    </row>
    <row r="790" ht="15.75" customHeight="1">
      <c r="B790" s="3">
        <f>IFERROR(__xludf.DUMMYFUNCTION("""COMPUTED_VALUE"""),42503.64583333333)</f>
        <v>42503.64583</v>
      </c>
      <c r="C790" s="2">
        <f>IFERROR(__xludf.DUMMYFUNCTION("""COMPUTED_VALUE"""),1221.5)</f>
        <v>1221.5</v>
      </c>
    </row>
    <row r="791" ht="15.75" customHeight="1">
      <c r="B791" s="3">
        <f>IFERROR(__xludf.DUMMYFUNCTION("""COMPUTED_VALUE"""),42510.64583333333)</f>
        <v>42510.64583</v>
      </c>
      <c r="C791" s="2">
        <f>IFERROR(__xludf.DUMMYFUNCTION("""COMPUTED_VALUE"""),1230.0)</f>
        <v>1230</v>
      </c>
    </row>
    <row r="792" ht="15.75" customHeight="1">
      <c r="B792" s="3">
        <f>IFERROR(__xludf.DUMMYFUNCTION("""COMPUTED_VALUE"""),42517.64583333333)</f>
        <v>42517.64583</v>
      </c>
      <c r="C792" s="2">
        <f>IFERROR(__xludf.DUMMYFUNCTION("""COMPUTED_VALUE"""),1268.4)</f>
        <v>1268.4</v>
      </c>
    </row>
    <row r="793" ht="15.75" customHeight="1">
      <c r="B793" s="3">
        <f>IFERROR(__xludf.DUMMYFUNCTION("""COMPUTED_VALUE"""),42524.64583333333)</f>
        <v>42524.64583</v>
      </c>
      <c r="C793" s="2">
        <f>IFERROR(__xludf.DUMMYFUNCTION("""COMPUTED_VALUE"""),1268.8)</f>
        <v>1268.8</v>
      </c>
    </row>
    <row r="794" ht="15.75" customHeight="1">
      <c r="B794" s="3">
        <f>IFERROR(__xludf.DUMMYFUNCTION("""COMPUTED_VALUE"""),42531.64583333333)</f>
        <v>42531.64583</v>
      </c>
      <c r="C794" s="2">
        <f>IFERROR(__xludf.DUMMYFUNCTION("""COMPUTED_VALUE"""),1267.0)</f>
        <v>1267</v>
      </c>
    </row>
    <row r="795" ht="15.75" customHeight="1">
      <c r="B795" s="3">
        <f>IFERROR(__xludf.DUMMYFUNCTION("""COMPUTED_VALUE"""),42538.64583333333)</f>
        <v>42538.64583</v>
      </c>
      <c r="C795" s="2">
        <f>IFERROR(__xludf.DUMMYFUNCTION("""COMPUTED_VALUE"""),1235.9)</f>
        <v>1235.9</v>
      </c>
    </row>
    <row r="796" ht="15.75" customHeight="1">
      <c r="B796" s="3">
        <f>IFERROR(__xludf.DUMMYFUNCTION("""COMPUTED_VALUE"""),42545.64583333333)</f>
        <v>42545.64583</v>
      </c>
      <c r="C796" s="2">
        <f>IFERROR(__xludf.DUMMYFUNCTION("""COMPUTED_VALUE"""),1249.45)</f>
        <v>1249.45</v>
      </c>
    </row>
    <row r="797" ht="15.75" customHeight="1">
      <c r="B797" s="3">
        <f>IFERROR(__xludf.DUMMYFUNCTION("""COMPUTED_VALUE"""),42552.64583333333)</f>
        <v>42552.64583</v>
      </c>
      <c r="C797" s="2">
        <f>IFERROR(__xludf.DUMMYFUNCTION("""COMPUTED_VALUE"""),1266.25)</f>
        <v>1266.25</v>
      </c>
    </row>
    <row r="798" ht="15.75" customHeight="1">
      <c r="B798" s="3">
        <f>IFERROR(__xludf.DUMMYFUNCTION("""COMPUTED_VALUE"""),42559.64583333333)</f>
        <v>42559.64583</v>
      </c>
      <c r="C798" s="2">
        <f>IFERROR(__xludf.DUMMYFUNCTION("""COMPUTED_VALUE"""),1301.7)</f>
        <v>1301.7</v>
      </c>
    </row>
    <row r="799" ht="15.75" customHeight="1">
      <c r="B799" s="3">
        <f>IFERROR(__xludf.DUMMYFUNCTION("""COMPUTED_VALUE"""),42566.64583333333)</f>
        <v>42566.64583</v>
      </c>
      <c r="C799" s="2">
        <f>IFERROR(__xludf.DUMMYFUNCTION("""COMPUTED_VALUE"""),1370.0)</f>
        <v>1370</v>
      </c>
    </row>
    <row r="800" ht="15.75" customHeight="1">
      <c r="B800" s="3">
        <f>IFERROR(__xludf.DUMMYFUNCTION("""COMPUTED_VALUE"""),42573.64583333333)</f>
        <v>42573.64583</v>
      </c>
      <c r="C800" s="2">
        <f>IFERROR(__xludf.DUMMYFUNCTION("""COMPUTED_VALUE"""),1386.4)</f>
        <v>1386.4</v>
      </c>
    </row>
    <row r="801" ht="15.75" customHeight="1">
      <c r="B801" s="3">
        <f>IFERROR(__xludf.DUMMYFUNCTION("""COMPUTED_VALUE"""),42580.64583333333)</f>
        <v>42580.64583</v>
      </c>
      <c r="C801" s="2">
        <f>IFERROR(__xludf.DUMMYFUNCTION("""COMPUTED_VALUE"""),1410.0)</f>
        <v>1410</v>
      </c>
    </row>
    <row r="802" ht="15.75" customHeight="1">
      <c r="B802" s="3">
        <f>IFERROR(__xludf.DUMMYFUNCTION("""COMPUTED_VALUE"""),42587.64583333333)</f>
        <v>42587.64583</v>
      </c>
      <c r="C802" s="2">
        <f>IFERROR(__xludf.DUMMYFUNCTION("""COMPUTED_VALUE"""),1397.45)</f>
        <v>1397.45</v>
      </c>
    </row>
    <row r="803" ht="15.75" customHeight="1">
      <c r="B803" s="3">
        <f>IFERROR(__xludf.DUMMYFUNCTION("""COMPUTED_VALUE"""),42594.64583333333)</f>
        <v>42594.64583</v>
      </c>
      <c r="C803" s="2">
        <f>IFERROR(__xludf.DUMMYFUNCTION("""COMPUTED_VALUE"""),1383.8)</f>
        <v>1383.8</v>
      </c>
    </row>
    <row r="804" ht="15.75" customHeight="1">
      <c r="B804" s="3">
        <f>IFERROR(__xludf.DUMMYFUNCTION("""COMPUTED_VALUE"""),42601.64583333333)</f>
        <v>42601.64583</v>
      </c>
      <c r="C804" s="2">
        <f>IFERROR(__xludf.DUMMYFUNCTION("""COMPUTED_VALUE"""),1385.0)</f>
        <v>1385</v>
      </c>
    </row>
    <row r="805" ht="15.75" customHeight="1">
      <c r="B805" s="3">
        <f>IFERROR(__xludf.DUMMYFUNCTION("""COMPUTED_VALUE"""),42608.64583333333)</f>
        <v>42608.64583</v>
      </c>
      <c r="C805" s="2">
        <f>IFERROR(__xludf.DUMMYFUNCTION("""COMPUTED_VALUE"""),1390.0)</f>
        <v>1390</v>
      </c>
    </row>
    <row r="806" ht="15.75" customHeight="1">
      <c r="B806" s="3">
        <f>IFERROR(__xludf.DUMMYFUNCTION("""COMPUTED_VALUE"""),42615.64583333333)</f>
        <v>42615.64583</v>
      </c>
      <c r="C806" s="2">
        <f>IFERROR(__xludf.DUMMYFUNCTION("""COMPUTED_VALUE"""),1441.95)</f>
        <v>1441.95</v>
      </c>
    </row>
    <row r="807" ht="15.75" customHeight="1">
      <c r="B807" s="3">
        <f>IFERROR(__xludf.DUMMYFUNCTION("""COMPUTED_VALUE"""),42622.64583333333)</f>
        <v>42622.64583</v>
      </c>
      <c r="C807" s="2">
        <f>IFERROR(__xludf.DUMMYFUNCTION("""COMPUTED_VALUE"""),1464.0)</f>
        <v>1464</v>
      </c>
    </row>
    <row r="808" ht="15.75" customHeight="1">
      <c r="B808" s="3">
        <f>IFERROR(__xludf.DUMMYFUNCTION("""COMPUTED_VALUE"""),42629.64583333333)</f>
        <v>42629.64583</v>
      </c>
      <c r="C808" s="2">
        <f>IFERROR(__xludf.DUMMYFUNCTION("""COMPUTED_VALUE"""),1417.0)</f>
        <v>1417</v>
      </c>
    </row>
    <row r="809" ht="15.75" customHeight="1">
      <c r="B809" s="3">
        <f>IFERROR(__xludf.DUMMYFUNCTION("""COMPUTED_VALUE"""),42636.64583333333)</f>
        <v>42636.64583</v>
      </c>
      <c r="C809" s="2">
        <f>IFERROR(__xludf.DUMMYFUNCTION("""COMPUTED_VALUE"""),1427.2)</f>
        <v>1427.2</v>
      </c>
    </row>
    <row r="810" ht="15.75" customHeight="1">
      <c r="B810" s="3">
        <f>IFERROR(__xludf.DUMMYFUNCTION("""COMPUTED_VALUE"""),42643.64583333333)</f>
        <v>42643.64583</v>
      </c>
      <c r="C810" s="2">
        <f>IFERROR(__xludf.DUMMYFUNCTION("""COMPUTED_VALUE"""),1432.95)</f>
        <v>1432.95</v>
      </c>
    </row>
    <row r="811" ht="15.75" customHeight="1">
      <c r="B811" s="3">
        <f>IFERROR(__xludf.DUMMYFUNCTION("""COMPUTED_VALUE"""),42650.64583333333)</f>
        <v>42650.64583</v>
      </c>
      <c r="C811" s="2">
        <f>IFERROR(__xludf.DUMMYFUNCTION("""COMPUTED_VALUE"""),1437.35)</f>
        <v>1437.35</v>
      </c>
    </row>
    <row r="812" ht="15.75" customHeight="1">
      <c r="B812" s="3">
        <f>IFERROR(__xludf.DUMMYFUNCTION("""COMPUTED_VALUE"""),42657.64583333333)</f>
        <v>42657.64583</v>
      </c>
      <c r="C812" s="2">
        <f>IFERROR(__xludf.DUMMYFUNCTION("""COMPUTED_VALUE"""),1412.0)</f>
        <v>1412</v>
      </c>
    </row>
    <row r="813" ht="15.75" customHeight="1">
      <c r="B813" s="3">
        <f>IFERROR(__xludf.DUMMYFUNCTION("""COMPUTED_VALUE"""),42664.64583333333)</f>
        <v>42664.64583</v>
      </c>
      <c r="C813" s="2">
        <f>IFERROR(__xludf.DUMMYFUNCTION("""COMPUTED_VALUE"""),1368.0)</f>
        <v>1368</v>
      </c>
    </row>
    <row r="814" ht="15.75" customHeight="1">
      <c r="B814" s="3">
        <f>IFERROR(__xludf.DUMMYFUNCTION("""COMPUTED_VALUE"""),42671.64583333333)</f>
        <v>42671.64583</v>
      </c>
      <c r="C814" s="2">
        <f>IFERROR(__xludf.DUMMYFUNCTION("""COMPUTED_VALUE"""),1393.0)</f>
        <v>1393</v>
      </c>
    </row>
    <row r="815" ht="15.75" customHeight="1">
      <c r="B815" s="3">
        <f>IFERROR(__xludf.DUMMYFUNCTION("""COMPUTED_VALUE"""),42678.64583333333)</f>
        <v>42678.64583</v>
      </c>
      <c r="C815" s="2">
        <f>IFERROR(__xludf.DUMMYFUNCTION("""COMPUTED_VALUE"""),1431.75)</f>
        <v>1431.75</v>
      </c>
    </row>
    <row r="816" ht="15.75" customHeight="1">
      <c r="B816" s="3">
        <f>IFERROR(__xludf.DUMMYFUNCTION("""COMPUTED_VALUE"""),42685.64583333333)</f>
        <v>42685.64583</v>
      </c>
      <c r="C816" s="2">
        <f>IFERROR(__xludf.DUMMYFUNCTION("""COMPUTED_VALUE"""),1401.95)</f>
        <v>1401.95</v>
      </c>
    </row>
    <row r="817" ht="15.75" customHeight="1">
      <c r="B817" s="3">
        <f>IFERROR(__xludf.DUMMYFUNCTION("""COMPUTED_VALUE"""),42692.64583333333)</f>
        <v>42692.64583</v>
      </c>
      <c r="C817" s="2">
        <f>IFERROR(__xludf.DUMMYFUNCTION("""COMPUTED_VALUE"""),1270.55)</f>
        <v>1270.55</v>
      </c>
    </row>
    <row r="818" ht="15.75" customHeight="1">
      <c r="B818" s="3">
        <f>IFERROR(__xludf.DUMMYFUNCTION("""COMPUTED_VALUE"""),42699.64583333333)</f>
        <v>42699.64583</v>
      </c>
      <c r="C818" s="2">
        <f>IFERROR(__xludf.DUMMYFUNCTION("""COMPUTED_VALUE"""),1257.15)</f>
        <v>1257.15</v>
      </c>
    </row>
    <row r="819" ht="15.75" customHeight="1">
      <c r="B819" s="3">
        <f>IFERROR(__xludf.DUMMYFUNCTION("""COMPUTED_VALUE"""),42706.64583333333)</f>
        <v>42706.64583</v>
      </c>
      <c r="C819" s="2">
        <f>IFERROR(__xludf.DUMMYFUNCTION("""COMPUTED_VALUE"""),1285.75)</f>
        <v>1285.75</v>
      </c>
    </row>
    <row r="820" ht="15.75" customHeight="1">
      <c r="B820" s="3">
        <f>IFERROR(__xludf.DUMMYFUNCTION("""COMPUTED_VALUE"""),42713.64583333333)</f>
        <v>42713.64583</v>
      </c>
      <c r="C820" s="2">
        <f>IFERROR(__xludf.DUMMYFUNCTION("""COMPUTED_VALUE"""),1295.0)</f>
        <v>1295</v>
      </c>
    </row>
    <row r="821" ht="15.75" customHeight="1">
      <c r="B821" s="3">
        <f>IFERROR(__xludf.DUMMYFUNCTION("""COMPUTED_VALUE"""),42720.64583333333)</f>
        <v>42720.64583</v>
      </c>
      <c r="C821" s="2">
        <f>IFERROR(__xludf.DUMMYFUNCTION("""COMPUTED_VALUE"""),1281.5)</f>
        <v>1281.5</v>
      </c>
    </row>
    <row r="822" ht="15.75" customHeight="1">
      <c r="B822" s="3">
        <f>IFERROR(__xludf.DUMMYFUNCTION("""COMPUTED_VALUE"""),42727.64583333333)</f>
        <v>42727.64583</v>
      </c>
      <c r="C822" s="2">
        <f>IFERROR(__xludf.DUMMYFUNCTION("""COMPUTED_VALUE"""),1263.9)</f>
        <v>1263.9</v>
      </c>
    </row>
    <row r="823" ht="15.75" customHeight="1">
      <c r="B823" s="3">
        <f>IFERROR(__xludf.DUMMYFUNCTION("""COMPUTED_VALUE"""),42734.64583333333)</f>
        <v>42734.64583</v>
      </c>
      <c r="C823" s="2">
        <f>IFERROR(__xludf.DUMMYFUNCTION("""COMPUTED_VALUE"""),1269.75)</f>
        <v>1269.75</v>
      </c>
    </row>
    <row r="824" ht="15.75" customHeight="1"/>
    <row r="825" ht="15.75" customHeight="1"/>
    <row r="826" ht="15.75" customHeight="1">
      <c r="B826" s="2" t="str">
        <f>IFERROR(__xludf.DUMMYFUNCTION("GOOGLEFINANCE(""NSE:HDFC"",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IFERROR(__xludf.DUMMYFUNCTION("""COMPUTED_VALUE"""),1272.0)</f>
        <v>1272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IFERROR(__xludf.DUMMYFUNCTION("""COMPUTED_VALUE"""),1250.6)</f>
        <v>1250.6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IFERROR(__xludf.DUMMYFUNCTION("""COMPUTED_VALUE"""),1264.0)</f>
        <v>1264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IFERROR(__xludf.DUMMYFUNCTION("""COMPUTED_VALUE"""),1379.0)</f>
        <v>1379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IFERROR(__xludf.DUMMYFUNCTION("""COMPUTED_VALUE"""),1417.45)</f>
        <v>1417.45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IFERROR(__xludf.DUMMYFUNCTION("""COMPUTED_VALUE"""),1421.2)</f>
        <v>1421.2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IFERROR(__xludf.DUMMYFUNCTION("""COMPUTED_VALUE"""),1432.65)</f>
        <v>1432.65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IFERROR(__xludf.DUMMYFUNCTION("""COMPUTED_VALUE"""),1415.0)</f>
        <v>1415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IFERROR(__xludf.DUMMYFUNCTION("""COMPUTED_VALUE"""),1415.4)</f>
        <v>1415.4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IFERROR(__xludf.DUMMYFUNCTION("""COMPUTED_VALUE"""),1392.0)</f>
        <v>1392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IFERROR(__xludf.DUMMYFUNCTION("""COMPUTED_VALUE"""),1458.5)</f>
        <v>1458.5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IFERROR(__xludf.DUMMYFUNCTION("""COMPUTED_VALUE"""),1473.45)</f>
        <v>1473.45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IFERROR(__xludf.DUMMYFUNCTION("""COMPUTED_VALUE"""),1531.0)</f>
        <v>1531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IFERROR(__xludf.DUMMYFUNCTION("""COMPUTED_VALUE"""),1537.2)</f>
        <v>1537.2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IFERROR(__xludf.DUMMYFUNCTION("""COMPUTED_VALUE"""),1486.95)</f>
        <v>1486.95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IFERROR(__xludf.DUMMYFUNCTION("""COMPUTED_VALUE"""),1531.75)</f>
        <v>1531.75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IFERROR(__xludf.DUMMYFUNCTION("""COMPUTED_VALUE"""),1590.0)</f>
        <v>1590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IFERROR(__xludf.DUMMYFUNCTION("""COMPUTED_VALUE"""),1591.85)</f>
        <v>1591.85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IFERROR(__xludf.DUMMYFUNCTION("""COMPUTED_VALUE"""),1581.0)</f>
        <v>1581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IFERROR(__xludf.DUMMYFUNCTION("""COMPUTED_VALUE"""),1572.6)</f>
        <v>1572.6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IFERROR(__xludf.DUMMYFUNCTION("""COMPUTED_VALUE"""),1563.0)</f>
        <v>1563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IFERROR(__xludf.DUMMYFUNCTION("""COMPUTED_VALUE"""),1612.8)</f>
        <v>1612.8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IFERROR(__xludf.DUMMYFUNCTION("""COMPUTED_VALUE"""),1649.0)</f>
        <v>1649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IFERROR(__xludf.DUMMYFUNCTION("""COMPUTED_VALUE"""),1682.2)</f>
        <v>1682.2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IFERROR(__xludf.DUMMYFUNCTION("""COMPUTED_VALUE"""),1661.0)</f>
        <v>1661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IFERROR(__xludf.DUMMYFUNCTION("""COMPUTED_VALUE"""),1667.0)</f>
        <v>1667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IFERROR(__xludf.DUMMYFUNCTION("""COMPUTED_VALUE"""),1654.0)</f>
        <v>1654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IFERROR(__xludf.DUMMYFUNCTION("""COMPUTED_VALUE"""),1665.0)</f>
        <v>1665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IFERROR(__xludf.DUMMYFUNCTION("""COMPUTED_VALUE"""),1676.95)</f>
        <v>1676.95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IFERROR(__xludf.DUMMYFUNCTION("""COMPUTED_VALUE"""),1799.2)</f>
        <v>1799.2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IFERROR(__xludf.DUMMYFUNCTION("""COMPUTED_VALUE"""),1799.9)</f>
        <v>1799.9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IFERROR(__xludf.DUMMYFUNCTION("""COMPUTED_VALUE"""),1753.0)</f>
        <v>1753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IFERROR(__xludf.DUMMYFUNCTION("""COMPUTED_VALUE"""),1766.0)</f>
        <v>1766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IFERROR(__xludf.DUMMYFUNCTION("""COMPUTED_VALUE"""),1769.0)</f>
        <v>1769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IFERROR(__xludf.DUMMYFUNCTION("""COMPUTED_VALUE"""),1784.45)</f>
        <v>1784.45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IFERROR(__xludf.DUMMYFUNCTION("""COMPUTED_VALUE"""),1790.4)</f>
        <v>1790.4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IFERROR(__xludf.DUMMYFUNCTION("""COMPUTED_VALUE"""),1802.0)</f>
        <v>1802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IFERROR(__xludf.DUMMYFUNCTION("""COMPUTED_VALUE"""),1795.35)</f>
        <v>1795.35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IFERROR(__xludf.DUMMYFUNCTION("""COMPUTED_VALUE"""),1777.85)</f>
        <v>1777.85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IFERROR(__xludf.DUMMYFUNCTION("""COMPUTED_VALUE"""),1777.65)</f>
        <v>1777.65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IFERROR(__xludf.DUMMYFUNCTION("""COMPUTED_VALUE"""),1773.8)</f>
        <v>1773.8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IFERROR(__xludf.DUMMYFUNCTION("""COMPUTED_VALUE"""),1779.4)</f>
        <v>1779.4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IFERROR(__xludf.DUMMYFUNCTION("""COMPUTED_VALUE"""),1751.8)</f>
        <v>1751.8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IFERROR(__xludf.DUMMYFUNCTION("""COMPUTED_VALUE"""),1790.0)</f>
        <v>1790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IFERROR(__xludf.DUMMYFUNCTION("""COMPUTED_VALUE"""),1804.0)</f>
        <v>1804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IFERROR(__xludf.DUMMYFUNCTION("""COMPUTED_VALUE"""),1720.0)</f>
        <v>1720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IFERROR(__xludf.DUMMYFUNCTION("""COMPUTED_VALUE"""),1724.95)</f>
        <v>1724.95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IFERROR(__xludf.DUMMYFUNCTION("""COMPUTED_VALUE"""),1737.0)</f>
        <v>1737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IFERROR(__xludf.DUMMYFUNCTION("""COMPUTED_VALUE"""),1690.0)</f>
        <v>1690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IFERROR(__xludf.DUMMYFUNCTION("""COMPUTED_VALUE"""),1734.55)</f>
        <v>1734.55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IFERROR(__xludf.DUMMYFUNCTION("""COMPUTED_VALUE"""),1741.3)</f>
        <v>1741.3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IFERROR(__xludf.DUMMYFUNCTION("""COMPUTED_VALUE"""),1719.0)</f>
        <v>1719</v>
      </c>
    </row>
    <row r="879" ht="15.75" customHeight="1"/>
    <row r="880" ht="15.75" customHeight="1"/>
    <row r="881" ht="15.75" customHeight="1">
      <c r="B881" s="2" t="str">
        <f>IFERROR(__xludf.DUMMYFUNCTION("GOOGLEFINANCE(""NSE:HDFC"",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IFERROR(__xludf.DUMMYFUNCTION("""COMPUTED_VALUE"""),1731.0)</f>
        <v>1731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IFERROR(__xludf.DUMMYFUNCTION("""COMPUTED_VALUE"""),1764.95)</f>
        <v>1764.95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IFERROR(__xludf.DUMMYFUNCTION("""COMPUTED_VALUE"""),1918.65)</f>
        <v>1918.65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IFERROR(__xludf.DUMMYFUNCTION("""COMPUTED_VALUE"""),1924.35)</f>
        <v>1924.35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IFERROR(__xludf.DUMMYFUNCTION("""COMPUTED_VALUE"""),1986.05)</f>
        <v>1986.05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IFERROR(__xludf.DUMMYFUNCTION("""COMPUTED_VALUE"""),1886.0)</f>
        <v>1886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IFERROR(__xludf.DUMMYFUNCTION("""COMPUTED_VALUE"""),1851.0)</f>
        <v>1851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IFERROR(__xludf.DUMMYFUNCTION("""COMPUTED_VALUE"""),1840.0)</f>
        <v>1840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IFERROR(__xludf.DUMMYFUNCTION("""COMPUTED_VALUE"""),1852.75)</f>
        <v>1852.75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IFERROR(__xludf.DUMMYFUNCTION("""COMPUTED_VALUE"""),1834.3)</f>
        <v>1834.3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IFERROR(__xludf.DUMMYFUNCTION("""COMPUTED_VALUE"""),1881.5)</f>
        <v>1881.5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IFERROR(__xludf.DUMMYFUNCTION("""COMPUTED_VALUE"""),1838.5)</f>
        <v>1838.5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IFERROR(__xludf.DUMMYFUNCTION("""COMPUTED_VALUE"""),1838.0)</f>
        <v>1838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IFERROR(__xludf.DUMMYFUNCTION("""COMPUTED_VALUE"""),1854.15)</f>
        <v>1854.15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IFERROR(__xludf.DUMMYFUNCTION("""COMPUTED_VALUE"""),1851.65)</f>
        <v>1851.65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IFERROR(__xludf.DUMMYFUNCTION("""COMPUTED_VALUE"""),1898.0)</f>
        <v>1898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IFERROR(__xludf.DUMMYFUNCTION("""COMPUTED_VALUE"""),1867.5)</f>
        <v>1867.5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IFERROR(__xludf.DUMMYFUNCTION("""COMPUTED_VALUE"""),1933.8)</f>
        <v>1933.8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IFERROR(__xludf.DUMMYFUNCTION("""COMPUTED_VALUE"""),1922.1)</f>
        <v>1922.1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IFERROR(__xludf.DUMMYFUNCTION("""COMPUTED_VALUE"""),1941.9)</f>
        <v>1941.9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IFERROR(__xludf.DUMMYFUNCTION("""COMPUTED_VALUE"""),1860.0)</f>
        <v>1860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IFERROR(__xludf.DUMMYFUNCTION("""COMPUTED_VALUE"""),1857.0)</f>
        <v>1857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IFERROR(__xludf.DUMMYFUNCTION("""COMPUTED_VALUE"""),1874.0)</f>
        <v>1874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IFERROR(__xludf.DUMMYFUNCTION("""COMPUTED_VALUE"""),1865.45)</f>
        <v>1865.45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IFERROR(__xludf.DUMMYFUNCTION("""COMPUTED_VALUE"""),1912.7)</f>
        <v>1912.7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IFERROR(__xludf.DUMMYFUNCTION("""COMPUTED_VALUE"""),1936.0)</f>
        <v>1936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IFERROR(__xludf.DUMMYFUNCTION("""COMPUTED_VALUE"""),1938.4)</f>
        <v>1938.4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IFERROR(__xludf.DUMMYFUNCTION("""COMPUTED_VALUE"""),1979.9)</f>
        <v>1979.9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IFERROR(__xludf.DUMMYFUNCTION("""COMPUTED_VALUE"""),2025.0)</f>
        <v>2025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IFERROR(__xludf.DUMMYFUNCTION("""COMPUTED_VALUE"""),2049.95)</f>
        <v>2049.95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IFERROR(__xludf.DUMMYFUNCTION("""COMPUTED_VALUE"""),2052.95)</f>
        <v>2052.95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IFERROR(__xludf.DUMMYFUNCTION("""COMPUTED_VALUE"""),1999.0)</f>
        <v>1999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IFERROR(__xludf.DUMMYFUNCTION("""COMPUTED_VALUE"""),1970.65)</f>
        <v>1970.65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IFERROR(__xludf.DUMMYFUNCTION("""COMPUTED_VALUE"""),1954.95)</f>
        <v>1954.95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IFERROR(__xludf.DUMMYFUNCTION("""COMPUTED_VALUE"""),1971.4)</f>
        <v>1971.4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IFERROR(__xludf.DUMMYFUNCTION("""COMPUTED_VALUE"""),1965.0)</f>
        <v>1965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IFERROR(__xludf.DUMMYFUNCTION("""COMPUTED_VALUE"""),1928.95)</f>
        <v>1928.95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IFERROR(__xludf.DUMMYFUNCTION("""COMPUTED_VALUE"""),1910.0)</f>
        <v>1910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IFERROR(__xludf.DUMMYFUNCTION("""COMPUTED_VALUE"""),1846.25)</f>
        <v>1846.25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IFERROR(__xludf.DUMMYFUNCTION("""COMPUTED_VALUE"""),1819.45)</f>
        <v>1819.45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IFERROR(__xludf.DUMMYFUNCTION("""COMPUTED_VALUE"""),1768.0)</f>
        <v>1768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IFERROR(__xludf.DUMMYFUNCTION("""COMPUTED_VALUE"""),1775.0)</f>
        <v>1775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IFERROR(__xludf.DUMMYFUNCTION("""COMPUTED_VALUE"""),1748.5)</f>
        <v>1748.5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IFERROR(__xludf.DUMMYFUNCTION("""COMPUTED_VALUE"""),1836.9)</f>
        <v>1836.9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IFERROR(__xludf.DUMMYFUNCTION("""COMPUTED_VALUE"""),1832.7)</f>
        <v>1832.7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IFERROR(__xludf.DUMMYFUNCTION("""COMPUTED_VALUE"""),1892.9)</f>
        <v>1892.9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IFERROR(__xludf.DUMMYFUNCTION("""COMPUTED_VALUE"""),1906.95)</f>
        <v>1906.95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IFERROR(__xludf.DUMMYFUNCTION("""COMPUTED_VALUE"""),1998.75)</f>
        <v>1998.75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IFERROR(__xludf.DUMMYFUNCTION("""COMPUTED_VALUE"""),2017.0)</f>
        <v>2017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IFERROR(__xludf.DUMMYFUNCTION("""COMPUTED_VALUE"""),1961.9)</f>
        <v>1961.9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IFERROR(__xludf.DUMMYFUNCTION("""COMPUTED_VALUE"""),1985.5)</f>
        <v>1985.5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IFERROR(__xludf.DUMMYFUNCTION("""COMPUTED_VALUE"""),1990.0)</f>
        <v>1990</v>
      </c>
    </row>
    <row r="934" ht="15.75" customHeight="1"/>
    <row r="935" ht="15.75" customHeight="1"/>
    <row r="936" ht="15.75" customHeight="1">
      <c r="B936" s="2" t="str">
        <f>IFERROR(__xludf.DUMMYFUNCTION("GOOGLEFINANCE(""NSE:HDFC"",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IFERROR(__xludf.DUMMYFUNCTION("""COMPUTED_VALUE"""),2014.7)</f>
        <v>2014.7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IFERROR(__xludf.DUMMYFUNCTION("""COMPUTED_VALUE"""),2007.7)</f>
        <v>2007.7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IFERROR(__xludf.DUMMYFUNCTION("""COMPUTED_VALUE"""),2012.6)</f>
        <v>2012.6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IFERROR(__xludf.DUMMYFUNCTION("""COMPUTED_VALUE"""),2016.0)</f>
        <v>2016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IFERROR(__xludf.DUMMYFUNCTION("""COMPUTED_VALUE"""),1982.2)</f>
        <v>1982.2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IFERROR(__xludf.DUMMYFUNCTION("""COMPUTED_VALUE"""),1994.9)</f>
        <v>1994.9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IFERROR(__xludf.DUMMYFUNCTION("""COMPUTED_VALUE"""),1959.0)</f>
        <v>1959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IFERROR(__xludf.DUMMYFUNCTION("""COMPUTED_VALUE"""),1899.0)</f>
        <v>1899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IFERROR(__xludf.DUMMYFUNCTION("""COMPUTED_VALUE"""),1897.9)</f>
        <v>1897.9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IFERROR(__xludf.DUMMYFUNCTION("""COMPUTED_VALUE"""),1892.0)</f>
        <v>1892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IFERROR(__xludf.DUMMYFUNCTION("""COMPUTED_VALUE"""),1991.7)</f>
        <v>1991.7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IFERROR(__xludf.DUMMYFUNCTION("""COMPUTED_VALUE"""),2010.0)</f>
        <v>2010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IFERROR(__xludf.DUMMYFUNCTION("""COMPUTED_VALUE"""),1976.9)</f>
        <v>1976.9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IFERROR(__xludf.DUMMYFUNCTION("""COMPUTED_VALUE"""),2065.0)</f>
        <v>2065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IFERROR(__xludf.DUMMYFUNCTION("""COMPUTED_VALUE"""),2073.0)</f>
        <v>2073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IFERROR(__xludf.DUMMYFUNCTION("""COMPUTED_VALUE"""),2047.9)</f>
        <v>2047.9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IFERROR(__xludf.DUMMYFUNCTION("""COMPUTED_VALUE"""),2010.0)</f>
        <v>2010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IFERROR(__xludf.DUMMYFUNCTION("""COMPUTED_VALUE"""),2037.6)</f>
        <v>2037.6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IFERROR(__xludf.DUMMYFUNCTION("""COMPUTED_VALUE"""),2009.15)</f>
        <v>2009.15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IFERROR(__xludf.DUMMYFUNCTION("""COMPUTED_VALUE"""),1997.95)</f>
        <v>1997.95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IFERROR(__xludf.DUMMYFUNCTION("""COMPUTED_VALUE"""),2210.0)</f>
        <v>2210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IFERROR(__xludf.DUMMYFUNCTION("""COMPUTED_VALUE"""),2197.0)</f>
        <v>2197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IFERROR(__xludf.DUMMYFUNCTION("""COMPUTED_VALUE"""),2235.0)</f>
        <v>2235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IFERROR(__xludf.DUMMYFUNCTION("""COMPUTED_VALUE"""),2224.8)</f>
        <v>2224.8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IFERROR(__xludf.DUMMYFUNCTION("""COMPUTED_VALUE"""),2207.7)</f>
        <v>2207.7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IFERROR(__xludf.DUMMYFUNCTION("""COMPUTED_VALUE"""),2205.0)</f>
        <v>2205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IFERROR(__xludf.DUMMYFUNCTION("""COMPUTED_VALUE"""),2300.7)</f>
        <v>2300.7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IFERROR(__xludf.DUMMYFUNCTION("""COMPUTED_VALUE"""),2282.0)</f>
        <v>2282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IFERROR(__xludf.DUMMYFUNCTION("""COMPUTED_VALUE"""),2357.85)</f>
        <v>2357.85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IFERROR(__xludf.DUMMYFUNCTION("""COMPUTED_VALUE"""),2298.0)</f>
        <v>2298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IFERROR(__xludf.DUMMYFUNCTION("""COMPUTED_VALUE"""),2174.95)</f>
        <v>2174.95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IFERROR(__xludf.DUMMYFUNCTION("""COMPUTED_VALUE"""),2240.0)</f>
        <v>2240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IFERROR(__xludf.DUMMYFUNCTION("""COMPUTED_VALUE"""),2209.65)</f>
        <v>2209.65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IFERROR(__xludf.DUMMYFUNCTION("""COMPUTED_VALUE"""),2135.0)</f>
        <v>2135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IFERROR(__xludf.DUMMYFUNCTION("""COMPUTED_VALUE"""),2193.6)</f>
        <v>2193.6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IFERROR(__xludf.DUMMYFUNCTION("""COMPUTED_VALUE"""),2144.7)</f>
        <v>2144.7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IFERROR(__xludf.DUMMYFUNCTION("""COMPUTED_VALUE"""),2113.85)</f>
        <v>2113.85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IFERROR(__xludf.DUMMYFUNCTION("""COMPUTED_VALUE"""),2083.0)</f>
        <v>2083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IFERROR(__xludf.DUMMYFUNCTION("""COMPUTED_VALUE"""),2194.8)</f>
        <v>2194.8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IFERROR(__xludf.DUMMYFUNCTION("""COMPUTED_VALUE"""),2038.5)</f>
        <v>2038.5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IFERROR(__xludf.DUMMYFUNCTION("""COMPUTED_VALUE"""),2025.5)</f>
        <v>2025.5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IFERROR(__xludf.DUMMYFUNCTION("""COMPUTED_VALUE"""),2102.0)</f>
        <v>2102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IFERROR(__xludf.DUMMYFUNCTION("""COMPUTED_VALUE"""),2174.2)</f>
        <v>2174.2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IFERROR(__xludf.DUMMYFUNCTION("""COMPUTED_VALUE"""),2167.25)</f>
        <v>2167.25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IFERROR(__xludf.DUMMYFUNCTION("""COMPUTED_VALUE"""),2264.8)</f>
        <v>2264.8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IFERROR(__xludf.DUMMYFUNCTION("""COMPUTED_VALUE"""),2239.8)</f>
        <v>2239.8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IFERROR(__xludf.DUMMYFUNCTION("""COMPUTED_VALUE"""),2240.85)</f>
        <v>2240.85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IFERROR(__xludf.DUMMYFUNCTION("""COMPUTED_VALUE"""),2352.0)</f>
        <v>2352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IFERROR(__xludf.DUMMYFUNCTION("""COMPUTED_VALUE"""),2335.0)</f>
        <v>2335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IFERROR(__xludf.DUMMYFUNCTION("""COMPUTED_VALUE"""),2365.95)</f>
        <v>2365.95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IFERROR(__xludf.DUMMYFUNCTION("""COMPUTED_VALUE"""),2459.3)</f>
        <v>2459.3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IFERROR(__xludf.DUMMYFUNCTION("""COMPUTED_VALUE"""),2449.55)</f>
        <v>2449.55</v>
      </c>
    </row>
    <row r="989" ht="15.75" customHeight="1"/>
    <row r="990" ht="15.75" customHeight="1"/>
    <row r="991" ht="15.75" customHeight="1">
      <c r="B991" s="2" t="str">
        <f>IFERROR(__xludf.DUMMYFUNCTION("GOOGLEFINANCE(""NSE:HDFC"",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IFERROR(__xludf.DUMMYFUNCTION("""COMPUTED_VALUE"""),2472.75)</f>
        <v>2472.75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IFERROR(__xludf.DUMMYFUNCTION("""COMPUTED_VALUE"""),2477.65)</f>
        <v>2477.65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IFERROR(__xludf.DUMMYFUNCTION("""COMPUTED_VALUE"""),2499.9)</f>
        <v>2499.9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IFERROR(__xludf.DUMMYFUNCTION("""COMPUTED_VALUE"""),2486.55)</f>
        <v>2486.55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IFERROR(__xludf.DUMMYFUNCTION("""COMPUTED_VALUE"""),2471.7)</f>
        <v>2471.7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IFERROR(__xludf.DUMMYFUNCTION("""COMPUTED_VALUE"""),2452.3)</f>
        <v>2452.3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IFERROR(__xludf.DUMMYFUNCTION("""COMPUTED_VALUE"""),2487.0)</f>
        <v>2487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IFERROR(__xludf.DUMMYFUNCTION("""COMPUTED_VALUE"""),2406.65)</f>
        <v>2406.65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IFERROR(__xludf.DUMMYFUNCTION("""COMPUTED_VALUE"""),2365.2)</f>
        <v>2365.2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IFERROR(__xludf.DUMMYFUNCTION("""COMPUTED_VALUE"""),2248.35)</f>
        <v>2248.35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IFERROR(__xludf.DUMMYFUNCTION("""COMPUTED_VALUE"""),2123.7)</f>
        <v>2123.7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IFERROR(__xludf.DUMMYFUNCTION("""COMPUTED_VALUE"""),1979.5)</f>
        <v>1979.5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IFERROR(__xludf.DUMMYFUNCTION("""COMPUTED_VALUE"""),1849.65)</f>
        <v>1849.65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IFERROR(__xludf.DUMMYFUNCTION("""COMPUTED_VALUE"""),1699.0)</f>
        <v>1699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IFERROR(__xludf.DUMMYFUNCTION("""COMPUTED_VALUE"""),1714.65)</f>
        <v>1714.65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IFERROR(__xludf.DUMMYFUNCTION("""COMPUTED_VALUE"""),1763.75)</f>
        <v>1763.75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IFERROR(__xludf.DUMMYFUNCTION("""COMPUTED_VALUE"""),1738.0)</f>
        <v>1738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IFERROR(__xludf.DUMMYFUNCTION("""COMPUTED_VALUE"""),1927.0)</f>
        <v>1927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IFERROR(__xludf.DUMMYFUNCTION("""COMPUTED_VALUE"""),1856.0)</f>
        <v>1856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IFERROR(__xludf.DUMMYFUNCTION("""COMPUTED_VALUE"""),1749.5)</f>
        <v>1749.5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IFERROR(__xludf.DUMMYFUNCTION("""COMPUTED_VALUE"""),1651.8)</f>
        <v>1651.8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IFERROR(__xludf.DUMMYFUNCTION("""COMPUTED_VALUE"""),1676.35)</f>
        <v>1676.35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IFERROR(__xludf.DUMMYFUNCTION("""COMPUTED_VALUE"""),1859.45)</f>
        <v>1859.45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IFERROR(__xludf.DUMMYFUNCTION("""COMPUTED_VALUE"""),1826.75)</f>
        <v>1826.75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IFERROR(__xludf.DUMMYFUNCTION("""COMPUTED_VALUE"""),1869.0)</f>
        <v>1869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IFERROR(__xludf.DUMMYFUNCTION("""COMPUTED_VALUE"""),1874.2)</f>
        <v>1874.2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IFERROR(__xludf.DUMMYFUNCTION("""COMPUTED_VALUE"""),1908.0)</f>
        <v>1908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IFERROR(__xludf.DUMMYFUNCTION("""COMPUTED_VALUE"""),1947.9)</f>
        <v>1947.9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IFERROR(__xludf.DUMMYFUNCTION("""COMPUTED_VALUE"""),1907.2)</f>
        <v>1907.2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IFERROR(__xludf.DUMMYFUNCTION("""COMPUTED_VALUE"""),1910.0)</f>
        <v>1910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IFERROR(__xludf.DUMMYFUNCTION("""COMPUTED_VALUE"""),1918.5)</f>
        <v>1918.5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IFERROR(__xludf.DUMMYFUNCTION("""COMPUTED_VALUE"""),1811.5)</f>
        <v>1811.5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IFERROR(__xludf.DUMMYFUNCTION("""COMPUTED_VALUE"""),1846.75)</f>
        <v>1846.75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IFERROR(__xludf.DUMMYFUNCTION("""COMPUTED_VALUE"""),1835.9)</f>
        <v>1835.9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IFERROR(__xludf.DUMMYFUNCTION("""COMPUTED_VALUE"""),1889.0)</f>
        <v>1889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IFERROR(__xludf.DUMMYFUNCTION("""COMPUTED_VALUE"""),1921.9)</f>
        <v>1921.9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IFERROR(__xludf.DUMMYFUNCTION("""COMPUTED_VALUE"""),1801.45)</f>
        <v>1801.45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IFERROR(__xludf.DUMMYFUNCTION("""COMPUTED_VALUE"""),1796.85)</f>
        <v>1796.85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IFERROR(__xludf.DUMMYFUNCTION("""COMPUTED_VALUE"""),1738.75)</f>
        <v>1738.75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IFERROR(__xludf.DUMMYFUNCTION("""COMPUTED_VALUE"""),1799.85)</f>
        <v>1799.85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IFERROR(__xludf.DUMMYFUNCTION("""COMPUTED_VALUE"""),2029.85)</f>
        <v>2029.85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IFERROR(__xludf.DUMMYFUNCTION("""COMPUTED_VALUE"""),2020.0)</f>
        <v>2020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IFERROR(__xludf.DUMMYFUNCTION("""COMPUTED_VALUE"""),2067.9)</f>
        <v>2067.9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IFERROR(__xludf.DUMMYFUNCTION("""COMPUTED_VALUE"""),2083.95)</f>
        <v>2083.95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IFERROR(__xludf.DUMMYFUNCTION("""COMPUTED_VALUE"""),2145.0)</f>
        <v>2145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IFERROR(__xludf.DUMMYFUNCTION("""COMPUTED_VALUE"""),2386.55)</f>
        <v>2386.55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IFERROR(__xludf.DUMMYFUNCTION("""COMPUTED_VALUE"""),2347.85)</f>
        <v>2347.85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IFERROR(__xludf.DUMMYFUNCTION("""COMPUTED_VALUE"""),2324.0)</f>
        <v>2324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IFERROR(__xludf.DUMMYFUNCTION("""COMPUTED_VALUE"""),2340.0)</f>
        <v>2340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IFERROR(__xludf.DUMMYFUNCTION("""COMPUTED_VALUE"""),2509.0)</f>
        <v>2509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IFERROR(__xludf.DUMMYFUNCTION("""COMPUTED_VALUE"""),2478.95)</f>
        <v>2478.95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IFERROR(__xludf.DUMMYFUNCTION("""COMPUTED_VALUE"""),2593.3)</f>
        <v>2593.3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IFERROR(__xludf.DUMMYFUNCTION("GOOGLEFINANCE(""NSE:JPASSOCIAT"", ""high"",DATE(2009,1,1),DATE(2010,1,1),""weekly"")"),"Date")</f>
        <v>Date</v>
      </c>
      <c r="C1" s="2" t="str">
        <f>IFERROR(__xludf.DUMMYFUNCTION("""COMPUTED_VALUE"""),"High")</f>
        <v>High</v>
      </c>
    </row>
    <row r="2">
      <c r="A2" s="2" t="s">
        <v>8</v>
      </c>
      <c r="B2" s="3">
        <f>IFERROR(__xludf.DUMMYFUNCTION("""COMPUTED_VALUE"""),39815.645833333336)</f>
        <v>39815.64583</v>
      </c>
      <c r="C2" s="2">
        <f>IFERROR(__xludf.DUMMYFUNCTION("""COMPUTED_VALUE"""),59.97)</f>
        <v>59.97</v>
      </c>
    </row>
    <row r="3">
      <c r="A3" s="2" t="s">
        <v>9</v>
      </c>
      <c r="B3" s="3">
        <f>IFERROR(__xludf.DUMMYFUNCTION("""COMPUTED_VALUE"""),39822.645833333336)</f>
        <v>39822.64583</v>
      </c>
      <c r="C3" s="2">
        <f>IFERROR(__xludf.DUMMYFUNCTION("""COMPUTED_VALUE"""),70.43)</f>
        <v>70.43</v>
      </c>
    </row>
    <row r="4">
      <c r="A4" s="2" t="s">
        <v>10</v>
      </c>
      <c r="B4" s="3">
        <f>IFERROR(__xludf.DUMMYFUNCTION("""COMPUTED_VALUE"""),39829.645833333336)</f>
        <v>39829.64583</v>
      </c>
      <c r="C4" s="2">
        <f>IFERROR(__xludf.DUMMYFUNCTION("""COMPUTED_VALUE"""),48.0)</f>
        <v>48</v>
      </c>
    </row>
    <row r="5">
      <c r="A5" s="2" t="s">
        <v>11</v>
      </c>
      <c r="B5" s="3">
        <f>IFERROR(__xludf.DUMMYFUNCTION("""COMPUTED_VALUE"""),39836.645833333336)</f>
        <v>39836.64583</v>
      </c>
      <c r="C5" s="2">
        <f>IFERROR(__xludf.DUMMYFUNCTION("""COMPUTED_VALUE"""),47.3)</f>
        <v>47.3</v>
      </c>
    </row>
    <row r="6">
      <c r="A6" s="2" t="s">
        <v>12</v>
      </c>
      <c r="B6" s="3">
        <f>IFERROR(__xludf.DUMMYFUNCTION("""COMPUTED_VALUE"""),39843.645833333336)</f>
        <v>39843.64583</v>
      </c>
      <c r="C6" s="2">
        <f>IFERROR(__xludf.DUMMYFUNCTION("""COMPUTED_VALUE"""),51.6)</f>
        <v>51.6</v>
      </c>
    </row>
    <row r="7">
      <c r="B7" s="3">
        <f>IFERROR(__xludf.DUMMYFUNCTION("""COMPUTED_VALUE"""),39850.645833333336)</f>
        <v>39850.64583</v>
      </c>
      <c r="C7" s="2">
        <f>IFERROR(__xludf.DUMMYFUNCTION("""COMPUTED_VALUE"""),50.67)</f>
        <v>50.67</v>
      </c>
    </row>
    <row r="8">
      <c r="B8" s="3">
        <f>IFERROR(__xludf.DUMMYFUNCTION("""COMPUTED_VALUE"""),39857.645833333336)</f>
        <v>39857.64583</v>
      </c>
      <c r="C8" s="2">
        <f>IFERROR(__xludf.DUMMYFUNCTION("""COMPUTED_VALUE"""),51.93)</f>
        <v>51.93</v>
      </c>
    </row>
    <row r="9">
      <c r="B9" s="3">
        <f>IFERROR(__xludf.DUMMYFUNCTION("""COMPUTED_VALUE"""),39864.645833333336)</f>
        <v>39864.64583</v>
      </c>
      <c r="C9" s="2">
        <f>IFERROR(__xludf.DUMMYFUNCTION("""COMPUTED_VALUE"""),51.3)</f>
        <v>51.3</v>
      </c>
    </row>
    <row r="10">
      <c r="B10" s="3">
        <f>IFERROR(__xludf.DUMMYFUNCTION("""COMPUTED_VALUE"""),39871.645833333336)</f>
        <v>39871.64583</v>
      </c>
      <c r="C10" s="2">
        <f>IFERROR(__xludf.DUMMYFUNCTION("""COMPUTED_VALUE"""),46.13)</f>
        <v>46.13</v>
      </c>
    </row>
    <row r="11">
      <c r="B11" s="3">
        <f>IFERROR(__xludf.DUMMYFUNCTION("""COMPUTED_VALUE"""),39878.645833333336)</f>
        <v>39878.64583</v>
      </c>
      <c r="C11" s="2">
        <f>IFERROR(__xludf.DUMMYFUNCTION("""COMPUTED_VALUE"""),46.5)</f>
        <v>46.5</v>
      </c>
    </row>
    <row r="12">
      <c r="B12" s="3">
        <f>IFERROR(__xludf.DUMMYFUNCTION("""COMPUTED_VALUE"""),39885.645833333336)</f>
        <v>39885.64583</v>
      </c>
      <c r="C12" s="2">
        <f>IFERROR(__xludf.DUMMYFUNCTION("""COMPUTED_VALUE"""),47.77)</f>
        <v>47.77</v>
      </c>
    </row>
    <row r="13">
      <c r="B13" s="3">
        <f>IFERROR(__xludf.DUMMYFUNCTION("""COMPUTED_VALUE"""),39892.645833333336)</f>
        <v>39892.64583</v>
      </c>
      <c r="C13" s="2">
        <f>IFERROR(__xludf.DUMMYFUNCTION("""COMPUTED_VALUE"""),55.2)</f>
        <v>55.2</v>
      </c>
    </row>
    <row r="14">
      <c r="B14" s="3">
        <f>IFERROR(__xludf.DUMMYFUNCTION("""COMPUTED_VALUE"""),39899.645833333336)</f>
        <v>39899.64583</v>
      </c>
      <c r="C14" s="2">
        <f>IFERROR(__xludf.DUMMYFUNCTION("""COMPUTED_VALUE"""),60.67)</f>
        <v>60.67</v>
      </c>
    </row>
    <row r="15">
      <c r="B15" s="3">
        <f>IFERROR(__xludf.DUMMYFUNCTION("""COMPUTED_VALUE"""),39905.645833333336)</f>
        <v>39905.64583</v>
      </c>
      <c r="C15" s="2">
        <f>IFERROR(__xludf.DUMMYFUNCTION("""COMPUTED_VALUE"""),65.4)</f>
        <v>65.4</v>
      </c>
    </row>
    <row r="16">
      <c r="B16" s="3">
        <f>IFERROR(__xludf.DUMMYFUNCTION("""COMPUTED_VALUE"""),39912.645833333336)</f>
        <v>39912.64583</v>
      </c>
      <c r="C16" s="2">
        <f>IFERROR(__xludf.DUMMYFUNCTION("""COMPUTED_VALUE"""),78.23)</f>
        <v>78.23</v>
      </c>
    </row>
    <row r="17">
      <c r="B17" s="3">
        <f>IFERROR(__xludf.DUMMYFUNCTION("""COMPUTED_VALUE"""),39920.645833333336)</f>
        <v>39920.64583</v>
      </c>
      <c r="C17" s="2">
        <f>IFERROR(__xludf.DUMMYFUNCTION("""COMPUTED_VALUE"""),85.27)</f>
        <v>85.27</v>
      </c>
    </row>
    <row r="18">
      <c r="B18" s="3">
        <f>IFERROR(__xludf.DUMMYFUNCTION("""COMPUTED_VALUE"""),39927.645833333336)</f>
        <v>39927.64583</v>
      </c>
      <c r="C18" s="2">
        <f>IFERROR(__xludf.DUMMYFUNCTION("""COMPUTED_VALUE"""),84.93)</f>
        <v>84.93</v>
      </c>
    </row>
    <row r="19">
      <c r="B19" s="3">
        <f>IFERROR(__xludf.DUMMYFUNCTION("""COMPUTED_VALUE"""),39932.645833333336)</f>
        <v>39932.64583</v>
      </c>
      <c r="C19" s="2">
        <f>IFERROR(__xludf.DUMMYFUNCTION("""COMPUTED_VALUE"""),96.17)</f>
        <v>96.17</v>
      </c>
    </row>
    <row r="20">
      <c r="B20" s="3">
        <f>IFERROR(__xludf.DUMMYFUNCTION("""COMPUTED_VALUE"""),39941.645833333336)</f>
        <v>39941.64583</v>
      </c>
      <c r="C20" s="2">
        <f>IFERROR(__xludf.DUMMYFUNCTION("""COMPUTED_VALUE"""),101.67)</f>
        <v>101.67</v>
      </c>
    </row>
    <row r="21" ht="15.75" customHeight="1">
      <c r="B21" s="3">
        <f>IFERROR(__xludf.DUMMYFUNCTION("""COMPUTED_VALUE"""),39948.645833333336)</f>
        <v>39948.64583</v>
      </c>
      <c r="C21" s="2">
        <f>IFERROR(__xludf.DUMMYFUNCTION("""COMPUTED_VALUE"""),97.5)</f>
        <v>97.5</v>
      </c>
    </row>
    <row r="22" ht="15.75" customHeight="1">
      <c r="B22" s="3">
        <f>IFERROR(__xludf.DUMMYFUNCTION("""COMPUTED_VALUE"""),39955.645833333336)</f>
        <v>39955.64583</v>
      </c>
      <c r="C22" s="2">
        <f>IFERROR(__xludf.DUMMYFUNCTION("""COMPUTED_VALUE"""),125.6)</f>
        <v>125.6</v>
      </c>
    </row>
    <row r="23" ht="15.75" customHeight="1">
      <c r="B23" s="3">
        <f>IFERROR(__xludf.DUMMYFUNCTION("""COMPUTED_VALUE"""),39962.645833333336)</f>
        <v>39962.64583</v>
      </c>
      <c r="C23" s="2">
        <f>IFERROR(__xludf.DUMMYFUNCTION("""COMPUTED_VALUE"""),140.0)</f>
        <v>140</v>
      </c>
    </row>
    <row r="24" ht="15.75" customHeight="1">
      <c r="B24" s="3">
        <f>IFERROR(__xludf.DUMMYFUNCTION("""COMPUTED_VALUE"""),39969.645833333336)</f>
        <v>39969.64583</v>
      </c>
      <c r="C24" s="2">
        <f>IFERROR(__xludf.DUMMYFUNCTION("""COMPUTED_VALUE"""),157.2)</f>
        <v>157.2</v>
      </c>
    </row>
    <row r="25" ht="15.75" customHeight="1">
      <c r="B25" s="3">
        <f>IFERROR(__xludf.DUMMYFUNCTION("""COMPUTED_VALUE"""),39976.645833333336)</f>
        <v>39976.64583</v>
      </c>
      <c r="C25" s="2">
        <f>IFERROR(__xludf.DUMMYFUNCTION("""COMPUTED_VALUE"""),156.27)</f>
        <v>156.27</v>
      </c>
    </row>
    <row r="26" ht="15.75" customHeight="1">
      <c r="B26" s="3">
        <f>IFERROR(__xludf.DUMMYFUNCTION("""COMPUTED_VALUE"""),39983.645833333336)</f>
        <v>39983.64583</v>
      </c>
      <c r="C26" s="2">
        <f>IFERROR(__xludf.DUMMYFUNCTION("""COMPUTED_VALUE"""),149.53)</f>
        <v>149.53</v>
      </c>
    </row>
    <row r="27" ht="15.75" customHeight="1">
      <c r="B27" s="3">
        <f>IFERROR(__xludf.DUMMYFUNCTION("""COMPUTED_VALUE"""),39990.645833333336)</f>
        <v>39990.64583</v>
      </c>
      <c r="C27" s="2">
        <f>IFERROR(__xludf.DUMMYFUNCTION("""COMPUTED_VALUE"""),148.8)</f>
        <v>148.8</v>
      </c>
    </row>
    <row r="28" ht="15.75" customHeight="1">
      <c r="B28" s="3">
        <f>IFERROR(__xludf.DUMMYFUNCTION("""COMPUTED_VALUE"""),39997.645833333336)</f>
        <v>39997.64583</v>
      </c>
      <c r="C28" s="2">
        <f>IFERROR(__xludf.DUMMYFUNCTION("""COMPUTED_VALUE"""),150.6)</f>
        <v>150.6</v>
      </c>
    </row>
    <row r="29" ht="15.75" customHeight="1">
      <c r="B29" s="3">
        <f>IFERROR(__xludf.DUMMYFUNCTION("""COMPUTED_VALUE"""),40004.645833333336)</f>
        <v>40004.64583</v>
      </c>
      <c r="C29" s="2">
        <f>IFERROR(__xludf.DUMMYFUNCTION("""COMPUTED_VALUE"""),146.6)</f>
        <v>146.6</v>
      </c>
    </row>
    <row r="30" ht="15.75" customHeight="1">
      <c r="B30" s="3">
        <f>IFERROR(__xludf.DUMMYFUNCTION("""COMPUTED_VALUE"""),40011.645833333336)</f>
        <v>40011.64583</v>
      </c>
      <c r="C30" s="2">
        <f>IFERROR(__xludf.DUMMYFUNCTION("""COMPUTED_VALUE"""),143.33)</f>
        <v>143.33</v>
      </c>
    </row>
    <row r="31" ht="15.75" customHeight="1">
      <c r="B31" s="3">
        <f>IFERROR(__xludf.DUMMYFUNCTION("""COMPUTED_VALUE"""),40018.645833333336)</f>
        <v>40018.64583</v>
      </c>
      <c r="C31" s="2">
        <f>IFERROR(__xludf.DUMMYFUNCTION("""COMPUTED_VALUE"""),162.0)</f>
        <v>162</v>
      </c>
    </row>
    <row r="32" ht="15.75" customHeight="1">
      <c r="B32" s="3">
        <f>IFERROR(__xludf.DUMMYFUNCTION("""COMPUTED_VALUE"""),40025.645833333336)</f>
        <v>40025.64583</v>
      </c>
      <c r="C32" s="2">
        <f>IFERROR(__xludf.DUMMYFUNCTION("""COMPUTED_VALUE"""),167.33)</f>
        <v>167.33</v>
      </c>
    </row>
    <row r="33" ht="15.75" customHeight="1">
      <c r="B33" s="3">
        <f>IFERROR(__xludf.DUMMYFUNCTION("""COMPUTED_VALUE"""),40032.645833333336)</f>
        <v>40032.64583</v>
      </c>
      <c r="C33" s="2">
        <f>IFERROR(__xludf.DUMMYFUNCTION("""COMPUTED_VALUE"""),168.67)</f>
        <v>168.67</v>
      </c>
    </row>
    <row r="34" ht="15.75" customHeight="1">
      <c r="B34" s="3">
        <f>IFERROR(__xludf.DUMMYFUNCTION("""COMPUTED_VALUE"""),40039.645833333336)</f>
        <v>40039.64583</v>
      </c>
      <c r="C34" s="2">
        <f>IFERROR(__xludf.DUMMYFUNCTION("""COMPUTED_VALUE"""),150.33)</f>
        <v>150.33</v>
      </c>
    </row>
    <row r="35" ht="15.75" customHeight="1">
      <c r="B35" s="3">
        <f>IFERROR(__xludf.DUMMYFUNCTION("""COMPUTED_VALUE"""),40046.645833333336)</f>
        <v>40046.64583</v>
      </c>
      <c r="C35" s="2">
        <f>IFERROR(__xludf.DUMMYFUNCTION("""COMPUTED_VALUE"""),143.23)</f>
        <v>143.23</v>
      </c>
    </row>
    <row r="36" ht="15.75" customHeight="1">
      <c r="B36" s="3">
        <f>IFERROR(__xludf.DUMMYFUNCTION("""COMPUTED_VALUE"""),40053.645833333336)</f>
        <v>40053.64583</v>
      </c>
      <c r="C36" s="2">
        <f>IFERROR(__xludf.DUMMYFUNCTION("""COMPUTED_VALUE"""),154.6)</f>
        <v>154.6</v>
      </c>
    </row>
    <row r="37" ht="15.75" customHeight="1">
      <c r="B37" s="3">
        <f>IFERROR(__xludf.DUMMYFUNCTION("""COMPUTED_VALUE"""),40060.645833333336)</f>
        <v>40060.64583</v>
      </c>
      <c r="C37" s="2">
        <f>IFERROR(__xludf.DUMMYFUNCTION("""COMPUTED_VALUE"""),155.93)</f>
        <v>155.93</v>
      </c>
    </row>
    <row r="38" ht="15.75" customHeight="1">
      <c r="B38" s="3">
        <f>IFERROR(__xludf.DUMMYFUNCTION("""COMPUTED_VALUE"""),40067.645833333336)</f>
        <v>40067.64583</v>
      </c>
      <c r="C38" s="2">
        <f>IFERROR(__xludf.DUMMYFUNCTION("""COMPUTED_VALUE"""),162.4)</f>
        <v>162.4</v>
      </c>
    </row>
    <row r="39" ht="15.75" customHeight="1">
      <c r="B39" s="3">
        <f>IFERROR(__xludf.DUMMYFUNCTION("""COMPUTED_VALUE"""),40074.645833333336)</f>
        <v>40074.64583</v>
      </c>
      <c r="C39" s="2">
        <f>IFERROR(__xludf.DUMMYFUNCTION("""COMPUTED_VALUE"""),172.27)</f>
        <v>172.27</v>
      </c>
    </row>
    <row r="40" ht="15.75" customHeight="1">
      <c r="B40" s="3">
        <f>IFERROR(__xludf.DUMMYFUNCTION("""COMPUTED_VALUE"""),40081.645833333336)</f>
        <v>40081.64583</v>
      </c>
      <c r="C40" s="2">
        <f>IFERROR(__xludf.DUMMYFUNCTION("""COMPUTED_VALUE"""),172.53)</f>
        <v>172.53</v>
      </c>
    </row>
    <row r="41" ht="15.75" customHeight="1">
      <c r="B41" s="3">
        <f>IFERROR(__xludf.DUMMYFUNCTION("""COMPUTED_VALUE"""),40087.645833333336)</f>
        <v>40087.64583</v>
      </c>
      <c r="C41" s="2">
        <f>IFERROR(__xludf.DUMMYFUNCTION("""COMPUTED_VALUE"""),162.0)</f>
        <v>162</v>
      </c>
    </row>
    <row r="42" ht="15.75" customHeight="1">
      <c r="B42" s="3">
        <f>IFERROR(__xludf.DUMMYFUNCTION("""COMPUTED_VALUE"""),40095.645833333336)</f>
        <v>40095.64583</v>
      </c>
      <c r="C42" s="2">
        <f>IFERROR(__xludf.DUMMYFUNCTION("""COMPUTED_VALUE"""),165.07)</f>
        <v>165.07</v>
      </c>
    </row>
    <row r="43" ht="15.75" customHeight="1">
      <c r="B43" s="3">
        <f>IFERROR(__xludf.DUMMYFUNCTION("""COMPUTED_VALUE"""),40109.645833333336)</f>
        <v>40109.64583</v>
      </c>
      <c r="C43" s="2">
        <f>IFERROR(__xludf.DUMMYFUNCTION("""COMPUTED_VALUE"""),179.97)</f>
        <v>179.97</v>
      </c>
    </row>
    <row r="44" ht="15.75" customHeight="1">
      <c r="B44" s="3">
        <f>IFERROR(__xludf.DUMMYFUNCTION("""COMPUTED_VALUE"""),40116.645833333336)</f>
        <v>40116.64583</v>
      </c>
      <c r="C44" s="2">
        <f>IFERROR(__xludf.DUMMYFUNCTION("""COMPUTED_VALUE"""),158.93)</f>
        <v>158.93</v>
      </c>
    </row>
    <row r="45" ht="15.75" customHeight="1">
      <c r="B45" s="3">
        <f>IFERROR(__xludf.DUMMYFUNCTION("""COMPUTED_VALUE"""),40123.645833333336)</f>
        <v>40123.64583</v>
      </c>
      <c r="C45" s="2">
        <f>IFERROR(__xludf.DUMMYFUNCTION("""COMPUTED_VALUE"""),153.33)</f>
        <v>153.33</v>
      </c>
    </row>
    <row r="46" ht="15.75" customHeight="1">
      <c r="B46" s="3">
        <f>IFERROR(__xludf.DUMMYFUNCTION("""COMPUTED_VALUE"""),40130.645833333336)</f>
        <v>40130.64583</v>
      </c>
      <c r="C46" s="2">
        <f>IFERROR(__xludf.DUMMYFUNCTION("""COMPUTED_VALUE"""),164.47)</f>
        <v>164.47</v>
      </c>
    </row>
    <row r="47" ht="15.75" customHeight="1">
      <c r="B47" s="3">
        <f>IFERROR(__xludf.DUMMYFUNCTION("""COMPUTED_VALUE"""),40137.645833333336)</f>
        <v>40137.64583</v>
      </c>
      <c r="C47" s="2">
        <f>IFERROR(__xludf.DUMMYFUNCTION("""COMPUTED_VALUE"""),159.87)</f>
        <v>159.87</v>
      </c>
    </row>
    <row r="48" ht="15.75" customHeight="1">
      <c r="B48" s="3">
        <f>IFERROR(__xludf.DUMMYFUNCTION("""COMPUTED_VALUE"""),40144.645833333336)</f>
        <v>40144.64583</v>
      </c>
      <c r="C48" s="2">
        <f>IFERROR(__xludf.DUMMYFUNCTION("""COMPUTED_VALUE"""),156.9)</f>
        <v>156.9</v>
      </c>
    </row>
    <row r="49" ht="15.75" customHeight="1">
      <c r="B49" s="3">
        <f>IFERROR(__xludf.DUMMYFUNCTION("""COMPUTED_VALUE"""),40151.645833333336)</f>
        <v>40151.64583</v>
      </c>
      <c r="C49" s="2">
        <f>IFERROR(__xludf.DUMMYFUNCTION("""COMPUTED_VALUE"""),157.13)</f>
        <v>157.13</v>
      </c>
    </row>
    <row r="50" ht="15.75" customHeight="1">
      <c r="B50" s="3">
        <f>IFERROR(__xludf.DUMMYFUNCTION("""COMPUTED_VALUE"""),40158.645833333336)</f>
        <v>40158.64583</v>
      </c>
      <c r="C50" s="2">
        <f>IFERROR(__xludf.DUMMYFUNCTION("""COMPUTED_VALUE"""),156.67)</f>
        <v>156.67</v>
      </c>
    </row>
    <row r="51" ht="15.75" customHeight="1">
      <c r="B51" s="3">
        <f>IFERROR(__xludf.DUMMYFUNCTION("""COMPUTED_VALUE"""),40165.645833333336)</f>
        <v>40165.64583</v>
      </c>
      <c r="C51" s="2">
        <f>IFERROR(__xludf.DUMMYFUNCTION("""COMPUTED_VALUE"""),155.33)</f>
        <v>155.33</v>
      </c>
    </row>
    <row r="52" ht="15.75" customHeight="1">
      <c r="B52" s="3">
        <f>IFERROR(__xludf.DUMMYFUNCTION("""COMPUTED_VALUE"""),40171.645833333336)</f>
        <v>40171.64583</v>
      </c>
      <c r="C52" s="2">
        <f>IFERROR(__xludf.DUMMYFUNCTION("""COMPUTED_VALUE"""),148.45)</f>
        <v>148.45</v>
      </c>
    </row>
    <row r="53" ht="15.75" customHeight="1">
      <c r="B53" s="3">
        <f>IFERROR(__xludf.DUMMYFUNCTION("""COMPUTED_VALUE"""),40178.645833333336)</f>
        <v>40178.64583</v>
      </c>
      <c r="C53" s="2">
        <f>IFERROR(__xludf.DUMMYFUNCTION("""COMPUTED_VALUE"""),148.0)</f>
        <v>148</v>
      </c>
    </row>
    <row r="54" ht="15.75" customHeight="1"/>
    <row r="55" ht="15.75" customHeight="1"/>
    <row r="56" ht="15.75" customHeight="1">
      <c r="B56" s="2" t="str">
        <f>IFERROR(__xludf.DUMMYFUNCTION("GOOGLEFINANCE(""NSE:JPASSOCIAT"", ""high"",DATE(2010,1,1),DATE(2011,1,1),""weekly"")"),"Date")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IFERROR(__xludf.DUMMYFUNCTION("""COMPUTED_VALUE"""),40186.645833333336)</f>
        <v>40186.64583</v>
      </c>
      <c r="C57" s="2">
        <f>IFERROR(__xludf.DUMMYFUNCTION("""COMPUTED_VALUE"""),164.9)</f>
        <v>164.9</v>
      </c>
    </row>
    <row r="58" ht="15.75" customHeight="1">
      <c r="B58" s="3">
        <f>IFERROR(__xludf.DUMMYFUNCTION("""COMPUTED_VALUE"""),40193.645833333336)</f>
        <v>40193.64583</v>
      </c>
      <c r="C58" s="2">
        <f>IFERROR(__xludf.DUMMYFUNCTION("""COMPUTED_VALUE"""),167.8)</f>
        <v>167.8</v>
      </c>
    </row>
    <row r="59" ht="15.75" customHeight="1">
      <c r="B59" s="3">
        <f>IFERROR(__xludf.DUMMYFUNCTION("""COMPUTED_VALUE"""),40200.645833333336)</f>
        <v>40200.64583</v>
      </c>
      <c r="C59" s="2">
        <f>IFERROR(__xludf.DUMMYFUNCTION("""COMPUTED_VALUE"""),167.65)</f>
        <v>167.65</v>
      </c>
    </row>
    <row r="60" ht="15.75" customHeight="1">
      <c r="B60" s="3">
        <f>IFERROR(__xludf.DUMMYFUNCTION("""COMPUTED_VALUE"""),40207.645833333336)</f>
        <v>40207.64583</v>
      </c>
      <c r="C60" s="2">
        <f>IFERROR(__xludf.DUMMYFUNCTION("""COMPUTED_VALUE"""),147.5)</f>
        <v>147.5</v>
      </c>
    </row>
    <row r="61" ht="15.75" customHeight="1">
      <c r="B61" s="3">
        <f>IFERROR(__xludf.DUMMYFUNCTION("""COMPUTED_VALUE"""),40220.645833333336)</f>
        <v>40220.64583</v>
      </c>
      <c r="C61" s="2">
        <f>IFERROR(__xludf.DUMMYFUNCTION("""COMPUTED_VALUE"""),133.35)</f>
        <v>133.35</v>
      </c>
    </row>
    <row r="62" ht="15.75" customHeight="1">
      <c r="B62" s="3">
        <f>IFERROR(__xludf.DUMMYFUNCTION("""COMPUTED_VALUE"""),40228.645833333336)</f>
        <v>40228.64583</v>
      </c>
      <c r="C62" s="2">
        <f>IFERROR(__xludf.DUMMYFUNCTION("""COMPUTED_VALUE"""),139.9)</f>
        <v>139.9</v>
      </c>
    </row>
    <row r="63" ht="15.75" customHeight="1">
      <c r="B63" s="3">
        <f>IFERROR(__xludf.DUMMYFUNCTION("""COMPUTED_VALUE"""),40235.645833333336)</f>
        <v>40235.64583</v>
      </c>
      <c r="C63" s="2">
        <f>IFERROR(__xludf.DUMMYFUNCTION("""COMPUTED_VALUE"""),136.5)</f>
        <v>136.5</v>
      </c>
    </row>
    <row r="64" ht="15.75" customHeight="1">
      <c r="B64" s="3">
        <f>IFERROR(__xludf.DUMMYFUNCTION("""COMPUTED_VALUE"""),40242.645833333336)</f>
        <v>40242.64583</v>
      </c>
      <c r="C64" s="2">
        <f>IFERROR(__xludf.DUMMYFUNCTION("""COMPUTED_VALUE"""),149.1)</f>
        <v>149.1</v>
      </c>
    </row>
    <row r="65" ht="15.75" customHeight="1">
      <c r="B65" s="3">
        <f>IFERROR(__xludf.DUMMYFUNCTION("""COMPUTED_VALUE"""),40249.645833333336)</f>
        <v>40249.64583</v>
      </c>
      <c r="C65" s="2">
        <f>IFERROR(__xludf.DUMMYFUNCTION("""COMPUTED_VALUE"""),151.4)</f>
        <v>151.4</v>
      </c>
    </row>
    <row r="66" ht="15.75" customHeight="1">
      <c r="B66" s="3">
        <f>IFERROR(__xludf.DUMMYFUNCTION("""COMPUTED_VALUE"""),40256.645833333336)</f>
        <v>40256.64583</v>
      </c>
      <c r="C66" s="2">
        <f>IFERROR(__xludf.DUMMYFUNCTION("""COMPUTED_VALUE"""),154.7)</f>
        <v>154.7</v>
      </c>
    </row>
    <row r="67" ht="15.75" customHeight="1">
      <c r="B67" s="3">
        <f>IFERROR(__xludf.DUMMYFUNCTION("""COMPUTED_VALUE"""),40263.645833333336)</f>
        <v>40263.64583</v>
      </c>
      <c r="C67" s="2">
        <f>IFERROR(__xludf.DUMMYFUNCTION("""COMPUTED_VALUE"""),152.35)</f>
        <v>152.35</v>
      </c>
    </row>
    <row r="68" ht="15.75" customHeight="1">
      <c r="B68" s="3">
        <f>IFERROR(__xludf.DUMMYFUNCTION("""COMPUTED_VALUE"""),40269.645833333336)</f>
        <v>40269.64583</v>
      </c>
      <c r="C68" s="2">
        <f>IFERROR(__xludf.DUMMYFUNCTION("""COMPUTED_VALUE"""),154.7)</f>
        <v>154.7</v>
      </c>
    </row>
    <row r="69" ht="15.75" customHeight="1">
      <c r="B69" s="3">
        <f>IFERROR(__xludf.DUMMYFUNCTION("""COMPUTED_VALUE"""),40277.645833333336)</f>
        <v>40277.64583</v>
      </c>
      <c r="C69" s="2">
        <f>IFERROR(__xludf.DUMMYFUNCTION("""COMPUTED_VALUE"""),156.5)</f>
        <v>156.5</v>
      </c>
    </row>
    <row r="70" ht="15.75" customHeight="1">
      <c r="B70" s="3">
        <f>IFERROR(__xludf.DUMMYFUNCTION("""COMPUTED_VALUE"""),40284.645833333336)</f>
        <v>40284.64583</v>
      </c>
      <c r="C70" s="2">
        <f>IFERROR(__xludf.DUMMYFUNCTION("""COMPUTED_VALUE"""),153.6)</f>
        <v>153.6</v>
      </c>
    </row>
    <row r="71" ht="15.75" customHeight="1">
      <c r="B71" s="3">
        <f>IFERROR(__xludf.DUMMYFUNCTION("""COMPUTED_VALUE"""),40291.645833333336)</f>
        <v>40291.64583</v>
      </c>
      <c r="C71" s="2">
        <f>IFERROR(__xludf.DUMMYFUNCTION("""COMPUTED_VALUE"""),159.45)</f>
        <v>159.45</v>
      </c>
    </row>
    <row r="72" ht="15.75" customHeight="1">
      <c r="B72" s="3">
        <f>IFERROR(__xludf.DUMMYFUNCTION("""COMPUTED_VALUE"""),40298.645833333336)</f>
        <v>40298.64583</v>
      </c>
      <c r="C72" s="2">
        <f>IFERROR(__xludf.DUMMYFUNCTION("""COMPUTED_VALUE"""),162.9)</f>
        <v>162.9</v>
      </c>
    </row>
    <row r="73" ht="15.75" customHeight="1">
      <c r="B73" s="3">
        <f>IFERROR(__xludf.DUMMYFUNCTION("""COMPUTED_VALUE"""),40305.645833333336)</f>
        <v>40305.64583</v>
      </c>
      <c r="C73" s="2">
        <f>IFERROR(__xludf.DUMMYFUNCTION("""COMPUTED_VALUE"""),147.25)</f>
        <v>147.25</v>
      </c>
    </row>
    <row r="74" ht="15.75" customHeight="1">
      <c r="B74" s="3">
        <f>IFERROR(__xludf.DUMMYFUNCTION("""COMPUTED_VALUE"""),40312.645833333336)</f>
        <v>40312.64583</v>
      </c>
      <c r="C74" s="2">
        <f>IFERROR(__xludf.DUMMYFUNCTION("""COMPUTED_VALUE"""),137.25)</f>
        <v>137.25</v>
      </c>
    </row>
    <row r="75" ht="15.75" customHeight="1">
      <c r="B75" s="3">
        <f>IFERROR(__xludf.DUMMYFUNCTION("""COMPUTED_VALUE"""),40319.645833333336)</f>
        <v>40319.64583</v>
      </c>
      <c r="C75" s="2">
        <f>IFERROR(__xludf.DUMMYFUNCTION("""COMPUTED_VALUE"""),129.0)</f>
        <v>129</v>
      </c>
    </row>
    <row r="76" ht="15.75" customHeight="1">
      <c r="B76" s="3">
        <f>IFERROR(__xludf.DUMMYFUNCTION("""COMPUTED_VALUE"""),40326.645833333336)</f>
        <v>40326.64583</v>
      </c>
      <c r="C76" s="2">
        <f>IFERROR(__xludf.DUMMYFUNCTION("""COMPUTED_VALUE"""),127.5)</f>
        <v>127.5</v>
      </c>
    </row>
    <row r="77" ht="15.75" customHeight="1">
      <c r="B77" s="3">
        <f>IFERROR(__xludf.DUMMYFUNCTION("""COMPUTED_VALUE"""),40333.645833333336)</f>
        <v>40333.64583</v>
      </c>
      <c r="C77" s="2">
        <f>IFERROR(__xludf.DUMMYFUNCTION("""COMPUTED_VALUE"""),133.0)</f>
        <v>133</v>
      </c>
    </row>
    <row r="78" ht="15.75" customHeight="1">
      <c r="B78" s="3">
        <f>IFERROR(__xludf.DUMMYFUNCTION("""COMPUTED_VALUE"""),40340.645833333336)</f>
        <v>40340.64583</v>
      </c>
      <c r="C78" s="2">
        <f>IFERROR(__xludf.DUMMYFUNCTION("""COMPUTED_VALUE"""),124.8)</f>
        <v>124.8</v>
      </c>
    </row>
    <row r="79" ht="15.75" customHeight="1">
      <c r="B79" s="3">
        <f>IFERROR(__xludf.DUMMYFUNCTION("""COMPUTED_VALUE"""),40347.645833333336)</f>
        <v>40347.64583</v>
      </c>
      <c r="C79" s="2">
        <f>IFERROR(__xludf.DUMMYFUNCTION("""COMPUTED_VALUE"""),132.0)</f>
        <v>132</v>
      </c>
    </row>
    <row r="80" ht="15.75" customHeight="1">
      <c r="B80" s="3">
        <f>IFERROR(__xludf.DUMMYFUNCTION("""COMPUTED_VALUE"""),40354.645833333336)</f>
        <v>40354.64583</v>
      </c>
      <c r="C80" s="2">
        <f>IFERROR(__xludf.DUMMYFUNCTION("""COMPUTED_VALUE"""),134.5)</f>
        <v>134.5</v>
      </c>
    </row>
    <row r="81" ht="15.75" customHeight="1">
      <c r="B81" s="3">
        <f>IFERROR(__xludf.DUMMYFUNCTION("""COMPUTED_VALUE"""),40361.645833333336)</f>
        <v>40361.64583</v>
      </c>
      <c r="C81" s="2">
        <f>IFERROR(__xludf.DUMMYFUNCTION("""COMPUTED_VALUE"""),132.0)</f>
        <v>132</v>
      </c>
    </row>
    <row r="82" ht="15.75" customHeight="1">
      <c r="B82" s="3">
        <f>IFERROR(__xludf.DUMMYFUNCTION("""COMPUTED_VALUE"""),40368.645833333336)</f>
        <v>40368.64583</v>
      </c>
      <c r="C82" s="2">
        <f>IFERROR(__xludf.DUMMYFUNCTION("""COMPUTED_VALUE"""),127.85)</f>
        <v>127.85</v>
      </c>
    </row>
    <row r="83" ht="15.75" customHeight="1">
      <c r="B83" s="3">
        <f>IFERROR(__xludf.DUMMYFUNCTION("""COMPUTED_VALUE"""),40375.645833333336)</f>
        <v>40375.64583</v>
      </c>
      <c r="C83" s="2">
        <f>IFERROR(__xludf.DUMMYFUNCTION("""COMPUTED_VALUE"""),132.0)</f>
        <v>132</v>
      </c>
    </row>
    <row r="84" ht="15.75" customHeight="1">
      <c r="B84" s="3">
        <f>IFERROR(__xludf.DUMMYFUNCTION("""COMPUTED_VALUE"""),40382.645833333336)</f>
        <v>40382.64583</v>
      </c>
      <c r="C84" s="2">
        <f>IFERROR(__xludf.DUMMYFUNCTION("""COMPUTED_VALUE"""),132.5)</f>
        <v>132.5</v>
      </c>
    </row>
    <row r="85" ht="15.75" customHeight="1">
      <c r="B85" s="3">
        <f>IFERROR(__xludf.DUMMYFUNCTION("""COMPUTED_VALUE"""),40389.645833333336)</f>
        <v>40389.64583</v>
      </c>
      <c r="C85" s="2">
        <f>IFERROR(__xludf.DUMMYFUNCTION("""COMPUTED_VALUE"""),129.8)</f>
        <v>129.8</v>
      </c>
    </row>
    <row r="86" ht="15.75" customHeight="1">
      <c r="B86" s="3">
        <f>IFERROR(__xludf.DUMMYFUNCTION("""COMPUTED_VALUE"""),40396.645833333336)</f>
        <v>40396.64583</v>
      </c>
      <c r="C86" s="2">
        <f>IFERROR(__xludf.DUMMYFUNCTION("""COMPUTED_VALUE"""),120.6)</f>
        <v>120.6</v>
      </c>
    </row>
    <row r="87" ht="15.75" customHeight="1">
      <c r="B87" s="3">
        <f>IFERROR(__xludf.DUMMYFUNCTION("""COMPUTED_VALUE"""),40403.645833333336)</f>
        <v>40403.64583</v>
      </c>
      <c r="C87" s="2">
        <f>IFERROR(__xludf.DUMMYFUNCTION("""COMPUTED_VALUE"""),123.95)</f>
        <v>123.95</v>
      </c>
    </row>
    <row r="88" ht="15.75" customHeight="1">
      <c r="B88" s="3">
        <f>IFERROR(__xludf.DUMMYFUNCTION("""COMPUTED_VALUE"""),40410.645833333336)</f>
        <v>40410.64583</v>
      </c>
      <c r="C88" s="2">
        <f>IFERROR(__xludf.DUMMYFUNCTION("""COMPUTED_VALUE"""),125.7)</f>
        <v>125.7</v>
      </c>
    </row>
    <row r="89" ht="15.75" customHeight="1">
      <c r="B89" s="3">
        <f>IFERROR(__xludf.DUMMYFUNCTION("""COMPUTED_VALUE"""),40417.645833333336)</f>
        <v>40417.64583</v>
      </c>
      <c r="C89" s="2">
        <f>IFERROR(__xludf.DUMMYFUNCTION("""COMPUTED_VALUE"""),124.5)</f>
        <v>124.5</v>
      </c>
    </row>
    <row r="90" ht="15.75" customHeight="1">
      <c r="B90" s="3">
        <f>IFERROR(__xludf.DUMMYFUNCTION("""COMPUTED_VALUE"""),40424.645833333336)</f>
        <v>40424.64583</v>
      </c>
      <c r="C90" s="2">
        <f>IFERROR(__xludf.DUMMYFUNCTION("""COMPUTED_VALUE"""),116.0)</f>
        <v>116</v>
      </c>
    </row>
    <row r="91" ht="15.75" customHeight="1">
      <c r="B91" s="3">
        <f>IFERROR(__xludf.DUMMYFUNCTION("""COMPUTED_VALUE"""),40430.645833333336)</f>
        <v>40430.64583</v>
      </c>
      <c r="C91" s="2">
        <f>IFERROR(__xludf.DUMMYFUNCTION("""COMPUTED_VALUE"""),120.5)</f>
        <v>120.5</v>
      </c>
    </row>
    <row r="92" ht="15.75" customHeight="1">
      <c r="B92" s="3">
        <f>IFERROR(__xludf.DUMMYFUNCTION("""COMPUTED_VALUE"""),40438.645833333336)</f>
        <v>40438.64583</v>
      </c>
      <c r="C92" s="2">
        <f>IFERROR(__xludf.DUMMYFUNCTION("""COMPUTED_VALUE"""),127.7)</f>
        <v>127.7</v>
      </c>
    </row>
    <row r="93" ht="15.75" customHeight="1">
      <c r="B93" s="3">
        <f>IFERROR(__xludf.DUMMYFUNCTION("""COMPUTED_VALUE"""),40445.645833333336)</f>
        <v>40445.64583</v>
      </c>
      <c r="C93" s="2">
        <f>IFERROR(__xludf.DUMMYFUNCTION("""COMPUTED_VALUE"""),125.75)</f>
        <v>125.75</v>
      </c>
    </row>
    <row r="94" ht="15.75" customHeight="1">
      <c r="B94" s="3">
        <f>IFERROR(__xludf.DUMMYFUNCTION("""COMPUTED_VALUE"""),40452.645833333336)</f>
        <v>40452.64583</v>
      </c>
      <c r="C94" s="2">
        <f>IFERROR(__xludf.DUMMYFUNCTION("""COMPUTED_VALUE"""),124.5)</f>
        <v>124.5</v>
      </c>
    </row>
    <row r="95" ht="15.75" customHeight="1">
      <c r="B95" s="3">
        <f>IFERROR(__xludf.DUMMYFUNCTION("""COMPUTED_VALUE"""),40459.645833333336)</f>
        <v>40459.64583</v>
      </c>
      <c r="C95" s="2">
        <f>IFERROR(__xludf.DUMMYFUNCTION("""COMPUTED_VALUE"""),139.05)</f>
        <v>139.05</v>
      </c>
    </row>
    <row r="96" ht="15.75" customHeight="1">
      <c r="B96" s="3">
        <f>IFERROR(__xludf.DUMMYFUNCTION("""COMPUTED_VALUE"""),40466.645833333336)</f>
        <v>40466.64583</v>
      </c>
      <c r="C96" s="2">
        <f>IFERROR(__xludf.DUMMYFUNCTION("""COMPUTED_VALUE"""),136.9)</f>
        <v>136.9</v>
      </c>
    </row>
    <row r="97" ht="15.75" customHeight="1">
      <c r="B97" s="3">
        <f>IFERROR(__xludf.DUMMYFUNCTION("""COMPUTED_VALUE"""),40473.645833333336)</f>
        <v>40473.64583</v>
      </c>
      <c r="C97" s="2">
        <f>IFERROR(__xludf.DUMMYFUNCTION("""COMPUTED_VALUE"""),130.9)</f>
        <v>130.9</v>
      </c>
    </row>
    <row r="98" ht="15.75" customHeight="1">
      <c r="B98" s="3">
        <f>IFERROR(__xludf.DUMMYFUNCTION("""COMPUTED_VALUE"""),40480.645833333336)</f>
        <v>40480.64583</v>
      </c>
      <c r="C98" s="2">
        <f>IFERROR(__xludf.DUMMYFUNCTION("""COMPUTED_VALUE"""),127.75)</f>
        <v>127.75</v>
      </c>
    </row>
    <row r="99" ht="15.75" customHeight="1">
      <c r="B99" s="3">
        <f>IFERROR(__xludf.DUMMYFUNCTION("""COMPUTED_VALUE"""),40487.645833333336)</f>
        <v>40487.64583</v>
      </c>
      <c r="C99" s="2">
        <f>IFERROR(__xludf.DUMMYFUNCTION("""COMPUTED_VALUE"""),134.7)</f>
        <v>134.7</v>
      </c>
    </row>
    <row r="100" ht="15.75" customHeight="1">
      <c r="B100" s="3">
        <f>IFERROR(__xludf.DUMMYFUNCTION("""COMPUTED_VALUE"""),40494.645833333336)</f>
        <v>40494.64583</v>
      </c>
      <c r="C100" s="2">
        <f>IFERROR(__xludf.DUMMYFUNCTION("""COMPUTED_VALUE"""),140.85)</f>
        <v>140.85</v>
      </c>
    </row>
    <row r="101" ht="15.75" customHeight="1">
      <c r="B101" s="3">
        <f>IFERROR(__xludf.DUMMYFUNCTION("""COMPUTED_VALUE"""),40501.645833333336)</f>
        <v>40501.64583</v>
      </c>
      <c r="C101" s="2">
        <f>IFERROR(__xludf.DUMMYFUNCTION("""COMPUTED_VALUE"""),129.8)</f>
        <v>129.8</v>
      </c>
    </row>
    <row r="102" ht="15.75" customHeight="1">
      <c r="B102" s="3">
        <f>IFERROR(__xludf.DUMMYFUNCTION("""COMPUTED_VALUE"""),40508.645833333336)</f>
        <v>40508.64583</v>
      </c>
      <c r="C102" s="2">
        <f>IFERROR(__xludf.DUMMYFUNCTION("""COMPUTED_VALUE"""),126.3)</f>
        <v>126.3</v>
      </c>
    </row>
    <row r="103" ht="15.75" customHeight="1">
      <c r="B103" s="3">
        <f>IFERROR(__xludf.DUMMYFUNCTION("""COMPUTED_VALUE"""),40515.645833333336)</f>
        <v>40515.64583</v>
      </c>
      <c r="C103" s="2">
        <f>IFERROR(__xludf.DUMMYFUNCTION("""COMPUTED_VALUE"""),116.9)</f>
        <v>116.9</v>
      </c>
    </row>
    <row r="104" ht="15.75" customHeight="1">
      <c r="B104" s="3">
        <f>IFERROR(__xludf.DUMMYFUNCTION("""COMPUTED_VALUE"""),40522.645833333336)</f>
        <v>40522.64583</v>
      </c>
      <c r="C104" s="2">
        <f>IFERROR(__xludf.DUMMYFUNCTION("""COMPUTED_VALUE"""),112.35)</f>
        <v>112.35</v>
      </c>
    </row>
    <row r="105" ht="15.75" customHeight="1">
      <c r="B105" s="3">
        <f>IFERROR(__xludf.DUMMYFUNCTION("""COMPUTED_VALUE"""),40528.645833333336)</f>
        <v>40528.64583</v>
      </c>
      <c r="C105" s="2">
        <f>IFERROR(__xludf.DUMMYFUNCTION("""COMPUTED_VALUE"""),107.3)</f>
        <v>107.3</v>
      </c>
    </row>
    <row r="106" ht="15.75" customHeight="1">
      <c r="B106" s="3">
        <f>IFERROR(__xludf.DUMMYFUNCTION("""COMPUTED_VALUE"""),40536.645833333336)</f>
        <v>40536.64583</v>
      </c>
      <c r="C106" s="2">
        <f>IFERROR(__xludf.DUMMYFUNCTION("""COMPUTED_VALUE"""),105.4)</f>
        <v>105.4</v>
      </c>
    </row>
    <row r="107" ht="15.75" customHeight="1">
      <c r="B107" s="3">
        <f>IFERROR(__xludf.DUMMYFUNCTION("""COMPUTED_VALUE"""),40543.645833333336)</f>
        <v>40543.64583</v>
      </c>
      <c r="C107" s="2">
        <f>IFERROR(__xludf.DUMMYFUNCTION("""COMPUTED_VALUE"""),106.9)</f>
        <v>106.9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IFERROR(__xludf.DUMMYFUNCTION("GOOGLEFINANCE(""NSE:JPASSOCIAT"", ""high"",DATE(2011,1,1),DATE(2012,1,1),""weekly"")"),"Date")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IFERROR(__xludf.DUMMYFUNCTION("""COMPUTED_VALUE"""),40550.645833333336)</f>
        <v>40550.64583</v>
      </c>
      <c r="C112" s="2">
        <f>IFERROR(__xludf.DUMMYFUNCTION("""COMPUTED_VALUE"""),110.7)</f>
        <v>110.7</v>
      </c>
    </row>
    <row r="113" ht="15.75" customHeight="1">
      <c r="B113" s="3">
        <f>IFERROR(__xludf.DUMMYFUNCTION("""COMPUTED_VALUE"""),40557.645833333336)</f>
        <v>40557.64583</v>
      </c>
      <c r="C113" s="2">
        <f>IFERROR(__xludf.DUMMYFUNCTION("""COMPUTED_VALUE"""),102.9)</f>
        <v>102.9</v>
      </c>
    </row>
    <row r="114" ht="15.75" customHeight="1">
      <c r="B114" s="3">
        <f>IFERROR(__xludf.DUMMYFUNCTION("""COMPUTED_VALUE"""),40564.645833333336)</f>
        <v>40564.64583</v>
      </c>
      <c r="C114" s="2">
        <f>IFERROR(__xludf.DUMMYFUNCTION("""COMPUTED_VALUE"""),94.1)</f>
        <v>94.1</v>
      </c>
    </row>
    <row r="115" ht="15.75" customHeight="1">
      <c r="B115" s="3">
        <f>IFERROR(__xludf.DUMMYFUNCTION("""COMPUTED_VALUE"""),40571.645833333336)</f>
        <v>40571.64583</v>
      </c>
      <c r="C115" s="2">
        <f>IFERROR(__xludf.DUMMYFUNCTION("""COMPUTED_VALUE"""),93.25)</f>
        <v>93.25</v>
      </c>
    </row>
    <row r="116" ht="15.75" customHeight="1">
      <c r="B116" s="3">
        <f>IFERROR(__xludf.DUMMYFUNCTION("""COMPUTED_VALUE"""),40578.645833333336)</f>
        <v>40578.64583</v>
      </c>
      <c r="C116" s="2">
        <f>IFERROR(__xludf.DUMMYFUNCTION("""COMPUTED_VALUE"""),87.85)</f>
        <v>87.85</v>
      </c>
    </row>
    <row r="117" ht="15.75" customHeight="1">
      <c r="B117" s="3">
        <f>IFERROR(__xludf.DUMMYFUNCTION("""COMPUTED_VALUE"""),40585.645833333336)</f>
        <v>40585.64583</v>
      </c>
      <c r="C117" s="2">
        <f>IFERROR(__xludf.DUMMYFUNCTION("""COMPUTED_VALUE"""),87.0)</f>
        <v>87</v>
      </c>
    </row>
    <row r="118" ht="15.75" customHeight="1">
      <c r="B118" s="3">
        <f>IFERROR(__xludf.DUMMYFUNCTION("""COMPUTED_VALUE"""),40592.645833333336)</f>
        <v>40592.64583</v>
      </c>
      <c r="C118" s="2">
        <f>IFERROR(__xludf.DUMMYFUNCTION("""COMPUTED_VALUE"""),92.3)</f>
        <v>92.3</v>
      </c>
    </row>
    <row r="119" ht="15.75" customHeight="1">
      <c r="B119" s="3">
        <f>IFERROR(__xludf.DUMMYFUNCTION("""COMPUTED_VALUE"""),40599.645833333336)</f>
        <v>40599.64583</v>
      </c>
      <c r="C119" s="2">
        <f>IFERROR(__xludf.DUMMYFUNCTION("""COMPUTED_VALUE"""),88.85)</f>
        <v>88.85</v>
      </c>
    </row>
    <row r="120" ht="15.75" customHeight="1">
      <c r="B120" s="3">
        <f>IFERROR(__xludf.DUMMYFUNCTION("""COMPUTED_VALUE"""),40606.645833333336)</f>
        <v>40606.64583</v>
      </c>
      <c r="C120" s="2">
        <f>IFERROR(__xludf.DUMMYFUNCTION("""COMPUTED_VALUE"""),88.0)</f>
        <v>88</v>
      </c>
    </row>
    <row r="121" ht="15.75" customHeight="1">
      <c r="B121" s="3">
        <f>IFERROR(__xludf.DUMMYFUNCTION("""COMPUTED_VALUE"""),40613.645833333336)</f>
        <v>40613.64583</v>
      </c>
      <c r="C121" s="2">
        <f>IFERROR(__xludf.DUMMYFUNCTION("""COMPUTED_VALUE"""),86.0)</f>
        <v>86</v>
      </c>
    </row>
    <row r="122" ht="15.75" customHeight="1">
      <c r="B122" s="3">
        <f>IFERROR(__xludf.DUMMYFUNCTION("""COMPUTED_VALUE"""),40620.645833333336)</f>
        <v>40620.64583</v>
      </c>
      <c r="C122" s="2">
        <f>IFERROR(__xludf.DUMMYFUNCTION("""COMPUTED_VALUE"""),84.75)</f>
        <v>84.75</v>
      </c>
    </row>
    <row r="123" ht="15.75" customHeight="1">
      <c r="B123" s="3">
        <f>IFERROR(__xludf.DUMMYFUNCTION("""COMPUTED_VALUE"""),40627.645833333336)</f>
        <v>40627.64583</v>
      </c>
      <c r="C123" s="2">
        <f>IFERROR(__xludf.DUMMYFUNCTION("""COMPUTED_VALUE"""),90.9)</f>
        <v>90.9</v>
      </c>
    </row>
    <row r="124" ht="15.75" customHeight="1">
      <c r="B124" s="3">
        <f>IFERROR(__xludf.DUMMYFUNCTION("""COMPUTED_VALUE"""),40634.645833333336)</f>
        <v>40634.64583</v>
      </c>
      <c r="C124" s="2">
        <f>IFERROR(__xludf.DUMMYFUNCTION("""COMPUTED_VALUE"""),96.35)</f>
        <v>96.35</v>
      </c>
    </row>
    <row r="125" ht="15.75" customHeight="1">
      <c r="B125" s="3">
        <f>IFERROR(__xludf.DUMMYFUNCTION("""COMPUTED_VALUE"""),40641.645833333336)</f>
        <v>40641.64583</v>
      </c>
      <c r="C125" s="2">
        <f>IFERROR(__xludf.DUMMYFUNCTION("""COMPUTED_VALUE"""),99.8)</f>
        <v>99.8</v>
      </c>
    </row>
    <row r="126" ht="15.75" customHeight="1">
      <c r="B126" s="3">
        <f>IFERROR(__xludf.DUMMYFUNCTION("""COMPUTED_VALUE"""),40648.645833333336)</f>
        <v>40648.64583</v>
      </c>
      <c r="C126" s="2">
        <f>IFERROR(__xludf.DUMMYFUNCTION("""COMPUTED_VALUE"""),101.85)</f>
        <v>101.85</v>
      </c>
    </row>
    <row r="127" ht="15.75" customHeight="1">
      <c r="B127" s="3">
        <f>IFERROR(__xludf.DUMMYFUNCTION("""COMPUTED_VALUE"""),40654.645833333336)</f>
        <v>40654.64583</v>
      </c>
      <c r="C127" s="2">
        <f>IFERROR(__xludf.DUMMYFUNCTION("""COMPUTED_VALUE"""),102.2)</f>
        <v>102.2</v>
      </c>
    </row>
    <row r="128" ht="15.75" customHeight="1">
      <c r="B128" s="3">
        <f>IFERROR(__xludf.DUMMYFUNCTION("""COMPUTED_VALUE"""),40662.645833333336)</f>
        <v>40662.64583</v>
      </c>
      <c r="C128" s="2">
        <f>IFERROR(__xludf.DUMMYFUNCTION("""COMPUTED_VALUE"""),102.55)</f>
        <v>102.55</v>
      </c>
    </row>
    <row r="129" ht="15.75" customHeight="1">
      <c r="B129" s="3">
        <f>IFERROR(__xludf.DUMMYFUNCTION("""COMPUTED_VALUE"""),40669.645833333336)</f>
        <v>40669.64583</v>
      </c>
      <c r="C129" s="2">
        <f>IFERROR(__xludf.DUMMYFUNCTION("""COMPUTED_VALUE"""),94.25)</f>
        <v>94.25</v>
      </c>
    </row>
    <row r="130" ht="15.75" customHeight="1">
      <c r="B130" s="3">
        <f>IFERROR(__xludf.DUMMYFUNCTION("""COMPUTED_VALUE"""),40676.645833333336)</f>
        <v>40676.64583</v>
      </c>
      <c r="C130" s="2">
        <f>IFERROR(__xludf.DUMMYFUNCTION("""COMPUTED_VALUE"""),89.7)</f>
        <v>89.7</v>
      </c>
    </row>
    <row r="131" ht="15.75" customHeight="1">
      <c r="B131" s="3">
        <f>IFERROR(__xludf.DUMMYFUNCTION("""COMPUTED_VALUE"""),40683.645833333336)</f>
        <v>40683.64583</v>
      </c>
      <c r="C131" s="2">
        <f>IFERROR(__xludf.DUMMYFUNCTION("""COMPUTED_VALUE"""),88.8)</f>
        <v>88.8</v>
      </c>
    </row>
    <row r="132" ht="15.75" customHeight="1">
      <c r="B132" s="3">
        <f>IFERROR(__xludf.DUMMYFUNCTION("""COMPUTED_VALUE"""),40690.645833333336)</f>
        <v>40690.64583</v>
      </c>
      <c r="C132" s="2">
        <f>IFERROR(__xludf.DUMMYFUNCTION("""COMPUTED_VALUE"""),82.55)</f>
        <v>82.55</v>
      </c>
    </row>
    <row r="133" ht="15.75" customHeight="1">
      <c r="B133" s="3">
        <f>IFERROR(__xludf.DUMMYFUNCTION("""COMPUTED_VALUE"""),40697.645833333336)</f>
        <v>40697.64583</v>
      </c>
      <c r="C133" s="2">
        <f>IFERROR(__xludf.DUMMYFUNCTION("""COMPUTED_VALUE"""),88.7)</f>
        <v>88.7</v>
      </c>
    </row>
    <row r="134" ht="15.75" customHeight="1">
      <c r="B134" s="3">
        <f>IFERROR(__xludf.DUMMYFUNCTION("""COMPUTED_VALUE"""),40704.645833333336)</f>
        <v>40704.64583</v>
      </c>
      <c r="C134" s="2">
        <f>IFERROR(__xludf.DUMMYFUNCTION("""COMPUTED_VALUE"""),84.9)</f>
        <v>84.9</v>
      </c>
    </row>
    <row r="135" ht="15.75" customHeight="1">
      <c r="B135" s="3">
        <f>IFERROR(__xludf.DUMMYFUNCTION("""COMPUTED_VALUE"""),40711.645833333336)</f>
        <v>40711.64583</v>
      </c>
      <c r="C135" s="2">
        <f>IFERROR(__xludf.DUMMYFUNCTION("""COMPUTED_VALUE"""),85.1)</f>
        <v>85.1</v>
      </c>
    </row>
    <row r="136" ht="15.75" customHeight="1">
      <c r="B136" s="3">
        <f>IFERROR(__xludf.DUMMYFUNCTION("""COMPUTED_VALUE"""),40718.645833333336)</f>
        <v>40718.64583</v>
      </c>
      <c r="C136" s="2">
        <f>IFERROR(__xludf.DUMMYFUNCTION("""COMPUTED_VALUE"""),81.8)</f>
        <v>81.8</v>
      </c>
    </row>
    <row r="137" ht="15.75" customHeight="1">
      <c r="B137" s="3">
        <f>IFERROR(__xludf.DUMMYFUNCTION("""COMPUTED_VALUE"""),40725.645833333336)</f>
        <v>40725.64583</v>
      </c>
      <c r="C137" s="2">
        <f>IFERROR(__xludf.DUMMYFUNCTION("""COMPUTED_VALUE"""),82.6)</f>
        <v>82.6</v>
      </c>
    </row>
    <row r="138" ht="15.75" customHeight="1">
      <c r="B138" s="3">
        <f>IFERROR(__xludf.DUMMYFUNCTION("""COMPUTED_VALUE"""),40732.645833333336)</f>
        <v>40732.64583</v>
      </c>
      <c r="C138" s="2">
        <f>IFERROR(__xludf.DUMMYFUNCTION("""COMPUTED_VALUE"""),83.3)</f>
        <v>83.3</v>
      </c>
    </row>
    <row r="139" ht="15.75" customHeight="1">
      <c r="B139" s="3">
        <f>IFERROR(__xludf.DUMMYFUNCTION("""COMPUTED_VALUE"""),40739.645833333336)</f>
        <v>40739.64583</v>
      </c>
      <c r="C139" s="2">
        <f>IFERROR(__xludf.DUMMYFUNCTION("""COMPUTED_VALUE"""),79.95)</f>
        <v>79.95</v>
      </c>
    </row>
    <row r="140" ht="15.75" customHeight="1">
      <c r="B140" s="3">
        <f>IFERROR(__xludf.DUMMYFUNCTION("""COMPUTED_VALUE"""),40746.645833333336)</f>
        <v>40746.64583</v>
      </c>
      <c r="C140" s="2">
        <f>IFERROR(__xludf.DUMMYFUNCTION("""COMPUTED_VALUE"""),78.2)</f>
        <v>78.2</v>
      </c>
    </row>
    <row r="141" ht="15.75" customHeight="1">
      <c r="B141" s="3">
        <f>IFERROR(__xludf.DUMMYFUNCTION("""COMPUTED_VALUE"""),40753.645833333336)</f>
        <v>40753.64583</v>
      </c>
      <c r="C141" s="2">
        <f>IFERROR(__xludf.DUMMYFUNCTION("""COMPUTED_VALUE"""),77.35)</f>
        <v>77.35</v>
      </c>
    </row>
    <row r="142" ht="15.75" customHeight="1">
      <c r="B142" s="3">
        <f>IFERROR(__xludf.DUMMYFUNCTION("""COMPUTED_VALUE"""),40760.645833333336)</f>
        <v>40760.64583</v>
      </c>
      <c r="C142" s="2">
        <f>IFERROR(__xludf.DUMMYFUNCTION("""COMPUTED_VALUE"""),68.6)</f>
        <v>68.6</v>
      </c>
    </row>
    <row r="143" ht="15.75" customHeight="1">
      <c r="B143" s="3">
        <f>IFERROR(__xludf.DUMMYFUNCTION("""COMPUTED_VALUE"""),40767.645833333336)</f>
        <v>40767.64583</v>
      </c>
      <c r="C143" s="2">
        <f>IFERROR(__xludf.DUMMYFUNCTION("""COMPUTED_VALUE"""),65.5)</f>
        <v>65.5</v>
      </c>
    </row>
    <row r="144" ht="15.75" customHeight="1">
      <c r="B144" s="3">
        <f>IFERROR(__xludf.DUMMYFUNCTION("""COMPUTED_VALUE"""),40774.645833333336)</f>
        <v>40774.64583</v>
      </c>
      <c r="C144" s="2">
        <f>IFERROR(__xludf.DUMMYFUNCTION("""COMPUTED_VALUE"""),63.4)</f>
        <v>63.4</v>
      </c>
    </row>
    <row r="145" ht="15.75" customHeight="1">
      <c r="B145" s="3">
        <f>IFERROR(__xludf.DUMMYFUNCTION("""COMPUTED_VALUE"""),40781.645833333336)</f>
        <v>40781.64583</v>
      </c>
      <c r="C145" s="2">
        <f>IFERROR(__xludf.DUMMYFUNCTION("""COMPUTED_VALUE"""),63.9)</f>
        <v>63.9</v>
      </c>
    </row>
    <row r="146" ht="15.75" customHeight="1">
      <c r="B146" s="3">
        <f>IFERROR(__xludf.DUMMYFUNCTION("""COMPUTED_VALUE"""),40788.645833333336)</f>
        <v>40788.64583</v>
      </c>
      <c r="C146" s="2">
        <f>IFERROR(__xludf.DUMMYFUNCTION("""COMPUTED_VALUE"""),62.85)</f>
        <v>62.85</v>
      </c>
    </row>
    <row r="147" ht="15.75" customHeight="1">
      <c r="B147" s="3">
        <f>IFERROR(__xludf.DUMMYFUNCTION("""COMPUTED_VALUE"""),40795.645833333336)</f>
        <v>40795.64583</v>
      </c>
      <c r="C147" s="2">
        <f>IFERROR(__xludf.DUMMYFUNCTION("""COMPUTED_VALUE"""),71.95)</f>
        <v>71.95</v>
      </c>
    </row>
    <row r="148" ht="15.75" customHeight="1">
      <c r="B148" s="3">
        <f>IFERROR(__xludf.DUMMYFUNCTION("""COMPUTED_VALUE"""),40802.645833333336)</f>
        <v>40802.64583</v>
      </c>
      <c r="C148" s="2">
        <f>IFERROR(__xludf.DUMMYFUNCTION("""COMPUTED_VALUE"""),70.75)</f>
        <v>70.75</v>
      </c>
    </row>
    <row r="149" ht="15.75" customHeight="1">
      <c r="B149" s="3">
        <f>IFERROR(__xludf.DUMMYFUNCTION("""COMPUTED_VALUE"""),40809.645833333336)</f>
        <v>40809.64583</v>
      </c>
      <c r="C149" s="2">
        <f>IFERROR(__xludf.DUMMYFUNCTION("""COMPUTED_VALUE"""),74.35)</f>
        <v>74.35</v>
      </c>
    </row>
    <row r="150" ht="15.75" customHeight="1">
      <c r="B150" s="3">
        <f>IFERROR(__xludf.DUMMYFUNCTION("""COMPUTED_VALUE"""),40816.645833333336)</f>
        <v>40816.64583</v>
      </c>
      <c r="C150" s="2">
        <f>IFERROR(__xludf.DUMMYFUNCTION("""COMPUTED_VALUE"""),76.3)</f>
        <v>76.3</v>
      </c>
    </row>
    <row r="151" ht="15.75" customHeight="1">
      <c r="B151" s="3">
        <f>IFERROR(__xludf.DUMMYFUNCTION("""COMPUTED_VALUE"""),40823.645833333336)</f>
        <v>40823.64583</v>
      </c>
      <c r="C151" s="2">
        <f>IFERROR(__xludf.DUMMYFUNCTION("""COMPUTED_VALUE"""),75.5)</f>
        <v>75.5</v>
      </c>
    </row>
    <row r="152" ht="15.75" customHeight="1">
      <c r="B152" s="3">
        <f>IFERROR(__xludf.DUMMYFUNCTION("""COMPUTED_VALUE"""),40830.645833333336)</f>
        <v>40830.64583</v>
      </c>
      <c r="C152" s="2">
        <f>IFERROR(__xludf.DUMMYFUNCTION("""COMPUTED_VALUE"""),75.6)</f>
        <v>75.6</v>
      </c>
    </row>
    <row r="153" ht="15.75" customHeight="1">
      <c r="B153" s="3">
        <f>IFERROR(__xludf.DUMMYFUNCTION("""COMPUTED_VALUE"""),40837.645833333336)</f>
        <v>40837.64583</v>
      </c>
      <c r="C153" s="2">
        <f>IFERROR(__xludf.DUMMYFUNCTION("""COMPUTED_VALUE"""),74.25)</f>
        <v>74.25</v>
      </c>
    </row>
    <row r="154" ht="15.75" customHeight="1">
      <c r="B154" s="3">
        <f>IFERROR(__xludf.DUMMYFUNCTION("""COMPUTED_VALUE"""),40844.645833333336)</f>
        <v>40844.64583</v>
      </c>
      <c r="C154" s="2">
        <f>IFERROR(__xludf.DUMMYFUNCTION("""COMPUTED_VALUE"""),79.4)</f>
        <v>79.4</v>
      </c>
    </row>
    <row r="155" ht="15.75" customHeight="1">
      <c r="B155" s="3">
        <f>IFERROR(__xludf.DUMMYFUNCTION("""COMPUTED_VALUE"""),40851.645833333336)</f>
        <v>40851.64583</v>
      </c>
      <c r="C155" s="2">
        <f>IFERROR(__xludf.DUMMYFUNCTION("""COMPUTED_VALUE"""),80.5)</f>
        <v>80.5</v>
      </c>
    </row>
    <row r="156" ht="15.75" customHeight="1">
      <c r="B156" s="3">
        <f>IFERROR(__xludf.DUMMYFUNCTION("""COMPUTED_VALUE"""),40858.645833333336)</f>
        <v>40858.64583</v>
      </c>
      <c r="C156" s="2">
        <f>IFERROR(__xludf.DUMMYFUNCTION("""COMPUTED_VALUE"""),81.2)</f>
        <v>81.2</v>
      </c>
    </row>
    <row r="157" ht="15.75" customHeight="1">
      <c r="B157" s="3">
        <f>IFERROR(__xludf.DUMMYFUNCTION("""COMPUTED_VALUE"""),40865.645833333336)</f>
        <v>40865.64583</v>
      </c>
      <c r="C157" s="2">
        <f>IFERROR(__xludf.DUMMYFUNCTION("""COMPUTED_VALUE"""),78.05)</f>
        <v>78.05</v>
      </c>
    </row>
    <row r="158" ht="15.75" customHeight="1">
      <c r="B158" s="3">
        <f>IFERROR(__xludf.DUMMYFUNCTION("""COMPUTED_VALUE"""),40872.645833333336)</f>
        <v>40872.64583</v>
      </c>
      <c r="C158" s="2">
        <f>IFERROR(__xludf.DUMMYFUNCTION("""COMPUTED_VALUE"""),64.3)</f>
        <v>64.3</v>
      </c>
    </row>
    <row r="159" ht="15.75" customHeight="1">
      <c r="B159" s="3">
        <f>IFERROR(__xludf.DUMMYFUNCTION("""COMPUTED_VALUE"""),40879.645833333336)</f>
        <v>40879.64583</v>
      </c>
      <c r="C159" s="2">
        <f>IFERROR(__xludf.DUMMYFUNCTION("""COMPUTED_VALUE"""),67.9)</f>
        <v>67.9</v>
      </c>
    </row>
    <row r="160" ht="15.75" customHeight="1">
      <c r="B160" s="3">
        <f>IFERROR(__xludf.DUMMYFUNCTION("""COMPUTED_VALUE"""),40886.645833333336)</f>
        <v>40886.64583</v>
      </c>
      <c r="C160" s="2">
        <f>IFERROR(__xludf.DUMMYFUNCTION("""COMPUTED_VALUE"""),71.6)</f>
        <v>71.6</v>
      </c>
    </row>
    <row r="161" ht="15.75" customHeight="1">
      <c r="B161" s="3">
        <f>IFERROR(__xludf.DUMMYFUNCTION("""COMPUTED_VALUE"""),40893.645833333336)</f>
        <v>40893.64583</v>
      </c>
      <c r="C161" s="2">
        <f>IFERROR(__xludf.DUMMYFUNCTION("""COMPUTED_VALUE"""),64.6)</f>
        <v>64.6</v>
      </c>
    </row>
    <row r="162" ht="15.75" customHeight="1">
      <c r="B162" s="3">
        <f>IFERROR(__xludf.DUMMYFUNCTION("""COMPUTED_VALUE"""),40900.645833333336)</f>
        <v>40900.64583</v>
      </c>
      <c r="C162" s="2">
        <f>IFERROR(__xludf.DUMMYFUNCTION("""COMPUTED_VALUE"""),58.8)</f>
        <v>58.8</v>
      </c>
    </row>
    <row r="163" ht="15.75" customHeight="1">
      <c r="B163" s="3">
        <f>IFERROR(__xludf.DUMMYFUNCTION("""COMPUTED_VALUE"""),40907.645833333336)</f>
        <v>40907.64583</v>
      </c>
      <c r="C163" s="2">
        <f>IFERROR(__xludf.DUMMYFUNCTION("""COMPUTED_VALUE"""),55.45)</f>
        <v>55.45</v>
      </c>
    </row>
    <row r="164" ht="15.75" customHeight="1"/>
    <row r="165" ht="15.75" customHeight="1"/>
    <row r="166" ht="15.75" customHeight="1">
      <c r="B166" s="2" t="str">
        <f>IFERROR(__xludf.DUMMYFUNCTION("GOOGLEFINANCE(""NSE:JPASSOCIAT"", ""high"",DATE(2012,1,1),DATE(2013,1,1),""weekly"")"),"Date")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IFERROR(__xludf.DUMMYFUNCTION("""COMPUTED_VALUE"""),40921.645833333336)</f>
        <v>40921.64583</v>
      </c>
      <c r="C167" s="2">
        <f>IFERROR(__xludf.DUMMYFUNCTION("""COMPUTED_VALUE"""),61.4)</f>
        <v>61.4</v>
      </c>
    </row>
    <row r="168" ht="15.75" customHeight="1">
      <c r="B168" s="3">
        <f>IFERROR(__xludf.DUMMYFUNCTION("""COMPUTED_VALUE"""),40928.645833333336)</f>
        <v>40928.64583</v>
      </c>
      <c r="C168" s="2">
        <f>IFERROR(__xludf.DUMMYFUNCTION("""COMPUTED_VALUE"""),68.4)</f>
        <v>68.4</v>
      </c>
    </row>
    <row r="169" ht="15.75" customHeight="1">
      <c r="B169" s="3">
        <f>IFERROR(__xludf.DUMMYFUNCTION("""COMPUTED_VALUE"""),40935.645833333336)</f>
        <v>40935.64583</v>
      </c>
      <c r="C169" s="2">
        <f>IFERROR(__xludf.DUMMYFUNCTION("""COMPUTED_VALUE"""),74.0)</f>
        <v>74</v>
      </c>
    </row>
    <row r="170" ht="15.75" customHeight="1">
      <c r="B170" s="3">
        <f>IFERROR(__xludf.DUMMYFUNCTION("""COMPUTED_VALUE"""),40942.645833333336)</f>
        <v>40942.64583</v>
      </c>
      <c r="C170" s="2">
        <f>IFERROR(__xludf.DUMMYFUNCTION("""COMPUTED_VALUE"""),76.9)</f>
        <v>76.9</v>
      </c>
    </row>
    <row r="171" ht="15.75" customHeight="1">
      <c r="B171" s="3">
        <f>IFERROR(__xludf.DUMMYFUNCTION("""COMPUTED_VALUE"""),40949.645833333336)</f>
        <v>40949.64583</v>
      </c>
      <c r="C171" s="2">
        <f>IFERROR(__xludf.DUMMYFUNCTION("""COMPUTED_VALUE"""),80.4)</f>
        <v>80.4</v>
      </c>
    </row>
    <row r="172" ht="15.75" customHeight="1">
      <c r="B172" s="3">
        <f>IFERROR(__xludf.DUMMYFUNCTION("""COMPUTED_VALUE"""),40956.645833333336)</f>
        <v>40956.64583</v>
      </c>
      <c r="C172" s="2">
        <f>IFERROR(__xludf.DUMMYFUNCTION("""COMPUTED_VALUE"""),88.25)</f>
        <v>88.25</v>
      </c>
    </row>
    <row r="173" ht="15.75" customHeight="1">
      <c r="B173" s="3">
        <f>IFERROR(__xludf.DUMMYFUNCTION("""COMPUTED_VALUE"""),40963.645833333336)</f>
        <v>40963.64583</v>
      </c>
      <c r="C173" s="2">
        <f>IFERROR(__xludf.DUMMYFUNCTION("""COMPUTED_VALUE"""),86.3)</f>
        <v>86.3</v>
      </c>
    </row>
    <row r="174" ht="15.75" customHeight="1">
      <c r="B174" s="3">
        <f>IFERROR(__xludf.DUMMYFUNCTION("""COMPUTED_VALUE"""),40977.645833333336)</f>
        <v>40977.64583</v>
      </c>
      <c r="C174" s="2">
        <f>IFERROR(__xludf.DUMMYFUNCTION("""COMPUTED_VALUE"""),78.9)</f>
        <v>78.9</v>
      </c>
    </row>
    <row r="175" ht="15.75" customHeight="1">
      <c r="B175" s="3">
        <f>IFERROR(__xludf.DUMMYFUNCTION("""COMPUTED_VALUE"""),40984.645833333336)</f>
        <v>40984.64583</v>
      </c>
      <c r="C175" s="2">
        <f>IFERROR(__xludf.DUMMYFUNCTION("""COMPUTED_VALUE"""),85.0)</f>
        <v>85</v>
      </c>
    </row>
    <row r="176" ht="15.75" customHeight="1">
      <c r="B176" s="3">
        <f>IFERROR(__xludf.DUMMYFUNCTION("""COMPUTED_VALUE"""),40991.645833333336)</f>
        <v>40991.64583</v>
      </c>
      <c r="C176" s="2">
        <f>IFERROR(__xludf.DUMMYFUNCTION("""COMPUTED_VALUE"""),82.45)</f>
        <v>82.45</v>
      </c>
    </row>
    <row r="177" ht="15.75" customHeight="1">
      <c r="B177" s="3">
        <f>IFERROR(__xludf.DUMMYFUNCTION("""COMPUTED_VALUE"""),40998.645833333336)</f>
        <v>40998.64583</v>
      </c>
      <c r="C177" s="2">
        <f>IFERROR(__xludf.DUMMYFUNCTION("""COMPUTED_VALUE"""),84.15)</f>
        <v>84.15</v>
      </c>
    </row>
    <row r="178" ht="15.75" customHeight="1">
      <c r="B178" s="3">
        <f>IFERROR(__xludf.DUMMYFUNCTION("""COMPUTED_VALUE"""),41003.645833333336)</f>
        <v>41003.64583</v>
      </c>
      <c r="C178" s="2">
        <f>IFERROR(__xludf.DUMMYFUNCTION("""COMPUTED_VALUE"""),88.95)</f>
        <v>88.95</v>
      </c>
    </row>
    <row r="179" ht="15.75" customHeight="1">
      <c r="B179" s="3">
        <f>IFERROR(__xludf.DUMMYFUNCTION("""COMPUTED_VALUE"""),41012.645833333336)</f>
        <v>41012.64583</v>
      </c>
      <c r="C179" s="2">
        <f>IFERROR(__xludf.DUMMYFUNCTION("""COMPUTED_VALUE"""),84.9)</f>
        <v>84.9</v>
      </c>
    </row>
    <row r="180" ht="15.75" customHeight="1">
      <c r="B180" s="3">
        <f>IFERROR(__xludf.DUMMYFUNCTION("""COMPUTED_VALUE"""),41019.645833333336)</f>
        <v>41019.64583</v>
      </c>
      <c r="C180" s="2">
        <f>IFERROR(__xludf.DUMMYFUNCTION("""COMPUTED_VALUE"""),84.1)</f>
        <v>84.1</v>
      </c>
    </row>
    <row r="181" ht="15.75" customHeight="1">
      <c r="B181" s="3">
        <f>IFERROR(__xludf.DUMMYFUNCTION("""COMPUTED_VALUE"""),41033.645833333336)</f>
        <v>41033.64583</v>
      </c>
      <c r="C181" s="2">
        <f>IFERROR(__xludf.DUMMYFUNCTION("""COMPUTED_VALUE"""),75.45)</f>
        <v>75.45</v>
      </c>
    </row>
    <row r="182" ht="15.75" customHeight="1">
      <c r="B182" s="3">
        <f>IFERROR(__xludf.DUMMYFUNCTION("""COMPUTED_VALUE"""),41040.645833333336)</f>
        <v>41040.64583</v>
      </c>
      <c r="C182" s="2">
        <f>IFERROR(__xludf.DUMMYFUNCTION("""COMPUTED_VALUE"""),71.0)</f>
        <v>71</v>
      </c>
    </row>
    <row r="183" ht="15.75" customHeight="1">
      <c r="B183" s="3">
        <f>IFERROR(__xludf.DUMMYFUNCTION("""COMPUTED_VALUE"""),41047.645833333336)</f>
        <v>41047.64583</v>
      </c>
      <c r="C183" s="2">
        <f>IFERROR(__xludf.DUMMYFUNCTION("""COMPUTED_VALUE"""),63.65)</f>
        <v>63.65</v>
      </c>
    </row>
    <row r="184" ht="15.75" customHeight="1">
      <c r="B184" s="3">
        <f>IFERROR(__xludf.DUMMYFUNCTION("""COMPUTED_VALUE"""),41054.645833333336)</f>
        <v>41054.64583</v>
      </c>
      <c r="C184" s="2">
        <f>IFERROR(__xludf.DUMMYFUNCTION("""COMPUTED_VALUE"""),64.7)</f>
        <v>64.7</v>
      </c>
    </row>
    <row r="185" ht="15.75" customHeight="1">
      <c r="B185" s="3">
        <f>IFERROR(__xludf.DUMMYFUNCTION("""COMPUTED_VALUE"""),41061.645833333336)</f>
        <v>41061.64583</v>
      </c>
      <c r="C185" s="2">
        <f>IFERROR(__xludf.DUMMYFUNCTION("""COMPUTED_VALUE"""),64.35)</f>
        <v>64.35</v>
      </c>
    </row>
    <row r="186" ht="15.75" customHeight="1">
      <c r="B186" s="3">
        <f>IFERROR(__xludf.DUMMYFUNCTION("""COMPUTED_VALUE"""),41068.645833333336)</f>
        <v>41068.64583</v>
      </c>
      <c r="C186" s="2">
        <f>IFERROR(__xludf.DUMMYFUNCTION("""COMPUTED_VALUE"""),68.9)</f>
        <v>68.9</v>
      </c>
    </row>
    <row r="187" ht="15.75" customHeight="1">
      <c r="B187" s="3">
        <f>IFERROR(__xludf.DUMMYFUNCTION("""COMPUTED_VALUE"""),41075.645833333336)</f>
        <v>41075.64583</v>
      </c>
      <c r="C187" s="2">
        <f>IFERROR(__xludf.DUMMYFUNCTION("""COMPUTED_VALUE"""),71.55)</f>
        <v>71.55</v>
      </c>
    </row>
    <row r="188" ht="15.75" customHeight="1">
      <c r="B188" s="3">
        <f>IFERROR(__xludf.DUMMYFUNCTION("""COMPUTED_VALUE"""),41082.645833333336)</f>
        <v>41082.64583</v>
      </c>
      <c r="C188" s="2">
        <f>IFERROR(__xludf.DUMMYFUNCTION("""COMPUTED_VALUE"""),74.8)</f>
        <v>74.8</v>
      </c>
    </row>
    <row r="189" ht="15.75" customHeight="1">
      <c r="B189" s="3">
        <f>IFERROR(__xludf.DUMMYFUNCTION("""COMPUTED_VALUE"""),41089.645833333336)</f>
        <v>41089.64583</v>
      </c>
      <c r="C189" s="2">
        <f>IFERROR(__xludf.DUMMYFUNCTION("""COMPUTED_VALUE"""),74.05)</f>
        <v>74.05</v>
      </c>
    </row>
    <row r="190" ht="15.75" customHeight="1">
      <c r="B190" s="3">
        <f>IFERROR(__xludf.DUMMYFUNCTION("""COMPUTED_VALUE"""),41096.645833333336)</f>
        <v>41096.64583</v>
      </c>
      <c r="C190" s="2">
        <f>IFERROR(__xludf.DUMMYFUNCTION("""COMPUTED_VALUE"""),78.6)</f>
        <v>78.6</v>
      </c>
    </row>
    <row r="191" ht="15.75" customHeight="1">
      <c r="B191" s="3">
        <f>IFERROR(__xludf.DUMMYFUNCTION("""COMPUTED_VALUE"""),41103.645833333336)</f>
        <v>41103.64583</v>
      </c>
      <c r="C191" s="2">
        <f>IFERROR(__xludf.DUMMYFUNCTION("""COMPUTED_VALUE"""),79.2)</f>
        <v>79.2</v>
      </c>
    </row>
    <row r="192" ht="15.75" customHeight="1">
      <c r="B192" s="3">
        <f>IFERROR(__xludf.DUMMYFUNCTION("""COMPUTED_VALUE"""),41110.645833333336)</f>
        <v>41110.64583</v>
      </c>
      <c r="C192" s="2">
        <f>IFERROR(__xludf.DUMMYFUNCTION("""COMPUTED_VALUE"""),78.9)</f>
        <v>78.9</v>
      </c>
    </row>
    <row r="193" ht="15.75" customHeight="1">
      <c r="B193" s="3">
        <f>IFERROR(__xludf.DUMMYFUNCTION("""COMPUTED_VALUE"""),41117.645833333336)</f>
        <v>41117.64583</v>
      </c>
      <c r="C193" s="2">
        <f>IFERROR(__xludf.DUMMYFUNCTION("""COMPUTED_VALUE"""),77.25)</f>
        <v>77.25</v>
      </c>
    </row>
    <row r="194" ht="15.75" customHeight="1">
      <c r="B194" s="3">
        <f>IFERROR(__xludf.DUMMYFUNCTION("""COMPUTED_VALUE"""),41124.645833333336)</f>
        <v>41124.64583</v>
      </c>
      <c r="C194" s="2">
        <f>IFERROR(__xludf.DUMMYFUNCTION("""COMPUTED_VALUE"""),76.5)</f>
        <v>76.5</v>
      </c>
    </row>
    <row r="195" ht="15.75" customHeight="1">
      <c r="B195" s="3">
        <f>IFERROR(__xludf.DUMMYFUNCTION("""COMPUTED_VALUE"""),41131.645833333336)</f>
        <v>41131.64583</v>
      </c>
      <c r="C195" s="2">
        <f>IFERROR(__xludf.DUMMYFUNCTION("""COMPUTED_VALUE"""),78.95)</f>
        <v>78.95</v>
      </c>
    </row>
    <row r="196" ht="15.75" customHeight="1">
      <c r="B196" s="3">
        <f>IFERROR(__xludf.DUMMYFUNCTION("""COMPUTED_VALUE"""),41138.645833333336)</f>
        <v>41138.64583</v>
      </c>
      <c r="C196" s="2">
        <f>IFERROR(__xludf.DUMMYFUNCTION("""COMPUTED_VALUE"""),77.5)</f>
        <v>77.5</v>
      </c>
    </row>
    <row r="197" ht="15.75" customHeight="1">
      <c r="B197" s="3">
        <f>IFERROR(__xludf.DUMMYFUNCTION("""COMPUTED_VALUE"""),41145.645833333336)</f>
        <v>41145.64583</v>
      </c>
      <c r="C197" s="2">
        <f>IFERROR(__xludf.DUMMYFUNCTION("""COMPUTED_VALUE"""),79.1)</f>
        <v>79.1</v>
      </c>
    </row>
    <row r="198" ht="15.75" customHeight="1">
      <c r="B198" s="3">
        <f>IFERROR(__xludf.DUMMYFUNCTION("""COMPUTED_VALUE"""),41152.645833333336)</f>
        <v>41152.64583</v>
      </c>
      <c r="C198" s="2">
        <f>IFERROR(__xludf.DUMMYFUNCTION("""COMPUTED_VALUE"""),75.55)</f>
        <v>75.55</v>
      </c>
    </row>
    <row r="199" ht="15.75" customHeight="1">
      <c r="B199" s="3">
        <f>IFERROR(__xludf.DUMMYFUNCTION("""COMPUTED_VALUE"""),41166.645833333336)</f>
        <v>41166.64583</v>
      </c>
      <c r="C199" s="2">
        <f>IFERROR(__xludf.DUMMYFUNCTION("""COMPUTED_VALUE"""),74.0)</f>
        <v>74</v>
      </c>
    </row>
    <row r="200" ht="15.75" customHeight="1">
      <c r="B200" s="3">
        <f>IFERROR(__xludf.DUMMYFUNCTION("""COMPUTED_VALUE"""),41173.645833333336)</f>
        <v>41173.64583</v>
      </c>
      <c r="C200" s="2">
        <f>IFERROR(__xludf.DUMMYFUNCTION("""COMPUTED_VALUE"""),84.8)</f>
        <v>84.8</v>
      </c>
    </row>
    <row r="201" ht="15.75" customHeight="1">
      <c r="B201" s="3">
        <f>IFERROR(__xludf.DUMMYFUNCTION("""COMPUTED_VALUE"""),41180.645833333336)</f>
        <v>41180.64583</v>
      </c>
      <c r="C201" s="2">
        <f>IFERROR(__xludf.DUMMYFUNCTION("""COMPUTED_VALUE"""),87.05)</f>
        <v>87.05</v>
      </c>
    </row>
    <row r="202" ht="15.75" customHeight="1">
      <c r="B202" s="3">
        <f>IFERROR(__xludf.DUMMYFUNCTION("""COMPUTED_VALUE"""),41187.645833333336)</f>
        <v>41187.64583</v>
      </c>
      <c r="C202" s="2">
        <f>IFERROR(__xludf.DUMMYFUNCTION("""COMPUTED_VALUE"""),92.8)</f>
        <v>92.8</v>
      </c>
    </row>
    <row r="203" ht="15.75" customHeight="1">
      <c r="B203" s="3">
        <f>IFERROR(__xludf.DUMMYFUNCTION("""COMPUTED_VALUE"""),41194.645833333336)</f>
        <v>41194.64583</v>
      </c>
      <c r="C203" s="2">
        <f>IFERROR(__xludf.DUMMYFUNCTION("""COMPUTED_VALUE"""),94.7)</f>
        <v>94.7</v>
      </c>
    </row>
    <row r="204" ht="15.75" customHeight="1">
      <c r="B204" s="3">
        <f>IFERROR(__xludf.DUMMYFUNCTION("""COMPUTED_VALUE"""),41201.645833333336)</f>
        <v>41201.64583</v>
      </c>
      <c r="C204" s="2">
        <f>IFERROR(__xludf.DUMMYFUNCTION("""COMPUTED_VALUE"""),95.75)</f>
        <v>95.75</v>
      </c>
    </row>
    <row r="205" ht="15.75" customHeight="1">
      <c r="B205" s="3">
        <f>IFERROR(__xludf.DUMMYFUNCTION("""COMPUTED_VALUE"""),41208.645833333336)</f>
        <v>41208.64583</v>
      </c>
      <c r="C205" s="2">
        <f>IFERROR(__xludf.DUMMYFUNCTION("""COMPUTED_VALUE"""),96.35)</f>
        <v>96.35</v>
      </c>
    </row>
    <row r="206" ht="15.75" customHeight="1">
      <c r="B206" s="3">
        <f>IFERROR(__xludf.DUMMYFUNCTION("""COMPUTED_VALUE"""),41215.645833333336)</f>
        <v>41215.64583</v>
      </c>
      <c r="C206" s="2">
        <f>IFERROR(__xludf.DUMMYFUNCTION("""COMPUTED_VALUE"""),92.25)</f>
        <v>92.25</v>
      </c>
    </row>
    <row r="207" ht="15.75" customHeight="1">
      <c r="B207" s="3">
        <f>IFERROR(__xludf.DUMMYFUNCTION("""COMPUTED_VALUE"""),41222.645833333336)</f>
        <v>41222.64583</v>
      </c>
      <c r="C207" s="2">
        <f>IFERROR(__xludf.DUMMYFUNCTION("""COMPUTED_VALUE"""),94.3)</f>
        <v>94.3</v>
      </c>
    </row>
    <row r="208" ht="15.75" customHeight="1">
      <c r="B208" s="3">
        <f>IFERROR(__xludf.DUMMYFUNCTION("""COMPUTED_VALUE"""),41229.645833333336)</f>
        <v>41229.64583</v>
      </c>
      <c r="C208" s="2">
        <f>IFERROR(__xludf.DUMMYFUNCTION("""COMPUTED_VALUE"""),94.1)</f>
        <v>94.1</v>
      </c>
    </row>
    <row r="209" ht="15.75" customHeight="1">
      <c r="B209" s="3">
        <f>IFERROR(__xludf.DUMMYFUNCTION("""COMPUTED_VALUE"""),41236.645833333336)</f>
        <v>41236.64583</v>
      </c>
      <c r="C209" s="2">
        <f>IFERROR(__xludf.DUMMYFUNCTION("""COMPUTED_VALUE"""),92.45)</f>
        <v>92.45</v>
      </c>
    </row>
    <row r="210" ht="15.75" customHeight="1">
      <c r="B210" s="3">
        <f>IFERROR(__xludf.DUMMYFUNCTION("""COMPUTED_VALUE"""),41243.645833333336)</f>
        <v>41243.64583</v>
      </c>
      <c r="C210" s="2">
        <f>IFERROR(__xludf.DUMMYFUNCTION("""COMPUTED_VALUE"""),97.4)</f>
        <v>97.4</v>
      </c>
    </row>
    <row r="211" ht="15.75" customHeight="1">
      <c r="B211" s="3">
        <f>IFERROR(__xludf.DUMMYFUNCTION("""COMPUTED_VALUE"""),41250.645833333336)</f>
        <v>41250.64583</v>
      </c>
      <c r="C211" s="2">
        <f>IFERROR(__xludf.DUMMYFUNCTION("""COMPUTED_VALUE"""),106.0)</f>
        <v>106</v>
      </c>
    </row>
    <row r="212" ht="15.75" customHeight="1">
      <c r="B212" s="3">
        <f>IFERROR(__xludf.DUMMYFUNCTION("""COMPUTED_VALUE"""),41257.645833333336)</f>
        <v>41257.64583</v>
      </c>
      <c r="C212" s="2">
        <f>IFERROR(__xludf.DUMMYFUNCTION("""COMPUTED_VALUE"""),106.7)</f>
        <v>106.7</v>
      </c>
    </row>
    <row r="213" ht="15.75" customHeight="1">
      <c r="B213" s="3">
        <f>IFERROR(__xludf.DUMMYFUNCTION("""COMPUTED_VALUE"""),41264.645833333336)</f>
        <v>41264.64583</v>
      </c>
      <c r="C213" s="2">
        <f>IFERROR(__xludf.DUMMYFUNCTION("""COMPUTED_VALUE"""),104.0)</f>
        <v>104</v>
      </c>
    </row>
    <row r="214" ht="15.75" customHeight="1">
      <c r="B214" s="3">
        <f>IFERROR(__xludf.DUMMYFUNCTION("""COMPUTED_VALUE"""),41271.645833333336)</f>
        <v>41271.64583</v>
      </c>
      <c r="C214" s="2">
        <f>IFERROR(__xludf.DUMMYFUNCTION("""COMPUTED_VALUE"""),99.5)</f>
        <v>99.5</v>
      </c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IFERROR(__xludf.DUMMYFUNCTION("GOOGLEFINANCE(""NSE:JPASSOCIAT"", ""high"",DATE(2013,1,1),DATE(2014,1,1),""weekly"")"),"Date")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IFERROR(__xludf.DUMMYFUNCTION("""COMPUTED_VALUE"""),41278.645833333336)</f>
        <v>41278.64583</v>
      </c>
      <c r="C222" s="2">
        <f>IFERROR(__xludf.DUMMYFUNCTION("""COMPUTED_VALUE"""),102.45)</f>
        <v>102.45</v>
      </c>
    </row>
    <row r="223" ht="15.75" customHeight="1">
      <c r="B223" s="3">
        <f>IFERROR(__xludf.DUMMYFUNCTION("""COMPUTED_VALUE"""),41285.645833333336)</f>
        <v>41285.64583</v>
      </c>
      <c r="C223" s="2">
        <f>IFERROR(__xludf.DUMMYFUNCTION("""COMPUTED_VALUE"""),102.1)</f>
        <v>102.1</v>
      </c>
    </row>
    <row r="224" ht="15.75" customHeight="1">
      <c r="B224" s="3">
        <f>IFERROR(__xludf.DUMMYFUNCTION("""COMPUTED_VALUE"""),41292.645833333336)</f>
        <v>41292.64583</v>
      </c>
      <c r="C224" s="2">
        <f>IFERROR(__xludf.DUMMYFUNCTION("""COMPUTED_VALUE"""),97.2)</f>
        <v>97.2</v>
      </c>
    </row>
    <row r="225" ht="15.75" customHeight="1">
      <c r="B225" s="3">
        <f>IFERROR(__xludf.DUMMYFUNCTION("""COMPUTED_VALUE"""),41299.645833333336)</f>
        <v>41299.64583</v>
      </c>
      <c r="C225" s="2">
        <f>IFERROR(__xludf.DUMMYFUNCTION("""COMPUTED_VALUE"""),92.8)</f>
        <v>92.8</v>
      </c>
    </row>
    <row r="226" ht="15.75" customHeight="1">
      <c r="B226" s="3">
        <f>IFERROR(__xludf.DUMMYFUNCTION("""COMPUTED_VALUE"""),41306.645833333336)</f>
        <v>41306.64583</v>
      </c>
      <c r="C226" s="2">
        <f>IFERROR(__xludf.DUMMYFUNCTION("""COMPUTED_VALUE"""),88.75)</f>
        <v>88.75</v>
      </c>
    </row>
    <row r="227" ht="15.75" customHeight="1">
      <c r="B227" s="3">
        <f>IFERROR(__xludf.DUMMYFUNCTION("""COMPUTED_VALUE"""),41313.645833333336)</f>
        <v>41313.64583</v>
      </c>
      <c r="C227" s="2">
        <f>IFERROR(__xludf.DUMMYFUNCTION("""COMPUTED_VALUE"""),84.5)</f>
        <v>84.5</v>
      </c>
    </row>
    <row r="228" ht="15.75" customHeight="1">
      <c r="B228" s="3">
        <f>IFERROR(__xludf.DUMMYFUNCTION("""COMPUTED_VALUE"""),41320.645833333336)</f>
        <v>41320.64583</v>
      </c>
      <c r="C228" s="2">
        <f>IFERROR(__xludf.DUMMYFUNCTION("""COMPUTED_VALUE"""),74.9)</f>
        <v>74.9</v>
      </c>
    </row>
    <row r="229" ht="15.75" customHeight="1">
      <c r="B229" s="3">
        <f>IFERROR(__xludf.DUMMYFUNCTION("""COMPUTED_VALUE"""),41327.645833333336)</f>
        <v>41327.64583</v>
      </c>
      <c r="C229" s="2">
        <f>IFERROR(__xludf.DUMMYFUNCTION("""COMPUTED_VALUE"""),75.95)</f>
        <v>75.95</v>
      </c>
    </row>
    <row r="230" ht="15.75" customHeight="1">
      <c r="B230" s="3">
        <f>IFERROR(__xludf.DUMMYFUNCTION("""COMPUTED_VALUE"""),41334.645833333336)</f>
        <v>41334.64583</v>
      </c>
      <c r="C230" s="2">
        <f>IFERROR(__xludf.DUMMYFUNCTION("""COMPUTED_VALUE"""),74.5)</f>
        <v>74.5</v>
      </c>
    </row>
    <row r="231" ht="15.75" customHeight="1">
      <c r="B231" s="3">
        <f>IFERROR(__xludf.DUMMYFUNCTION("""COMPUTED_VALUE"""),41341.645833333336)</f>
        <v>41341.64583</v>
      </c>
      <c r="C231" s="2">
        <f>IFERROR(__xludf.DUMMYFUNCTION("""COMPUTED_VALUE"""),78.4)</f>
        <v>78.4</v>
      </c>
    </row>
    <row r="232" ht="15.75" customHeight="1">
      <c r="B232" s="3">
        <f>IFERROR(__xludf.DUMMYFUNCTION("""COMPUTED_VALUE"""),41348.645833333336)</f>
        <v>41348.64583</v>
      </c>
      <c r="C232" s="2">
        <f>IFERROR(__xludf.DUMMYFUNCTION("""COMPUTED_VALUE"""),78.65)</f>
        <v>78.65</v>
      </c>
    </row>
    <row r="233" ht="15.75" customHeight="1">
      <c r="B233" s="3">
        <f>IFERROR(__xludf.DUMMYFUNCTION("""COMPUTED_VALUE"""),41355.645833333336)</f>
        <v>41355.64583</v>
      </c>
      <c r="C233" s="2">
        <f>IFERROR(__xludf.DUMMYFUNCTION("""COMPUTED_VALUE"""),74.85)</f>
        <v>74.85</v>
      </c>
    </row>
    <row r="234" ht="15.75" customHeight="1">
      <c r="B234" s="3">
        <f>IFERROR(__xludf.DUMMYFUNCTION("""COMPUTED_VALUE"""),41361.645833333336)</f>
        <v>41361.64583</v>
      </c>
      <c r="C234" s="2">
        <f>IFERROR(__xludf.DUMMYFUNCTION("""COMPUTED_VALUE"""),66.15)</f>
        <v>66.15</v>
      </c>
    </row>
    <row r="235" ht="15.75" customHeight="1">
      <c r="B235" s="3">
        <f>IFERROR(__xludf.DUMMYFUNCTION("""COMPUTED_VALUE"""),41369.645833333336)</f>
        <v>41369.64583</v>
      </c>
      <c r="C235" s="2">
        <f>IFERROR(__xludf.DUMMYFUNCTION("""COMPUTED_VALUE"""),70.8)</f>
        <v>70.8</v>
      </c>
    </row>
    <row r="236" ht="15.75" customHeight="1">
      <c r="B236" s="3">
        <f>IFERROR(__xludf.DUMMYFUNCTION("""COMPUTED_VALUE"""),41376.645833333336)</f>
        <v>41376.64583</v>
      </c>
      <c r="C236" s="2">
        <f>IFERROR(__xludf.DUMMYFUNCTION("""COMPUTED_VALUE"""),71.5)</f>
        <v>71.5</v>
      </c>
    </row>
    <row r="237" ht="15.75" customHeight="1">
      <c r="B237" s="3">
        <f>IFERROR(__xludf.DUMMYFUNCTION("""COMPUTED_VALUE"""),41382.645833333336)</f>
        <v>41382.64583</v>
      </c>
      <c r="C237" s="2">
        <f>IFERROR(__xludf.DUMMYFUNCTION("""COMPUTED_VALUE"""),76.9)</f>
        <v>76.9</v>
      </c>
    </row>
    <row r="238" ht="15.75" customHeight="1">
      <c r="B238" s="3">
        <f>IFERROR(__xludf.DUMMYFUNCTION("""COMPUTED_VALUE"""),41390.645833333336)</f>
        <v>41390.64583</v>
      </c>
      <c r="C238" s="2">
        <f>IFERROR(__xludf.DUMMYFUNCTION("""COMPUTED_VALUE"""),80.65)</f>
        <v>80.65</v>
      </c>
    </row>
    <row r="239" ht="15.75" customHeight="1">
      <c r="B239" s="3">
        <f>IFERROR(__xludf.DUMMYFUNCTION("""COMPUTED_VALUE"""),41397.645833333336)</f>
        <v>41397.64583</v>
      </c>
      <c r="C239" s="2">
        <f>IFERROR(__xludf.DUMMYFUNCTION("""COMPUTED_VALUE"""),79.1)</f>
        <v>79.1</v>
      </c>
    </row>
    <row r="240" ht="15.75" customHeight="1">
      <c r="B240" s="3">
        <f>IFERROR(__xludf.DUMMYFUNCTION("""COMPUTED_VALUE"""),41411.645833333336)</f>
        <v>41411.64583</v>
      </c>
      <c r="C240" s="2">
        <f>IFERROR(__xludf.DUMMYFUNCTION("""COMPUTED_VALUE"""),83.4)</f>
        <v>83.4</v>
      </c>
    </row>
    <row r="241" ht="15.75" customHeight="1">
      <c r="B241" s="3">
        <f>IFERROR(__xludf.DUMMYFUNCTION("""COMPUTED_VALUE"""),41418.645833333336)</f>
        <v>41418.64583</v>
      </c>
      <c r="C241" s="2">
        <f>IFERROR(__xludf.DUMMYFUNCTION("""COMPUTED_VALUE"""),83.65)</f>
        <v>83.65</v>
      </c>
    </row>
    <row r="242" ht="15.75" customHeight="1">
      <c r="B242" s="3">
        <f>IFERROR(__xludf.DUMMYFUNCTION("""COMPUTED_VALUE"""),41425.645833333336)</f>
        <v>41425.64583</v>
      </c>
      <c r="C242" s="2">
        <f>IFERROR(__xludf.DUMMYFUNCTION("""COMPUTED_VALUE"""),72.1)</f>
        <v>72.1</v>
      </c>
    </row>
    <row r="243" ht="15.75" customHeight="1">
      <c r="B243" s="3">
        <f>IFERROR(__xludf.DUMMYFUNCTION("""COMPUTED_VALUE"""),41432.645833333336)</f>
        <v>41432.64583</v>
      </c>
      <c r="C243" s="2">
        <f>IFERROR(__xludf.DUMMYFUNCTION("""COMPUTED_VALUE"""),68.1)</f>
        <v>68.1</v>
      </c>
    </row>
    <row r="244" ht="15.75" customHeight="1">
      <c r="B244" s="3">
        <f>IFERROR(__xludf.DUMMYFUNCTION("""COMPUTED_VALUE"""),41439.645833333336)</f>
        <v>41439.64583</v>
      </c>
      <c r="C244" s="2">
        <f>IFERROR(__xludf.DUMMYFUNCTION("""COMPUTED_VALUE"""),65.55)</f>
        <v>65.55</v>
      </c>
    </row>
    <row r="245" ht="15.75" customHeight="1">
      <c r="B245" s="3">
        <f>IFERROR(__xludf.DUMMYFUNCTION("""COMPUTED_VALUE"""),41446.645833333336)</f>
        <v>41446.64583</v>
      </c>
      <c r="C245" s="2">
        <f>IFERROR(__xludf.DUMMYFUNCTION("""COMPUTED_VALUE"""),64.55)</f>
        <v>64.55</v>
      </c>
    </row>
    <row r="246" ht="15.75" customHeight="1">
      <c r="B246" s="3">
        <f>IFERROR(__xludf.DUMMYFUNCTION("""COMPUTED_VALUE"""),41453.645833333336)</f>
        <v>41453.64583</v>
      </c>
      <c r="C246" s="2">
        <f>IFERROR(__xludf.DUMMYFUNCTION("""COMPUTED_VALUE"""),56.85)</f>
        <v>56.85</v>
      </c>
    </row>
    <row r="247" ht="15.75" customHeight="1">
      <c r="B247" s="3">
        <f>IFERROR(__xludf.DUMMYFUNCTION("""COMPUTED_VALUE"""),41460.645833333336)</f>
        <v>41460.64583</v>
      </c>
      <c r="C247" s="2">
        <f>IFERROR(__xludf.DUMMYFUNCTION("""COMPUTED_VALUE"""),57.3)</f>
        <v>57.3</v>
      </c>
    </row>
    <row r="248" ht="15.75" customHeight="1">
      <c r="B248" s="3">
        <f>IFERROR(__xludf.DUMMYFUNCTION("""COMPUTED_VALUE"""),41467.645833333336)</f>
        <v>41467.64583</v>
      </c>
      <c r="C248" s="2">
        <f>IFERROR(__xludf.DUMMYFUNCTION("""COMPUTED_VALUE"""),55.25)</f>
        <v>55.25</v>
      </c>
    </row>
    <row r="249" ht="15.75" customHeight="1">
      <c r="B249" s="3">
        <f>IFERROR(__xludf.DUMMYFUNCTION("""COMPUTED_VALUE"""),41474.645833333336)</f>
        <v>41474.64583</v>
      </c>
      <c r="C249" s="2">
        <f>IFERROR(__xludf.DUMMYFUNCTION("""COMPUTED_VALUE"""),54.9)</f>
        <v>54.9</v>
      </c>
    </row>
    <row r="250" ht="15.75" customHeight="1">
      <c r="B250" s="3">
        <f>IFERROR(__xludf.DUMMYFUNCTION("""COMPUTED_VALUE"""),41481.645833333336)</f>
        <v>41481.64583</v>
      </c>
      <c r="C250" s="2">
        <f>IFERROR(__xludf.DUMMYFUNCTION("""COMPUTED_VALUE"""),50.75)</f>
        <v>50.75</v>
      </c>
    </row>
    <row r="251" ht="15.75" customHeight="1">
      <c r="B251" s="3">
        <f>IFERROR(__xludf.DUMMYFUNCTION("""COMPUTED_VALUE"""),41488.645833333336)</f>
        <v>41488.64583</v>
      </c>
      <c r="C251" s="2">
        <f>IFERROR(__xludf.DUMMYFUNCTION("""COMPUTED_VALUE"""),42.8)</f>
        <v>42.8</v>
      </c>
    </row>
    <row r="252" ht="15.75" customHeight="1">
      <c r="B252" s="3">
        <f>IFERROR(__xludf.DUMMYFUNCTION("""COMPUTED_VALUE"""),41494.645833333336)</f>
        <v>41494.64583</v>
      </c>
      <c r="C252" s="2">
        <f>IFERROR(__xludf.DUMMYFUNCTION("""COMPUTED_VALUE"""),32.5)</f>
        <v>32.5</v>
      </c>
    </row>
    <row r="253" ht="15.75" customHeight="1">
      <c r="B253" s="3">
        <f>IFERROR(__xludf.DUMMYFUNCTION("""COMPUTED_VALUE"""),41502.645833333336)</f>
        <v>41502.64583</v>
      </c>
      <c r="C253" s="2">
        <f>IFERROR(__xludf.DUMMYFUNCTION("""COMPUTED_VALUE"""),34.05)</f>
        <v>34.05</v>
      </c>
    </row>
    <row r="254" ht="15.75" customHeight="1">
      <c r="B254" s="3">
        <f>IFERROR(__xludf.DUMMYFUNCTION("""COMPUTED_VALUE"""),41509.645833333336)</f>
        <v>41509.64583</v>
      </c>
      <c r="C254" s="2">
        <f>IFERROR(__xludf.DUMMYFUNCTION("""COMPUTED_VALUE"""),34.9)</f>
        <v>34.9</v>
      </c>
    </row>
    <row r="255" ht="15.75" customHeight="1">
      <c r="B255" s="3">
        <f>IFERROR(__xludf.DUMMYFUNCTION("""COMPUTED_VALUE"""),41516.645833333336)</f>
        <v>41516.64583</v>
      </c>
      <c r="C255" s="2">
        <f>IFERROR(__xludf.DUMMYFUNCTION("""COMPUTED_VALUE"""),36.25)</f>
        <v>36.25</v>
      </c>
    </row>
    <row r="256" ht="15.75" customHeight="1">
      <c r="B256" s="3">
        <f>IFERROR(__xludf.DUMMYFUNCTION("""COMPUTED_VALUE"""),41523.645833333336)</f>
        <v>41523.64583</v>
      </c>
      <c r="C256" s="2">
        <f>IFERROR(__xludf.DUMMYFUNCTION("""COMPUTED_VALUE"""),39.1)</f>
        <v>39.1</v>
      </c>
    </row>
    <row r="257" ht="15.75" customHeight="1">
      <c r="B257" s="3">
        <f>IFERROR(__xludf.DUMMYFUNCTION("""COMPUTED_VALUE"""),41530.645833333336)</f>
        <v>41530.64583</v>
      </c>
      <c r="C257" s="2">
        <f>IFERROR(__xludf.DUMMYFUNCTION("""COMPUTED_VALUE"""),44.45)</f>
        <v>44.45</v>
      </c>
    </row>
    <row r="258" ht="15.75" customHeight="1">
      <c r="B258" s="3">
        <f>IFERROR(__xludf.DUMMYFUNCTION("""COMPUTED_VALUE"""),41537.645833333336)</f>
        <v>41537.64583</v>
      </c>
      <c r="C258" s="2">
        <f>IFERROR(__xludf.DUMMYFUNCTION("""COMPUTED_VALUE"""),42.75)</f>
        <v>42.75</v>
      </c>
    </row>
    <row r="259" ht="15.75" customHeight="1">
      <c r="B259" s="3">
        <f>IFERROR(__xludf.DUMMYFUNCTION("""COMPUTED_VALUE"""),41544.645833333336)</f>
        <v>41544.64583</v>
      </c>
      <c r="C259" s="2">
        <f>IFERROR(__xludf.DUMMYFUNCTION("""COMPUTED_VALUE"""),40.5)</f>
        <v>40.5</v>
      </c>
    </row>
    <row r="260" ht="15.75" customHeight="1">
      <c r="B260" s="3">
        <f>IFERROR(__xludf.DUMMYFUNCTION("""COMPUTED_VALUE"""),41551.645833333336)</f>
        <v>41551.64583</v>
      </c>
      <c r="C260" s="2">
        <f>IFERROR(__xludf.DUMMYFUNCTION("""COMPUTED_VALUE"""),38.8)</f>
        <v>38.8</v>
      </c>
    </row>
    <row r="261" ht="15.75" customHeight="1">
      <c r="B261" s="3">
        <f>IFERROR(__xludf.DUMMYFUNCTION("""COMPUTED_VALUE"""),41558.645833333336)</f>
        <v>41558.64583</v>
      </c>
      <c r="C261" s="2">
        <f>IFERROR(__xludf.DUMMYFUNCTION("""COMPUTED_VALUE"""),41.0)</f>
        <v>41</v>
      </c>
    </row>
    <row r="262" ht="15.75" customHeight="1">
      <c r="B262" s="3">
        <f>IFERROR(__xludf.DUMMYFUNCTION("""COMPUTED_VALUE"""),41565.645833333336)</f>
        <v>41565.64583</v>
      </c>
      <c r="C262" s="2">
        <f>IFERROR(__xludf.DUMMYFUNCTION("""COMPUTED_VALUE"""),47.6)</f>
        <v>47.6</v>
      </c>
    </row>
    <row r="263" ht="15.75" customHeight="1">
      <c r="B263" s="3">
        <f>IFERROR(__xludf.DUMMYFUNCTION("""COMPUTED_VALUE"""),41572.645833333336)</f>
        <v>41572.64583</v>
      </c>
      <c r="C263" s="2">
        <f>IFERROR(__xludf.DUMMYFUNCTION("""COMPUTED_VALUE"""),48.35)</f>
        <v>48.35</v>
      </c>
    </row>
    <row r="264" ht="15.75" customHeight="1">
      <c r="B264" s="3">
        <f>IFERROR(__xludf.DUMMYFUNCTION("""COMPUTED_VALUE"""),41579.645833333336)</f>
        <v>41579.64583</v>
      </c>
      <c r="C264" s="2">
        <f>IFERROR(__xludf.DUMMYFUNCTION("""COMPUTED_VALUE"""),49.1)</f>
        <v>49.1</v>
      </c>
    </row>
    <row r="265" ht="15.75" customHeight="1">
      <c r="B265" s="3">
        <f>IFERROR(__xludf.DUMMYFUNCTION("""COMPUTED_VALUE"""),41586.645833333336)</f>
        <v>41586.64583</v>
      </c>
      <c r="C265" s="2">
        <f>IFERROR(__xludf.DUMMYFUNCTION("""COMPUTED_VALUE"""),50.55)</f>
        <v>50.55</v>
      </c>
    </row>
    <row r="266" ht="15.75" customHeight="1">
      <c r="B266" s="3">
        <f>IFERROR(__xludf.DUMMYFUNCTION("""COMPUTED_VALUE"""),41592.645833333336)</f>
        <v>41592.64583</v>
      </c>
      <c r="C266" s="2">
        <f>IFERROR(__xludf.DUMMYFUNCTION("""COMPUTED_VALUE"""),47.7)</f>
        <v>47.7</v>
      </c>
    </row>
    <row r="267" ht="15.75" customHeight="1">
      <c r="B267" s="3">
        <f>IFERROR(__xludf.DUMMYFUNCTION("""COMPUTED_VALUE"""),41600.645833333336)</f>
        <v>41600.64583</v>
      </c>
      <c r="C267" s="2">
        <f>IFERROR(__xludf.DUMMYFUNCTION("""COMPUTED_VALUE"""),50.15)</f>
        <v>50.15</v>
      </c>
    </row>
    <row r="268" ht="15.75" customHeight="1">
      <c r="B268" s="3">
        <f>IFERROR(__xludf.DUMMYFUNCTION("""COMPUTED_VALUE"""),41607.645833333336)</f>
        <v>41607.64583</v>
      </c>
      <c r="C268" s="2">
        <f>IFERROR(__xludf.DUMMYFUNCTION("""COMPUTED_VALUE"""),54.2)</f>
        <v>54.2</v>
      </c>
    </row>
    <row r="269" ht="15.75" customHeight="1">
      <c r="B269" s="3">
        <f>IFERROR(__xludf.DUMMYFUNCTION("""COMPUTED_VALUE"""),41614.645833333336)</f>
        <v>41614.64583</v>
      </c>
      <c r="C269" s="2">
        <f>IFERROR(__xludf.DUMMYFUNCTION("""COMPUTED_VALUE"""),57.1)</f>
        <v>57.1</v>
      </c>
    </row>
    <row r="270" ht="15.75" customHeight="1">
      <c r="B270" s="3">
        <f>IFERROR(__xludf.DUMMYFUNCTION("""COMPUTED_VALUE"""),41621.645833333336)</f>
        <v>41621.64583</v>
      </c>
      <c r="C270" s="2">
        <f>IFERROR(__xludf.DUMMYFUNCTION("""COMPUTED_VALUE"""),58.0)</f>
        <v>58</v>
      </c>
    </row>
    <row r="271" ht="15.75" customHeight="1">
      <c r="B271" s="3">
        <f>IFERROR(__xludf.DUMMYFUNCTION("""COMPUTED_VALUE"""),41628.645833333336)</f>
        <v>41628.64583</v>
      </c>
      <c r="C271" s="2">
        <f>IFERROR(__xludf.DUMMYFUNCTION("""COMPUTED_VALUE"""),53.7)</f>
        <v>53.7</v>
      </c>
    </row>
    <row r="272" ht="15.75" customHeight="1">
      <c r="B272" s="3">
        <f>IFERROR(__xludf.DUMMYFUNCTION("""COMPUTED_VALUE"""),41635.645833333336)</f>
        <v>41635.64583</v>
      </c>
      <c r="C272" s="2">
        <f>IFERROR(__xludf.DUMMYFUNCTION("""COMPUTED_VALUE"""),55.3)</f>
        <v>55.3</v>
      </c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IFERROR(__xludf.DUMMYFUNCTION("GOOGLEFINANCE(""NSE:JINDALSTEL"", ""high"",DATE(2009,1,1),DATE(2010,1,1),""weekly"")"),"Date")</f>
        <v>Date</v>
      </c>
      <c r="C1" s="2" t="str">
        <f>IFERROR(__xludf.DUMMYFUNCTION("""COMPUTED_VALUE"""),"High")</f>
        <v>High</v>
      </c>
    </row>
    <row r="2">
      <c r="A2" s="2" t="s">
        <v>8</v>
      </c>
      <c r="B2" s="3">
        <f>IFERROR(__xludf.DUMMYFUNCTION("""COMPUTED_VALUE"""),39815.645833333336)</f>
        <v>39815.64583</v>
      </c>
      <c r="C2" s="2">
        <f>IFERROR(__xludf.DUMMYFUNCTION("""COMPUTED_VALUE"""),161.33)</f>
        <v>161.33</v>
      </c>
    </row>
    <row r="3">
      <c r="A3" s="2" t="s">
        <v>9</v>
      </c>
      <c r="B3" s="3">
        <f>IFERROR(__xludf.DUMMYFUNCTION("""COMPUTED_VALUE"""),39822.645833333336)</f>
        <v>39822.64583</v>
      </c>
      <c r="C3" s="2">
        <f>IFERROR(__xludf.DUMMYFUNCTION("""COMPUTED_VALUE"""),179.17)</f>
        <v>179.17</v>
      </c>
    </row>
    <row r="4">
      <c r="A4" s="2" t="s">
        <v>10</v>
      </c>
      <c r="B4" s="3">
        <f>IFERROR(__xludf.DUMMYFUNCTION("""COMPUTED_VALUE"""),39829.645833333336)</f>
        <v>39829.64583</v>
      </c>
      <c r="C4" s="2">
        <f>IFERROR(__xludf.DUMMYFUNCTION("""COMPUTED_VALUE"""),153.3)</f>
        <v>153.3</v>
      </c>
    </row>
    <row r="5">
      <c r="A5" s="2" t="s">
        <v>11</v>
      </c>
      <c r="B5" s="3">
        <f>IFERROR(__xludf.DUMMYFUNCTION("""COMPUTED_VALUE"""),39836.645833333336)</f>
        <v>39836.64583</v>
      </c>
      <c r="C5" s="2">
        <f>IFERROR(__xludf.DUMMYFUNCTION("""COMPUTED_VALUE"""),147.0)</f>
        <v>147</v>
      </c>
    </row>
    <row r="6">
      <c r="A6" s="2" t="s">
        <v>12</v>
      </c>
      <c r="B6" s="3">
        <f>IFERROR(__xludf.DUMMYFUNCTION("""COMPUTED_VALUE"""),39843.645833333336)</f>
        <v>39843.64583</v>
      </c>
      <c r="C6" s="2">
        <f>IFERROR(__xludf.DUMMYFUNCTION("""COMPUTED_VALUE"""),176.15)</f>
        <v>176.15</v>
      </c>
    </row>
    <row r="7">
      <c r="A7" s="2" t="s">
        <v>13</v>
      </c>
      <c r="B7" s="3">
        <f>IFERROR(__xludf.DUMMYFUNCTION("""COMPUTED_VALUE"""),39850.645833333336)</f>
        <v>39850.64583</v>
      </c>
      <c r="C7" s="2">
        <f>IFERROR(__xludf.DUMMYFUNCTION("""COMPUTED_VALUE"""),182.83)</f>
        <v>182.83</v>
      </c>
    </row>
    <row r="8">
      <c r="B8" s="3">
        <f>IFERROR(__xludf.DUMMYFUNCTION("""COMPUTED_VALUE"""),39857.645833333336)</f>
        <v>39857.64583</v>
      </c>
      <c r="C8" s="2">
        <f>IFERROR(__xludf.DUMMYFUNCTION("""COMPUTED_VALUE"""),187.15)</f>
        <v>187.15</v>
      </c>
    </row>
    <row r="9">
      <c r="B9" s="3">
        <f>IFERROR(__xludf.DUMMYFUNCTION("""COMPUTED_VALUE"""),39864.645833333336)</f>
        <v>39864.64583</v>
      </c>
      <c r="C9" s="2">
        <f>IFERROR(__xludf.DUMMYFUNCTION("""COMPUTED_VALUE"""),183.32)</f>
        <v>183.32</v>
      </c>
    </row>
    <row r="10">
      <c r="B10" s="3">
        <f>IFERROR(__xludf.DUMMYFUNCTION("""COMPUTED_VALUE"""),39871.645833333336)</f>
        <v>39871.64583</v>
      </c>
      <c r="C10" s="2">
        <f>IFERROR(__xludf.DUMMYFUNCTION("""COMPUTED_VALUE"""),179.83)</f>
        <v>179.83</v>
      </c>
    </row>
    <row r="11">
      <c r="B11" s="3">
        <f>IFERROR(__xludf.DUMMYFUNCTION("""COMPUTED_VALUE"""),39878.645833333336)</f>
        <v>39878.64583</v>
      </c>
      <c r="C11" s="2">
        <f>IFERROR(__xludf.DUMMYFUNCTION("""COMPUTED_VALUE"""),174.5)</f>
        <v>174.5</v>
      </c>
    </row>
    <row r="12">
      <c r="B12" s="3">
        <f>IFERROR(__xludf.DUMMYFUNCTION("""COMPUTED_VALUE"""),39885.645833333336)</f>
        <v>39885.64583</v>
      </c>
      <c r="C12" s="2">
        <f>IFERROR(__xludf.DUMMYFUNCTION("""COMPUTED_VALUE"""),179.15)</f>
        <v>179.15</v>
      </c>
    </row>
    <row r="13">
      <c r="B13" s="3">
        <f>IFERROR(__xludf.DUMMYFUNCTION("""COMPUTED_VALUE"""),39892.645833333336)</f>
        <v>39892.64583</v>
      </c>
      <c r="C13" s="2">
        <f>IFERROR(__xludf.DUMMYFUNCTION("""COMPUTED_VALUE"""),194.67)</f>
        <v>194.67</v>
      </c>
    </row>
    <row r="14">
      <c r="B14" s="3">
        <f>IFERROR(__xludf.DUMMYFUNCTION("""COMPUTED_VALUE"""),39899.645833333336)</f>
        <v>39899.64583</v>
      </c>
      <c r="C14" s="2">
        <f>IFERROR(__xludf.DUMMYFUNCTION("""COMPUTED_VALUE"""),212.97)</f>
        <v>212.97</v>
      </c>
    </row>
    <row r="15">
      <c r="B15" s="3">
        <f>IFERROR(__xludf.DUMMYFUNCTION("""COMPUTED_VALUE"""),39905.645833333336)</f>
        <v>39905.64583</v>
      </c>
      <c r="C15" s="2">
        <f>IFERROR(__xludf.DUMMYFUNCTION("""COMPUTED_VALUE"""),213.15)</f>
        <v>213.15</v>
      </c>
    </row>
    <row r="16">
      <c r="B16" s="3">
        <f>IFERROR(__xludf.DUMMYFUNCTION("""COMPUTED_VALUE"""),39912.645833333336)</f>
        <v>39912.64583</v>
      </c>
      <c r="C16" s="2">
        <f>IFERROR(__xludf.DUMMYFUNCTION("""COMPUTED_VALUE"""),241.65)</f>
        <v>241.65</v>
      </c>
    </row>
    <row r="17">
      <c r="B17" s="3">
        <f>IFERROR(__xludf.DUMMYFUNCTION("""COMPUTED_VALUE"""),39920.645833333336)</f>
        <v>39920.64583</v>
      </c>
      <c r="C17" s="2">
        <f>IFERROR(__xludf.DUMMYFUNCTION("""COMPUTED_VALUE"""),251.38)</f>
        <v>251.38</v>
      </c>
    </row>
    <row r="18">
      <c r="B18" s="3">
        <f>IFERROR(__xludf.DUMMYFUNCTION("""COMPUTED_VALUE"""),39927.645833333336)</f>
        <v>39927.64583</v>
      </c>
      <c r="C18" s="2">
        <f>IFERROR(__xludf.DUMMYFUNCTION("""COMPUTED_VALUE"""),272.95)</f>
        <v>272.95</v>
      </c>
    </row>
    <row r="19">
      <c r="B19" s="3">
        <f>IFERROR(__xludf.DUMMYFUNCTION("""COMPUTED_VALUE"""),39932.645833333336)</f>
        <v>39932.64583</v>
      </c>
      <c r="C19" s="2">
        <f>IFERROR(__xludf.DUMMYFUNCTION("""COMPUTED_VALUE"""),279.67)</f>
        <v>279.67</v>
      </c>
    </row>
    <row r="20">
      <c r="B20" s="3">
        <f>IFERROR(__xludf.DUMMYFUNCTION("""COMPUTED_VALUE"""),39941.645833333336)</f>
        <v>39941.64583</v>
      </c>
      <c r="C20" s="2">
        <f>IFERROR(__xludf.DUMMYFUNCTION("""COMPUTED_VALUE"""),285.67)</f>
        <v>285.67</v>
      </c>
    </row>
    <row r="21" ht="15.75" customHeight="1">
      <c r="B21" s="3">
        <f>IFERROR(__xludf.DUMMYFUNCTION("""COMPUTED_VALUE"""),39948.645833333336)</f>
        <v>39948.64583</v>
      </c>
      <c r="C21" s="2">
        <f>IFERROR(__xludf.DUMMYFUNCTION("""COMPUTED_VALUE"""),276.32)</f>
        <v>276.32</v>
      </c>
    </row>
    <row r="22" ht="15.75" customHeight="1">
      <c r="B22" s="3">
        <f>IFERROR(__xludf.DUMMYFUNCTION("""COMPUTED_VALUE"""),39955.645833333336)</f>
        <v>39955.64583</v>
      </c>
      <c r="C22" s="2">
        <f>IFERROR(__xludf.DUMMYFUNCTION("""COMPUTED_VALUE"""),366.5)</f>
        <v>366.5</v>
      </c>
    </row>
    <row r="23" ht="15.75" customHeight="1">
      <c r="B23" s="3">
        <f>IFERROR(__xludf.DUMMYFUNCTION("""COMPUTED_VALUE"""),39962.645833333336)</f>
        <v>39962.64583</v>
      </c>
      <c r="C23" s="2">
        <f>IFERROR(__xludf.DUMMYFUNCTION("""COMPUTED_VALUE"""),370.8)</f>
        <v>370.8</v>
      </c>
    </row>
    <row r="24" ht="15.75" customHeight="1">
      <c r="B24" s="3">
        <f>IFERROR(__xludf.DUMMYFUNCTION("""COMPUTED_VALUE"""),39969.645833333336)</f>
        <v>39969.64583</v>
      </c>
      <c r="C24" s="2">
        <f>IFERROR(__xludf.DUMMYFUNCTION("""COMPUTED_VALUE"""),394.15)</f>
        <v>394.15</v>
      </c>
    </row>
    <row r="25" ht="15.75" customHeight="1">
      <c r="B25" s="3">
        <f>IFERROR(__xludf.DUMMYFUNCTION("""COMPUTED_VALUE"""),39976.645833333336)</f>
        <v>39976.64583</v>
      </c>
      <c r="C25" s="2">
        <f>IFERROR(__xludf.DUMMYFUNCTION("""COMPUTED_VALUE"""),438.17)</f>
        <v>438.17</v>
      </c>
    </row>
    <row r="26" ht="15.75" customHeight="1">
      <c r="B26" s="3">
        <f>IFERROR(__xludf.DUMMYFUNCTION("""COMPUTED_VALUE"""),39983.645833333336)</f>
        <v>39983.64583</v>
      </c>
      <c r="C26" s="2">
        <f>IFERROR(__xludf.DUMMYFUNCTION("""COMPUTED_VALUE"""),451.65)</f>
        <v>451.65</v>
      </c>
    </row>
    <row r="27" ht="15.75" customHeight="1">
      <c r="B27" s="3">
        <f>IFERROR(__xludf.DUMMYFUNCTION("""COMPUTED_VALUE"""),39990.645833333336)</f>
        <v>39990.64583</v>
      </c>
      <c r="C27" s="2">
        <f>IFERROR(__xludf.DUMMYFUNCTION("""COMPUTED_VALUE"""),420.83)</f>
        <v>420.83</v>
      </c>
    </row>
    <row r="28" ht="15.75" customHeight="1">
      <c r="B28" s="3">
        <f>IFERROR(__xludf.DUMMYFUNCTION("""COMPUTED_VALUE"""),39997.645833333336)</f>
        <v>39997.64583</v>
      </c>
      <c r="C28" s="2">
        <f>IFERROR(__xludf.DUMMYFUNCTION("""COMPUTED_VALUE"""),443.3)</f>
        <v>443.3</v>
      </c>
    </row>
    <row r="29" ht="15.75" customHeight="1">
      <c r="B29" s="3">
        <f>IFERROR(__xludf.DUMMYFUNCTION("""COMPUTED_VALUE"""),40004.645833333336)</f>
        <v>40004.64583</v>
      </c>
      <c r="C29" s="2">
        <f>IFERROR(__xludf.DUMMYFUNCTION("""COMPUTED_VALUE"""),445.0)</f>
        <v>445</v>
      </c>
    </row>
    <row r="30" ht="15.75" customHeight="1">
      <c r="B30" s="3">
        <f>IFERROR(__xludf.DUMMYFUNCTION("""COMPUTED_VALUE"""),40011.645833333336)</f>
        <v>40011.64583</v>
      </c>
      <c r="C30" s="2">
        <f>IFERROR(__xludf.DUMMYFUNCTION("""COMPUTED_VALUE"""),446.5)</f>
        <v>446.5</v>
      </c>
    </row>
    <row r="31" ht="15.75" customHeight="1">
      <c r="B31" s="3">
        <f>IFERROR(__xludf.DUMMYFUNCTION("""COMPUTED_VALUE"""),40018.645833333336)</f>
        <v>40018.64583</v>
      </c>
      <c r="C31" s="2">
        <f>IFERROR(__xludf.DUMMYFUNCTION("""COMPUTED_VALUE"""),506.17)</f>
        <v>506.17</v>
      </c>
    </row>
    <row r="32" ht="15.75" customHeight="1">
      <c r="B32" s="3">
        <f>IFERROR(__xludf.DUMMYFUNCTION("""COMPUTED_VALUE"""),40025.645833333336)</f>
        <v>40025.64583</v>
      </c>
      <c r="C32" s="2">
        <f>IFERROR(__xludf.DUMMYFUNCTION("""COMPUTED_VALUE"""),539.67)</f>
        <v>539.67</v>
      </c>
    </row>
    <row r="33" ht="15.75" customHeight="1">
      <c r="B33" s="3">
        <f>IFERROR(__xludf.DUMMYFUNCTION("""COMPUTED_VALUE"""),40032.645833333336)</f>
        <v>40032.64583</v>
      </c>
      <c r="C33" s="2">
        <f>IFERROR(__xludf.DUMMYFUNCTION("""COMPUTED_VALUE"""),503.25)</f>
        <v>503.25</v>
      </c>
    </row>
    <row r="34" ht="15.75" customHeight="1">
      <c r="B34" s="3">
        <f>IFERROR(__xludf.DUMMYFUNCTION("""COMPUTED_VALUE"""),40039.645833333336)</f>
        <v>40039.64583</v>
      </c>
      <c r="C34" s="2">
        <f>IFERROR(__xludf.DUMMYFUNCTION("""COMPUTED_VALUE"""),526.17)</f>
        <v>526.17</v>
      </c>
    </row>
    <row r="35" ht="15.75" customHeight="1">
      <c r="B35" s="3">
        <f>IFERROR(__xludf.DUMMYFUNCTION("""COMPUTED_VALUE"""),40046.645833333336)</f>
        <v>40046.64583</v>
      </c>
      <c r="C35" s="2">
        <f>IFERROR(__xludf.DUMMYFUNCTION("""COMPUTED_VALUE"""),517.83)</f>
        <v>517.83</v>
      </c>
    </row>
    <row r="36" ht="15.75" customHeight="1">
      <c r="B36" s="3">
        <f>IFERROR(__xludf.DUMMYFUNCTION("""COMPUTED_VALUE"""),40053.645833333336)</f>
        <v>40053.64583</v>
      </c>
      <c r="C36" s="2">
        <f>IFERROR(__xludf.DUMMYFUNCTION("""COMPUTED_VALUE"""),551.62)</f>
        <v>551.62</v>
      </c>
    </row>
    <row r="37" ht="15.75" customHeight="1">
      <c r="B37" s="3">
        <f>IFERROR(__xludf.DUMMYFUNCTION("""COMPUTED_VALUE"""),40060.645833333336)</f>
        <v>40060.64583</v>
      </c>
      <c r="C37" s="2">
        <f>IFERROR(__xludf.DUMMYFUNCTION("""COMPUTED_VALUE"""),548.33)</f>
        <v>548.33</v>
      </c>
    </row>
    <row r="38" ht="15.75" customHeight="1">
      <c r="B38" s="3">
        <f>IFERROR(__xludf.DUMMYFUNCTION("""COMPUTED_VALUE"""),40067.645833333336)</f>
        <v>40067.64583</v>
      </c>
      <c r="C38" s="2">
        <f>IFERROR(__xludf.DUMMYFUNCTION("""COMPUTED_VALUE"""),603.67)</f>
        <v>603.67</v>
      </c>
    </row>
    <row r="39" ht="15.75" customHeight="1">
      <c r="B39" s="3">
        <f>IFERROR(__xludf.DUMMYFUNCTION("""COMPUTED_VALUE"""),40074.645833333336)</f>
        <v>40074.64583</v>
      </c>
      <c r="C39" s="2">
        <f>IFERROR(__xludf.DUMMYFUNCTION("""COMPUTED_VALUE"""),648.8)</f>
        <v>648.8</v>
      </c>
    </row>
    <row r="40" ht="15.75" customHeight="1">
      <c r="B40" s="3">
        <f>IFERROR(__xludf.DUMMYFUNCTION("""COMPUTED_VALUE"""),40081.645833333336)</f>
        <v>40081.64583</v>
      </c>
      <c r="C40" s="2">
        <f>IFERROR(__xludf.DUMMYFUNCTION("""COMPUTED_VALUE"""),641.6)</f>
        <v>641.6</v>
      </c>
    </row>
    <row r="41" ht="15.75" customHeight="1">
      <c r="B41" s="3">
        <f>IFERROR(__xludf.DUMMYFUNCTION("""COMPUTED_VALUE"""),40087.645833333336)</f>
        <v>40087.64583</v>
      </c>
      <c r="C41" s="2">
        <f>IFERROR(__xludf.DUMMYFUNCTION("""COMPUTED_VALUE"""),609.55)</f>
        <v>609.55</v>
      </c>
    </row>
    <row r="42" ht="15.75" customHeight="1">
      <c r="B42" s="3">
        <f>IFERROR(__xludf.DUMMYFUNCTION("""COMPUTED_VALUE"""),40095.645833333336)</f>
        <v>40095.64583</v>
      </c>
      <c r="C42" s="2">
        <f>IFERROR(__xludf.DUMMYFUNCTION("""COMPUTED_VALUE"""),612.0)</f>
        <v>612</v>
      </c>
    </row>
    <row r="43" ht="15.75" customHeight="1">
      <c r="B43" s="3">
        <f>IFERROR(__xludf.DUMMYFUNCTION("""COMPUTED_VALUE"""),40109.645833333336)</f>
        <v>40109.64583</v>
      </c>
      <c r="C43" s="2">
        <f>IFERROR(__xludf.DUMMYFUNCTION("""COMPUTED_VALUE"""),738.0)</f>
        <v>738</v>
      </c>
    </row>
    <row r="44" ht="15.75" customHeight="1">
      <c r="B44" s="3">
        <f>IFERROR(__xludf.DUMMYFUNCTION("""COMPUTED_VALUE"""),40116.645833333336)</f>
        <v>40116.64583</v>
      </c>
      <c r="C44" s="2">
        <f>IFERROR(__xludf.DUMMYFUNCTION("""COMPUTED_VALUE"""),724.0)</f>
        <v>724</v>
      </c>
    </row>
    <row r="45" ht="15.75" customHeight="1">
      <c r="B45" s="3">
        <f>IFERROR(__xludf.DUMMYFUNCTION("""COMPUTED_VALUE"""),40123.645833333336)</f>
        <v>40123.64583</v>
      </c>
      <c r="C45" s="2">
        <f>IFERROR(__xludf.DUMMYFUNCTION("""COMPUTED_VALUE"""),684.7)</f>
        <v>684.7</v>
      </c>
    </row>
    <row r="46" ht="15.75" customHeight="1">
      <c r="B46" s="3">
        <f>IFERROR(__xludf.DUMMYFUNCTION("""COMPUTED_VALUE"""),40130.645833333336)</f>
        <v>40130.64583</v>
      </c>
      <c r="C46" s="2">
        <f>IFERROR(__xludf.DUMMYFUNCTION("""COMPUTED_VALUE"""),702.0)</f>
        <v>702</v>
      </c>
    </row>
    <row r="47" ht="15.75" customHeight="1">
      <c r="B47" s="3">
        <f>IFERROR(__xludf.DUMMYFUNCTION("""COMPUTED_VALUE"""),40137.645833333336)</f>
        <v>40137.64583</v>
      </c>
      <c r="C47" s="2">
        <f>IFERROR(__xludf.DUMMYFUNCTION("""COMPUTED_VALUE"""),743.3)</f>
        <v>743.3</v>
      </c>
    </row>
    <row r="48" ht="15.75" customHeight="1">
      <c r="B48" s="3">
        <f>IFERROR(__xludf.DUMMYFUNCTION("""COMPUTED_VALUE"""),40144.645833333336)</f>
        <v>40144.64583</v>
      </c>
      <c r="C48" s="2">
        <f>IFERROR(__xludf.DUMMYFUNCTION("""COMPUTED_VALUE"""),732.0)</f>
        <v>732</v>
      </c>
    </row>
    <row r="49" ht="15.75" customHeight="1">
      <c r="B49" s="3">
        <f>IFERROR(__xludf.DUMMYFUNCTION("""COMPUTED_VALUE"""),40151.645833333336)</f>
        <v>40151.64583</v>
      </c>
      <c r="C49" s="2">
        <f>IFERROR(__xludf.DUMMYFUNCTION("""COMPUTED_VALUE"""),730.9)</f>
        <v>730.9</v>
      </c>
    </row>
    <row r="50" ht="15.75" customHeight="1">
      <c r="B50" s="3">
        <f>IFERROR(__xludf.DUMMYFUNCTION("""COMPUTED_VALUE"""),40158.645833333336)</f>
        <v>40158.64583</v>
      </c>
      <c r="C50" s="2">
        <f>IFERROR(__xludf.DUMMYFUNCTION("""COMPUTED_VALUE"""),749.85)</f>
        <v>749.85</v>
      </c>
    </row>
    <row r="51" ht="15.75" customHeight="1">
      <c r="B51" s="3">
        <f>IFERROR(__xludf.DUMMYFUNCTION("""COMPUTED_VALUE"""),40165.645833333336)</f>
        <v>40165.64583</v>
      </c>
      <c r="C51" s="2">
        <f>IFERROR(__xludf.DUMMYFUNCTION("""COMPUTED_VALUE"""),746.0)</f>
        <v>746</v>
      </c>
    </row>
    <row r="52" ht="15.75" customHeight="1">
      <c r="B52" s="3">
        <f>IFERROR(__xludf.DUMMYFUNCTION("""COMPUTED_VALUE"""),40171.645833333336)</f>
        <v>40171.64583</v>
      </c>
      <c r="C52" s="2">
        <f>IFERROR(__xludf.DUMMYFUNCTION("""COMPUTED_VALUE"""),733.45)</f>
        <v>733.45</v>
      </c>
    </row>
    <row r="53" ht="15.75" customHeight="1">
      <c r="B53" s="3">
        <f>IFERROR(__xludf.DUMMYFUNCTION("""COMPUTED_VALUE"""),40178.645833333336)</f>
        <v>40178.64583</v>
      </c>
      <c r="C53" s="2">
        <f>IFERROR(__xludf.DUMMYFUNCTION("""COMPUTED_VALUE"""),733.0)</f>
        <v>733</v>
      </c>
    </row>
    <row r="54" ht="15.75" customHeight="1"/>
    <row r="55" ht="15.75" customHeight="1"/>
    <row r="56" ht="15.75" customHeight="1">
      <c r="B56" s="2" t="str">
        <f>IFERROR(__xludf.DUMMYFUNCTION("GOOGLEFINANCE(""NSE:JINDALSTEL"", ""high"",DATE(2010,1,1),DATE(2011,1,1),""weekly"")"),"Date")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IFERROR(__xludf.DUMMYFUNCTION("""COMPUTED_VALUE"""),40186.645833333336)</f>
        <v>40186.64583</v>
      </c>
      <c r="C57" s="2">
        <f>IFERROR(__xludf.DUMMYFUNCTION("""COMPUTED_VALUE"""),736.5)</f>
        <v>736.5</v>
      </c>
    </row>
    <row r="58" ht="15.75" customHeight="1">
      <c r="B58" s="3">
        <f>IFERROR(__xludf.DUMMYFUNCTION("""COMPUTED_VALUE"""),40193.645833333336)</f>
        <v>40193.64583</v>
      </c>
      <c r="C58" s="2">
        <f>IFERROR(__xludf.DUMMYFUNCTION("""COMPUTED_VALUE"""),719.35)</f>
        <v>719.35</v>
      </c>
    </row>
    <row r="59" ht="15.75" customHeight="1">
      <c r="B59" s="3">
        <f>IFERROR(__xludf.DUMMYFUNCTION("""COMPUTED_VALUE"""),40200.645833333336)</f>
        <v>40200.64583</v>
      </c>
      <c r="C59" s="2">
        <f>IFERROR(__xludf.DUMMYFUNCTION("""COMPUTED_VALUE"""),683.9)</f>
        <v>683.9</v>
      </c>
    </row>
    <row r="60" ht="15.75" customHeight="1">
      <c r="B60" s="3">
        <f>IFERROR(__xludf.DUMMYFUNCTION("""COMPUTED_VALUE"""),40207.645833333336)</f>
        <v>40207.64583</v>
      </c>
      <c r="C60" s="2">
        <f>IFERROR(__xludf.DUMMYFUNCTION("""COMPUTED_VALUE"""),679.8)</f>
        <v>679.8</v>
      </c>
    </row>
    <row r="61" ht="15.75" customHeight="1">
      <c r="B61" s="3">
        <f>IFERROR(__xludf.DUMMYFUNCTION("""COMPUTED_VALUE"""),40220.645833333336)</f>
        <v>40220.64583</v>
      </c>
      <c r="C61" s="2">
        <f>IFERROR(__xludf.DUMMYFUNCTION("""COMPUTED_VALUE"""),625.0)</f>
        <v>625</v>
      </c>
    </row>
    <row r="62" ht="15.75" customHeight="1">
      <c r="B62" s="3">
        <f>IFERROR(__xludf.DUMMYFUNCTION("""COMPUTED_VALUE"""),40228.645833333336)</f>
        <v>40228.64583</v>
      </c>
      <c r="C62" s="2">
        <f>IFERROR(__xludf.DUMMYFUNCTION("""COMPUTED_VALUE"""),649.0)</f>
        <v>649</v>
      </c>
    </row>
    <row r="63" ht="15.75" customHeight="1">
      <c r="B63" s="3">
        <f>IFERROR(__xludf.DUMMYFUNCTION("""COMPUTED_VALUE"""),40235.645833333336)</f>
        <v>40235.64583</v>
      </c>
      <c r="C63" s="2">
        <f>IFERROR(__xludf.DUMMYFUNCTION("""COMPUTED_VALUE"""),645.0)</f>
        <v>645</v>
      </c>
    </row>
    <row r="64" ht="15.75" customHeight="1">
      <c r="B64" s="3">
        <f>IFERROR(__xludf.DUMMYFUNCTION("""COMPUTED_VALUE"""),40242.645833333336)</f>
        <v>40242.64583</v>
      </c>
      <c r="C64" s="2">
        <f>IFERROR(__xludf.DUMMYFUNCTION("""COMPUTED_VALUE"""),701.0)</f>
        <v>701</v>
      </c>
    </row>
    <row r="65" ht="15.75" customHeight="1">
      <c r="B65" s="3">
        <f>IFERROR(__xludf.DUMMYFUNCTION("""COMPUTED_VALUE"""),40249.645833333336)</f>
        <v>40249.64583</v>
      </c>
      <c r="C65" s="2">
        <f>IFERROR(__xludf.DUMMYFUNCTION("""COMPUTED_VALUE"""),707.4)</f>
        <v>707.4</v>
      </c>
    </row>
    <row r="66" ht="15.75" customHeight="1">
      <c r="B66" s="3">
        <f>IFERROR(__xludf.DUMMYFUNCTION("""COMPUTED_VALUE"""),40256.645833333336)</f>
        <v>40256.64583</v>
      </c>
      <c r="C66" s="2">
        <f>IFERROR(__xludf.DUMMYFUNCTION("""COMPUTED_VALUE"""),705.0)</f>
        <v>705</v>
      </c>
    </row>
    <row r="67" ht="15.75" customHeight="1">
      <c r="B67" s="3">
        <f>IFERROR(__xludf.DUMMYFUNCTION("""COMPUTED_VALUE"""),40263.645833333336)</f>
        <v>40263.64583</v>
      </c>
      <c r="C67" s="2">
        <f>IFERROR(__xludf.DUMMYFUNCTION("""COMPUTED_VALUE"""),724.5)</f>
        <v>724.5</v>
      </c>
    </row>
    <row r="68" ht="15.75" customHeight="1">
      <c r="B68" s="3">
        <f>IFERROR(__xludf.DUMMYFUNCTION("""COMPUTED_VALUE"""),40269.645833333336)</f>
        <v>40269.64583</v>
      </c>
      <c r="C68" s="2">
        <f>IFERROR(__xludf.DUMMYFUNCTION("""COMPUTED_VALUE"""),729.7)</f>
        <v>729.7</v>
      </c>
    </row>
    <row r="69" ht="15.75" customHeight="1">
      <c r="B69" s="3">
        <f>IFERROR(__xludf.DUMMYFUNCTION("""COMPUTED_VALUE"""),40277.645833333336)</f>
        <v>40277.64583</v>
      </c>
      <c r="C69" s="2">
        <f>IFERROR(__xludf.DUMMYFUNCTION("""COMPUTED_VALUE"""),722.7)</f>
        <v>722.7</v>
      </c>
    </row>
    <row r="70" ht="15.75" customHeight="1">
      <c r="B70" s="3">
        <f>IFERROR(__xludf.DUMMYFUNCTION("""COMPUTED_VALUE"""),40284.645833333336)</f>
        <v>40284.64583</v>
      </c>
      <c r="C70" s="2">
        <f>IFERROR(__xludf.DUMMYFUNCTION("""COMPUTED_VALUE"""),739.9)</f>
        <v>739.9</v>
      </c>
    </row>
    <row r="71" ht="15.75" customHeight="1">
      <c r="B71" s="3">
        <f>IFERROR(__xludf.DUMMYFUNCTION("""COMPUTED_VALUE"""),40291.645833333336)</f>
        <v>40291.64583</v>
      </c>
      <c r="C71" s="2">
        <f>IFERROR(__xludf.DUMMYFUNCTION("""COMPUTED_VALUE"""),750.0)</f>
        <v>750</v>
      </c>
    </row>
    <row r="72" ht="15.75" customHeight="1">
      <c r="B72" s="3">
        <f>IFERROR(__xludf.DUMMYFUNCTION("""COMPUTED_VALUE"""),40298.645833333336)</f>
        <v>40298.64583</v>
      </c>
      <c r="C72" s="2">
        <f>IFERROR(__xludf.DUMMYFUNCTION("""COMPUTED_VALUE"""),753.9)</f>
        <v>753.9</v>
      </c>
    </row>
    <row r="73" ht="15.75" customHeight="1">
      <c r="B73" s="3">
        <f>IFERROR(__xludf.DUMMYFUNCTION("""COMPUTED_VALUE"""),40305.645833333336)</f>
        <v>40305.64583</v>
      </c>
      <c r="C73" s="2">
        <f>IFERROR(__xludf.DUMMYFUNCTION("""COMPUTED_VALUE"""),743.45)</f>
        <v>743.45</v>
      </c>
    </row>
    <row r="74" ht="15.75" customHeight="1">
      <c r="B74" s="3">
        <f>IFERROR(__xludf.DUMMYFUNCTION("""COMPUTED_VALUE"""),40312.645833333336)</f>
        <v>40312.64583</v>
      </c>
      <c r="C74" s="2">
        <f>IFERROR(__xludf.DUMMYFUNCTION("""COMPUTED_VALUE"""),697.0)</f>
        <v>697</v>
      </c>
    </row>
    <row r="75" ht="15.75" customHeight="1">
      <c r="B75" s="3">
        <f>IFERROR(__xludf.DUMMYFUNCTION("""COMPUTED_VALUE"""),40319.645833333336)</f>
        <v>40319.64583</v>
      </c>
      <c r="C75" s="2">
        <f>IFERROR(__xludf.DUMMYFUNCTION("""COMPUTED_VALUE"""),661.7)</f>
        <v>661.7</v>
      </c>
    </row>
    <row r="76" ht="15.75" customHeight="1">
      <c r="B76" s="3">
        <f>IFERROR(__xludf.DUMMYFUNCTION("""COMPUTED_VALUE"""),40326.645833333336)</f>
        <v>40326.64583</v>
      </c>
      <c r="C76" s="2">
        <f>IFERROR(__xludf.DUMMYFUNCTION("""COMPUTED_VALUE"""),656.9)</f>
        <v>656.9</v>
      </c>
    </row>
    <row r="77" ht="15.75" customHeight="1">
      <c r="B77" s="3">
        <f>IFERROR(__xludf.DUMMYFUNCTION("""COMPUTED_VALUE"""),40333.645833333336)</f>
        <v>40333.64583</v>
      </c>
      <c r="C77" s="2">
        <f>IFERROR(__xludf.DUMMYFUNCTION("""COMPUTED_VALUE"""),660.05)</f>
        <v>660.05</v>
      </c>
    </row>
    <row r="78" ht="15.75" customHeight="1">
      <c r="B78" s="3">
        <f>IFERROR(__xludf.DUMMYFUNCTION("""COMPUTED_VALUE"""),40340.645833333336)</f>
        <v>40340.64583</v>
      </c>
      <c r="C78" s="2">
        <f>IFERROR(__xludf.DUMMYFUNCTION("""COMPUTED_VALUE"""),649.5)</f>
        <v>649.5</v>
      </c>
    </row>
    <row r="79" ht="15.75" customHeight="1">
      <c r="B79" s="3">
        <f>IFERROR(__xludf.DUMMYFUNCTION("""COMPUTED_VALUE"""),40347.645833333336)</f>
        <v>40347.64583</v>
      </c>
      <c r="C79" s="2">
        <f>IFERROR(__xludf.DUMMYFUNCTION("""COMPUTED_VALUE"""),681.5)</f>
        <v>681.5</v>
      </c>
    </row>
    <row r="80" ht="15.75" customHeight="1">
      <c r="B80" s="3">
        <f>IFERROR(__xludf.DUMMYFUNCTION("""COMPUTED_VALUE"""),40354.645833333336)</f>
        <v>40354.64583</v>
      </c>
      <c r="C80" s="2">
        <f>IFERROR(__xludf.DUMMYFUNCTION("""COMPUTED_VALUE"""),689.25)</f>
        <v>689.25</v>
      </c>
    </row>
    <row r="81" ht="15.75" customHeight="1">
      <c r="B81" s="3">
        <f>IFERROR(__xludf.DUMMYFUNCTION("""COMPUTED_VALUE"""),40361.645833333336)</f>
        <v>40361.64583</v>
      </c>
      <c r="C81" s="2">
        <f>IFERROR(__xludf.DUMMYFUNCTION("""COMPUTED_VALUE"""),647.75)</f>
        <v>647.75</v>
      </c>
    </row>
    <row r="82" ht="15.75" customHeight="1">
      <c r="B82" s="3">
        <f>IFERROR(__xludf.DUMMYFUNCTION("""COMPUTED_VALUE"""),40368.645833333336)</f>
        <v>40368.64583</v>
      </c>
      <c r="C82" s="2">
        <f>IFERROR(__xludf.DUMMYFUNCTION("""COMPUTED_VALUE"""),635.7)</f>
        <v>635.7</v>
      </c>
    </row>
    <row r="83" ht="15.75" customHeight="1">
      <c r="B83" s="3">
        <f>IFERROR(__xludf.DUMMYFUNCTION("""COMPUTED_VALUE"""),40375.645833333336)</f>
        <v>40375.64583</v>
      </c>
      <c r="C83" s="2">
        <f>IFERROR(__xludf.DUMMYFUNCTION("""COMPUTED_VALUE"""),641.2)</f>
        <v>641.2</v>
      </c>
    </row>
    <row r="84" ht="15.75" customHeight="1">
      <c r="B84" s="3">
        <f>IFERROR(__xludf.DUMMYFUNCTION("""COMPUTED_VALUE"""),40382.645833333336)</f>
        <v>40382.64583</v>
      </c>
      <c r="C84" s="2">
        <f>IFERROR(__xludf.DUMMYFUNCTION("""COMPUTED_VALUE"""),658.0)</f>
        <v>658</v>
      </c>
    </row>
    <row r="85" ht="15.75" customHeight="1">
      <c r="B85" s="3">
        <f>IFERROR(__xludf.DUMMYFUNCTION("""COMPUTED_VALUE"""),40389.645833333336)</f>
        <v>40389.64583</v>
      </c>
      <c r="C85" s="2">
        <f>IFERROR(__xludf.DUMMYFUNCTION("""COMPUTED_VALUE"""),643.95)</f>
        <v>643.95</v>
      </c>
    </row>
    <row r="86" ht="15.75" customHeight="1">
      <c r="B86" s="3">
        <f>IFERROR(__xludf.DUMMYFUNCTION("""COMPUTED_VALUE"""),40396.645833333336)</f>
        <v>40396.64583</v>
      </c>
      <c r="C86" s="2">
        <f>IFERROR(__xludf.DUMMYFUNCTION("""COMPUTED_VALUE"""),629.0)</f>
        <v>629</v>
      </c>
    </row>
    <row r="87" ht="15.75" customHeight="1">
      <c r="B87" s="3">
        <f>IFERROR(__xludf.DUMMYFUNCTION("""COMPUTED_VALUE"""),40403.645833333336)</f>
        <v>40403.64583</v>
      </c>
      <c r="C87" s="2">
        <f>IFERROR(__xludf.DUMMYFUNCTION("""COMPUTED_VALUE"""),666.8)</f>
        <v>666.8</v>
      </c>
    </row>
    <row r="88" ht="15.75" customHeight="1">
      <c r="B88" s="3">
        <f>IFERROR(__xludf.DUMMYFUNCTION("""COMPUTED_VALUE"""),40410.645833333336)</f>
        <v>40410.64583</v>
      </c>
      <c r="C88" s="2">
        <f>IFERROR(__xludf.DUMMYFUNCTION("""COMPUTED_VALUE"""),696.85)</f>
        <v>696.85</v>
      </c>
    </row>
    <row r="89" ht="15.75" customHeight="1">
      <c r="B89" s="3">
        <f>IFERROR(__xludf.DUMMYFUNCTION("""COMPUTED_VALUE"""),40417.645833333336)</f>
        <v>40417.64583</v>
      </c>
      <c r="C89" s="2">
        <f>IFERROR(__xludf.DUMMYFUNCTION("""COMPUTED_VALUE"""),796.1)</f>
        <v>796.1</v>
      </c>
    </row>
    <row r="90" ht="15.75" customHeight="1">
      <c r="B90" s="3">
        <f>IFERROR(__xludf.DUMMYFUNCTION("""COMPUTED_VALUE"""),40424.645833333336)</f>
        <v>40424.64583</v>
      </c>
      <c r="C90" s="2">
        <f>IFERROR(__xludf.DUMMYFUNCTION("""COMPUTED_VALUE"""),710.0)</f>
        <v>710</v>
      </c>
    </row>
    <row r="91" ht="15.75" customHeight="1">
      <c r="B91" s="3">
        <f>IFERROR(__xludf.DUMMYFUNCTION("""COMPUTED_VALUE"""),40430.645833333336)</f>
        <v>40430.64583</v>
      </c>
      <c r="C91" s="2">
        <f>IFERROR(__xludf.DUMMYFUNCTION("""COMPUTED_VALUE"""),719.7)</f>
        <v>719.7</v>
      </c>
    </row>
    <row r="92" ht="15.75" customHeight="1">
      <c r="B92" s="3">
        <f>IFERROR(__xludf.DUMMYFUNCTION("""COMPUTED_VALUE"""),40438.645833333336)</f>
        <v>40438.64583</v>
      </c>
      <c r="C92" s="2">
        <f>IFERROR(__xludf.DUMMYFUNCTION("""COMPUTED_VALUE"""),723.0)</f>
        <v>723</v>
      </c>
    </row>
    <row r="93" ht="15.75" customHeight="1">
      <c r="B93" s="3">
        <f>IFERROR(__xludf.DUMMYFUNCTION("""COMPUTED_VALUE"""),40445.645833333336)</f>
        <v>40445.64583</v>
      </c>
      <c r="C93" s="2">
        <f>IFERROR(__xludf.DUMMYFUNCTION("""COMPUTED_VALUE"""),720.0)</f>
        <v>720</v>
      </c>
    </row>
    <row r="94" ht="15.75" customHeight="1">
      <c r="B94" s="3">
        <f>IFERROR(__xludf.DUMMYFUNCTION("""COMPUTED_VALUE"""),40452.645833333336)</f>
        <v>40452.64583</v>
      </c>
      <c r="C94" s="2">
        <f>IFERROR(__xludf.DUMMYFUNCTION("""COMPUTED_VALUE"""),736.65)</f>
        <v>736.65</v>
      </c>
    </row>
    <row r="95" ht="15.75" customHeight="1">
      <c r="B95" s="3">
        <f>IFERROR(__xludf.DUMMYFUNCTION("""COMPUTED_VALUE"""),40459.645833333336)</f>
        <v>40459.64583</v>
      </c>
      <c r="C95" s="2">
        <f>IFERROR(__xludf.DUMMYFUNCTION("""COMPUTED_VALUE"""),755.5)</f>
        <v>755.5</v>
      </c>
    </row>
    <row r="96" ht="15.75" customHeight="1">
      <c r="B96" s="3">
        <f>IFERROR(__xludf.DUMMYFUNCTION("""COMPUTED_VALUE"""),40466.645833333336)</f>
        <v>40466.64583</v>
      </c>
      <c r="C96" s="2">
        <f>IFERROR(__xludf.DUMMYFUNCTION("""COMPUTED_VALUE"""),736.0)</f>
        <v>736</v>
      </c>
    </row>
    <row r="97" ht="15.75" customHeight="1">
      <c r="B97" s="3">
        <f>IFERROR(__xludf.DUMMYFUNCTION("""COMPUTED_VALUE"""),40473.645833333336)</f>
        <v>40473.64583</v>
      </c>
      <c r="C97" s="2">
        <f>IFERROR(__xludf.DUMMYFUNCTION("""COMPUTED_VALUE"""),727.0)</f>
        <v>727</v>
      </c>
    </row>
    <row r="98" ht="15.75" customHeight="1">
      <c r="B98" s="3">
        <f>IFERROR(__xludf.DUMMYFUNCTION("""COMPUTED_VALUE"""),40480.645833333336)</f>
        <v>40480.64583</v>
      </c>
      <c r="C98" s="2">
        <f>IFERROR(__xludf.DUMMYFUNCTION("""COMPUTED_VALUE"""),725.4)</f>
        <v>725.4</v>
      </c>
    </row>
    <row r="99" ht="15.75" customHeight="1">
      <c r="B99" s="3">
        <f>IFERROR(__xludf.DUMMYFUNCTION("""COMPUTED_VALUE"""),40487.645833333336)</f>
        <v>40487.64583</v>
      </c>
      <c r="C99" s="2">
        <f>IFERROR(__xludf.DUMMYFUNCTION("""COMPUTED_VALUE"""),722.8)</f>
        <v>722.8</v>
      </c>
    </row>
    <row r="100" ht="15.75" customHeight="1">
      <c r="B100" s="3">
        <f>IFERROR(__xludf.DUMMYFUNCTION("""COMPUTED_VALUE"""),40494.645833333336)</f>
        <v>40494.64583</v>
      </c>
      <c r="C100" s="2">
        <f>IFERROR(__xludf.DUMMYFUNCTION("""COMPUTED_VALUE"""),724.35)</f>
        <v>724.35</v>
      </c>
    </row>
    <row r="101" ht="15.75" customHeight="1">
      <c r="B101" s="3">
        <f>IFERROR(__xludf.DUMMYFUNCTION("""COMPUTED_VALUE"""),40501.645833333336)</f>
        <v>40501.64583</v>
      </c>
      <c r="C101" s="2">
        <f>IFERROR(__xludf.DUMMYFUNCTION("""COMPUTED_VALUE"""),686.85)</f>
        <v>686.85</v>
      </c>
    </row>
    <row r="102" ht="15.75" customHeight="1">
      <c r="B102" s="3">
        <f>IFERROR(__xludf.DUMMYFUNCTION("""COMPUTED_VALUE"""),40508.645833333336)</f>
        <v>40508.64583</v>
      </c>
      <c r="C102" s="2">
        <f>IFERROR(__xludf.DUMMYFUNCTION("""COMPUTED_VALUE"""),664.2)</f>
        <v>664.2</v>
      </c>
    </row>
    <row r="103" ht="15.75" customHeight="1">
      <c r="B103" s="3">
        <f>IFERROR(__xludf.DUMMYFUNCTION("""COMPUTED_VALUE"""),40515.645833333336)</f>
        <v>40515.64583</v>
      </c>
      <c r="C103" s="2">
        <f>IFERROR(__xludf.DUMMYFUNCTION("""COMPUTED_VALUE"""),685.0)</f>
        <v>685</v>
      </c>
    </row>
    <row r="104" ht="15.75" customHeight="1">
      <c r="B104" s="3">
        <f>IFERROR(__xludf.DUMMYFUNCTION("""COMPUTED_VALUE"""),40522.645833333336)</f>
        <v>40522.64583</v>
      </c>
      <c r="C104" s="2">
        <f>IFERROR(__xludf.DUMMYFUNCTION("""COMPUTED_VALUE"""),715.0)</f>
        <v>715</v>
      </c>
    </row>
    <row r="105" ht="15.75" customHeight="1">
      <c r="B105" s="3">
        <f>IFERROR(__xludf.DUMMYFUNCTION("""COMPUTED_VALUE"""),40528.645833333336)</f>
        <v>40528.64583</v>
      </c>
      <c r="C105" s="2">
        <f>IFERROR(__xludf.DUMMYFUNCTION("""COMPUTED_VALUE"""),703.7)</f>
        <v>703.7</v>
      </c>
    </row>
    <row r="106" ht="15.75" customHeight="1">
      <c r="B106" s="3">
        <f>IFERROR(__xludf.DUMMYFUNCTION("""COMPUTED_VALUE"""),40536.645833333336)</f>
        <v>40536.64583</v>
      </c>
      <c r="C106" s="2">
        <f>IFERROR(__xludf.DUMMYFUNCTION("""COMPUTED_VALUE"""),704.8)</f>
        <v>704.8</v>
      </c>
    </row>
    <row r="107" ht="15.75" customHeight="1">
      <c r="B107" s="3">
        <f>IFERROR(__xludf.DUMMYFUNCTION("""COMPUTED_VALUE"""),40543.645833333336)</f>
        <v>40543.64583</v>
      </c>
      <c r="C107" s="2">
        <f>IFERROR(__xludf.DUMMYFUNCTION("""COMPUTED_VALUE"""),728.9)</f>
        <v>728.9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IFERROR(__xludf.DUMMYFUNCTION("GOOGLEFINANCE(""NSE:JINDALSTEL"", ""high"",DATE(2011,1,1),DATE(2012,1,1),""weekly"")"),"Date")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IFERROR(__xludf.DUMMYFUNCTION("""COMPUTED_VALUE"""),40550.645833333336)</f>
        <v>40550.64583</v>
      </c>
      <c r="C112" s="2">
        <f>IFERROR(__xludf.DUMMYFUNCTION("""COMPUTED_VALUE"""),735.9)</f>
        <v>735.9</v>
      </c>
    </row>
    <row r="113" ht="15.75" customHeight="1">
      <c r="B113" s="3">
        <f>IFERROR(__xludf.DUMMYFUNCTION("""COMPUTED_VALUE"""),40557.645833333336)</f>
        <v>40557.64583</v>
      </c>
      <c r="C113" s="2">
        <f>IFERROR(__xludf.DUMMYFUNCTION("""COMPUTED_VALUE"""),705.0)</f>
        <v>705</v>
      </c>
    </row>
    <row r="114" ht="15.75" customHeight="1">
      <c r="B114" s="3">
        <f>IFERROR(__xludf.DUMMYFUNCTION("""COMPUTED_VALUE"""),40564.645833333336)</f>
        <v>40564.64583</v>
      </c>
      <c r="C114" s="2">
        <f>IFERROR(__xludf.DUMMYFUNCTION("""COMPUTED_VALUE"""),709.9)</f>
        <v>709.9</v>
      </c>
    </row>
    <row r="115" ht="15.75" customHeight="1">
      <c r="B115" s="3">
        <f>IFERROR(__xludf.DUMMYFUNCTION("""COMPUTED_VALUE"""),40571.645833333336)</f>
        <v>40571.64583</v>
      </c>
      <c r="C115" s="2">
        <f>IFERROR(__xludf.DUMMYFUNCTION("""COMPUTED_VALUE"""),710.0)</f>
        <v>710</v>
      </c>
    </row>
    <row r="116" ht="15.75" customHeight="1">
      <c r="B116" s="3">
        <f>IFERROR(__xludf.DUMMYFUNCTION("""COMPUTED_VALUE"""),40578.645833333336)</f>
        <v>40578.64583</v>
      </c>
      <c r="C116" s="2">
        <f>IFERROR(__xludf.DUMMYFUNCTION("""COMPUTED_VALUE"""),674.8)</f>
        <v>674.8</v>
      </c>
    </row>
    <row r="117" ht="15.75" customHeight="1">
      <c r="B117" s="3">
        <f>IFERROR(__xludf.DUMMYFUNCTION("""COMPUTED_VALUE"""),40585.645833333336)</f>
        <v>40585.64583</v>
      </c>
      <c r="C117" s="2">
        <f>IFERROR(__xludf.DUMMYFUNCTION("""COMPUTED_VALUE"""),650.8)</f>
        <v>650.8</v>
      </c>
    </row>
    <row r="118" ht="15.75" customHeight="1">
      <c r="B118" s="3">
        <f>IFERROR(__xludf.DUMMYFUNCTION("""COMPUTED_VALUE"""),40592.645833333336)</f>
        <v>40592.64583</v>
      </c>
      <c r="C118" s="2">
        <f>IFERROR(__xludf.DUMMYFUNCTION("""COMPUTED_VALUE"""),697.0)</f>
        <v>697</v>
      </c>
    </row>
    <row r="119" ht="15.75" customHeight="1">
      <c r="B119" s="3">
        <f>IFERROR(__xludf.DUMMYFUNCTION("""COMPUTED_VALUE"""),40599.645833333336)</f>
        <v>40599.64583</v>
      </c>
      <c r="C119" s="2">
        <f>IFERROR(__xludf.DUMMYFUNCTION("""COMPUTED_VALUE"""),700.45)</f>
        <v>700.45</v>
      </c>
    </row>
    <row r="120" ht="15.75" customHeight="1">
      <c r="B120" s="3">
        <f>IFERROR(__xludf.DUMMYFUNCTION("""COMPUTED_VALUE"""),40606.645833333336)</f>
        <v>40606.64583</v>
      </c>
      <c r="C120" s="2">
        <f>IFERROR(__xludf.DUMMYFUNCTION("""COMPUTED_VALUE"""),684.9)</f>
        <v>684.9</v>
      </c>
    </row>
    <row r="121" ht="15.75" customHeight="1">
      <c r="B121" s="3">
        <f>IFERROR(__xludf.DUMMYFUNCTION("""COMPUTED_VALUE"""),40613.645833333336)</f>
        <v>40613.64583</v>
      </c>
      <c r="C121" s="2">
        <f>IFERROR(__xludf.DUMMYFUNCTION("""COMPUTED_VALUE"""),677.7)</f>
        <v>677.7</v>
      </c>
    </row>
    <row r="122" ht="15.75" customHeight="1">
      <c r="B122" s="3">
        <f>IFERROR(__xludf.DUMMYFUNCTION("""COMPUTED_VALUE"""),40620.645833333336)</f>
        <v>40620.64583</v>
      </c>
      <c r="C122" s="2">
        <f>IFERROR(__xludf.DUMMYFUNCTION("""COMPUTED_VALUE"""),672.35)</f>
        <v>672.35</v>
      </c>
    </row>
    <row r="123" ht="15.75" customHeight="1">
      <c r="B123" s="3">
        <f>IFERROR(__xludf.DUMMYFUNCTION("""COMPUTED_VALUE"""),40627.645833333336)</f>
        <v>40627.64583</v>
      </c>
      <c r="C123" s="2">
        <f>IFERROR(__xludf.DUMMYFUNCTION("""COMPUTED_VALUE"""),675.0)</f>
        <v>675</v>
      </c>
    </row>
    <row r="124" ht="15.75" customHeight="1">
      <c r="B124" s="3">
        <f>IFERROR(__xludf.DUMMYFUNCTION("""COMPUTED_VALUE"""),40634.645833333336)</f>
        <v>40634.64583</v>
      </c>
      <c r="C124" s="2">
        <f>IFERROR(__xludf.DUMMYFUNCTION("""COMPUTED_VALUE"""),703.5)</f>
        <v>703.5</v>
      </c>
    </row>
    <row r="125" ht="15.75" customHeight="1">
      <c r="B125" s="3">
        <f>IFERROR(__xludf.DUMMYFUNCTION("""COMPUTED_VALUE"""),40641.645833333336)</f>
        <v>40641.64583</v>
      </c>
      <c r="C125" s="2">
        <f>IFERROR(__xludf.DUMMYFUNCTION("""COMPUTED_VALUE"""),723.9)</f>
        <v>723.9</v>
      </c>
    </row>
    <row r="126" ht="15.75" customHeight="1">
      <c r="B126" s="3">
        <f>IFERROR(__xludf.DUMMYFUNCTION("""COMPUTED_VALUE"""),40648.645833333336)</f>
        <v>40648.64583</v>
      </c>
      <c r="C126" s="2">
        <f>IFERROR(__xludf.DUMMYFUNCTION("""COMPUTED_VALUE"""),699.1)</f>
        <v>699.1</v>
      </c>
    </row>
    <row r="127" ht="15.75" customHeight="1">
      <c r="B127" s="3">
        <f>IFERROR(__xludf.DUMMYFUNCTION("""COMPUTED_VALUE"""),40654.645833333336)</f>
        <v>40654.64583</v>
      </c>
      <c r="C127" s="2">
        <f>IFERROR(__xludf.DUMMYFUNCTION("""COMPUTED_VALUE"""),699.0)</f>
        <v>699</v>
      </c>
    </row>
    <row r="128" ht="15.75" customHeight="1">
      <c r="B128" s="3">
        <f>IFERROR(__xludf.DUMMYFUNCTION("""COMPUTED_VALUE"""),40662.645833333336)</f>
        <v>40662.64583</v>
      </c>
      <c r="C128" s="2">
        <f>IFERROR(__xludf.DUMMYFUNCTION("""COMPUTED_VALUE"""),700.0)</f>
        <v>700</v>
      </c>
    </row>
    <row r="129" ht="15.75" customHeight="1">
      <c r="B129" s="3">
        <f>IFERROR(__xludf.DUMMYFUNCTION("""COMPUTED_VALUE"""),40669.645833333336)</f>
        <v>40669.64583</v>
      </c>
      <c r="C129" s="2">
        <f>IFERROR(__xludf.DUMMYFUNCTION("""COMPUTED_VALUE"""),663.0)</f>
        <v>663</v>
      </c>
    </row>
    <row r="130" ht="15.75" customHeight="1">
      <c r="B130" s="3">
        <f>IFERROR(__xludf.DUMMYFUNCTION("""COMPUTED_VALUE"""),40676.645833333336)</f>
        <v>40676.64583</v>
      </c>
      <c r="C130" s="2">
        <f>IFERROR(__xludf.DUMMYFUNCTION("""COMPUTED_VALUE"""),649.8)</f>
        <v>649.8</v>
      </c>
    </row>
    <row r="131" ht="15.75" customHeight="1">
      <c r="B131" s="3">
        <f>IFERROR(__xludf.DUMMYFUNCTION("""COMPUTED_VALUE"""),40683.645833333336)</f>
        <v>40683.64583</v>
      </c>
      <c r="C131" s="2">
        <f>IFERROR(__xludf.DUMMYFUNCTION("""COMPUTED_VALUE"""),650.9)</f>
        <v>650.9</v>
      </c>
    </row>
    <row r="132" ht="15.75" customHeight="1">
      <c r="B132" s="3">
        <f>IFERROR(__xludf.DUMMYFUNCTION("""COMPUTED_VALUE"""),40690.645833333336)</f>
        <v>40690.64583</v>
      </c>
      <c r="C132" s="2">
        <f>IFERROR(__xludf.DUMMYFUNCTION("""COMPUTED_VALUE"""),649.9)</f>
        <v>649.9</v>
      </c>
    </row>
    <row r="133" ht="15.75" customHeight="1">
      <c r="B133" s="3">
        <f>IFERROR(__xludf.DUMMYFUNCTION("""COMPUTED_VALUE"""),40697.645833333336)</f>
        <v>40697.64583</v>
      </c>
      <c r="C133" s="2">
        <f>IFERROR(__xludf.DUMMYFUNCTION("""COMPUTED_VALUE"""),659.9)</f>
        <v>659.9</v>
      </c>
    </row>
    <row r="134" ht="15.75" customHeight="1">
      <c r="B134" s="3">
        <f>IFERROR(__xludf.DUMMYFUNCTION("""COMPUTED_VALUE"""),40704.645833333336)</f>
        <v>40704.64583</v>
      </c>
      <c r="C134" s="2">
        <f>IFERROR(__xludf.DUMMYFUNCTION("""COMPUTED_VALUE"""),644.8)</f>
        <v>644.8</v>
      </c>
    </row>
    <row r="135" ht="15.75" customHeight="1">
      <c r="B135" s="3">
        <f>IFERROR(__xludf.DUMMYFUNCTION("""COMPUTED_VALUE"""),40711.645833333336)</f>
        <v>40711.64583</v>
      </c>
      <c r="C135" s="2">
        <f>IFERROR(__xludf.DUMMYFUNCTION("""COMPUTED_VALUE"""),646.9)</f>
        <v>646.9</v>
      </c>
    </row>
    <row r="136" ht="15.75" customHeight="1">
      <c r="B136" s="3">
        <f>IFERROR(__xludf.DUMMYFUNCTION("""COMPUTED_VALUE"""),40718.645833333336)</f>
        <v>40718.64583</v>
      </c>
      <c r="C136" s="2">
        <f>IFERROR(__xludf.DUMMYFUNCTION("""COMPUTED_VALUE"""),635.95)</f>
        <v>635.95</v>
      </c>
    </row>
    <row r="137" ht="15.75" customHeight="1">
      <c r="B137" s="3">
        <f>IFERROR(__xludf.DUMMYFUNCTION("""COMPUTED_VALUE"""),40725.645833333336)</f>
        <v>40725.64583</v>
      </c>
      <c r="C137" s="2">
        <f>IFERROR(__xludf.DUMMYFUNCTION("""COMPUTED_VALUE"""),659.9)</f>
        <v>659.9</v>
      </c>
    </row>
    <row r="138" ht="15.75" customHeight="1">
      <c r="B138" s="3">
        <f>IFERROR(__xludf.DUMMYFUNCTION("""COMPUTED_VALUE"""),40732.645833333336)</f>
        <v>40732.64583</v>
      </c>
      <c r="C138" s="2">
        <f>IFERROR(__xludf.DUMMYFUNCTION("""COMPUTED_VALUE"""),663.5)</f>
        <v>663.5</v>
      </c>
    </row>
    <row r="139" ht="15.75" customHeight="1">
      <c r="B139" s="3">
        <f>IFERROR(__xludf.DUMMYFUNCTION("""COMPUTED_VALUE"""),40739.645833333336)</f>
        <v>40739.64583</v>
      </c>
      <c r="C139" s="2">
        <f>IFERROR(__xludf.DUMMYFUNCTION("""COMPUTED_VALUE"""),646.6)</f>
        <v>646.6</v>
      </c>
    </row>
    <row r="140" ht="15.75" customHeight="1">
      <c r="B140" s="3">
        <f>IFERROR(__xludf.DUMMYFUNCTION("""COMPUTED_VALUE"""),40746.645833333336)</f>
        <v>40746.64583</v>
      </c>
      <c r="C140" s="2">
        <f>IFERROR(__xludf.DUMMYFUNCTION("""COMPUTED_VALUE"""),636.9)</f>
        <v>636.9</v>
      </c>
    </row>
    <row r="141" ht="15.75" customHeight="1">
      <c r="B141" s="3">
        <f>IFERROR(__xludf.DUMMYFUNCTION("""COMPUTED_VALUE"""),40753.645833333336)</f>
        <v>40753.64583</v>
      </c>
      <c r="C141" s="2">
        <f>IFERROR(__xludf.DUMMYFUNCTION("""COMPUTED_VALUE"""),636.7)</f>
        <v>636.7</v>
      </c>
    </row>
    <row r="142" ht="15.75" customHeight="1">
      <c r="B142" s="3">
        <f>IFERROR(__xludf.DUMMYFUNCTION("""COMPUTED_VALUE"""),40760.645833333336)</f>
        <v>40760.64583</v>
      </c>
      <c r="C142" s="2">
        <f>IFERROR(__xludf.DUMMYFUNCTION("""COMPUTED_VALUE"""),591.0)</f>
        <v>591</v>
      </c>
    </row>
    <row r="143" ht="15.75" customHeight="1">
      <c r="B143" s="3">
        <f>IFERROR(__xludf.DUMMYFUNCTION("""COMPUTED_VALUE"""),40767.645833333336)</f>
        <v>40767.64583</v>
      </c>
      <c r="C143" s="2">
        <f>IFERROR(__xludf.DUMMYFUNCTION("""COMPUTED_VALUE"""),537.5)</f>
        <v>537.5</v>
      </c>
    </row>
    <row r="144" ht="15.75" customHeight="1">
      <c r="B144" s="3">
        <f>IFERROR(__xludf.DUMMYFUNCTION("""COMPUTED_VALUE"""),40774.645833333336)</f>
        <v>40774.64583</v>
      </c>
      <c r="C144" s="2">
        <f>IFERROR(__xludf.DUMMYFUNCTION("""COMPUTED_VALUE"""),533.0)</f>
        <v>533</v>
      </c>
    </row>
    <row r="145" ht="15.75" customHeight="1">
      <c r="B145" s="3">
        <f>IFERROR(__xludf.DUMMYFUNCTION("""COMPUTED_VALUE"""),40781.645833333336)</f>
        <v>40781.64583</v>
      </c>
      <c r="C145" s="2">
        <f>IFERROR(__xludf.DUMMYFUNCTION("""COMPUTED_VALUE"""),509.0)</f>
        <v>509</v>
      </c>
    </row>
    <row r="146" ht="15.75" customHeight="1">
      <c r="B146" s="3">
        <f>IFERROR(__xludf.DUMMYFUNCTION("""COMPUTED_VALUE"""),40788.645833333336)</f>
        <v>40788.64583</v>
      </c>
      <c r="C146" s="2">
        <f>IFERROR(__xludf.DUMMYFUNCTION("""COMPUTED_VALUE"""),549.8)</f>
        <v>549.8</v>
      </c>
    </row>
    <row r="147" ht="15.75" customHeight="1">
      <c r="B147" s="3">
        <f>IFERROR(__xludf.DUMMYFUNCTION("""COMPUTED_VALUE"""),40795.645833333336)</f>
        <v>40795.64583</v>
      </c>
      <c r="C147" s="2">
        <f>IFERROR(__xludf.DUMMYFUNCTION("""COMPUTED_VALUE"""),570.0)</f>
        <v>570</v>
      </c>
    </row>
    <row r="148" ht="15.75" customHeight="1">
      <c r="B148" s="3">
        <f>IFERROR(__xludf.DUMMYFUNCTION("""COMPUTED_VALUE"""),40802.645833333336)</f>
        <v>40802.64583</v>
      </c>
      <c r="C148" s="2">
        <f>IFERROR(__xludf.DUMMYFUNCTION("""COMPUTED_VALUE"""),559.9)</f>
        <v>559.9</v>
      </c>
    </row>
    <row r="149" ht="15.75" customHeight="1">
      <c r="B149" s="3">
        <f>IFERROR(__xludf.DUMMYFUNCTION("""COMPUTED_VALUE"""),40809.645833333336)</f>
        <v>40809.64583</v>
      </c>
      <c r="C149" s="2">
        <f>IFERROR(__xludf.DUMMYFUNCTION("""COMPUTED_VALUE"""),569.9)</f>
        <v>569.9</v>
      </c>
    </row>
    <row r="150" ht="15.75" customHeight="1">
      <c r="B150" s="3">
        <f>IFERROR(__xludf.DUMMYFUNCTION("""COMPUTED_VALUE"""),40816.645833333336)</f>
        <v>40816.64583</v>
      </c>
      <c r="C150" s="2">
        <f>IFERROR(__xludf.DUMMYFUNCTION("""COMPUTED_VALUE"""),541.7)</f>
        <v>541.7</v>
      </c>
    </row>
    <row r="151" ht="15.75" customHeight="1">
      <c r="B151" s="3">
        <f>IFERROR(__xludf.DUMMYFUNCTION("""COMPUTED_VALUE"""),40823.645833333336)</f>
        <v>40823.64583</v>
      </c>
      <c r="C151" s="2">
        <f>IFERROR(__xludf.DUMMYFUNCTION("""COMPUTED_VALUE"""),496.9)</f>
        <v>496.9</v>
      </c>
    </row>
    <row r="152" ht="15.75" customHeight="1">
      <c r="B152" s="3">
        <f>IFERROR(__xludf.DUMMYFUNCTION("""COMPUTED_VALUE"""),40830.645833333336)</f>
        <v>40830.64583</v>
      </c>
      <c r="C152" s="2">
        <f>IFERROR(__xludf.DUMMYFUNCTION("""COMPUTED_VALUE"""),529.4)</f>
        <v>529.4</v>
      </c>
    </row>
    <row r="153" ht="15.75" customHeight="1">
      <c r="B153" s="3">
        <f>IFERROR(__xludf.DUMMYFUNCTION("""COMPUTED_VALUE"""),40837.645833333336)</f>
        <v>40837.64583</v>
      </c>
      <c r="C153" s="2">
        <f>IFERROR(__xludf.DUMMYFUNCTION("""COMPUTED_VALUE"""),544.0)</f>
        <v>544</v>
      </c>
    </row>
    <row r="154" ht="15.75" customHeight="1">
      <c r="B154" s="3">
        <f>IFERROR(__xludf.DUMMYFUNCTION("""COMPUTED_VALUE"""),40844.645833333336)</f>
        <v>40844.64583</v>
      </c>
      <c r="C154" s="2">
        <f>IFERROR(__xludf.DUMMYFUNCTION("""COMPUTED_VALUE"""),602.5)</f>
        <v>602.5</v>
      </c>
    </row>
    <row r="155" ht="15.75" customHeight="1">
      <c r="B155" s="3">
        <f>IFERROR(__xludf.DUMMYFUNCTION("""COMPUTED_VALUE"""),40851.645833333336)</f>
        <v>40851.64583</v>
      </c>
      <c r="C155" s="2">
        <f>IFERROR(__xludf.DUMMYFUNCTION("""COMPUTED_VALUE"""),581.8)</f>
        <v>581.8</v>
      </c>
    </row>
    <row r="156" ht="15.75" customHeight="1">
      <c r="B156" s="3">
        <f>IFERROR(__xludf.DUMMYFUNCTION("""COMPUTED_VALUE"""),40858.645833333336)</f>
        <v>40858.64583</v>
      </c>
      <c r="C156" s="2">
        <f>IFERROR(__xludf.DUMMYFUNCTION("""COMPUTED_VALUE"""),584.8)</f>
        <v>584.8</v>
      </c>
    </row>
    <row r="157" ht="15.75" customHeight="1">
      <c r="B157" s="3">
        <f>IFERROR(__xludf.DUMMYFUNCTION("""COMPUTED_VALUE"""),40865.645833333336)</f>
        <v>40865.64583</v>
      </c>
      <c r="C157" s="2">
        <f>IFERROR(__xludf.DUMMYFUNCTION("""COMPUTED_VALUE"""),568.8)</f>
        <v>568.8</v>
      </c>
    </row>
    <row r="158" ht="15.75" customHeight="1">
      <c r="B158" s="3">
        <f>IFERROR(__xludf.DUMMYFUNCTION("""COMPUTED_VALUE"""),40872.645833333336)</f>
        <v>40872.64583</v>
      </c>
      <c r="C158" s="2">
        <f>IFERROR(__xludf.DUMMYFUNCTION("""COMPUTED_VALUE"""),549.8)</f>
        <v>549.8</v>
      </c>
    </row>
    <row r="159" ht="15.75" customHeight="1">
      <c r="B159" s="3">
        <f>IFERROR(__xludf.DUMMYFUNCTION("""COMPUTED_VALUE"""),40879.645833333336)</f>
        <v>40879.64583</v>
      </c>
      <c r="C159" s="2">
        <f>IFERROR(__xludf.DUMMYFUNCTION("""COMPUTED_VALUE"""),539.9)</f>
        <v>539.9</v>
      </c>
    </row>
    <row r="160" ht="15.75" customHeight="1">
      <c r="B160" s="3">
        <f>IFERROR(__xludf.DUMMYFUNCTION("""COMPUTED_VALUE"""),40886.645833333336)</f>
        <v>40886.64583</v>
      </c>
      <c r="C160" s="2">
        <f>IFERROR(__xludf.DUMMYFUNCTION("""COMPUTED_VALUE"""),543.1)</f>
        <v>543.1</v>
      </c>
    </row>
    <row r="161" ht="15.75" customHeight="1">
      <c r="B161" s="3">
        <f>IFERROR(__xludf.DUMMYFUNCTION("""COMPUTED_VALUE"""),40893.645833333336)</f>
        <v>40893.64583</v>
      </c>
      <c r="C161" s="2">
        <f>IFERROR(__xludf.DUMMYFUNCTION("""COMPUTED_VALUE"""),540.0)</f>
        <v>540</v>
      </c>
    </row>
    <row r="162" ht="15.75" customHeight="1">
      <c r="B162" s="3">
        <f>IFERROR(__xludf.DUMMYFUNCTION("""COMPUTED_VALUE"""),40900.645833333336)</f>
        <v>40900.64583</v>
      </c>
      <c r="C162" s="2">
        <f>IFERROR(__xludf.DUMMYFUNCTION("""COMPUTED_VALUE"""),512.45)</f>
        <v>512.45</v>
      </c>
    </row>
    <row r="163" ht="15.75" customHeight="1">
      <c r="B163" s="3">
        <f>IFERROR(__xludf.DUMMYFUNCTION("""COMPUTED_VALUE"""),40907.645833333336)</f>
        <v>40907.64583</v>
      </c>
      <c r="C163" s="2">
        <f>IFERROR(__xludf.DUMMYFUNCTION("""COMPUTED_VALUE"""),495.0)</f>
        <v>495</v>
      </c>
    </row>
    <row r="164" ht="15.75" customHeight="1"/>
    <row r="165" ht="15.75" customHeight="1"/>
    <row r="166" ht="15.75" customHeight="1">
      <c r="B166" s="2" t="str">
        <f>IFERROR(__xludf.DUMMYFUNCTION("GOOGLEFINANCE(""NSE:JINDALSTEL"", ""high"",DATE(2012,1,1),DATE(2013,1,1),""weekly"")"),"Date")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IFERROR(__xludf.DUMMYFUNCTION("""COMPUTED_VALUE"""),40921.645833333336)</f>
        <v>40921.64583</v>
      </c>
      <c r="C167" s="2">
        <f>IFERROR(__xludf.DUMMYFUNCTION("""COMPUTED_VALUE"""),511.9)</f>
        <v>511.9</v>
      </c>
    </row>
    <row r="168" ht="15.75" customHeight="1">
      <c r="B168" s="3">
        <f>IFERROR(__xludf.DUMMYFUNCTION("""COMPUTED_VALUE"""),40928.645833333336)</f>
        <v>40928.64583</v>
      </c>
      <c r="C168" s="2">
        <f>IFERROR(__xludf.DUMMYFUNCTION("""COMPUTED_VALUE"""),540.0)</f>
        <v>540</v>
      </c>
    </row>
    <row r="169" ht="15.75" customHeight="1">
      <c r="B169" s="3">
        <f>IFERROR(__xludf.DUMMYFUNCTION("""COMPUTED_VALUE"""),40935.645833333336)</f>
        <v>40935.64583</v>
      </c>
      <c r="C169" s="2">
        <f>IFERROR(__xludf.DUMMYFUNCTION("""COMPUTED_VALUE"""),553.0)</f>
        <v>553</v>
      </c>
    </row>
    <row r="170" ht="15.75" customHeight="1">
      <c r="B170" s="3">
        <f>IFERROR(__xludf.DUMMYFUNCTION("""COMPUTED_VALUE"""),40942.645833333336)</f>
        <v>40942.64583</v>
      </c>
      <c r="C170" s="2">
        <f>IFERROR(__xludf.DUMMYFUNCTION("""COMPUTED_VALUE"""),587.6)</f>
        <v>587.6</v>
      </c>
    </row>
    <row r="171" ht="15.75" customHeight="1">
      <c r="B171" s="3">
        <f>IFERROR(__xludf.DUMMYFUNCTION("""COMPUTED_VALUE"""),40949.645833333336)</f>
        <v>40949.64583</v>
      </c>
      <c r="C171" s="2">
        <f>IFERROR(__xludf.DUMMYFUNCTION("""COMPUTED_VALUE"""),614.0)</f>
        <v>614</v>
      </c>
    </row>
    <row r="172" ht="15.75" customHeight="1">
      <c r="B172" s="3">
        <f>IFERROR(__xludf.DUMMYFUNCTION("""COMPUTED_VALUE"""),40956.645833333336)</f>
        <v>40956.64583</v>
      </c>
      <c r="C172" s="2">
        <f>IFERROR(__xludf.DUMMYFUNCTION("""COMPUTED_VALUE"""),664.0)</f>
        <v>664</v>
      </c>
    </row>
    <row r="173" ht="15.75" customHeight="1">
      <c r="B173" s="3">
        <f>IFERROR(__xludf.DUMMYFUNCTION("""COMPUTED_VALUE"""),40963.645833333336)</f>
        <v>40963.64583</v>
      </c>
      <c r="C173" s="2">
        <f>IFERROR(__xludf.DUMMYFUNCTION("""COMPUTED_VALUE"""),654.7)</f>
        <v>654.7</v>
      </c>
    </row>
    <row r="174" ht="15.75" customHeight="1">
      <c r="B174" s="3">
        <f>IFERROR(__xludf.DUMMYFUNCTION("""COMPUTED_VALUE"""),40977.645833333336)</f>
        <v>40977.64583</v>
      </c>
      <c r="C174" s="2">
        <f>IFERROR(__xludf.DUMMYFUNCTION("""COMPUTED_VALUE"""),588.0)</f>
        <v>588</v>
      </c>
    </row>
    <row r="175" ht="15.75" customHeight="1">
      <c r="B175" s="3">
        <f>IFERROR(__xludf.DUMMYFUNCTION("""COMPUTED_VALUE"""),40984.645833333336)</f>
        <v>40984.64583</v>
      </c>
      <c r="C175" s="2">
        <f>IFERROR(__xludf.DUMMYFUNCTION("""COMPUTED_VALUE"""),627.7)</f>
        <v>627.7</v>
      </c>
    </row>
    <row r="176" ht="15.75" customHeight="1">
      <c r="B176" s="3">
        <f>IFERROR(__xludf.DUMMYFUNCTION("""COMPUTED_VALUE"""),40991.645833333336)</f>
        <v>40991.64583</v>
      </c>
      <c r="C176" s="2">
        <f>IFERROR(__xludf.DUMMYFUNCTION("""COMPUTED_VALUE"""),591.95)</f>
        <v>591.95</v>
      </c>
    </row>
    <row r="177" ht="15.75" customHeight="1">
      <c r="B177" s="3">
        <f>IFERROR(__xludf.DUMMYFUNCTION("""COMPUTED_VALUE"""),40998.645833333336)</f>
        <v>40998.64583</v>
      </c>
      <c r="C177" s="2">
        <f>IFERROR(__xludf.DUMMYFUNCTION("""COMPUTED_VALUE"""),557.65)</f>
        <v>557.65</v>
      </c>
    </row>
    <row r="178" ht="15.75" customHeight="1">
      <c r="B178" s="3">
        <f>IFERROR(__xludf.DUMMYFUNCTION("""COMPUTED_VALUE"""),41003.645833333336)</f>
        <v>41003.64583</v>
      </c>
      <c r="C178" s="2">
        <f>IFERROR(__xludf.DUMMYFUNCTION("""COMPUTED_VALUE"""),554.4)</f>
        <v>554.4</v>
      </c>
    </row>
    <row r="179" ht="15.75" customHeight="1">
      <c r="B179" s="3">
        <f>IFERROR(__xludf.DUMMYFUNCTION("""COMPUTED_VALUE"""),41012.645833333336)</f>
        <v>41012.64583</v>
      </c>
      <c r="C179" s="2">
        <f>IFERROR(__xludf.DUMMYFUNCTION("""COMPUTED_VALUE"""),521.25)</f>
        <v>521.25</v>
      </c>
    </row>
    <row r="180" ht="15.75" customHeight="1">
      <c r="B180" s="3">
        <f>IFERROR(__xludf.DUMMYFUNCTION("""COMPUTED_VALUE"""),41019.645833333336)</f>
        <v>41019.64583</v>
      </c>
      <c r="C180" s="2">
        <f>IFERROR(__xludf.DUMMYFUNCTION("""COMPUTED_VALUE"""),521.0)</f>
        <v>521</v>
      </c>
    </row>
    <row r="181" ht="15.75" customHeight="1">
      <c r="B181" s="3">
        <f>IFERROR(__xludf.DUMMYFUNCTION("""COMPUTED_VALUE"""),41033.645833333336)</f>
        <v>41033.64583</v>
      </c>
      <c r="C181" s="2">
        <f>IFERROR(__xludf.DUMMYFUNCTION("""COMPUTED_VALUE"""),515.5)</f>
        <v>515.5</v>
      </c>
    </row>
    <row r="182" ht="15.75" customHeight="1">
      <c r="B182" s="3">
        <f>IFERROR(__xludf.DUMMYFUNCTION("""COMPUTED_VALUE"""),41040.645833333336)</f>
        <v>41040.64583</v>
      </c>
      <c r="C182" s="2">
        <f>IFERROR(__xludf.DUMMYFUNCTION("""COMPUTED_VALUE"""),510.75)</f>
        <v>510.75</v>
      </c>
    </row>
    <row r="183" ht="15.75" customHeight="1">
      <c r="B183" s="3">
        <f>IFERROR(__xludf.DUMMYFUNCTION("""COMPUTED_VALUE"""),41047.645833333336)</f>
        <v>41047.64583</v>
      </c>
      <c r="C183" s="2">
        <f>IFERROR(__xludf.DUMMYFUNCTION("""COMPUTED_VALUE"""),476.2)</f>
        <v>476.2</v>
      </c>
    </row>
    <row r="184" ht="15.75" customHeight="1">
      <c r="B184" s="3">
        <f>IFERROR(__xludf.DUMMYFUNCTION("""COMPUTED_VALUE"""),41054.645833333336)</f>
        <v>41054.64583</v>
      </c>
      <c r="C184" s="2">
        <f>IFERROR(__xludf.DUMMYFUNCTION("""COMPUTED_VALUE"""),483.0)</f>
        <v>483</v>
      </c>
    </row>
    <row r="185" ht="15.75" customHeight="1">
      <c r="B185" s="3">
        <f>IFERROR(__xludf.DUMMYFUNCTION("""COMPUTED_VALUE"""),41061.645833333336)</f>
        <v>41061.64583</v>
      </c>
      <c r="C185" s="2">
        <f>IFERROR(__xludf.DUMMYFUNCTION("""COMPUTED_VALUE"""),462.9)</f>
        <v>462.9</v>
      </c>
    </row>
    <row r="186" ht="15.75" customHeight="1">
      <c r="B186" s="3">
        <f>IFERROR(__xludf.DUMMYFUNCTION("""COMPUTED_VALUE"""),41068.645833333336)</f>
        <v>41068.64583</v>
      </c>
      <c r="C186" s="2">
        <f>IFERROR(__xludf.DUMMYFUNCTION("""COMPUTED_VALUE"""),459.3)</f>
        <v>459.3</v>
      </c>
    </row>
    <row r="187" ht="15.75" customHeight="1">
      <c r="B187" s="3">
        <f>IFERROR(__xludf.DUMMYFUNCTION("""COMPUTED_VALUE"""),41075.645833333336)</f>
        <v>41075.64583</v>
      </c>
      <c r="C187" s="2">
        <f>IFERROR(__xludf.DUMMYFUNCTION("""COMPUTED_VALUE"""),450.25)</f>
        <v>450.25</v>
      </c>
    </row>
    <row r="188" ht="15.75" customHeight="1">
      <c r="B188" s="3">
        <f>IFERROR(__xludf.DUMMYFUNCTION("""COMPUTED_VALUE"""),41082.645833333336)</f>
        <v>41082.64583</v>
      </c>
      <c r="C188" s="2">
        <f>IFERROR(__xludf.DUMMYFUNCTION("""COMPUTED_VALUE"""),443.6)</f>
        <v>443.6</v>
      </c>
    </row>
    <row r="189" ht="15.75" customHeight="1">
      <c r="B189" s="3">
        <f>IFERROR(__xludf.DUMMYFUNCTION("""COMPUTED_VALUE"""),41089.645833333336)</f>
        <v>41089.64583</v>
      </c>
      <c r="C189" s="2">
        <f>IFERROR(__xludf.DUMMYFUNCTION("""COMPUTED_VALUE"""),474.5)</f>
        <v>474.5</v>
      </c>
    </row>
    <row r="190" ht="15.75" customHeight="1">
      <c r="B190" s="3">
        <f>IFERROR(__xludf.DUMMYFUNCTION("""COMPUTED_VALUE"""),41096.645833333336)</f>
        <v>41096.64583</v>
      </c>
      <c r="C190" s="2">
        <f>IFERROR(__xludf.DUMMYFUNCTION("""COMPUTED_VALUE"""),480.35)</f>
        <v>480.35</v>
      </c>
    </row>
    <row r="191" ht="15.75" customHeight="1">
      <c r="B191" s="3">
        <f>IFERROR(__xludf.DUMMYFUNCTION("""COMPUTED_VALUE"""),41103.645833333336)</f>
        <v>41103.64583</v>
      </c>
      <c r="C191" s="2">
        <f>IFERROR(__xludf.DUMMYFUNCTION("""COMPUTED_VALUE"""),458.5)</f>
        <v>458.5</v>
      </c>
    </row>
    <row r="192" ht="15.75" customHeight="1">
      <c r="B192" s="3">
        <f>IFERROR(__xludf.DUMMYFUNCTION("""COMPUTED_VALUE"""),41110.645833333336)</f>
        <v>41110.64583</v>
      </c>
      <c r="C192" s="2">
        <f>IFERROR(__xludf.DUMMYFUNCTION("""COMPUTED_VALUE"""),436.0)</f>
        <v>436</v>
      </c>
    </row>
    <row r="193" ht="15.75" customHeight="1">
      <c r="B193" s="3">
        <f>IFERROR(__xludf.DUMMYFUNCTION("""COMPUTED_VALUE"""),41117.645833333336)</f>
        <v>41117.64583</v>
      </c>
      <c r="C193" s="2">
        <f>IFERROR(__xludf.DUMMYFUNCTION("""COMPUTED_VALUE"""),421.0)</f>
        <v>421</v>
      </c>
    </row>
    <row r="194" ht="15.75" customHeight="1">
      <c r="B194" s="3">
        <f>IFERROR(__xludf.DUMMYFUNCTION("""COMPUTED_VALUE"""),41124.645833333336)</f>
        <v>41124.64583</v>
      </c>
      <c r="C194" s="2">
        <f>IFERROR(__xludf.DUMMYFUNCTION("""COMPUTED_VALUE"""),408.9)</f>
        <v>408.9</v>
      </c>
    </row>
    <row r="195" ht="15.75" customHeight="1">
      <c r="B195" s="3">
        <f>IFERROR(__xludf.DUMMYFUNCTION("""COMPUTED_VALUE"""),41131.645833333336)</f>
        <v>41131.64583</v>
      </c>
      <c r="C195" s="2">
        <f>IFERROR(__xludf.DUMMYFUNCTION("""COMPUTED_VALUE"""),419.75)</f>
        <v>419.75</v>
      </c>
    </row>
    <row r="196" ht="15.75" customHeight="1">
      <c r="B196" s="3">
        <f>IFERROR(__xludf.DUMMYFUNCTION("""COMPUTED_VALUE"""),41138.645833333336)</f>
        <v>41138.64583</v>
      </c>
      <c r="C196" s="2">
        <f>IFERROR(__xludf.DUMMYFUNCTION("""COMPUTED_VALUE"""),426.0)</f>
        <v>426</v>
      </c>
    </row>
    <row r="197" ht="15.75" customHeight="1">
      <c r="B197" s="3">
        <f>IFERROR(__xludf.DUMMYFUNCTION("""COMPUTED_VALUE"""),41145.645833333336)</f>
        <v>41145.64583</v>
      </c>
      <c r="C197" s="2">
        <f>IFERROR(__xludf.DUMMYFUNCTION("""COMPUTED_VALUE"""),415.7)</f>
        <v>415.7</v>
      </c>
    </row>
    <row r="198" ht="15.75" customHeight="1">
      <c r="B198" s="3">
        <f>IFERROR(__xludf.DUMMYFUNCTION("""COMPUTED_VALUE"""),41152.645833333336)</f>
        <v>41152.64583</v>
      </c>
      <c r="C198" s="2">
        <f>IFERROR(__xludf.DUMMYFUNCTION("""COMPUTED_VALUE"""),399.05)</f>
        <v>399.05</v>
      </c>
    </row>
    <row r="199" ht="15.75" customHeight="1">
      <c r="B199" s="3">
        <f>IFERROR(__xludf.DUMMYFUNCTION("""COMPUTED_VALUE"""),41166.645833333336)</f>
        <v>41166.64583</v>
      </c>
      <c r="C199" s="2">
        <f>IFERROR(__xludf.DUMMYFUNCTION("""COMPUTED_VALUE"""),377.1)</f>
        <v>377.1</v>
      </c>
    </row>
    <row r="200" ht="15.75" customHeight="1">
      <c r="B200" s="3">
        <f>IFERROR(__xludf.DUMMYFUNCTION("""COMPUTED_VALUE"""),41173.645833333336)</f>
        <v>41173.64583</v>
      </c>
      <c r="C200" s="2">
        <f>IFERROR(__xludf.DUMMYFUNCTION("""COMPUTED_VALUE"""),432.05)</f>
        <v>432.05</v>
      </c>
    </row>
    <row r="201" ht="15.75" customHeight="1">
      <c r="B201" s="3">
        <f>IFERROR(__xludf.DUMMYFUNCTION("""COMPUTED_VALUE"""),41180.645833333336)</f>
        <v>41180.64583</v>
      </c>
      <c r="C201" s="2">
        <f>IFERROR(__xludf.DUMMYFUNCTION("""COMPUTED_VALUE"""),454.9)</f>
        <v>454.9</v>
      </c>
    </row>
    <row r="202" ht="15.75" customHeight="1">
      <c r="B202" s="3">
        <f>IFERROR(__xludf.DUMMYFUNCTION("""COMPUTED_VALUE"""),41187.645833333336)</f>
        <v>41187.64583</v>
      </c>
      <c r="C202" s="2">
        <f>IFERROR(__xludf.DUMMYFUNCTION("""COMPUTED_VALUE"""),441.1)</f>
        <v>441.1</v>
      </c>
    </row>
    <row r="203" ht="15.75" customHeight="1">
      <c r="B203" s="3">
        <f>IFERROR(__xludf.DUMMYFUNCTION("""COMPUTED_VALUE"""),41194.645833333336)</f>
        <v>41194.64583</v>
      </c>
      <c r="C203" s="2">
        <f>IFERROR(__xludf.DUMMYFUNCTION("""COMPUTED_VALUE"""),432.0)</f>
        <v>432</v>
      </c>
    </row>
    <row r="204" ht="15.75" customHeight="1">
      <c r="B204" s="3">
        <f>IFERROR(__xludf.DUMMYFUNCTION("""COMPUTED_VALUE"""),41201.645833333336)</f>
        <v>41201.64583</v>
      </c>
      <c r="C204" s="2">
        <f>IFERROR(__xludf.DUMMYFUNCTION("""COMPUTED_VALUE"""),424.5)</f>
        <v>424.5</v>
      </c>
    </row>
    <row r="205" ht="15.75" customHeight="1">
      <c r="B205" s="3">
        <f>IFERROR(__xludf.DUMMYFUNCTION("""COMPUTED_VALUE"""),41208.645833333336)</f>
        <v>41208.64583</v>
      </c>
      <c r="C205" s="2">
        <f>IFERROR(__xludf.DUMMYFUNCTION("""COMPUTED_VALUE"""),406.75)</f>
        <v>406.75</v>
      </c>
    </row>
    <row r="206" ht="15.75" customHeight="1">
      <c r="B206" s="3">
        <f>IFERROR(__xludf.DUMMYFUNCTION("""COMPUTED_VALUE"""),41215.645833333336)</f>
        <v>41215.64583</v>
      </c>
      <c r="C206" s="2">
        <f>IFERROR(__xludf.DUMMYFUNCTION("""COMPUTED_VALUE"""),399.9)</f>
        <v>399.9</v>
      </c>
    </row>
    <row r="207" ht="15.75" customHeight="1">
      <c r="B207" s="3">
        <f>IFERROR(__xludf.DUMMYFUNCTION("""COMPUTED_VALUE"""),41222.645833333336)</f>
        <v>41222.64583</v>
      </c>
      <c r="C207" s="2">
        <f>IFERROR(__xludf.DUMMYFUNCTION("""COMPUTED_VALUE"""),395.2)</f>
        <v>395.2</v>
      </c>
    </row>
    <row r="208" ht="15.75" customHeight="1">
      <c r="B208" s="3">
        <f>IFERROR(__xludf.DUMMYFUNCTION("""COMPUTED_VALUE"""),41229.645833333336)</f>
        <v>41229.64583</v>
      </c>
      <c r="C208" s="2">
        <f>IFERROR(__xludf.DUMMYFUNCTION("""COMPUTED_VALUE"""),385.0)</f>
        <v>385</v>
      </c>
    </row>
    <row r="209" ht="15.75" customHeight="1">
      <c r="B209" s="3">
        <f>IFERROR(__xludf.DUMMYFUNCTION("""COMPUTED_VALUE"""),41236.645833333336)</f>
        <v>41236.64583</v>
      </c>
      <c r="C209" s="2">
        <f>IFERROR(__xludf.DUMMYFUNCTION("""COMPUTED_VALUE"""),380.6)</f>
        <v>380.6</v>
      </c>
    </row>
    <row r="210" ht="15.75" customHeight="1">
      <c r="B210" s="3">
        <f>IFERROR(__xludf.DUMMYFUNCTION("""COMPUTED_VALUE"""),41243.645833333336)</f>
        <v>41243.64583</v>
      </c>
      <c r="C210" s="2">
        <f>IFERROR(__xludf.DUMMYFUNCTION("""COMPUTED_VALUE"""),406.2)</f>
        <v>406.2</v>
      </c>
    </row>
    <row r="211" ht="15.75" customHeight="1">
      <c r="B211" s="3">
        <f>IFERROR(__xludf.DUMMYFUNCTION("""COMPUTED_VALUE"""),41250.645833333336)</f>
        <v>41250.64583</v>
      </c>
      <c r="C211" s="2">
        <f>IFERROR(__xludf.DUMMYFUNCTION("""COMPUTED_VALUE"""),416.15)</f>
        <v>416.15</v>
      </c>
    </row>
    <row r="212" ht="15.75" customHeight="1">
      <c r="B212" s="3">
        <f>IFERROR(__xludf.DUMMYFUNCTION("""COMPUTED_VALUE"""),41257.645833333336)</f>
        <v>41257.64583</v>
      </c>
      <c r="C212" s="2">
        <f>IFERROR(__xludf.DUMMYFUNCTION("""COMPUTED_VALUE"""),432.5)</f>
        <v>432.5</v>
      </c>
    </row>
    <row r="213" ht="15.75" customHeight="1">
      <c r="B213" s="3">
        <f>IFERROR(__xludf.DUMMYFUNCTION("""COMPUTED_VALUE"""),41264.645833333336)</f>
        <v>41264.64583</v>
      </c>
      <c r="C213" s="2">
        <f>IFERROR(__xludf.DUMMYFUNCTION("""COMPUTED_VALUE"""),474.9)</f>
        <v>474.9</v>
      </c>
    </row>
    <row r="214" ht="15.75" customHeight="1">
      <c r="B214" s="3">
        <f>IFERROR(__xludf.DUMMYFUNCTION("""COMPUTED_VALUE"""),41271.645833333336)</f>
        <v>41271.64583</v>
      </c>
      <c r="C214" s="2">
        <f>IFERROR(__xludf.DUMMYFUNCTION("""COMPUTED_VALUE"""),460.0)</f>
        <v>460</v>
      </c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IFERROR(__xludf.DUMMYFUNCTION("GOOGLEFINANCE(""NSE:JINDALSTEL"", ""high"",DATE(2013,1,1),DATE(2014,1,1),""weekly"")"),"Date")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IFERROR(__xludf.DUMMYFUNCTION("""COMPUTED_VALUE"""),41278.645833333336)</f>
        <v>41278.64583</v>
      </c>
      <c r="C222" s="2">
        <f>IFERROR(__xludf.DUMMYFUNCTION("""COMPUTED_VALUE"""),475.0)</f>
        <v>475</v>
      </c>
    </row>
    <row r="223" ht="15.75" customHeight="1">
      <c r="B223" s="3">
        <f>IFERROR(__xludf.DUMMYFUNCTION("""COMPUTED_VALUE"""),41285.645833333336)</f>
        <v>41285.64583</v>
      </c>
      <c r="C223" s="2">
        <f>IFERROR(__xludf.DUMMYFUNCTION("""COMPUTED_VALUE"""),466.0)</f>
        <v>466</v>
      </c>
    </row>
    <row r="224" ht="15.75" customHeight="1">
      <c r="B224" s="3">
        <f>IFERROR(__xludf.DUMMYFUNCTION("""COMPUTED_VALUE"""),41292.645833333336)</f>
        <v>41292.64583</v>
      </c>
      <c r="C224" s="2">
        <f>IFERROR(__xludf.DUMMYFUNCTION("""COMPUTED_VALUE"""),449.25)</f>
        <v>449.25</v>
      </c>
    </row>
    <row r="225" ht="15.75" customHeight="1">
      <c r="B225" s="3">
        <f>IFERROR(__xludf.DUMMYFUNCTION("""COMPUTED_VALUE"""),41299.645833333336)</f>
        <v>41299.64583</v>
      </c>
      <c r="C225" s="2">
        <f>IFERROR(__xludf.DUMMYFUNCTION("""COMPUTED_VALUE"""),439.0)</f>
        <v>439</v>
      </c>
    </row>
    <row r="226" ht="15.75" customHeight="1">
      <c r="B226" s="3">
        <f>IFERROR(__xludf.DUMMYFUNCTION("""COMPUTED_VALUE"""),41306.645833333336)</f>
        <v>41306.64583</v>
      </c>
      <c r="C226" s="2">
        <f>IFERROR(__xludf.DUMMYFUNCTION("""COMPUTED_VALUE"""),442.35)</f>
        <v>442.35</v>
      </c>
    </row>
    <row r="227" ht="15.75" customHeight="1">
      <c r="B227" s="3">
        <f>IFERROR(__xludf.DUMMYFUNCTION("""COMPUTED_VALUE"""),41313.645833333336)</f>
        <v>41313.64583</v>
      </c>
      <c r="C227" s="2">
        <f>IFERROR(__xludf.DUMMYFUNCTION("""COMPUTED_VALUE"""),426.5)</f>
        <v>426.5</v>
      </c>
    </row>
    <row r="228" ht="15.75" customHeight="1">
      <c r="B228" s="3">
        <f>IFERROR(__xludf.DUMMYFUNCTION("""COMPUTED_VALUE"""),41320.645833333336)</f>
        <v>41320.64583</v>
      </c>
      <c r="C228" s="2">
        <f>IFERROR(__xludf.DUMMYFUNCTION("""COMPUTED_VALUE"""),417.45)</f>
        <v>417.45</v>
      </c>
    </row>
    <row r="229" ht="15.75" customHeight="1">
      <c r="B229" s="3">
        <f>IFERROR(__xludf.DUMMYFUNCTION("""COMPUTED_VALUE"""),41327.645833333336)</f>
        <v>41327.64583</v>
      </c>
      <c r="C229" s="2">
        <f>IFERROR(__xludf.DUMMYFUNCTION("""COMPUTED_VALUE"""),387.0)</f>
        <v>387</v>
      </c>
    </row>
    <row r="230" ht="15.75" customHeight="1">
      <c r="B230" s="3">
        <f>IFERROR(__xludf.DUMMYFUNCTION("""COMPUTED_VALUE"""),41334.645833333336)</f>
        <v>41334.64583</v>
      </c>
      <c r="C230" s="2">
        <f>IFERROR(__xludf.DUMMYFUNCTION("""COMPUTED_VALUE"""),366.9)</f>
        <v>366.9</v>
      </c>
    </row>
    <row r="231" ht="15.75" customHeight="1">
      <c r="B231" s="3">
        <f>IFERROR(__xludf.DUMMYFUNCTION("""COMPUTED_VALUE"""),41341.645833333336)</f>
        <v>41341.64583</v>
      </c>
      <c r="C231" s="2">
        <f>IFERROR(__xludf.DUMMYFUNCTION("""COMPUTED_VALUE"""),369.95)</f>
        <v>369.95</v>
      </c>
    </row>
    <row r="232" ht="15.75" customHeight="1">
      <c r="B232" s="3">
        <f>IFERROR(__xludf.DUMMYFUNCTION("""COMPUTED_VALUE"""),41348.645833333336)</f>
        <v>41348.64583</v>
      </c>
      <c r="C232" s="2">
        <f>IFERROR(__xludf.DUMMYFUNCTION("""COMPUTED_VALUE"""),369.1)</f>
        <v>369.1</v>
      </c>
    </row>
    <row r="233" ht="15.75" customHeight="1">
      <c r="B233" s="3">
        <f>IFERROR(__xludf.DUMMYFUNCTION("""COMPUTED_VALUE"""),41355.645833333336)</f>
        <v>41355.64583</v>
      </c>
      <c r="C233" s="2">
        <f>IFERROR(__xludf.DUMMYFUNCTION("""COMPUTED_VALUE"""),358.2)</f>
        <v>358.2</v>
      </c>
    </row>
    <row r="234" ht="15.75" customHeight="1">
      <c r="B234" s="3">
        <f>IFERROR(__xludf.DUMMYFUNCTION("""COMPUTED_VALUE"""),41361.645833333336)</f>
        <v>41361.64583</v>
      </c>
      <c r="C234" s="2">
        <f>IFERROR(__xludf.DUMMYFUNCTION("""COMPUTED_VALUE"""),362.8)</f>
        <v>362.8</v>
      </c>
    </row>
    <row r="235" ht="15.75" customHeight="1">
      <c r="B235" s="3">
        <f>IFERROR(__xludf.DUMMYFUNCTION("""COMPUTED_VALUE"""),41369.645833333336)</f>
        <v>41369.64583</v>
      </c>
      <c r="C235" s="2">
        <f>IFERROR(__xludf.DUMMYFUNCTION("""COMPUTED_VALUE"""),360.5)</f>
        <v>360.5</v>
      </c>
    </row>
    <row r="236" ht="15.75" customHeight="1">
      <c r="B236" s="3">
        <f>IFERROR(__xludf.DUMMYFUNCTION("""COMPUTED_VALUE"""),41376.645833333336)</f>
        <v>41376.64583</v>
      </c>
      <c r="C236" s="2">
        <f>IFERROR(__xludf.DUMMYFUNCTION("""COMPUTED_VALUE"""),343.3)</f>
        <v>343.3</v>
      </c>
    </row>
    <row r="237" ht="15.75" customHeight="1">
      <c r="B237" s="3">
        <f>IFERROR(__xludf.DUMMYFUNCTION("""COMPUTED_VALUE"""),41382.645833333336)</f>
        <v>41382.64583</v>
      </c>
      <c r="C237" s="2">
        <f>IFERROR(__xludf.DUMMYFUNCTION("""COMPUTED_VALUE"""),344.3)</f>
        <v>344.3</v>
      </c>
    </row>
    <row r="238" ht="15.75" customHeight="1">
      <c r="B238" s="3">
        <f>IFERROR(__xludf.DUMMYFUNCTION("""COMPUTED_VALUE"""),41390.645833333336)</f>
        <v>41390.64583</v>
      </c>
      <c r="C238" s="2">
        <f>IFERROR(__xludf.DUMMYFUNCTION("""COMPUTED_VALUE"""),347.7)</f>
        <v>347.7</v>
      </c>
    </row>
    <row r="239" ht="15.75" customHeight="1">
      <c r="B239" s="3">
        <f>IFERROR(__xludf.DUMMYFUNCTION("""COMPUTED_VALUE"""),41397.645833333336)</f>
        <v>41397.64583</v>
      </c>
      <c r="C239" s="2">
        <f>IFERROR(__xludf.DUMMYFUNCTION("""COMPUTED_VALUE"""),321.0)</f>
        <v>321</v>
      </c>
    </row>
    <row r="240" ht="15.75" customHeight="1">
      <c r="B240" s="3">
        <f>IFERROR(__xludf.DUMMYFUNCTION("""COMPUTED_VALUE"""),41411.645833333336)</f>
        <v>41411.64583</v>
      </c>
      <c r="C240" s="2">
        <f>IFERROR(__xludf.DUMMYFUNCTION("""COMPUTED_VALUE"""),315.3)</f>
        <v>315.3</v>
      </c>
    </row>
    <row r="241" ht="15.75" customHeight="1">
      <c r="B241" s="3">
        <f>IFERROR(__xludf.DUMMYFUNCTION("""COMPUTED_VALUE"""),41418.645833333336)</f>
        <v>41418.64583</v>
      </c>
      <c r="C241" s="2">
        <f>IFERROR(__xludf.DUMMYFUNCTION("""COMPUTED_VALUE"""),316.45)</f>
        <v>316.45</v>
      </c>
    </row>
    <row r="242" ht="15.75" customHeight="1">
      <c r="B242" s="3">
        <f>IFERROR(__xludf.DUMMYFUNCTION("""COMPUTED_VALUE"""),41425.645833333336)</f>
        <v>41425.64583</v>
      </c>
      <c r="C242" s="2">
        <f>IFERROR(__xludf.DUMMYFUNCTION("""COMPUTED_VALUE"""),312.2)</f>
        <v>312.2</v>
      </c>
    </row>
    <row r="243" ht="15.75" customHeight="1">
      <c r="B243" s="3">
        <f>IFERROR(__xludf.DUMMYFUNCTION("""COMPUTED_VALUE"""),41432.645833333336)</f>
        <v>41432.64583</v>
      </c>
      <c r="C243" s="2">
        <f>IFERROR(__xludf.DUMMYFUNCTION("""COMPUTED_VALUE"""),295.9)</f>
        <v>295.9</v>
      </c>
    </row>
    <row r="244" ht="15.75" customHeight="1">
      <c r="B244" s="3">
        <f>IFERROR(__xludf.DUMMYFUNCTION("""COMPUTED_VALUE"""),41439.645833333336)</f>
        <v>41439.64583</v>
      </c>
      <c r="C244" s="2">
        <f>IFERROR(__xludf.DUMMYFUNCTION("""COMPUTED_VALUE"""),282.95)</f>
        <v>282.95</v>
      </c>
    </row>
    <row r="245" ht="15.75" customHeight="1">
      <c r="B245" s="3">
        <f>IFERROR(__xludf.DUMMYFUNCTION("""COMPUTED_VALUE"""),41446.645833333336)</f>
        <v>41446.64583</v>
      </c>
      <c r="C245" s="2">
        <f>IFERROR(__xludf.DUMMYFUNCTION("""COMPUTED_VALUE"""),258.9)</f>
        <v>258.9</v>
      </c>
    </row>
    <row r="246" ht="15.75" customHeight="1">
      <c r="B246" s="3">
        <f>IFERROR(__xludf.DUMMYFUNCTION("""COMPUTED_VALUE"""),41453.645833333336)</f>
        <v>41453.64583</v>
      </c>
      <c r="C246" s="2">
        <f>IFERROR(__xludf.DUMMYFUNCTION("""COMPUTED_VALUE"""),219.95)</f>
        <v>219.95</v>
      </c>
    </row>
    <row r="247" ht="15.75" customHeight="1">
      <c r="B247" s="3">
        <f>IFERROR(__xludf.DUMMYFUNCTION("""COMPUTED_VALUE"""),41460.645833333336)</f>
        <v>41460.64583</v>
      </c>
      <c r="C247" s="2">
        <f>IFERROR(__xludf.DUMMYFUNCTION("""COMPUTED_VALUE"""),226.5)</f>
        <v>226.5</v>
      </c>
    </row>
    <row r="248" ht="15.75" customHeight="1">
      <c r="B248" s="3">
        <f>IFERROR(__xludf.DUMMYFUNCTION("""COMPUTED_VALUE"""),41467.645833333336)</f>
        <v>41467.64583</v>
      </c>
      <c r="C248" s="2">
        <f>IFERROR(__xludf.DUMMYFUNCTION("""COMPUTED_VALUE"""),227.8)</f>
        <v>227.8</v>
      </c>
    </row>
    <row r="249" ht="15.75" customHeight="1">
      <c r="B249" s="3">
        <f>IFERROR(__xludf.DUMMYFUNCTION("""COMPUTED_VALUE"""),41474.645833333336)</f>
        <v>41474.64583</v>
      </c>
      <c r="C249" s="2">
        <f>IFERROR(__xludf.DUMMYFUNCTION("""COMPUTED_VALUE"""),226.4)</f>
        <v>226.4</v>
      </c>
    </row>
    <row r="250" ht="15.75" customHeight="1">
      <c r="B250" s="3">
        <f>IFERROR(__xludf.DUMMYFUNCTION("""COMPUTED_VALUE"""),41481.645833333336)</f>
        <v>41481.64583</v>
      </c>
      <c r="C250" s="2">
        <f>IFERROR(__xludf.DUMMYFUNCTION("""COMPUTED_VALUE"""),215.45)</f>
        <v>215.45</v>
      </c>
    </row>
    <row r="251" ht="15.75" customHeight="1">
      <c r="B251" s="3">
        <f>IFERROR(__xludf.DUMMYFUNCTION("""COMPUTED_VALUE"""),41488.645833333336)</f>
        <v>41488.64583</v>
      </c>
      <c r="C251" s="2">
        <f>IFERROR(__xludf.DUMMYFUNCTION("""COMPUTED_VALUE"""),209.7)</f>
        <v>209.7</v>
      </c>
    </row>
    <row r="252" ht="15.75" customHeight="1">
      <c r="B252" s="3">
        <f>IFERROR(__xludf.DUMMYFUNCTION("""COMPUTED_VALUE"""),41494.645833333336)</f>
        <v>41494.64583</v>
      </c>
      <c r="C252" s="2">
        <f>IFERROR(__xludf.DUMMYFUNCTION("""COMPUTED_VALUE"""),210.3)</f>
        <v>210.3</v>
      </c>
    </row>
    <row r="253" ht="15.75" customHeight="1">
      <c r="B253" s="3">
        <f>IFERROR(__xludf.DUMMYFUNCTION("""COMPUTED_VALUE"""),41502.645833333336)</f>
        <v>41502.64583</v>
      </c>
      <c r="C253" s="2">
        <f>IFERROR(__xludf.DUMMYFUNCTION("""COMPUTED_VALUE"""),237.0)</f>
        <v>237</v>
      </c>
    </row>
    <row r="254" ht="15.75" customHeight="1">
      <c r="B254" s="3">
        <f>IFERROR(__xludf.DUMMYFUNCTION("""COMPUTED_VALUE"""),41509.645833333336)</f>
        <v>41509.64583</v>
      </c>
      <c r="C254" s="2">
        <f>IFERROR(__xludf.DUMMYFUNCTION("""COMPUTED_VALUE"""),244.9)</f>
        <v>244.9</v>
      </c>
    </row>
    <row r="255" ht="15.75" customHeight="1">
      <c r="B255" s="3">
        <f>IFERROR(__xludf.DUMMYFUNCTION("""COMPUTED_VALUE"""),41516.645833333336)</f>
        <v>41516.64583</v>
      </c>
      <c r="C255" s="2">
        <f>IFERROR(__xludf.DUMMYFUNCTION("""COMPUTED_VALUE"""),247.8)</f>
        <v>247.8</v>
      </c>
    </row>
    <row r="256" ht="15.75" customHeight="1">
      <c r="B256" s="3">
        <f>IFERROR(__xludf.DUMMYFUNCTION("""COMPUTED_VALUE"""),41523.645833333336)</f>
        <v>41523.64583</v>
      </c>
      <c r="C256" s="2">
        <f>IFERROR(__xludf.DUMMYFUNCTION("""COMPUTED_VALUE"""),237.5)</f>
        <v>237.5</v>
      </c>
    </row>
    <row r="257" ht="15.75" customHeight="1">
      <c r="B257" s="3">
        <f>IFERROR(__xludf.DUMMYFUNCTION("""COMPUTED_VALUE"""),41530.645833333336)</f>
        <v>41530.64583</v>
      </c>
      <c r="C257" s="2">
        <f>IFERROR(__xludf.DUMMYFUNCTION("""COMPUTED_VALUE"""),246.2)</f>
        <v>246.2</v>
      </c>
    </row>
    <row r="258" ht="15.75" customHeight="1">
      <c r="B258" s="3">
        <f>IFERROR(__xludf.DUMMYFUNCTION("""COMPUTED_VALUE"""),41537.645833333336)</f>
        <v>41537.64583</v>
      </c>
      <c r="C258" s="2">
        <f>IFERROR(__xludf.DUMMYFUNCTION("""COMPUTED_VALUE"""),266.0)</f>
        <v>266</v>
      </c>
    </row>
    <row r="259" ht="15.75" customHeight="1">
      <c r="B259" s="3">
        <f>IFERROR(__xludf.DUMMYFUNCTION("""COMPUTED_VALUE"""),41544.645833333336)</f>
        <v>41544.64583</v>
      </c>
      <c r="C259" s="2">
        <f>IFERROR(__xludf.DUMMYFUNCTION("""COMPUTED_VALUE"""),262.8)</f>
        <v>262.8</v>
      </c>
    </row>
    <row r="260" ht="15.75" customHeight="1">
      <c r="B260" s="3">
        <f>IFERROR(__xludf.DUMMYFUNCTION("""COMPUTED_VALUE"""),41551.645833333336)</f>
        <v>41551.64583</v>
      </c>
      <c r="C260" s="2">
        <f>IFERROR(__xludf.DUMMYFUNCTION("""COMPUTED_VALUE"""),242.5)</f>
        <v>242.5</v>
      </c>
    </row>
    <row r="261" ht="15.75" customHeight="1">
      <c r="B261" s="3">
        <f>IFERROR(__xludf.DUMMYFUNCTION("""COMPUTED_VALUE"""),41558.645833333336)</f>
        <v>41558.64583</v>
      </c>
      <c r="C261" s="2">
        <f>IFERROR(__xludf.DUMMYFUNCTION("""COMPUTED_VALUE"""),257.35)</f>
        <v>257.35</v>
      </c>
    </row>
    <row r="262" ht="15.75" customHeight="1">
      <c r="B262" s="3">
        <f>IFERROR(__xludf.DUMMYFUNCTION("""COMPUTED_VALUE"""),41565.645833333336)</f>
        <v>41565.64583</v>
      </c>
      <c r="C262" s="2">
        <f>IFERROR(__xludf.DUMMYFUNCTION("""COMPUTED_VALUE"""),259.3)</f>
        <v>259.3</v>
      </c>
    </row>
    <row r="263" ht="15.75" customHeight="1">
      <c r="B263" s="3">
        <f>IFERROR(__xludf.DUMMYFUNCTION("""COMPUTED_VALUE"""),41572.645833333336)</f>
        <v>41572.64583</v>
      </c>
      <c r="C263" s="2">
        <f>IFERROR(__xludf.DUMMYFUNCTION("""COMPUTED_VALUE"""),257.05)</f>
        <v>257.05</v>
      </c>
    </row>
    <row r="264" ht="15.75" customHeight="1">
      <c r="B264" s="3">
        <f>IFERROR(__xludf.DUMMYFUNCTION("""COMPUTED_VALUE"""),41579.645833333336)</f>
        <v>41579.64583</v>
      </c>
      <c r="C264" s="2">
        <f>IFERROR(__xludf.DUMMYFUNCTION("""COMPUTED_VALUE"""),250.0)</f>
        <v>250</v>
      </c>
    </row>
    <row r="265" ht="15.75" customHeight="1">
      <c r="B265" s="3">
        <f>IFERROR(__xludf.DUMMYFUNCTION("""COMPUTED_VALUE"""),41586.645833333336)</f>
        <v>41586.64583</v>
      </c>
      <c r="C265" s="2">
        <f>IFERROR(__xludf.DUMMYFUNCTION("""COMPUTED_VALUE"""),253.95)</f>
        <v>253.95</v>
      </c>
    </row>
    <row r="266" ht="15.75" customHeight="1">
      <c r="B266" s="3">
        <f>IFERROR(__xludf.DUMMYFUNCTION("""COMPUTED_VALUE"""),41592.645833333336)</f>
        <v>41592.64583</v>
      </c>
      <c r="C266" s="2">
        <f>IFERROR(__xludf.DUMMYFUNCTION("""COMPUTED_VALUE"""),243.4)</f>
        <v>243.4</v>
      </c>
    </row>
    <row r="267" ht="15.75" customHeight="1">
      <c r="B267" s="3">
        <f>IFERROR(__xludf.DUMMYFUNCTION("""COMPUTED_VALUE"""),41600.645833333336)</f>
        <v>41600.64583</v>
      </c>
      <c r="C267" s="2">
        <f>IFERROR(__xludf.DUMMYFUNCTION("""COMPUTED_VALUE"""),260.15)</f>
        <v>260.15</v>
      </c>
    </row>
    <row r="268" ht="15.75" customHeight="1">
      <c r="B268" s="3">
        <f>IFERROR(__xludf.DUMMYFUNCTION("""COMPUTED_VALUE"""),41607.645833333336)</f>
        <v>41607.64583</v>
      </c>
      <c r="C268" s="2">
        <f>IFERROR(__xludf.DUMMYFUNCTION("""COMPUTED_VALUE"""),259.1)</f>
        <v>259.1</v>
      </c>
    </row>
    <row r="269" ht="15.75" customHeight="1">
      <c r="B269" s="3">
        <f>IFERROR(__xludf.DUMMYFUNCTION("""COMPUTED_VALUE"""),41614.645833333336)</f>
        <v>41614.64583</v>
      </c>
      <c r="C269" s="2">
        <f>IFERROR(__xludf.DUMMYFUNCTION("""COMPUTED_VALUE"""),286.7)</f>
        <v>286.7</v>
      </c>
    </row>
    <row r="270" ht="15.75" customHeight="1">
      <c r="B270" s="3">
        <f>IFERROR(__xludf.DUMMYFUNCTION("""COMPUTED_VALUE"""),41621.645833333336)</f>
        <v>41621.64583</v>
      </c>
      <c r="C270" s="2">
        <f>IFERROR(__xludf.DUMMYFUNCTION("""COMPUTED_VALUE"""),290.0)</f>
        <v>290</v>
      </c>
    </row>
    <row r="271" ht="15.75" customHeight="1">
      <c r="B271" s="3">
        <f>IFERROR(__xludf.DUMMYFUNCTION("""COMPUTED_VALUE"""),41628.645833333336)</f>
        <v>41628.64583</v>
      </c>
      <c r="C271" s="2">
        <f>IFERROR(__xludf.DUMMYFUNCTION("""COMPUTED_VALUE"""),259.0)</f>
        <v>259</v>
      </c>
    </row>
    <row r="272" ht="15.75" customHeight="1">
      <c r="B272" s="3">
        <f>IFERROR(__xludf.DUMMYFUNCTION("""COMPUTED_VALUE"""),41635.645833333336)</f>
        <v>41635.64583</v>
      </c>
      <c r="C272" s="2">
        <f>IFERROR(__xludf.DUMMYFUNCTION("""COMPUTED_VALUE"""),266.65)</f>
        <v>266.65</v>
      </c>
    </row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IFERROR(__xludf.DUMMYFUNCTION("GOOGLEFINANCE(""NSE:JINDALSTEL"", ""high"",DATE(2014,1,1),DATE(2015,1,1),""weekly"")"),"Date")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IFERROR(__xludf.DUMMYFUNCTION("""COMPUTED_VALUE"""),41642.645833333336)</f>
        <v>41642.64583</v>
      </c>
      <c r="C277" s="2">
        <f>IFERROR(__xludf.DUMMYFUNCTION("""COMPUTED_VALUE"""),269.25)</f>
        <v>269.25</v>
      </c>
    </row>
    <row r="278" ht="15.75" customHeight="1">
      <c r="B278" s="3">
        <f>IFERROR(__xludf.DUMMYFUNCTION("""COMPUTED_VALUE"""),41649.645833333336)</f>
        <v>41649.64583</v>
      </c>
      <c r="C278" s="2">
        <f>IFERROR(__xludf.DUMMYFUNCTION("""COMPUTED_VALUE"""),268.8)</f>
        <v>268.8</v>
      </c>
    </row>
    <row r="279" ht="15.75" customHeight="1">
      <c r="B279" s="3">
        <f>IFERROR(__xludf.DUMMYFUNCTION("""COMPUTED_VALUE"""),41656.645833333336)</f>
        <v>41656.64583</v>
      </c>
      <c r="C279" s="2">
        <f>IFERROR(__xludf.DUMMYFUNCTION("""COMPUTED_VALUE"""),267.8)</f>
        <v>267.8</v>
      </c>
    </row>
    <row r="280" ht="15.75" customHeight="1">
      <c r="B280" s="3">
        <f>IFERROR(__xludf.DUMMYFUNCTION("""COMPUTED_VALUE"""),41663.645833333336)</f>
        <v>41663.64583</v>
      </c>
      <c r="C280" s="2">
        <f>IFERROR(__xludf.DUMMYFUNCTION("""COMPUTED_VALUE"""),269.2)</f>
        <v>269.2</v>
      </c>
    </row>
    <row r="281" ht="15.75" customHeight="1">
      <c r="B281" s="3">
        <f>IFERROR(__xludf.DUMMYFUNCTION("""COMPUTED_VALUE"""),41670.645833333336)</f>
        <v>41670.64583</v>
      </c>
      <c r="C281" s="2">
        <f>IFERROR(__xludf.DUMMYFUNCTION("""COMPUTED_VALUE"""),261.3)</f>
        <v>261.3</v>
      </c>
    </row>
    <row r="282" ht="15.75" customHeight="1">
      <c r="B282" s="3">
        <f>IFERROR(__xludf.DUMMYFUNCTION("""COMPUTED_VALUE"""),41677.645833333336)</f>
        <v>41677.64583</v>
      </c>
      <c r="C282" s="2">
        <f>IFERROR(__xludf.DUMMYFUNCTION("""COMPUTED_VALUE"""),250.35)</f>
        <v>250.35</v>
      </c>
    </row>
    <row r="283" ht="15.75" customHeight="1">
      <c r="B283" s="3">
        <f>IFERROR(__xludf.DUMMYFUNCTION("""COMPUTED_VALUE"""),41684.645833333336)</f>
        <v>41684.64583</v>
      </c>
      <c r="C283" s="2">
        <f>IFERROR(__xludf.DUMMYFUNCTION("""COMPUTED_VALUE"""),247.95)</f>
        <v>247.95</v>
      </c>
    </row>
    <row r="284" ht="15.75" customHeight="1">
      <c r="B284" s="3">
        <f>IFERROR(__xludf.DUMMYFUNCTION("""COMPUTED_VALUE"""),41691.645833333336)</f>
        <v>41691.64583</v>
      </c>
      <c r="C284" s="2">
        <f>IFERROR(__xludf.DUMMYFUNCTION("""COMPUTED_VALUE"""),253.9)</f>
        <v>253.9</v>
      </c>
    </row>
    <row r="285" ht="15.75" customHeight="1">
      <c r="B285" s="3">
        <f>IFERROR(__xludf.DUMMYFUNCTION("""COMPUTED_VALUE"""),41698.645833333336)</f>
        <v>41698.64583</v>
      </c>
      <c r="C285" s="2">
        <f>IFERROR(__xludf.DUMMYFUNCTION("""COMPUTED_VALUE"""),246.85)</f>
        <v>246.85</v>
      </c>
    </row>
    <row r="286" ht="15.75" customHeight="1">
      <c r="B286" s="3">
        <f>IFERROR(__xludf.DUMMYFUNCTION("""COMPUTED_VALUE"""),41705.645833333336)</f>
        <v>41705.64583</v>
      </c>
      <c r="C286" s="2">
        <f>IFERROR(__xludf.DUMMYFUNCTION("""COMPUTED_VALUE"""),260.8)</f>
        <v>260.8</v>
      </c>
    </row>
    <row r="287" ht="15.75" customHeight="1">
      <c r="B287" s="3">
        <f>IFERROR(__xludf.DUMMYFUNCTION("""COMPUTED_VALUE"""),41712.645833333336)</f>
        <v>41712.64583</v>
      </c>
      <c r="C287" s="2">
        <f>IFERROR(__xludf.DUMMYFUNCTION("""COMPUTED_VALUE"""),265.8)</f>
        <v>265.8</v>
      </c>
    </row>
    <row r="288" ht="15.75" customHeight="1">
      <c r="B288" s="3">
        <f>IFERROR(__xludf.DUMMYFUNCTION("""COMPUTED_VALUE"""),41726.645833333336)</f>
        <v>41726.64583</v>
      </c>
      <c r="C288" s="2">
        <f>IFERROR(__xludf.DUMMYFUNCTION("""COMPUTED_VALUE"""),283.0)</f>
        <v>283</v>
      </c>
    </row>
    <row r="289" ht="15.75" customHeight="1">
      <c r="B289" s="3">
        <f>IFERROR(__xludf.DUMMYFUNCTION("""COMPUTED_VALUE"""),41733.645833333336)</f>
        <v>41733.64583</v>
      </c>
      <c r="C289" s="2">
        <f>IFERROR(__xludf.DUMMYFUNCTION("""COMPUTED_VALUE"""),304.5)</f>
        <v>304.5</v>
      </c>
    </row>
    <row r="290" ht="15.75" customHeight="1">
      <c r="B290" s="3">
        <f>IFERROR(__xludf.DUMMYFUNCTION("""COMPUTED_VALUE"""),41740.645833333336)</f>
        <v>41740.64583</v>
      </c>
      <c r="C290" s="2">
        <f>IFERROR(__xludf.DUMMYFUNCTION("""COMPUTED_VALUE"""),303.9)</f>
        <v>303.9</v>
      </c>
    </row>
    <row r="291" ht="15.75" customHeight="1">
      <c r="B291" s="3">
        <f>IFERROR(__xludf.DUMMYFUNCTION("""COMPUTED_VALUE"""),41746.645833333336)</f>
        <v>41746.64583</v>
      </c>
      <c r="C291" s="2">
        <f>IFERROR(__xludf.DUMMYFUNCTION("""COMPUTED_VALUE"""),284.85)</f>
        <v>284.85</v>
      </c>
    </row>
    <row r="292" ht="15.75" customHeight="1">
      <c r="B292" s="3">
        <f>IFERROR(__xludf.DUMMYFUNCTION("""COMPUTED_VALUE"""),41754.645833333336)</f>
        <v>41754.64583</v>
      </c>
      <c r="C292" s="2">
        <f>IFERROR(__xludf.DUMMYFUNCTION("""COMPUTED_VALUE"""),285.7)</f>
        <v>285.7</v>
      </c>
    </row>
    <row r="293" ht="15.75" customHeight="1">
      <c r="B293" s="3">
        <f>IFERROR(__xludf.DUMMYFUNCTION("""COMPUTED_VALUE"""),41761.645833333336)</f>
        <v>41761.64583</v>
      </c>
      <c r="C293" s="2">
        <f>IFERROR(__xludf.DUMMYFUNCTION("""COMPUTED_VALUE"""),279.15)</f>
        <v>279.15</v>
      </c>
    </row>
    <row r="294" ht="15.75" customHeight="1">
      <c r="B294" s="3">
        <f>IFERROR(__xludf.DUMMYFUNCTION("""COMPUTED_VALUE"""),41768.645833333336)</f>
        <v>41768.64583</v>
      </c>
      <c r="C294" s="2">
        <f>IFERROR(__xludf.DUMMYFUNCTION("""COMPUTED_VALUE"""),249.5)</f>
        <v>249.5</v>
      </c>
    </row>
    <row r="295" ht="15.75" customHeight="1">
      <c r="B295" s="3">
        <f>IFERROR(__xludf.DUMMYFUNCTION("""COMPUTED_VALUE"""),41775.645833333336)</f>
        <v>41775.64583</v>
      </c>
      <c r="C295" s="2">
        <f>IFERROR(__xludf.DUMMYFUNCTION("""COMPUTED_VALUE"""),280.0)</f>
        <v>280</v>
      </c>
    </row>
    <row r="296" ht="15.75" customHeight="1">
      <c r="B296" s="3">
        <f>IFERROR(__xludf.DUMMYFUNCTION("""COMPUTED_VALUE"""),41782.645833333336)</f>
        <v>41782.64583</v>
      </c>
      <c r="C296" s="2">
        <f>IFERROR(__xludf.DUMMYFUNCTION("""COMPUTED_VALUE"""),309.0)</f>
        <v>309</v>
      </c>
    </row>
    <row r="297" ht="15.75" customHeight="1">
      <c r="B297" s="3">
        <f>IFERROR(__xludf.DUMMYFUNCTION("""COMPUTED_VALUE"""),41789.645833333336)</f>
        <v>41789.64583</v>
      </c>
      <c r="C297" s="2">
        <f>IFERROR(__xludf.DUMMYFUNCTION("""COMPUTED_VALUE"""),319.95)</f>
        <v>319.95</v>
      </c>
    </row>
    <row r="298" ht="15.75" customHeight="1">
      <c r="B298" s="3">
        <f>IFERROR(__xludf.DUMMYFUNCTION("""COMPUTED_VALUE"""),41796.645833333336)</f>
        <v>41796.64583</v>
      </c>
      <c r="C298" s="2">
        <f>IFERROR(__xludf.DUMMYFUNCTION("""COMPUTED_VALUE"""),343.15)</f>
        <v>343.15</v>
      </c>
    </row>
    <row r="299" ht="15.75" customHeight="1">
      <c r="B299" s="3">
        <f>IFERROR(__xludf.DUMMYFUNCTION("""COMPUTED_VALUE"""),41803.645833333336)</f>
        <v>41803.64583</v>
      </c>
      <c r="C299" s="2">
        <f>IFERROR(__xludf.DUMMYFUNCTION("""COMPUTED_VALUE"""),351.0)</f>
        <v>351</v>
      </c>
    </row>
    <row r="300" ht="15.75" customHeight="1">
      <c r="B300" s="3">
        <f>IFERROR(__xludf.DUMMYFUNCTION("""COMPUTED_VALUE"""),41810.645833333336)</f>
        <v>41810.64583</v>
      </c>
      <c r="C300" s="2">
        <f>IFERROR(__xludf.DUMMYFUNCTION("""COMPUTED_VALUE"""),329.6)</f>
        <v>329.6</v>
      </c>
    </row>
    <row r="301" ht="15.75" customHeight="1">
      <c r="B301" s="3">
        <f>IFERROR(__xludf.DUMMYFUNCTION("""COMPUTED_VALUE"""),41817.645833333336)</f>
        <v>41817.64583</v>
      </c>
      <c r="C301" s="2">
        <f>IFERROR(__xludf.DUMMYFUNCTION("""COMPUTED_VALUE"""),335.0)</f>
        <v>335</v>
      </c>
    </row>
    <row r="302" ht="15.75" customHeight="1">
      <c r="B302" s="3">
        <f>IFERROR(__xludf.DUMMYFUNCTION("""COMPUTED_VALUE"""),41824.645833333336)</f>
        <v>41824.64583</v>
      </c>
      <c r="C302" s="2">
        <f>IFERROR(__xludf.DUMMYFUNCTION("""COMPUTED_VALUE"""),337.2)</f>
        <v>337.2</v>
      </c>
    </row>
    <row r="303" ht="15.75" customHeight="1">
      <c r="B303" s="3">
        <f>IFERROR(__xludf.DUMMYFUNCTION("""COMPUTED_VALUE"""),41831.645833333336)</f>
        <v>41831.64583</v>
      </c>
      <c r="C303" s="2">
        <f>IFERROR(__xludf.DUMMYFUNCTION("""COMPUTED_VALUE"""),331.0)</f>
        <v>331</v>
      </c>
    </row>
    <row r="304" ht="15.75" customHeight="1">
      <c r="B304" s="3">
        <f>IFERROR(__xludf.DUMMYFUNCTION("""COMPUTED_VALUE"""),41838.645833333336)</f>
        <v>41838.64583</v>
      </c>
      <c r="C304" s="2">
        <f>IFERROR(__xludf.DUMMYFUNCTION("""COMPUTED_VALUE"""),303.0)</f>
        <v>303</v>
      </c>
    </row>
    <row r="305" ht="15.75" customHeight="1">
      <c r="B305" s="3">
        <f>IFERROR(__xludf.DUMMYFUNCTION("""COMPUTED_VALUE"""),41845.645833333336)</f>
        <v>41845.64583</v>
      </c>
      <c r="C305" s="2">
        <f>IFERROR(__xludf.DUMMYFUNCTION("""COMPUTED_VALUE"""),301.7)</f>
        <v>301.7</v>
      </c>
    </row>
    <row r="306" ht="15.75" customHeight="1">
      <c r="B306" s="3">
        <f>IFERROR(__xludf.DUMMYFUNCTION("""COMPUTED_VALUE"""),41852.645833333336)</f>
        <v>41852.64583</v>
      </c>
      <c r="C306" s="2">
        <f>IFERROR(__xludf.DUMMYFUNCTION("""COMPUTED_VALUE"""),286.25)</f>
        <v>286.25</v>
      </c>
    </row>
    <row r="307" ht="15.75" customHeight="1">
      <c r="B307" s="3">
        <f>IFERROR(__xludf.DUMMYFUNCTION("""COMPUTED_VALUE"""),41859.645833333336)</f>
        <v>41859.64583</v>
      </c>
      <c r="C307" s="2">
        <f>IFERROR(__xludf.DUMMYFUNCTION("""COMPUTED_VALUE"""),290.9)</f>
        <v>290.9</v>
      </c>
    </row>
    <row r="308" ht="15.75" customHeight="1">
      <c r="B308" s="3">
        <f>IFERROR(__xludf.DUMMYFUNCTION("""COMPUTED_VALUE"""),41865.645833333336)</f>
        <v>41865.64583</v>
      </c>
      <c r="C308" s="2">
        <f>IFERROR(__xludf.DUMMYFUNCTION("""COMPUTED_VALUE"""),287.8)</f>
        <v>287.8</v>
      </c>
    </row>
    <row r="309" ht="15.75" customHeight="1">
      <c r="B309" s="3">
        <f>IFERROR(__xludf.DUMMYFUNCTION("""COMPUTED_VALUE"""),41873.645833333336)</f>
        <v>41873.64583</v>
      </c>
      <c r="C309" s="2">
        <f>IFERROR(__xludf.DUMMYFUNCTION("""COMPUTED_VALUE"""),301.0)</f>
        <v>301</v>
      </c>
    </row>
    <row r="310" ht="15.75" customHeight="1">
      <c r="B310" s="3">
        <f>IFERROR(__xludf.DUMMYFUNCTION("""COMPUTED_VALUE"""),41879.645833333336)</f>
        <v>41879.64583</v>
      </c>
      <c r="C310" s="2">
        <f>IFERROR(__xludf.DUMMYFUNCTION("""COMPUTED_VALUE"""),298.05)</f>
        <v>298.05</v>
      </c>
    </row>
    <row r="311" ht="15.75" customHeight="1">
      <c r="B311" s="3">
        <f>IFERROR(__xludf.DUMMYFUNCTION("""COMPUTED_VALUE"""),41887.645833333336)</f>
        <v>41887.64583</v>
      </c>
      <c r="C311" s="2">
        <f>IFERROR(__xludf.DUMMYFUNCTION("""COMPUTED_VALUE"""),252.75)</f>
        <v>252.75</v>
      </c>
    </row>
    <row r="312" ht="15.75" customHeight="1">
      <c r="B312" s="3">
        <f>IFERROR(__xludf.DUMMYFUNCTION("""COMPUTED_VALUE"""),41894.645833333336)</f>
        <v>41894.64583</v>
      </c>
      <c r="C312" s="2">
        <f>IFERROR(__xludf.DUMMYFUNCTION("""COMPUTED_VALUE"""),248.6)</f>
        <v>248.6</v>
      </c>
    </row>
    <row r="313" ht="15.75" customHeight="1">
      <c r="B313" s="3">
        <f>IFERROR(__xludf.DUMMYFUNCTION("""COMPUTED_VALUE"""),41901.645833333336)</f>
        <v>41901.64583</v>
      </c>
      <c r="C313" s="2">
        <f>IFERROR(__xludf.DUMMYFUNCTION("""COMPUTED_VALUE"""),235.85)</f>
        <v>235.85</v>
      </c>
    </row>
    <row r="314" ht="15.75" customHeight="1">
      <c r="B314" s="3">
        <f>IFERROR(__xludf.DUMMYFUNCTION("""COMPUTED_VALUE"""),41908.645833333336)</f>
        <v>41908.64583</v>
      </c>
      <c r="C314" s="2">
        <f>IFERROR(__xludf.DUMMYFUNCTION("""COMPUTED_VALUE"""),218.0)</f>
        <v>218</v>
      </c>
    </row>
    <row r="315" ht="15.75" customHeight="1">
      <c r="B315" s="3">
        <f>IFERROR(__xludf.DUMMYFUNCTION("""COMPUTED_VALUE"""),41913.645833333336)</f>
        <v>41913.64583</v>
      </c>
      <c r="C315" s="2">
        <f>IFERROR(__xludf.DUMMYFUNCTION("""COMPUTED_VALUE"""),186.5)</f>
        <v>186.5</v>
      </c>
    </row>
    <row r="316" ht="15.75" customHeight="1">
      <c r="B316" s="3">
        <f>IFERROR(__xludf.DUMMYFUNCTION("""COMPUTED_VALUE"""),41922.645833333336)</f>
        <v>41922.64583</v>
      </c>
      <c r="C316" s="2">
        <f>IFERROR(__xludf.DUMMYFUNCTION("""COMPUTED_VALUE"""),170.7)</f>
        <v>170.7</v>
      </c>
    </row>
    <row r="317" ht="15.75" customHeight="1">
      <c r="B317" s="3">
        <f>IFERROR(__xludf.DUMMYFUNCTION("""COMPUTED_VALUE"""),41929.645833333336)</f>
        <v>41929.64583</v>
      </c>
      <c r="C317" s="2">
        <f>IFERROR(__xludf.DUMMYFUNCTION("""COMPUTED_VALUE"""),163.5)</f>
        <v>163.5</v>
      </c>
    </row>
    <row r="318" ht="15.75" customHeight="1">
      <c r="B318" s="3">
        <f>IFERROR(__xludf.DUMMYFUNCTION("""COMPUTED_VALUE"""),41935.645833333336)</f>
        <v>41935.64583</v>
      </c>
      <c r="C318" s="2">
        <f>IFERROR(__xludf.DUMMYFUNCTION("""COMPUTED_VALUE"""),168.3)</f>
        <v>168.3</v>
      </c>
    </row>
    <row r="319" ht="15.75" customHeight="1">
      <c r="B319" s="3">
        <f>IFERROR(__xludf.DUMMYFUNCTION("""COMPUTED_VALUE"""),41943.645833333336)</f>
        <v>41943.64583</v>
      </c>
      <c r="C319" s="2">
        <f>IFERROR(__xludf.DUMMYFUNCTION("""COMPUTED_VALUE"""),163.75)</f>
        <v>163.75</v>
      </c>
    </row>
    <row r="320" ht="15.75" customHeight="1">
      <c r="B320" s="3">
        <f>IFERROR(__xludf.DUMMYFUNCTION("""COMPUTED_VALUE"""),41950.645833333336)</f>
        <v>41950.64583</v>
      </c>
      <c r="C320" s="2">
        <f>IFERROR(__xludf.DUMMYFUNCTION("""COMPUTED_VALUE"""),173.0)</f>
        <v>173</v>
      </c>
    </row>
    <row r="321" ht="15.75" customHeight="1">
      <c r="B321" s="3">
        <f>IFERROR(__xludf.DUMMYFUNCTION("""COMPUTED_VALUE"""),41957.64583333333)</f>
        <v>41957.64583</v>
      </c>
      <c r="C321" s="2">
        <f>IFERROR(__xludf.DUMMYFUNCTION("""COMPUTED_VALUE"""),163.45)</f>
        <v>163.45</v>
      </c>
    </row>
    <row r="322" ht="15.75" customHeight="1">
      <c r="B322" s="3">
        <f>IFERROR(__xludf.DUMMYFUNCTION("""COMPUTED_VALUE"""),41964.64583333333)</f>
        <v>41964.64583</v>
      </c>
      <c r="C322" s="2">
        <f>IFERROR(__xludf.DUMMYFUNCTION("""COMPUTED_VALUE"""),160.25)</f>
        <v>160.25</v>
      </c>
    </row>
    <row r="323" ht="15.75" customHeight="1">
      <c r="B323" s="3">
        <f>IFERROR(__xludf.DUMMYFUNCTION("""COMPUTED_VALUE"""),41971.64583333333)</f>
        <v>41971.64583</v>
      </c>
      <c r="C323" s="2">
        <f>IFERROR(__xludf.DUMMYFUNCTION("""COMPUTED_VALUE"""),151.5)</f>
        <v>151.5</v>
      </c>
    </row>
    <row r="324" ht="15.75" customHeight="1">
      <c r="B324" s="3">
        <f>IFERROR(__xludf.DUMMYFUNCTION("""COMPUTED_VALUE"""),41978.64583333333)</f>
        <v>41978.64583</v>
      </c>
      <c r="C324" s="2">
        <f>IFERROR(__xludf.DUMMYFUNCTION("""COMPUTED_VALUE"""),156.45)</f>
        <v>156.45</v>
      </c>
    </row>
    <row r="325" ht="15.75" customHeight="1">
      <c r="B325" s="3">
        <f>IFERROR(__xludf.DUMMYFUNCTION("""COMPUTED_VALUE"""),41985.64583333333)</f>
        <v>41985.64583</v>
      </c>
      <c r="C325" s="2">
        <f>IFERROR(__xludf.DUMMYFUNCTION("""COMPUTED_VALUE"""),155.25)</f>
        <v>155.25</v>
      </c>
    </row>
    <row r="326" ht="15.75" customHeight="1">
      <c r="B326" s="3">
        <f>IFERROR(__xludf.DUMMYFUNCTION("""COMPUTED_VALUE"""),41992.64583333333)</f>
        <v>41992.64583</v>
      </c>
      <c r="C326" s="2">
        <f>IFERROR(__xludf.DUMMYFUNCTION("""COMPUTED_VALUE"""),141.8)</f>
        <v>141.8</v>
      </c>
    </row>
    <row r="327" ht="15.75" customHeight="1">
      <c r="B327" s="3">
        <f>IFERROR(__xludf.DUMMYFUNCTION("""COMPUTED_VALUE"""),41999.64583333333)</f>
        <v>41999.64583</v>
      </c>
      <c r="C327" s="2">
        <f>IFERROR(__xludf.DUMMYFUNCTION("""COMPUTED_VALUE"""),150.9)</f>
        <v>150.9</v>
      </c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IFERROR(__xludf.DUMMYFUNCTION("GOOGLEFINANCE(""NSE:RELCAPITAL"", ""high"",DATE(2009,1,1),DATE(2010,1,1),""weekly"")"),"Date")</f>
        <v>Date</v>
      </c>
      <c r="C1" s="2" t="str">
        <f>IFERROR(__xludf.DUMMYFUNCTION("""COMPUTED_VALUE"""),"High")</f>
        <v>High</v>
      </c>
    </row>
    <row r="2">
      <c r="A2" s="2" t="s">
        <v>8</v>
      </c>
      <c r="B2" s="3">
        <f>IFERROR(__xludf.DUMMYFUNCTION("""COMPUTED_VALUE"""),39815.645833333336)</f>
        <v>39815.64583</v>
      </c>
      <c r="C2" s="2">
        <f>IFERROR(__xludf.DUMMYFUNCTION("""COMPUTED_VALUE"""),584.55)</f>
        <v>584.55</v>
      </c>
    </row>
    <row r="3">
      <c r="A3" s="2" t="s">
        <v>9</v>
      </c>
      <c r="B3" s="3">
        <f>IFERROR(__xludf.DUMMYFUNCTION("""COMPUTED_VALUE"""),39822.645833333336)</f>
        <v>39822.64583</v>
      </c>
      <c r="C3" s="2">
        <f>IFERROR(__xludf.DUMMYFUNCTION("""COMPUTED_VALUE"""),626.4)</f>
        <v>626.4</v>
      </c>
    </row>
    <row r="4">
      <c r="B4" s="3">
        <f>IFERROR(__xludf.DUMMYFUNCTION("""COMPUTED_VALUE"""),39829.645833333336)</f>
        <v>39829.64583</v>
      </c>
      <c r="C4" s="2">
        <f>IFERROR(__xludf.DUMMYFUNCTION("""COMPUTED_VALUE"""),489.9)</f>
        <v>489.9</v>
      </c>
    </row>
    <row r="5">
      <c r="B5" s="3">
        <f>IFERROR(__xludf.DUMMYFUNCTION("""COMPUTED_VALUE"""),39836.645833333336)</f>
        <v>39836.64583</v>
      </c>
      <c r="C5" s="2">
        <f>IFERROR(__xludf.DUMMYFUNCTION("""COMPUTED_VALUE"""),444.9)</f>
        <v>444.9</v>
      </c>
    </row>
    <row r="6">
      <c r="B6" s="3">
        <f>IFERROR(__xludf.DUMMYFUNCTION("""COMPUTED_VALUE"""),39843.645833333336)</f>
        <v>39843.64583</v>
      </c>
      <c r="C6" s="2">
        <f>IFERROR(__xludf.DUMMYFUNCTION("""COMPUTED_VALUE"""),425.25)</f>
        <v>425.25</v>
      </c>
    </row>
    <row r="7">
      <c r="B7" s="3">
        <f>IFERROR(__xludf.DUMMYFUNCTION("""COMPUTED_VALUE"""),39850.645833333336)</f>
        <v>39850.64583</v>
      </c>
      <c r="C7" s="2">
        <f>IFERROR(__xludf.DUMMYFUNCTION("""COMPUTED_VALUE"""),420.55)</f>
        <v>420.55</v>
      </c>
    </row>
    <row r="8">
      <c r="B8" s="3">
        <f>IFERROR(__xludf.DUMMYFUNCTION("""COMPUTED_VALUE"""),39857.645833333336)</f>
        <v>39857.64583</v>
      </c>
      <c r="C8" s="2">
        <f>IFERROR(__xludf.DUMMYFUNCTION("""COMPUTED_VALUE"""),437.8)</f>
        <v>437.8</v>
      </c>
    </row>
    <row r="9">
      <c r="B9" s="3">
        <f>IFERROR(__xludf.DUMMYFUNCTION("""COMPUTED_VALUE"""),39864.645833333336)</f>
        <v>39864.64583</v>
      </c>
      <c r="C9" s="2">
        <f>IFERROR(__xludf.DUMMYFUNCTION("""COMPUTED_VALUE"""),437.1)</f>
        <v>437.1</v>
      </c>
    </row>
    <row r="10">
      <c r="B10" s="3">
        <f>IFERROR(__xludf.DUMMYFUNCTION("""COMPUTED_VALUE"""),39871.645833333336)</f>
        <v>39871.64583</v>
      </c>
      <c r="C10" s="2">
        <f>IFERROR(__xludf.DUMMYFUNCTION("""COMPUTED_VALUE"""),389.9)</f>
        <v>389.9</v>
      </c>
    </row>
    <row r="11">
      <c r="B11" s="3">
        <f>IFERROR(__xludf.DUMMYFUNCTION("""COMPUTED_VALUE"""),39878.645833333336)</f>
        <v>39878.64583</v>
      </c>
      <c r="C11" s="2">
        <f>IFERROR(__xludf.DUMMYFUNCTION("""COMPUTED_VALUE"""),345.9)</f>
        <v>345.9</v>
      </c>
    </row>
    <row r="12">
      <c r="B12" s="3">
        <f>IFERROR(__xludf.DUMMYFUNCTION("""COMPUTED_VALUE"""),39885.645833333336)</f>
        <v>39885.64583</v>
      </c>
      <c r="C12" s="2">
        <f>IFERROR(__xludf.DUMMYFUNCTION("""COMPUTED_VALUE"""),314.1)</f>
        <v>314.1</v>
      </c>
    </row>
    <row r="13">
      <c r="B13" s="3">
        <f>IFERROR(__xludf.DUMMYFUNCTION("""COMPUTED_VALUE"""),39892.645833333336)</f>
        <v>39892.64583</v>
      </c>
      <c r="C13" s="2">
        <f>IFERROR(__xludf.DUMMYFUNCTION("""COMPUTED_VALUE"""),330.0)</f>
        <v>330</v>
      </c>
    </row>
    <row r="14">
      <c r="B14" s="3">
        <f>IFERROR(__xludf.DUMMYFUNCTION("""COMPUTED_VALUE"""),39899.645833333336)</f>
        <v>39899.64583</v>
      </c>
      <c r="C14" s="2">
        <f>IFERROR(__xludf.DUMMYFUNCTION("""COMPUTED_VALUE"""),381.7)</f>
        <v>381.7</v>
      </c>
    </row>
    <row r="15">
      <c r="B15" s="3">
        <f>IFERROR(__xludf.DUMMYFUNCTION("""COMPUTED_VALUE"""),39905.645833333336)</f>
        <v>39905.64583</v>
      </c>
      <c r="C15" s="2">
        <f>IFERROR(__xludf.DUMMYFUNCTION("""COMPUTED_VALUE"""),424.4)</f>
        <v>424.4</v>
      </c>
    </row>
    <row r="16">
      <c r="B16" s="3">
        <f>IFERROR(__xludf.DUMMYFUNCTION("""COMPUTED_VALUE"""),39912.645833333336)</f>
        <v>39912.64583</v>
      </c>
      <c r="C16" s="2">
        <f>IFERROR(__xludf.DUMMYFUNCTION("""COMPUTED_VALUE"""),478.95)</f>
        <v>478.95</v>
      </c>
    </row>
    <row r="17">
      <c r="B17" s="3">
        <f>IFERROR(__xludf.DUMMYFUNCTION("""COMPUTED_VALUE"""),39920.645833333336)</f>
        <v>39920.64583</v>
      </c>
      <c r="C17" s="2">
        <f>IFERROR(__xludf.DUMMYFUNCTION("""COMPUTED_VALUE"""),581.9)</f>
        <v>581.9</v>
      </c>
    </row>
    <row r="18">
      <c r="B18" s="3">
        <f>IFERROR(__xludf.DUMMYFUNCTION("""COMPUTED_VALUE"""),39927.645833333336)</f>
        <v>39927.64583</v>
      </c>
      <c r="C18" s="2">
        <f>IFERROR(__xludf.DUMMYFUNCTION("""COMPUTED_VALUE"""),563.0)</f>
        <v>563</v>
      </c>
    </row>
    <row r="19">
      <c r="B19" s="3">
        <f>IFERROR(__xludf.DUMMYFUNCTION("""COMPUTED_VALUE"""),39932.645833333336)</f>
        <v>39932.64583</v>
      </c>
      <c r="C19" s="2">
        <f>IFERROR(__xludf.DUMMYFUNCTION("""COMPUTED_VALUE"""),568.0)</f>
        <v>568</v>
      </c>
    </row>
    <row r="20">
      <c r="B20" s="3">
        <f>IFERROR(__xludf.DUMMYFUNCTION("""COMPUTED_VALUE"""),39941.645833333336)</f>
        <v>39941.64583</v>
      </c>
      <c r="C20" s="2">
        <f>IFERROR(__xludf.DUMMYFUNCTION("""COMPUTED_VALUE"""),623.85)</f>
        <v>623.85</v>
      </c>
    </row>
    <row r="21" ht="15.75" customHeight="1">
      <c r="B21" s="3">
        <f>IFERROR(__xludf.DUMMYFUNCTION("""COMPUTED_VALUE"""),39948.645833333336)</f>
        <v>39948.64583</v>
      </c>
      <c r="C21" s="2">
        <f>IFERROR(__xludf.DUMMYFUNCTION("""COMPUTED_VALUE"""),598.9)</f>
        <v>598.9</v>
      </c>
    </row>
    <row r="22" ht="15.75" customHeight="1">
      <c r="B22" s="3">
        <f>IFERROR(__xludf.DUMMYFUNCTION("""COMPUTED_VALUE"""),39955.645833333336)</f>
        <v>39955.64583</v>
      </c>
      <c r="C22" s="2">
        <f>IFERROR(__xludf.DUMMYFUNCTION("""COMPUTED_VALUE"""),940.0)</f>
        <v>940</v>
      </c>
    </row>
    <row r="23" ht="15.75" customHeight="1">
      <c r="B23" s="3">
        <f>IFERROR(__xludf.DUMMYFUNCTION("""COMPUTED_VALUE"""),39962.645833333336)</f>
        <v>39962.64583</v>
      </c>
      <c r="C23" s="2">
        <f>IFERROR(__xludf.DUMMYFUNCTION("""COMPUTED_VALUE"""),972.9)</f>
        <v>972.9</v>
      </c>
    </row>
    <row r="24" ht="15.75" customHeight="1">
      <c r="B24" s="3">
        <f>IFERROR(__xludf.DUMMYFUNCTION("""COMPUTED_VALUE"""),39969.645833333336)</f>
        <v>39969.64583</v>
      </c>
      <c r="C24" s="2">
        <f>IFERROR(__xludf.DUMMYFUNCTION("""COMPUTED_VALUE"""),1067.7)</f>
        <v>1067.7</v>
      </c>
    </row>
    <row r="25" ht="15.75" customHeight="1">
      <c r="B25" s="3">
        <f>IFERROR(__xludf.DUMMYFUNCTION("""COMPUTED_VALUE"""),39976.645833333336)</f>
        <v>39976.64583</v>
      </c>
      <c r="C25" s="2">
        <f>IFERROR(__xludf.DUMMYFUNCTION("""COMPUTED_VALUE"""),1029.0)</f>
        <v>1029</v>
      </c>
    </row>
    <row r="26" ht="15.75" customHeight="1">
      <c r="B26" s="3">
        <f>IFERROR(__xludf.DUMMYFUNCTION("""COMPUTED_VALUE"""),39983.645833333336)</f>
        <v>39983.64583</v>
      </c>
      <c r="C26" s="2">
        <f>IFERROR(__xludf.DUMMYFUNCTION("""COMPUTED_VALUE"""),1008.0)</f>
        <v>1008</v>
      </c>
    </row>
    <row r="27" ht="15.75" customHeight="1">
      <c r="B27" s="3">
        <f>IFERROR(__xludf.DUMMYFUNCTION("""COMPUTED_VALUE"""),39990.645833333336)</f>
        <v>39990.64583</v>
      </c>
      <c r="C27" s="2">
        <f>IFERROR(__xludf.DUMMYFUNCTION("""COMPUTED_VALUE"""),949.4)</f>
        <v>949.4</v>
      </c>
    </row>
    <row r="28" ht="15.75" customHeight="1">
      <c r="B28" s="3">
        <f>IFERROR(__xludf.DUMMYFUNCTION("""COMPUTED_VALUE"""),39997.645833333336)</f>
        <v>39997.64583</v>
      </c>
      <c r="C28" s="2">
        <f>IFERROR(__xludf.DUMMYFUNCTION("""COMPUTED_VALUE"""),987.0)</f>
        <v>987</v>
      </c>
    </row>
    <row r="29" ht="15.75" customHeight="1">
      <c r="B29" s="3">
        <f>IFERROR(__xludf.DUMMYFUNCTION("""COMPUTED_VALUE"""),40004.645833333336)</f>
        <v>40004.64583</v>
      </c>
      <c r="C29" s="2">
        <f>IFERROR(__xludf.DUMMYFUNCTION("""COMPUTED_VALUE"""),959.9)</f>
        <v>959.9</v>
      </c>
    </row>
    <row r="30" ht="15.75" customHeight="1">
      <c r="B30" s="3">
        <f>IFERROR(__xludf.DUMMYFUNCTION("""COMPUTED_VALUE"""),40011.645833333336)</f>
        <v>40011.64583</v>
      </c>
      <c r="C30" s="2">
        <f>IFERROR(__xludf.DUMMYFUNCTION("""COMPUTED_VALUE"""),878.7)</f>
        <v>878.7</v>
      </c>
    </row>
    <row r="31" ht="15.75" customHeight="1">
      <c r="B31" s="3">
        <f>IFERROR(__xludf.DUMMYFUNCTION("""COMPUTED_VALUE"""),40018.645833333336)</f>
        <v>40018.64583</v>
      </c>
      <c r="C31" s="2">
        <f>IFERROR(__xludf.DUMMYFUNCTION("""COMPUTED_VALUE"""),929.0)</f>
        <v>929</v>
      </c>
    </row>
    <row r="32" ht="15.75" customHeight="1">
      <c r="B32" s="3">
        <f>IFERROR(__xludf.DUMMYFUNCTION("""COMPUTED_VALUE"""),40025.645833333336)</f>
        <v>40025.64583</v>
      </c>
      <c r="C32" s="2">
        <f>IFERROR(__xludf.DUMMYFUNCTION("""COMPUTED_VALUE"""),940.0)</f>
        <v>940</v>
      </c>
    </row>
    <row r="33" ht="15.75" customHeight="1">
      <c r="B33" s="3">
        <f>IFERROR(__xludf.DUMMYFUNCTION("""COMPUTED_VALUE"""),40032.645833333336)</f>
        <v>40032.64583</v>
      </c>
      <c r="C33" s="2">
        <f>IFERROR(__xludf.DUMMYFUNCTION("""COMPUTED_VALUE"""),938.0)</f>
        <v>938</v>
      </c>
    </row>
    <row r="34" ht="15.75" customHeight="1">
      <c r="B34" s="3">
        <f>IFERROR(__xludf.DUMMYFUNCTION("""COMPUTED_VALUE"""),40039.645833333336)</f>
        <v>40039.64583</v>
      </c>
      <c r="C34" s="2">
        <f>IFERROR(__xludf.DUMMYFUNCTION("""COMPUTED_VALUE"""),874.0)</f>
        <v>874</v>
      </c>
    </row>
    <row r="35" ht="15.75" customHeight="1">
      <c r="B35" s="3">
        <f>IFERROR(__xludf.DUMMYFUNCTION("""COMPUTED_VALUE"""),40046.645833333336)</f>
        <v>40046.64583</v>
      </c>
      <c r="C35" s="2">
        <f>IFERROR(__xludf.DUMMYFUNCTION("""COMPUTED_VALUE"""),838.0)</f>
        <v>838</v>
      </c>
    </row>
    <row r="36" ht="15.75" customHeight="1">
      <c r="B36" s="3">
        <f>IFERROR(__xludf.DUMMYFUNCTION("""COMPUTED_VALUE"""),40053.645833333336)</f>
        <v>40053.64583</v>
      </c>
      <c r="C36" s="2">
        <f>IFERROR(__xludf.DUMMYFUNCTION("""COMPUTED_VALUE"""),877.9)</f>
        <v>877.9</v>
      </c>
    </row>
    <row r="37" ht="15.75" customHeight="1">
      <c r="B37" s="3">
        <f>IFERROR(__xludf.DUMMYFUNCTION("""COMPUTED_VALUE"""),40060.645833333336)</f>
        <v>40060.64583</v>
      </c>
      <c r="C37" s="2">
        <f>IFERROR(__xludf.DUMMYFUNCTION("""COMPUTED_VALUE"""),918.0)</f>
        <v>918</v>
      </c>
    </row>
    <row r="38" ht="15.75" customHeight="1">
      <c r="B38" s="3">
        <f>IFERROR(__xludf.DUMMYFUNCTION("""COMPUTED_VALUE"""),40067.645833333336)</f>
        <v>40067.64583</v>
      </c>
      <c r="C38" s="2">
        <f>IFERROR(__xludf.DUMMYFUNCTION("""COMPUTED_VALUE"""),943.7)</f>
        <v>943.7</v>
      </c>
    </row>
    <row r="39" ht="15.75" customHeight="1">
      <c r="B39" s="3">
        <f>IFERROR(__xludf.DUMMYFUNCTION("""COMPUTED_VALUE"""),40074.645833333336)</f>
        <v>40074.64583</v>
      </c>
      <c r="C39" s="2">
        <f>IFERROR(__xludf.DUMMYFUNCTION("""COMPUTED_VALUE"""),976.65)</f>
        <v>976.65</v>
      </c>
    </row>
    <row r="40" ht="15.75" customHeight="1">
      <c r="B40" s="3">
        <f>IFERROR(__xludf.DUMMYFUNCTION("""COMPUTED_VALUE"""),40081.645833333336)</f>
        <v>40081.64583</v>
      </c>
      <c r="C40" s="2">
        <f>IFERROR(__xludf.DUMMYFUNCTION("""COMPUTED_VALUE"""),944.45)</f>
        <v>944.45</v>
      </c>
    </row>
    <row r="41" ht="15.75" customHeight="1">
      <c r="B41" s="3">
        <f>IFERROR(__xludf.DUMMYFUNCTION("""COMPUTED_VALUE"""),40087.645833333336)</f>
        <v>40087.64583</v>
      </c>
      <c r="C41" s="2">
        <f>IFERROR(__xludf.DUMMYFUNCTION("""COMPUTED_VALUE"""),924.5)</f>
        <v>924.5</v>
      </c>
    </row>
    <row r="42" ht="15.75" customHeight="1">
      <c r="B42" s="3">
        <f>IFERROR(__xludf.DUMMYFUNCTION("""COMPUTED_VALUE"""),40095.645833333336)</f>
        <v>40095.64583</v>
      </c>
      <c r="C42" s="2">
        <f>IFERROR(__xludf.DUMMYFUNCTION("""COMPUTED_VALUE"""),939.9)</f>
        <v>939.9</v>
      </c>
    </row>
    <row r="43" ht="15.75" customHeight="1">
      <c r="B43" s="3">
        <f>IFERROR(__xludf.DUMMYFUNCTION("""COMPUTED_VALUE"""),40109.645833333336)</f>
        <v>40109.64583</v>
      </c>
      <c r="C43" s="2">
        <f>IFERROR(__xludf.DUMMYFUNCTION("""COMPUTED_VALUE"""),945.7)</f>
        <v>945.7</v>
      </c>
    </row>
    <row r="44" ht="15.75" customHeight="1">
      <c r="B44" s="3">
        <f>IFERROR(__xludf.DUMMYFUNCTION("""COMPUTED_VALUE"""),40116.645833333336)</f>
        <v>40116.64583</v>
      </c>
      <c r="C44" s="2">
        <f>IFERROR(__xludf.DUMMYFUNCTION("""COMPUTED_VALUE"""),889.0)</f>
        <v>889</v>
      </c>
    </row>
    <row r="45" ht="15.75" customHeight="1">
      <c r="B45" s="3">
        <f>IFERROR(__xludf.DUMMYFUNCTION("""COMPUTED_VALUE"""),40123.645833333336)</f>
        <v>40123.64583</v>
      </c>
      <c r="C45" s="2">
        <f>IFERROR(__xludf.DUMMYFUNCTION("""COMPUTED_VALUE"""),815.0)</f>
        <v>815</v>
      </c>
    </row>
    <row r="46" ht="15.75" customHeight="1">
      <c r="B46" s="3">
        <f>IFERROR(__xludf.DUMMYFUNCTION("""COMPUTED_VALUE"""),40130.645833333336)</f>
        <v>40130.64583</v>
      </c>
      <c r="C46" s="2">
        <f>IFERROR(__xludf.DUMMYFUNCTION("""COMPUTED_VALUE"""),839.7)</f>
        <v>839.7</v>
      </c>
    </row>
    <row r="47" ht="15.75" customHeight="1">
      <c r="B47" s="3">
        <f>IFERROR(__xludf.DUMMYFUNCTION("""COMPUTED_VALUE"""),40137.645833333336)</f>
        <v>40137.64583</v>
      </c>
      <c r="C47" s="2">
        <f>IFERROR(__xludf.DUMMYFUNCTION("""COMPUTED_VALUE"""),925.0)</f>
        <v>925</v>
      </c>
    </row>
    <row r="48" ht="15.75" customHeight="1">
      <c r="B48" s="3">
        <f>IFERROR(__xludf.DUMMYFUNCTION("""COMPUTED_VALUE"""),40144.645833333336)</f>
        <v>40144.64583</v>
      </c>
      <c r="C48" s="2">
        <f>IFERROR(__xludf.DUMMYFUNCTION("""COMPUTED_VALUE"""),890.0)</f>
        <v>890</v>
      </c>
    </row>
    <row r="49" ht="15.75" customHeight="1">
      <c r="B49" s="3">
        <f>IFERROR(__xludf.DUMMYFUNCTION("""COMPUTED_VALUE"""),40151.645833333336)</f>
        <v>40151.64583</v>
      </c>
      <c r="C49" s="2">
        <f>IFERROR(__xludf.DUMMYFUNCTION("""COMPUTED_VALUE"""),873.9)</f>
        <v>873.9</v>
      </c>
    </row>
    <row r="50" ht="15.75" customHeight="1">
      <c r="B50" s="3">
        <f>IFERROR(__xludf.DUMMYFUNCTION("""COMPUTED_VALUE"""),40158.645833333336)</f>
        <v>40158.64583</v>
      </c>
      <c r="C50" s="2">
        <f>IFERROR(__xludf.DUMMYFUNCTION("""COMPUTED_VALUE"""),865.95)</f>
        <v>865.95</v>
      </c>
    </row>
    <row r="51" ht="15.75" customHeight="1">
      <c r="B51" s="3">
        <f>IFERROR(__xludf.DUMMYFUNCTION("""COMPUTED_VALUE"""),40165.645833333336)</f>
        <v>40165.64583</v>
      </c>
      <c r="C51" s="2">
        <f>IFERROR(__xludf.DUMMYFUNCTION("""COMPUTED_VALUE"""),858.7)</f>
        <v>858.7</v>
      </c>
    </row>
    <row r="52" ht="15.75" customHeight="1">
      <c r="B52" s="3">
        <f>IFERROR(__xludf.DUMMYFUNCTION("""COMPUTED_VALUE"""),40171.645833333336)</f>
        <v>40171.64583</v>
      </c>
      <c r="C52" s="2">
        <f>IFERROR(__xludf.DUMMYFUNCTION("""COMPUTED_VALUE"""),859.5)</f>
        <v>859.5</v>
      </c>
    </row>
    <row r="53" ht="15.75" customHeight="1"/>
    <row r="54" ht="15.75" customHeight="1"/>
    <row r="55" ht="15.75" customHeight="1"/>
    <row r="56" ht="15.75" customHeight="1">
      <c r="B56" s="2" t="str">
        <f>IFERROR(__xludf.DUMMYFUNCTION("GOOGLEFINANCE(""NSE:RELCAPITAL"", ""high"",DATE(2010,1,1),DATE(2011,1,1),""weekly"")"),"Date")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IFERROR(__xludf.DUMMYFUNCTION("""COMPUTED_VALUE"""),40186.645833333336)</f>
        <v>40186.64583</v>
      </c>
      <c r="C57" s="2">
        <f>IFERROR(__xludf.DUMMYFUNCTION("""COMPUTED_VALUE"""),913.0)</f>
        <v>913</v>
      </c>
    </row>
    <row r="58" ht="15.75" customHeight="1">
      <c r="B58" s="3">
        <f>IFERROR(__xludf.DUMMYFUNCTION("""COMPUTED_VALUE"""),40193.645833333336)</f>
        <v>40193.64583</v>
      </c>
      <c r="C58" s="2">
        <f>IFERROR(__xludf.DUMMYFUNCTION("""COMPUTED_VALUE"""),930.0)</f>
        <v>930</v>
      </c>
    </row>
    <row r="59" ht="15.75" customHeight="1">
      <c r="B59" s="3">
        <f>IFERROR(__xludf.DUMMYFUNCTION("""COMPUTED_VALUE"""),40200.645833333336)</f>
        <v>40200.64583</v>
      </c>
      <c r="C59" s="2">
        <f>IFERROR(__xludf.DUMMYFUNCTION("""COMPUTED_VALUE"""),929.5)</f>
        <v>929.5</v>
      </c>
    </row>
    <row r="60" ht="15.75" customHeight="1">
      <c r="B60" s="3">
        <f>IFERROR(__xludf.DUMMYFUNCTION("""COMPUTED_VALUE"""),40207.645833333336)</f>
        <v>40207.64583</v>
      </c>
      <c r="C60" s="2">
        <f>IFERROR(__xludf.DUMMYFUNCTION("""COMPUTED_VALUE"""),859.3)</f>
        <v>859.3</v>
      </c>
    </row>
    <row r="61" ht="15.75" customHeight="1">
      <c r="B61" s="3">
        <f>IFERROR(__xludf.DUMMYFUNCTION("""COMPUTED_VALUE"""),40220.645833333336)</f>
        <v>40220.64583</v>
      </c>
      <c r="C61" s="2">
        <f>IFERROR(__xludf.DUMMYFUNCTION("""COMPUTED_VALUE"""),778.5)</f>
        <v>778.5</v>
      </c>
    </row>
    <row r="62" ht="15.75" customHeight="1">
      <c r="B62" s="3">
        <f>IFERROR(__xludf.DUMMYFUNCTION("""COMPUTED_VALUE"""),40228.645833333336)</f>
        <v>40228.64583</v>
      </c>
      <c r="C62" s="2">
        <f>IFERROR(__xludf.DUMMYFUNCTION("""COMPUTED_VALUE"""),776.0)</f>
        <v>776</v>
      </c>
    </row>
    <row r="63" ht="15.75" customHeight="1">
      <c r="B63" s="3">
        <f>IFERROR(__xludf.DUMMYFUNCTION("""COMPUTED_VALUE"""),40235.645833333336)</f>
        <v>40235.64583</v>
      </c>
      <c r="C63" s="2">
        <f>IFERROR(__xludf.DUMMYFUNCTION("""COMPUTED_VALUE"""),825.8)</f>
        <v>825.8</v>
      </c>
    </row>
    <row r="64" ht="15.75" customHeight="1">
      <c r="B64" s="3">
        <f>IFERROR(__xludf.DUMMYFUNCTION("""COMPUTED_VALUE"""),40242.645833333336)</f>
        <v>40242.64583</v>
      </c>
      <c r="C64" s="2">
        <f>IFERROR(__xludf.DUMMYFUNCTION("""COMPUTED_VALUE"""),837.0)</f>
        <v>837</v>
      </c>
    </row>
    <row r="65" ht="15.75" customHeight="1">
      <c r="B65" s="3">
        <f>IFERROR(__xludf.DUMMYFUNCTION("""COMPUTED_VALUE"""),40249.645833333336)</f>
        <v>40249.64583</v>
      </c>
      <c r="C65" s="2">
        <f>IFERROR(__xludf.DUMMYFUNCTION("""COMPUTED_VALUE"""),818.0)</f>
        <v>818</v>
      </c>
    </row>
    <row r="66" ht="15.75" customHeight="1">
      <c r="B66" s="3">
        <f>IFERROR(__xludf.DUMMYFUNCTION("""COMPUTED_VALUE"""),40256.645833333336)</f>
        <v>40256.64583</v>
      </c>
      <c r="C66" s="2">
        <f>IFERROR(__xludf.DUMMYFUNCTION("""COMPUTED_VALUE"""),808.2)</f>
        <v>808.2</v>
      </c>
    </row>
    <row r="67" ht="15.75" customHeight="1">
      <c r="B67" s="3">
        <f>IFERROR(__xludf.DUMMYFUNCTION("""COMPUTED_VALUE"""),40263.645833333336)</f>
        <v>40263.64583</v>
      </c>
      <c r="C67" s="2">
        <f>IFERROR(__xludf.DUMMYFUNCTION("""COMPUTED_VALUE"""),791.2)</f>
        <v>791.2</v>
      </c>
    </row>
    <row r="68" ht="15.75" customHeight="1">
      <c r="B68" s="3">
        <f>IFERROR(__xludf.DUMMYFUNCTION("""COMPUTED_VALUE"""),40269.645833333336)</f>
        <v>40269.64583</v>
      </c>
      <c r="C68" s="2">
        <f>IFERROR(__xludf.DUMMYFUNCTION("""COMPUTED_VALUE"""),780.0)</f>
        <v>780</v>
      </c>
    </row>
    <row r="69" ht="15.75" customHeight="1">
      <c r="B69" s="3">
        <f>IFERROR(__xludf.DUMMYFUNCTION("""COMPUTED_VALUE"""),40277.645833333336)</f>
        <v>40277.64583</v>
      </c>
      <c r="C69" s="2">
        <f>IFERROR(__xludf.DUMMYFUNCTION("""COMPUTED_VALUE"""),804.0)</f>
        <v>804</v>
      </c>
    </row>
    <row r="70" ht="15.75" customHeight="1">
      <c r="B70" s="3">
        <f>IFERROR(__xludf.DUMMYFUNCTION("""COMPUTED_VALUE"""),40284.645833333336)</f>
        <v>40284.64583</v>
      </c>
      <c r="C70" s="2">
        <f>IFERROR(__xludf.DUMMYFUNCTION("""COMPUTED_VALUE"""),794.8)</f>
        <v>794.8</v>
      </c>
    </row>
    <row r="71" ht="15.75" customHeight="1">
      <c r="B71" s="3">
        <f>IFERROR(__xludf.DUMMYFUNCTION("""COMPUTED_VALUE"""),40291.645833333336)</f>
        <v>40291.64583</v>
      </c>
      <c r="C71" s="2">
        <f>IFERROR(__xludf.DUMMYFUNCTION("""COMPUTED_VALUE"""),755.6)</f>
        <v>755.6</v>
      </c>
    </row>
    <row r="72" ht="15.75" customHeight="1">
      <c r="B72" s="3">
        <f>IFERROR(__xludf.DUMMYFUNCTION("""COMPUTED_VALUE"""),40298.645833333336)</f>
        <v>40298.64583</v>
      </c>
      <c r="C72" s="2">
        <f>IFERROR(__xludf.DUMMYFUNCTION("""COMPUTED_VALUE"""),750.75)</f>
        <v>750.75</v>
      </c>
    </row>
    <row r="73" ht="15.75" customHeight="1">
      <c r="B73" s="3">
        <f>IFERROR(__xludf.DUMMYFUNCTION("""COMPUTED_VALUE"""),40305.645833333336)</f>
        <v>40305.64583</v>
      </c>
      <c r="C73" s="2">
        <f>IFERROR(__xludf.DUMMYFUNCTION("""COMPUTED_VALUE"""),742.0)</f>
        <v>742</v>
      </c>
    </row>
    <row r="74" ht="15.75" customHeight="1">
      <c r="B74" s="3">
        <f>IFERROR(__xludf.DUMMYFUNCTION("""COMPUTED_VALUE"""),40312.645833333336)</f>
        <v>40312.64583</v>
      </c>
      <c r="C74" s="2">
        <f>IFERROR(__xludf.DUMMYFUNCTION("""COMPUTED_VALUE"""),737.0)</f>
        <v>737</v>
      </c>
    </row>
    <row r="75" ht="15.75" customHeight="1">
      <c r="B75" s="3">
        <f>IFERROR(__xludf.DUMMYFUNCTION("""COMPUTED_VALUE"""),40319.645833333336)</f>
        <v>40319.64583</v>
      </c>
      <c r="C75" s="2">
        <f>IFERROR(__xludf.DUMMYFUNCTION("""COMPUTED_VALUE"""),685.0)</f>
        <v>685</v>
      </c>
    </row>
    <row r="76" ht="15.75" customHeight="1">
      <c r="B76" s="3">
        <f>IFERROR(__xludf.DUMMYFUNCTION("""COMPUTED_VALUE"""),40326.645833333336)</f>
        <v>40326.64583</v>
      </c>
      <c r="C76" s="2">
        <f>IFERROR(__xludf.DUMMYFUNCTION("""COMPUTED_VALUE"""),696.9)</f>
        <v>696.9</v>
      </c>
    </row>
    <row r="77" ht="15.75" customHeight="1">
      <c r="B77" s="3">
        <f>IFERROR(__xludf.DUMMYFUNCTION("""COMPUTED_VALUE"""),40333.645833333336)</f>
        <v>40333.64583</v>
      </c>
      <c r="C77" s="2">
        <f>IFERROR(__xludf.DUMMYFUNCTION("""COMPUTED_VALUE"""),689.9)</f>
        <v>689.9</v>
      </c>
    </row>
    <row r="78" ht="15.75" customHeight="1">
      <c r="B78" s="3">
        <f>IFERROR(__xludf.DUMMYFUNCTION("""COMPUTED_VALUE"""),40340.645833333336)</f>
        <v>40340.64583</v>
      </c>
      <c r="C78" s="2">
        <f>IFERROR(__xludf.DUMMYFUNCTION("""COMPUTED_VALUE"""),695.0)</f>
        <v>695</v>
      </c>
    </row>
    <row r="79" ht="15.75" customHeight="1">
      <c r="B79" s="3">
        <f>IFERROR(__xludf.DUMMYFUNCTION("""COMPUTED_VALUE"""),40347.645833333336)</f>
        <v>40347.64583</v>
      </c>
      <c r="C79" s="2">
        <f>IFERROR(__xludf.DUMMYFUNCTION("""COMPUTED_VALUE"""),774.0)</f>
        <v>774</v>
      </c>
    </row>
    <row r="80" ht="15.75" customHeight="1">
      <c r="B80" s="3">
        <f>IFERROR(__xludf.DUMMYFUNCTION("""COMPUTED_VALUE"""),40354.645833333336)</f>
        <v>40354.64583</v>
      </c>
      <c r="C80" s="2">
        <f>IFERROR(__xludf.DUMMYFUNCTION("""COMPUTED_VALUE"""),781.0)</f>
        <v>781</v>
      </c>
    </row>
    <row r="81" ht="15.75" customHeight="1">
      <c r="B81" s="3">
        <f>IFERROR(__xludf.DUMMYFUNCTION("""COMPUTED_VALUE"""),40361.645833333336)</f>
        <v>40361.64583</v>
      </c>
      <c r="C81" s="2">
        <f>IFERROR(__xludf.DUMMYFUNCTION("""COMPUTED_VALUE"""),788.0)</f>
        <v>788</v>
      </c>
    </row>
    <row r="82" ht="15.75" customHeight="1">
      <c r="B82" s="3">
        <f>IFERROR(__xludf.DUMMYFUNCTION("""COMPUTED_VALUE"""),40368.645833333336)</f>
        <v>40368.64583</v>
      </c>
      <c r="C82" s="2">
        <f>IFERROR(__xludf.DUMMYFUNCTION("""COMPUTED_VALUE"""),776.9)</f>
        <v>776.9</v>
      </c>
    </row>
    <row r="83" ht="15.75" customHeight="1">
      <c r="B83" s="3">
        <f>IFERROR(__xludf.DUMMYFUNCTION("""COMPUTED_VALUE"""),40375.645833333336)</f>
        <v>40375.64583</v>
      </c>
      <c r="C83" s="2">
        <f>IFERROR(__xludf.DUMMYFUNCTION("""COMPUTED_VALUE"""),812.5)</f>
        <v>812.5</v>
      </c>
    </row>
    <row r="84" ht="15.75" customHeight="1">
      <c r="B84" s="3">
        <f>IFERROR(__xludf.DUMMYFUNCTION("""COMPUTED_VALUE"""),40382.645833333336)</f>
        <v>40382.64583</v>
      </c>
      <c r="C84" s="2">
        <f>IFERROR(__xludf.DUMMYFUNCTION("""COMPUTED_VALUE"""),825.0)</f>
        <v>825</v>
      </c>
    </row>
    <row r="85" ht="15.75" customHeight="1">
      <c r="B85" s="3">
        <f>IFERROR(__xludf.DUMMYFUNCTION("""COMPUTED_VALUE"""),40389.645833333336)</f>
        <v>40389.64583</v>
      </c>
      <c r="C85" s="2">
        <f>IFERROR(__xludf.DUMMYFUNCTION("""COMPUTED_VALUE"""),805.0)</f>
        <v>805</v>
      </c>
    </row>
    <row r="86" ht="15.75" customHeight="1">
      <c r="B86" s="3">
        <f>IFERROR(__xludf.DUMMYFUNCTION("""COMPUTED_VALUE"""),40396.645833333336)</f>
        <v>40396.64583</v>
      </c>
      <c r="C86" s="2">
        <f>IFERROR(__xludf.DUMMYFUNCTION("""COMPUTED_VALUE"""),796.95)</f>
        <v>796.95</v>
      </c>
    </row>
    <row r="87" ht="15.75" customHeight="1">
      <c r="B87" s="3">
        <f>IFERROR(__xludf.DUMMYFUNCTION("""COMPUTED_VALUE"""),40403.645833333336)</f>
        <v>40403.64583</v>
      </c>
      <c r="C87" s="2">
        <f>IFERROR(__xludf.DUMMYFUNCTION("""COMPUTED_VALUE"""),794.3)</f>
        <v>794.3</v>
      </c>
    </row>
    <row r="88" ht="15.75" customHeight="1">
      <c r="B88" s="3">
        <f>IFERROR(__xludf.DUMMYFUNCTION("""COMPUTED_VALUE"""),40410.645833333336)</f>
        <v>40410.64583</v>
      </c>
      <c r="C88" s="2">
        <f>IFERROR(__xludf.DUMMYFUNCTION("""COMPUTED_VALUE"""),786.6)</f>
        <v>786.6</v>
      </c>
    </row>
    <row r="89" ht="15.75" customHeight="1">
      <c r="B89" s="3">
        <f>IFERROR(__xludf.DUMMYFUNCTION("""COMPUTED_VALUE"""),40417.645833333336)</f>
        <v>40417.64583</v>
      </c>
      <c r="C89" s="2">
        <f>IFERROR(__xludf.DUMMYFUNCTION("""COMPUTED_VALUE"""),793.0)</f>
        <v>793</v>
      </c>
    </row>
    <row r="90" ht="15.75" customHeight="1">
      <c r="B90" s="3">
        <f>IFERROR(__xludf.DUMMYFUNCTION("""COMPUTED_VALUE"""),40424.645833333336)</f>
        <v>40424.64583</v>
      </c>
      <c r="C90" s="2">
        <f>IFERROR(__xludf.DUMMYFUNCTION("""COMPUTED_VALUE"""),848.0)</f>
        <v>848</v>
      </c>
    </row>
    <row r="91" ht="15.75" customHeight="1">
      <c r="B91" s="3">
        <f>IFERROR(__xludf.DUMMYFUNCTION("""COMPUTED_VALUE"""),40430.645833333336)</f>
        <v>40430.64583</v>
      </c>
      <c r="C91" s="2">
        <f>IFERROR(__xludf.DUMMYFUNCTION("""COMPUTED_VALUE"""),803.7)</f>
        <v>803.7</v>
      </c>
    </row>
    <row r="92" ht="15.75" customHeight="1">
      <c r="B92" s="3">
        <f>IFERROR(__xludf.DUMMYFUNCTION("""COMPUTED_VALUE"""),40438.645833333336)</f>
        <v>40438.64583</v>
      </c>
      <c r="C92" s="2">
        <f>IFERROR(__xludf.DUMMYFUNCTION("""COMPUTED_VALUE"""),826.1)</f>
        <v>826.1</v>
      </c>
    </row>
    <row r="93" ht="15.75" customHeight="1">
      <c r="B93" s="3">
        <f>IFERROR(__xludf.DUMMYFUNCTION("""COMPUTED_VALUE"""),40445.645833333336)</f>
        <v>40445.64583</v>
      </c>
      <c r="C93" s="2">
        <f>IFERROR(__xludf.DUMMYFUNCTION("""COMPUTED_VALUE"""),847.6)</f>
        <v>847.6</v>
      </c>
    </row>
    <row r="94" ht="15.75" customHeight="1">
      <c r="B94" s="3">
        <f>IFERROR(__xludf.DUMMYFUNCTION("""COMPUTED_VALUE"""),40452.645833333336)</f>
        <v>40452.64583</v>
      </c>
      <c r="C94" s="2">
        <f>IFERROR(__xludf.DUMMYFUNCTION("""COMPUTED_VALUE"""),824.5)</f>
        <v>824.5</v>
      </c>
    </row>
    <row r="95" ht="15.75" customHeight="1">
      <c r="B95" s="3">
        <f>IFERROR(__xludf.DUMMYFUNCTION("""COMPUTED_VALUE"""),40459.645833333336)</f>
        <v>40459.64583</v>
      </c>
      <c r="C95" s="2">
        <f>IFERROR(__xludf.DUMMYFUNCTION("""COMPUTED_VALUE"""),882.3)</f>
        <v>882.3</v>
      </c>
    </row>
    <row r="96" ht="15.75" customHeight="1">
      <c r="B96" s="3">
        <f>IFERROR(__xludf.DUMMYFUNCTION("""COMPUTED_VALUE"""),40466.645833333336)</f>
        <v>40466.64583</v>
      </c>
      <c r="C96" s="2">
        <f>IFERROR(__xludf.DUMMYFUNCTION("""COMPUTED_VALUE"""),872.0)</f>
        <v>872</v>
      </c>
    </row>
    <row r="97" ht="15.75" customHeight="1">
      <c r="B97" s="3">
        <f>IFERROR(__xludf.DUMMYFUNCTION("""COMPUTED_VALUE"""),40473.645833333336)</f>
        <v>40473.64583</v>
      </c>
      <c r="C97" s="2">
        <f>IFERROR(__xludf.DUMMYFUNCTION("""COMPUTED_VALUE"""),847.7)</f>
        <v>847.7</v>
      </c>
    </row>
    <row r="98" ht="15.75" customHeight="1">
      <c r="B98" s="3">
        <f>IFERROR(__xludf.DUMMYFUNCTION("""COMPUTED_VALUE"""),40480.645833333336)</f>
        <v>40480.64583</v>
      </c>
      <c r="C98" s="2">
        <f>IFERROR(__xludf.DUMMYFUNCTION("""COMPUTED_VALUE"""),865.9)</f>
        <v>865.9</v>
      </c>
    </row>
    <row r="99" ht="15.75" customHeight="1">
      <c r="B99" s="3">
        <f>IFERROR(__xludf.DUMMYFUNCTION("""COMPUTED_VALUE"""),40487.645833333336)</f>
        <v>40487.64583</v>
      </c>
      <c r="C99" s="2">
        <f>IFERROR(__xludf.DUMMYFUNCTION("""COMPUTED_VALUE"""),839.65)</f>
        <v>839.65</v>
      </c>
    </row>
    <row r="100" ht="15.75" customHeight="1">
      <c r="B100" s="3">
        <f>IFERROR(__xludf.DUMMYFUNCTION("""COMPUTED_VALUE"""),40494.645833333336)</f>
        <v>40494.64583</v>
      </c>
      <c r="C100" s="2">
        <f>IFERROR(__xludf.DUMMYFUNCTION("""COMPUTED_VALUE"""),842.7)</f>
        <v>842.7</v>
      </c>
    </row>
    <row r="101" ht="15.75" customHeight="1">
      <c r="B101" s="3">
        <f>IFERROR(__xludf.DUMMYFUNCTION("""COMPUTED_VALUE"""),40501.645833333336)</f>
        <v>40501.64583</v>
      </c>
      <c r="C101" s="2">
        <f>IFERROR(__xludf.DUMMYFUNCTION("""COMPUTED_VALUE"""),782.0)</f>
        <v>782</v>
      </c>
    </row>
    <row r="102" ht="15.75" customHeight="1">
      <c r="B102" s="3">
        <f>IFERROR(__xludf.DUMMYFUNCTION("""COMPUTED_VALUE"""),40508.645833333336)</f>
        <v>40508.64583</v>
      </c>
      <c r="C102" s="2">
        <f>IFERROR(__xludf.DUMMYFUNCTION("""COMPUTED_VALUE"""),705.95)</f>
        <v>705.95</v>
      </c>
    </row>
    <row r="103" ht="15.75" customHeight="1">
      <c r="B103" s="3">
        <f>IFERROR(__xludf.DUMMYFUNCTION("""COMPUTED_VALUE"""),40515.645833333336)</f>
        <v>40515.64583</v>
      </c>
      <c r="C103" s="2">
        <f>IFERROR(__xludf.DUMMYFUNCTION("""COMPUTED_VALUE"""),719.0)</f>
        <v>719</v>
      </c>
    </row>
    <row r="104" ht="15.75" customHeight="1">
      <c r="B104" s="3">
        <f>IFERROR(__xludf.DUMMYFUNCTION("""COMPUTED_VALUE"""),40522.645833333336)</f>
        <v>40522.64583</v>
      </c>
      <c r="C104" s="2">
        <f>IFERROR(__xludf.DUMMYFUNCTION("""COMPUTED_VALUE"""),726.0)</f>
        <v>726</v>
      </c>
    </row>
    <row r="105" ht="15.75" customHeight="1">
      <c r="B105" s="3">
        <f>IFERROR(__xludf.DUMMYFUNCTION("""COMPUTED_VALUE"""),40528.645833333336)</f>
        <v>40528.64583</v>
      </c>
      <c r="C105" s="2">
        <f>IFERROR(__xludf.DUMMYFUNCTION("""COMPUTED_VALUE"""),669.4)</f>
        <v>669.4</v>
      </c>
    </row>
    <row r="106" ht="15.75" customHeight="1">
      <c r="B106" s="3">
        <f>IFERROR(__xludf.DUMMYFUNCTION("""COMPUTED_VALUE"""),40536.645833333336)</f>
        <v>40536.64583</v>
      </c>
      <c r="C106" s="2">
        <f>IFERROR(__xludf.DUMMYFUNCTION("""COMPUTED_VALUE"""),656.7)</f>
        <v>656.7</v>
      </c>
    </row>
    <row r="107" ht="15.75" customHeight="1">
      <c r="B107" s="3">
        <f>IFERROR(__xludf.DUMMYFUNCTION("""COMPUTED_VALUE"""),40543.645833333336)</f>
        <v>40543.64583</v>
      </c>
      <c r="C107" s="2">
        <f>IFERROR(__xludf.DUMMYFUNCTION("""COMPUTED_VALUE"""),672.5)</f>
        <v>672.5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IFERROR(__xludf.DUMMYFUNCTION("GOOGLEFINANCE(""NSE:KOTAKBANK"", ""high"",DATE(2010,1,1),DATE(2011,1,1),""weekly"")"),"Date")</f>
        <v>Date</v>
      </c>
      <c r="C1" s="2" t="str">
        <f>IFERROR(__xludf.DUMMYFUNCTION("""COMPUTED_VALUE"""),"High")</f>
        <v>High</v>
      </c>
    </row>
    <row r="2">
      <c r="A2" s="2" t="s">
        <v>9</v>
      </c>
      <c r="B2" s="3">
        <f>IFERROR(__xludf.DUMMYFUNCTION("""COMPUTED_VALUE"""),40186.645833333336)</f>
        <v>40186.64583</v>
      </c>
      <c r="C2" s="2">
        <f>IFERROR(__xludf.DUMMYFUNCTION("""COMPUTED_VALUE"""),213.7)</f>
        <v>213.7</v>
      </c>
    </row>
    <row r="3">
      <c r="A3" s="2" t="s">
        <v>10</v>
      </c>
      <c r="B3" s="3">
        <f>IFERROR(__xludf.DUMMYFUNCTION("""COMPUTED_VALUE"""),40193.645833333336)</f>
        <v>40193.64583</v>
      </c>
      <c r="C3" s="2">
        <f>IFERROR(__xludf.DUMMYFUNCTION("""COMPUTED_VALUE"""),215.43)</f>
        <v>215.43</v>
      </c>
    </row>
    <row r="4">
      <c r="A4" s="2" t="s">
        <v>11</v>
      </c>
      <c r="B4" s="3">
        <f>IFERROR(__xludf.DUMMYFUNCTION("""COMPUTED_VALUE"""),40200.645833333336)</f>
        <v>40200.64583</v>
      </c>
      <c r="C4" s="2">
        <f>IFERROR(__xludf.DUMMYFUNCTION("""COMPUTED_VALUE"""),219.95)</f>
        <v>219.95</v>
      </c>
    </row>
    <row r="5">
      <c r="A5" s="2" t="s">
        <v>12</v>
      </c>
      <c r="B5" s="3">
        <f>IFERROR(__xludf.DUMMYFUNCTION("""COMPUTED_VALUE"""),40207.645833333336)</f>
        <v>40207.64583</v>
      </c>
      <c r="C5" s="2">
        <f>IFERROR(__xludf.DUMMYFUNCTION("""COMPUTED_VALUE"""),205.5)</f>
        <v>205.5</v>
      </c>
    </row>
    <row r="6">
      <c r="A6" s="2" t="s">
        <v>13</v>
      </c>
      <c r="B6" s="3">
        <f>IFERROR(__xludf.DUMMYFUNCTION("""COMPUTED_VALUE"""),40220.645833333336)</f>
        <v>40220.64583</v>
      </c>
      <c r="C6" s="2">
        <f>IFERROR(__xludf.DUMMYFUNCTION("""COMPUTED_VALUE"""),188.0)</f>
        <v>188</v>
      </c>
    </row>
    <row r="7">
      <c r="A7" s="2" t="s">
        <v>14</v>
      </c>
      <c r="B7" s="3">
        <f>IFERROR(__xludf.DUMMYFUNCTION("""COMPUTED_VALUE"""),40228.645833333336)</f>
        <v>40228.64583</v>
      </c>
      <c r="C7" s="2">
        <f>IFERROR(__xludf.DUMMYFUNCTION("""COMPUTED_VALUE"""),201.0)</f>
        <v>201</v>
      </c>
    </row>
    <row r="8">
      <c r="A8" s="2" t="s">
        <v>15</v>
      </c>
      <c r="B8" s="3">
        <f>IFERROR(__xludf.DUMMYFUNCTION("""COMPUTED_VALUE"""),40235.645833333336)</f>
        <v>40235.64583</v>
      </c>
      <c r="C8" s="2">
        <f>IFERROR(__xludf.DUMMYFUNCTION("""COMPUTED_VALUE"""),202.53)</f>
        <v>202.53</v>
      </c>
    </row>
    <row r="9">
      <c r="A9" s="2" t="s">
        <v>16</v>
      </c>
      <c r="B9" s="3">
        <f>IFERROR(__xludf.DUMMYFUNCTION("""COMPUTED_VALUE"""),40242.645833333336)</f>
        <v>40242.64583</v>
      </c>
      <c r="C9" s="2">
        <f>IFERROR(__xludf.DUMMYFUNCTION("""COMPUTED_VALUE"""),201.25)</f>
        <v>201.25</v>
      </c>
    </row>
    <row r="10">
      <c r="A10" s="2" t="s">
        <v>17</v>
      </c>
      <c r="B10" s="3">
        <f>IFERROR(__xludf.DUMMYFUNCTION("""COMPUTED_VALUE"""),40249.645833333336)</f>
        <v>40249.64583</v>
      </c>
      <c r="C10" s="2">
        <f>IFERROR(__xludf.DUMMYFUNCTION("""COMPUTED_VALUE"""),205.0)</f>
        <v>205</v>
      </c>
    </row>
    <row r="11">
      <c r="A11" s="2" t="s">
        <v>18</v>
      </c>
      <c r="B11" s="3">
        <f>IFERROR(__xludf.DUMMYFUNCTION("""COMPUTED_VALUE"""),40256.645833333336)</f>
        <v>40256.64583</v>
      </c>
      <c r="C11" s="2">
        <f>IFERROR(__xludf.DUMMYFUNCTION("""COMPUTED_VALUE"""),195.83)</f>
        <v>195.83</v>
      </c>
    </row>
    <row r="12">
      <c r="A12" s="2" t="s">
        <v>19</v>
      </c>
      <c r="B12" s="3">
        <f>IFERROR(__xludf.DUMMYFUNCTION("""COMPUTED_VALUE"""),40263.645833333336)</f>
        <v>40263.64583</v>
      </c>
      <c r="C12" s="2">
        <f>IFERROR(__xludf.DUMMYFUNCTION("""COMPUTED_VALUE"""),189.3)</f>
        <v>189.3</v>
      </c>
    </row>
    <row r="13">
      <c r="B13" s="3">
        <f>IFERROR(__xludf.DUMMYFUNCTION("""COMPUTED_VALUE"""),40269.645833333336)</f>
        <v>40269.64583</v>
      </c>
      <c r="C13" s="2">
        <f>IFERROR(__xludf.DUMMYFUNCTION("""COMPUTED_VALUE"""),191.5)</f>
        <v>191.5</v>
      </c>
    </row>
    <row r="14">
      <c r="B14" s="3">
        <f>IFERROR(__xludf.DUMMYFUNCTION("""COMPUTED_VALUE"""),40277.645833333336)</f>
        <v>40277.64583</v>
      </c>
      <c r="C14" s="2">
        <f>IFERROR(__xludf.DUMMYFUNCTION("""COMPUTED_VALUE"""),199.25)</f>
        <v>199.25</v>
      </c>
    </row>
    <row r="15">
      <c r="B15" s="3">
        <f>IFERROR(__xludf.DUMMYFUNCTION("""COMPUTED_VALUE"""),40284.645833333336)</f>
        <v>40284.64583</v>
      </c>
      <c r="C15" s="2">
        <f>IFERROR(__xludf.DUMMYFUNCTION("""COMPUTED_VALUE"""),199.55)</f>
        <v>199.55</v>
      </c>
    </row>
    <row r="16">
      <c r="B16" s="3">
        <f>IFERROR(__xludf.DUMMYFUNCTION("""COMPUTED_VALUE"""),40291.645833333336)</f>
        <v>40291.64583</v>
      </c>
      <c r="C16" s="2">
        <f>IFERROR(__xludf.DUMMYFUNCTION("""COMPUTED_VALUE"""),188.93)</f>
        <v>188.93</v>
      </c>
    </row>
    <row r="17">
      <c r="B17" s="3">
        <f>IFERROR(__xludf.DUMMYFUNCTION("""COMPUTED_VALUE"""),40298.645833333336)</f>
        <v>40298.64583</v>
      </c>
      <c r="C17" s="2">
        <f>IFERROR(__xludf.DUMMYFUNCTION("""COMPUTED_VALUE"""),190.24)</f>
        <v>190.24</v>
      </c>
    </row>
    <row r="18">
      <c r="B18" s="3">
        <f>IFERROR(__xludf.DUMMYFUNCTION("""COMPUTED_VALUE"""),40305.645833333336)</f>
        <v>40305.64583</v>
      </c>
      <c r="C18" s="2">
        <f>IFERROR(__xludf.DUMMYFUNCTION("""COMPUTED_VALUE"""),189.45)</f>
        <v>189.45</v>
      </c>
    </row>
    <row r="19">
      <c r="B19" s="3">
        <f>IFERROR(__xludf.DUMMYFUNCTION("""COMPUTED_VALUE"""),40312.645833333336)</f>
        <v>40312.64583</v>
      </c>
      <c r="C19" s="2">
        <f>IFERROR(__xludf.DUMMYFUNCTION("""COMPUTED_VALUE"""),197.49)</f>
        <v>197.49</v>
      </c>
    </row>
    <row r="20">
      <c r="B20" s="3">
        <f>IFERROR(__xludf.DUMMYFUNCTION("""COMPUTED_VALUE"""),40319.645833333336)</f>
        <v>40319.64583</v>
      </c>
      <c r="C20" s="2">
        <f>IFERROR(__xludf.DUMMYFUNCTION("""COMPUTED_VALUE"""),197.95)</f>
        <v>197.95</v>
      </c>
    </row>
    <row r="21" ht="15.75" customHeight="1">
      <c r="B21" s="3">
        <f>IFERROR(__xludf.DUMMYFUNCTION("""COMPUTED_VALUE"""),40326.645833333336)</f>
        <v>40326.64583</v>
      </c>
      <c r="C21" s="2">
        <f>IFERROR(__xludf.DUMMYFUNCTION("""COMPUTED_VALUE"""),191.25)</f>
        <v>191.25</v>
      </c>
    </row>
    <row r="22" ht="15.75" customHeight="1">
      <c r="B22" s="3">
        <f>IFERROR(__xludf.DUMMYFUNCTION("""COMPUTED_VALUE"""),40333.645833333336)</f>
        <v>40333.64583</v>
      </c>
      <c r="C22" s="2">
        <f>IFERROR(__xludf.DUMMYFUNCTION("""COMPUTED_VALUE"""),195.18)</f>
        <v>195.18</v>
      </c>
    </row>
    <row r="23" ht="15.75" customHeight="1">
      <c r="B23" s="3">
        <f>IFERROR(__xludf.DUMMYFUNCTION("""COMPUTED_VALUE"""),40340.645833333336)</f>
        <v>40340.64583</v>
      </c>
      <c r="C23" s="2">
        <f>IFERROR(__xludf.DUMMYFUNCTION("""COMPUTED_VALUE"""),191.63)</f>
        <v>191.63</v>
      </c>
    </row>
    <row r="24" ht="15.75" customHeight="1">
      <c r="B24" s="3">
        <f>IFERROR(__xludf.DUMMYFUNCTION("""COMPUTED_VALUE"""),40347.645833333336)</f>
        <v>40347.64583</v>
      </c>
      <c r="C24" s="2">
        <f>IFERROR(__xludf.DUMMYFUNCTION("""COMPUTED_VALUE"""),195.0)</f>
        <v>195</v>
      </c>
    </row>
    <row r="25" ht="15.75" customHeight="1">
      <c r="B25" s="3">
        <f>IFERROR(__xludf.DUMMYFUNCTION("""COMPUTED_VALUE"""),40354.645833333336)</f>
        <v>40354.64583</v>
      </c>
      <c r="C25" s="2">
        <f>IFERROR(__xludf.DUMMYFUNCTION("""COMPUTED_VALUE"""),201.75)</f>
        <v>201.75</v>
      </c>
    </row>
    <row r="26" ht="15.75" customHeight="1">
      <c r="B26" s="3">
        <f>IFERROR(__xludf.DUMMYFUNCTION("""COMPUTED_VALUE"""),40361.645833333336)</f>
        <v>40361.64583</v>
      </c>
      <c r="C26" s="2">
        <f>IFERROR(__xludf.DUMMYFUNCTION("""COMPUTED_VALUE"""),194.1)</f>
        <v>194.1</v>
      </c>
    </row>
    <row r="27" ht="15.75" customHeight="1">
      <c r="B27" s="3">
        <f>IFERROR(__xludf.DUMMYFUNCTION("""COMPUTED_VALUE"""),40368.645833333336)</f>
        <v>40368.64583</v>
      </c>
      <c r="C27" s="2">
        <f>IFERROR(__xludf.DUMMYFUNCTION("""COMPUTED_VALUE"""),193.19)</f>
        <v>193.19</v>
      </c>
    </row>
    <row r="28" ht="15.75" customHeight="1">
      <c r="B28" s="3">
        <f>IFERROR(__xludf.DUMMYFUNCTION("""COMPUTED_VALUE"""),40375.645833333336)</f>
        <v>40375.64583</v>
      </c>
      <c r="C28" s="2">
        <f>IFERROR(__xludf.DUMMYFUNCTION("""COMPUTED_VALUE"""),196.45)</f>
        <v>196.45</v>
      </c>
    </row>
    <row r="29" ht="15.75" customHeight="1">
      <c r="B29" s="3">
        <f>IFERROR(__xludf.DUMMYFUNCTION("""COMPUTED_VALUE"""),40382.645833333336)</f>
        <v>40382.64583</v>
      </c>
      <c r="C29" s="2">
        <f>IFERROR(__xludf.DUMMYFUNCTION("""COMPUTED_VALUE"""),199.38)</f>
        <v>199.38</v>
      </c>
    </row>
    <row r="30" ht="15.75" customHeight="1">
      <c r="B30" s="3">
        <f>IFERROR(__xludf.DUMMYFUNCTION("""COMPUTED_VALUE"""),40389.645833333336)</f>
        <v>40389.64583</v>
      </c>
      <c r="C30" s="2">
        <f>IFERROR(__xludf.DUMMYFUNCTION("""COMPUTED_VALUE"""),195.24)</f>
        <v>195.24</v>
      </c>
    </row>
    <row r="31" ht="15.75" customHeight="1">
      <c r="B31" s="3">
        <f>IFERROR(__xludf.DUMMYFUNCTION("""COMPUTED_VALUE"""),40396.645833333336)</f>
        <v>40396.64583</v>
      </c>
      <c r="C31" s="2">
        <f>IFERROR(__xludf.DUMMYFUNCTION("""COMPUTED_VALUE"""),209.86)</f>
        <v>209.86</v>
      </c>
    </row>
    <row r="32" ht="15.75" customHeight="1">
      <c r="B32" s="3">
        <f>IFERROR(__xludf.DUMMYFUNCTION("""COMPUTED_VALUE"""),40403.645833333336)</f>
        <v>40403.64583</v>
      </c>
      <c r="C32" s="2">
        <f>IFERROR(__xludf.DUMMYFUNCTION("""COMPUTED_VALUE"""),209.74)</f>
        <v>209.74</v>
      </c>
    </row>
    <row r="33" ht="15.75" customHeight="1">
      <c r="B33" s="3">
        <f>IFERROR(__xludf.DUMMYFUNCTION("""COMPUTED_VALUE"""),40410.645833333336)</f>
        <v>40410.64583</v>
      </c>
      <c r="C33" s="2">
        <f>IFERROR(__xludf.DUMMYFUNCTION("""COMPUTED_VALUE"""),217.25)</f>
        <v>217.25</v>
      </c>
    </row>
    <row r="34" ht="15.75" customHeight="1">
      <c r="B34" s="3">
        <f>IFERROR(__xludf.DUMMYFUNCTION("""COMPUTED_VALUE"""),40417.645833333336)</f>
        <v>40417.64583</v>
      </c>
      <c r="C34" s="2">
        <f>IFERROR(__xludf.DUMMYFUNCTION("""COMPUTED_VALUE"""),219.5)</f>
        <v>219.5</v>
      </c>
    </row>
    <row r="35" ht="15.75" customHeight="1">
      <c r="B35" s="3">
        <f>IFERROR(__xludf.DUMMYFUNCTION("""COMPUTED_VALUE"""),40424.645833333336)</f>
        <v>40424.64583</v>
      </c>
      <c r="C35" s="2">
        <f>IFERROR(__xludf.DUMMYFUNCTION("""COMPUTED_VALUE"""),214.98)</f>
        <v>214.98</v>
      </c>
    </row>
    <row r="36" ht="15.75" customHeight="1">
      <c r="B36" s="3">
        <f>IFERROR(__xludf.DUMMYFUNCTION("""COMPUTED_VALUE"""),40430.645833333336)</f>
        <v>40430.64583</v>
      </c>
      <c r="C36" s="2">
        <f>IFERROR(__xludf.DUMMYFUNCTION("""COMPUTED_VALUE"""),216.88)</f>
        <v>216.88</v>
      </c>
    </row>
    <row r="37" ht="15.75" customHeight="1">
      <c r="B37" s="3">
        <f>IFERROR(__xludf.DUMMYFUNCTION("""COMPUTED_VALUE"""),40438.645833333336)</f>
        <v>40438.64583</v>
      </c>
      <c r="C37" s="2">
        <f>IFERROR(__xludf.DUMMYFUNCTION("""COMPUTED_VALUE"""),253.0)</f>
        <v>253</v>
      </c>
    </row>
    <row r="38" ht="15.75" customHeight="1">
      <c r="B38" s="3">
        <f>IFERROR(__xludf.DUMMYFUNCTION("""COMPUTED_VALUE"""),40445.645833333336)</f>
        <v>40445.64583</v>
      </c>
      <c r="C38" s="2">
        <f>IFERROR(__xludf.DUMMYFUNCTION("""COMPUTED_VALUE"""),248.2)</f>
        <v>248.2</v>
      </c>
    </row>
    <row r="39" ht="15.75" customHeight="1">
      <c r="B39" s="3">
        <f>IFERROR(__xludf.DUMMYFUNCTION("""COMPUTED_VALUE"""),40452.645833333336)</f>
        <v>40452.64583</v>
      </c>
      <c r="C39" s="2">
        <f>IFERROR(__xludf.DUMMYFUNCTION("""COMPUTED_VALUE"""),251.45)</f>
        <v>251.45</v>
      </c>
    </row>
    <row r="40" ht="15.75" customHeight="1">
      <c r="B40" s="3">
        <f>IFERROR(__xludf.DUMMYFUNCTION("""COMPUTED_VALUE"""),40459.645833333336)</f>
        <v>40459.64583</v>
      </c>
      <c r="C40" s="2">
        <f>IFERROR(__xludf.DUMMYFUNCTION("""COMPUTED_VALUE"""),261.6)</f>
        <v>261.6</v>
      </c>
    </row>
    <row r="41" ht="15.75" customHeight="1">
      <c r="B41" s="3">
        <f>IFERROR(__xludf.DUMMYFUNCTION("""COMPUTED_VALUE"""),40466.645833333336)</f>
        <v>40466.64583</v>
      </c>
      <c r="C41" s="2">
        <f>IFERROR(__xludf.DUMMYFUNCTION("""COMPUTED_VALUE"""),263.27)</f>
        <v>263.27</v>
      </c>
    </row>
    <row r="42" ht="15.75" customHeight="1">
      <c r="B42" s="3">
        <f>IFERROR(__xludf.DUMMYFUNCTION("""COMPUTED_VALUE"""),40473.645833333336)</f>
        <v>40473.64583</v>
      </c>
      <c r="C42" s="2">
        <f>IFERROR(__xludf.DUMMYFUNCTION("""COMPUTED_VALUE"""),258.42)</f>
        <v>258.42</v>
      </c>
    </row>
    <row r="43" ht="15.75" customHeight="1">
      <c r="B43" s="3">
        <f>IFERROR(__xludf.DUMMYFUNCTION("""COMPUTED_VALUE"""),40480.645833333336)</f>
        <v>40480.64583</v>
      </c>
      <c r="C43" s="2">
        <f>IFERROR(__xludf.DUMMYFUNCTION("""COMPUTED_VALUE"""),252.0)</f>
        <v>252</v>
      </c>
    </row>
    <row r="44" ht="15.75" customHeight="1">
      <c r="B44" s="3">
        <f>IFERROR(__xludf.DUMMYFUNCTION("""COMPUTED_VALUE"""),40487.645833333336)</f>
        <v>40487.64583</v>
      </c>
      <c r="C44" s="2">
        <f>IFERROR(__xludf.DUMMYFUNCTION("""COMPUTED_VALUE"""),247.85)</f>
        <v>247.85</v>
      </c>
    </row>
    <row r="45" ht="15.75" customHeight="1">
      <c r="B45" s="3">
        <f>IFERROR(__xludf.DUMMYFUNCTION("""COMPUTED_VALUE"""),40494.645833333336)</f>
        <v>40494.64583</v>
      </c>
      <c r="C45" s="2">
        <f>IFERROR(__xludf.DUMMYFUNCTION("""COMPUTED_VALUE"""),248.78)</f>
        <v>248.78</v>
      </c>
    </row>
    <row r="46" ht="15.75" customHeight="1">
      <c r="B46" s="3">
        <f>IFERROR(__xludf.DUMMYFUNCTION("""COMPUTED_VALUE"""),40501.645833333336)</f>
        <v>40501.64583</v>
      </c>
      <c r="C46" s="2">
        <f>IFERROR(__xludf.DUMMYFUNCTION("""COMPUTED_VALUE"""),246.45)</f>
        <v>246.45</v>
      </c>
    </row>
    <row r="47" ht="15.75" customHeight="1">
      <c r="B47" s="3">
        <f>IFERROR(__xludf.DUMMYFUNCTION("""COMPUTED_VALUE"""),40508.645833333336)</f>
        <v>40508.64583</v>
      </c>
      <c r="C47" s="2">
        <f>IFERROR(__xludf.DUMMYFUNCTION("""COMPUTED_VALUE"""),242.5)</f>
        <v>242.5</v>
      </c>
    </row>
    <row r="48" ht="15.75" customHeight="1">
      <c r="B48" s="3">
        <f>IFERROR(__xludf.DUMMYFUNCTION("""COMPUTED_VALUE"""),40515.645833333336)</f>
        <v>40515.64583</v>
      </c>
      <c r="C48" s="2">
        <f>IFERROR(__xludf.DUMMYFUNCTION("""COMPUTED_VALUE"""),246.0)</f>
        <v>246</v>
      </c>
    </row>
    <row r="49" ht="15.75" customHeight="1">
      <c r="B49" s="3">
        <f>IFERROR(__xludf.DUMMYFUNCTION("""COMPUTED_VALUE"""),40522.645833333336)</f>
        <v>40522.64583</v>
      </c>
      <c r="C49" s="2">
        <f>IFERROR(__xludf.DUMMYFUNCTION("""COMPUTED_VALUE"""),247.5)</f>
        <v>247.5</v>
      </c>
    </row>
    <row r="50" ht="15.75" customHeight="1">
      <c r="B50" s="3">
        <f>IFERROR(__xludf.DUMMYFUNCTION("""COMPUTED_VALUE"""),40528.645833333336)</f>
        <v>40528.64583</v>
      </c>
      <c r="C50" s="2">
        <f>IFERROR(__xludf.DUMMYFUNCTION("""COMPUTED_VALUE"""),237.53)</f>
        <v>237.53</v>
      </c>
    </row>
    <row r="51" ht="15.75" customHeight="1">
      <c r="B51" s="3">
        <f>IFERROR(__xludf.DUMMYFUNCTION("""COMPUTED_VALUE"""),40536.645833333336)</f>
        <v>40536.64583</v>
      </c>
      <c r="C51" s="2">
        <f>IFERROR(__xludf.DUMMYFUNCTION("""COMPUTED_VALUE"""),239.4)</f>
        <v>239.4</v>
      </c>
    </row>
    <row r="52" ht="15.75" customHeight="1">
      <c r="B52" s="3">
        <f>IFERROR(__xludf.DUMMYFUNCTION("""COMPUTED_VALUE"""),40543.645833333336)</f>
        <v>40543.64583</v>
      </c>
      <c r="C52" s="2">
        <f>IFERROR(__xludf.DUMMYFUNCTION("""COMPUTED_VALUE"""),228.5)</f>
        <v>228.5</v>
      </c>
    </row>
    <row r="53" ht="15.75" customHeight="1"/>
    <row r="54" ht="15.75" customHeight="1"/>
    <row r="55" ht="15.75" customHeight="1"/>
    <row r="56" ht="15.75" customHeight="1">
      <c r="B56" s="2" t="str">
        <f>IFERROR(__xludf.DUMMYFUNCTION("GOOGLEFINANCE(""NSE:KOTAKBANK"", ""high"",DATE(2011,1,1),DATE(2012,1,1),""weekly"")"),"Date")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IFERROR(__xludf.DUMMYFUNCTION("""COMPUTED_VALUE"""),40550.645833333336)</f>
        <v>40550.64583</v>
      </c>
      <c r="C57" s="2">
        <f>IFERROR(__xludf.DUMMYFUNCTION("""COMPUTED_VALUE"""),232.43)</f>
        <v>232.43</v>
      </c>
    </row>
    <row r="58" ht="15.75" customHeight="1">
      <c r="B58" s="3">
        <f>IFERROR(__xludf.DUMMYFUNCTION("""COMPUTED_VALUE"""),40557.645833333336)</f>
        <v>40557.64583</v>
      </c>
      <c r="C58" s="2">
        <f>IFERROR(__xludf.DUMMYFUNCTION("""COMPUTED_VALUE"""),217.6)</f>
        <v>217.6</v>
      </c>
    </row>
    <row r="59" ht="15.75" customHeight="1">
      <c r="B59" s="3">
        <f>IFERROR(__xludf.DUMMYFUNCTION("""COMPUTED_VALUE"""),40564.645833333336)</f>
        <v>40564.64583</v>
      </c>
      <c r="C59" s="2">
        <f>IFERROR(__xludf.DUMMYFUNCTION("""COMPUTED_VALUE"""),210.5)</f>
        <v>210.5</v>
      </c>
    </row>
    <row r="60" ht="15.75" customHeight="1">
      <c r="B60" s="3">
        <f>IFERROR(__xludf.DUMMYFUNCTION("""COMPUTED_VALUE"""),40571.645833333336)</f>
        <v>40571.64583</v>
      </c>
      <c r="C60" s="2">
        <f>IFERROR(__xludf.DUMMYFUNCTION("""COMPUTED_VALUE"""),211.2)</f>
        <v>211.2</v>
      </c>
    </row>
    <row r="61" ht="15.75" customHeight="1">
      <c r="B61" s="3">
        <f>IFERROR(__xludf.DUMMYFUNCTION("""COMPUTED_VALUE"""),40578.645833333336)</f>
        <v>40578.64583</v>
      </c>
      <c r="C61" s="2">
        <f>IFERROR(__xludf.DUMMYFUNCTION("""COMPUTED_VALUE"""),196.68)</f>
        <v>196.68</v>
      </c>
    </row>
    <row r="62" ht="15.75" customHeight="1">
      <c r="B62" s="3">
        <f>IFERROR(__xludf.DUMMYFUNCTION("""COMPUTED_VALUE"""),40585.645833333336)</f>
        <v>40585.64583</v>
      </c>
      <c r="C62" s="2">
        <f>IFERROR(__xludf.DUMMYFUNCTION("""COMPUTED_VALUE"""),191.25)</f>
        <v>191.25</v>
      </c>
    </row>
    <row r="63" ht="15.75" customHeight="1">
      <c r="B63" s="3">
        <f>IFERROR(__xludf.DUMMYFUNCTION("""COMPUTED_VALUE"""),40592.645833333336)</f>
        <v>40592.64583</v>
      </c>
      <c r="C63" s="2">
        <f>IFERROR(__xludf.DUMMYFUNCTION("""COMPUTED_VALUE"""),210.3)</f>
        <v>210.3</v>
      </c>
    </row>
    <row r="64" ht="15.75" customHeight="1">
      <c r="B64" s="3">
        <f>IFERROR(__xludf.DUMMYFUNCTION("""COMPUTED_VALUE"""),40599.645833333336)</f>
        <v>40599.64583</v>
      </c>
      <c r="C64" s="2">
        <f>IFERROR(__xludf.DUMMYFUNCTION("""COMPUTED_VALUE"""),207.5)</f>
        <v>207.5</v>
      </c>
    </row>
    <row r="65" ht="15.75" customHeight="1">
      <c r="B65" s="3">
        <f>IFERROR(__xludf.DUMMYFUNCTION("""COMPUTED_VALUE"""),40606.645833333336)</f>
        <v>40606.64583</v>
      </c>
      <c r="C65" s="2">
        <f>IFERROR(__xludf.DUMMYFUNCTION("""COMPUTED_VALUE"""),213.88)</f>
        <v>213.88</v>
      </c>
    </row>
    <row r="66" ht="15.75" customHeight="1">
      <c r="B66" s="3">
        <f>IFERROR(__xludf.DUMMYFUNCTION("""COMPUTED_VALUE"""),40613.645833333336)</f>
        <v>40613.64583</v>
      </c>
      <c r="C66" s="2">
        <f>IFERROR(__xludf.DUMMYFUNCTION("""COMPUTED_VALUE"""),218.45)</f>
        <v>218.45</v>
      </c>
    </row>
    <row r="67" ht="15.75" customHeight="1">
      <c r="B67" s="3">
        <f>IFERROR(__xludf.DUMMYFUNCTION("""COMPUTED_VALUE"""),40620.645833333336)</f>
        <v>40620.64583</v>
      </c>
      <c r="C67" s="2">
        <f>IFERROR(__xludf.DUMMYFUNCTION("""COMPUTED_VALUE"""),216.45)</f>
        <v>216.45</v>
      </c>
    </row>
    <row r="68" ht="15.75" customHeight="1">
      <c r="B68" s="3">
        <f>IFERROR(__xludf.DUMMYFUNCTION("""COMPUTED_VALUE"""),40627.645833333336)</f>
        <v>40627.64583</v>
      </c>
      <c r="C68" s="2">
        <f>IFERROR(__xludf.DUMMYFUNCTION("""COMPUTED_VALUE"""),227.5)</f>
        <v>227.5</v>
      </c>
    </row>
    <row r="69" ht="15.75" customHeight="1">
      <c r="B69" s="3">
        <f>IFERROR(__xludf.DUMMYFUNCTION("""COMPUTED_VALUE"""),40634.645833333336)</f>
        <v>40634.64583</v>
      </c>
      <c r="C69" s="2">
        <f>IFERROR(__xludf.DUMMYFUNCTION("""COMPUTED_VALUE"""),231.5)</f>
        <v>231.5</v>
      </c>
    </row>
    <row r="70" ht="15.75" customHeight="1">
      <c r="B70" s="3">
        <f>IFERROR(__xludf.DUMMYFUNCTION("""COMPUTED_VALUE"""),40641.645833333336)</f>
        <v>40641.64583</v>
      </c>
      <c r="C70" s="2">
        <f>IFERROR(__xludf.DUMMYFUNCTION("""COMPUTED_VALUE"""),232.5)</f>
        <v>232.5</v>
      </c>
    </row>
    <row r="71" ht="15.75" customHeight="1">
      <c r="B71" s="3">
        <f>IFERROR(__xludf.DUMMYFUNCTION("""COMPUTED_VALUE"""),40648.645833333336)</f>
        <v>40648.64583</v>
      </c>
      <c r="C71" s="2">
        <f>IFERROR(__xludf.DUMMYFUNCTION("""COMPUTED_VALUE"""),230.35)</f>
        <v>230.35</v>
      </c>
    </row>
    <row r="72" ht="15.75" customHeight="1">
      <c r="B72" s="3">
        <f>IFERROR(__xludf.DUMMYFUNCTION("""COMPUTED_VALUE"""),40654.645833333336)</f>
        <v>40654.64583</v>
      </c>
      <c r="C72" s="2">
        <f>IFERROR(__xludf.DUMMYFUNCTION("""COMPUTED_VALUE"""),232.28)</f>
        <v>232.28</v>
      </c>
    </row>
    <row r="73" ht="15.75" customHeight="1">
      <c r="B73" s="3">
        <f>IFERROR(__xludf.DUMMYFUNCTION("""COMPUTED_VALUE"""),40662.645833333336)</f>
        <v>40662.64583</v>
      </c>
      <c r="C73" s="2">
        <f>IFERROR(__xludf.DUMMYFUNCTION("""COMPUTED_VALUE"""),236.2)</f>
        <v>236.2</v>
      </c>
    </row>
    <row r="74" ht="15.75" customHeight="1">
      <c r="B74" s="3">
        <f>IFERROR(__xludf.DUMMYFUNCTION("""COMPUTED_VALUE"""),40669.645833333336)</f>
        <v>40669.64583</v>
      </c>
      <c r="C74" s="2">
        <f>IFERROR(__xludf.DUMMYFUNCTION("""COMPUTED_VALUE"""),217.53)</f>
        <v>217.53</v>
      </c>
    </row>
    <row r="75" ht="15.75" customHeight="1">
      <c r="B75" s="3">
        <f>IFERROR(__xludf.DUMMYFUNCTION("""COMPUTED_VALUE"""),40676.645833333336)</f>
        <v>40676.64583</v>
      </c>
      <c r="C75" s="2">
        <f>IFERROR(__xludf.DUMMYFUNCTION("""COMPUTED_VALUE"""),217.93)</f>
        <v>217.93</v>
      </c>
    </row>
    <row r="76" ht="15.75" customHeight="1">
      <c r="B76" s="3">
        <f>IFERROR(__xludf.DUMMYFUNCTION("""COMPUTED_VALUE"""),40683.645833333336)</f>
        <v>40683.64583</v>
      </c>
      <c r="C76" s="2">
        <f>IFERROR(__xludf.DUMMYFUNCTION("""COMPUTED_VALUE"""),211.35)</f>
        <v>211.35</v>
      </c>
    </row>
    <row r="77" ht="15.75" customHeight="1">
      <c r="B77" s="3">
        <f>IFERROR(__xludf.DUMMYFUNCTION("""COMPUTED_VALUE"""),40690.645833333336)</f>
        <v>40690.64583</v>
      </c>
      <c r="C77" s="2">
        <f>IFERROR(__xludf.DUMMYFUNCTION("""COMPUTED_VALUE"""),220.5)</f>
        <v>220.5</v>
      </c>
    </row>
    <row r="78" ht="15.75" customHeight="1">
      <c r="B78" s="3">
        <f>IFERROR(__xludf.DUMMYFUNCTION("""COMPUTED_VALUE"""),40697.645833333336)</f>
        <v>40697.64583</v>
      </c>
      <c r="C78" s="2">
        <f>IFERROR(__xludf.DUMMYFUNCTION("""COMPUTED_VALUE"""),223.43)</f>
        <v>223.43</v>
      </c>
    </row>
    <row r="79" ht="15.75" customHeight="1">
      <c r="B79" s="3">
        <f>IFERROR(__xludf.DUMMYFUNCTION("""COMPUTED_VALUE"""),40704.645833333336)</f>
        <v>40704.64583</v>
      </c>
      <c r="C79" s="2">
        <f>IFERROR(__xludf.DUMMYFUNCTION("""COMPUTED_VALUE"""),226.0)</f>
        <v>226</v>
      </c>
    </row>
    <row r="80" ht="15.75" customHeight="1">
      <c r="B80" s="3">
        <f>IFERROR(__xludf.DUMMYFUNCTION("""COMPUTED_VALUE"""),40711.645833333336)</f>
        <v>40711.64583</v>
      </c>
      <c r="C80" s="2">
        <f>IFERROR(__xludf.DUMMYFUNCTION("""COMPUTED_VALUE"""),225.95)</f>
        <v>225.95</v>
      </c>
    </row>
    <row r="81" ht="15.75" customHeight="1">
      <c r="B81" s="3">
        <f>IFERROR(__xludf.DUMMYFUNCTION("""COMPUTED_VALUE"""),40718.645833333336)</f>
        <v>40718.64583</v>
      </c>
      <c r="C81" s="2">
        <f>IFERROR(__xludf.DUMMYFUNCTION("""COMPUTED_VALUE"""),224.75)</f>
        <v>224.75</v>
      </c>
    </row>
    <row r="82" ht="15.75" customHeight="1">
      <c r="B82" s="3">
        <f>IFERROR(__xludf.DUMMYFUNCTION("""COMPUTED_VALUE"""),40725.645833333336)</f>
        <v>40725.64583</v>
      </c>
      <c r="C82" s="2">
        <f>IFERROR(__xludf.DUMMYFUNCTION("""COMPUTED_VALUE"""),242.0)</f>
        <v>242</v>
      </c>
    </row>
    <row r="83" ht="15.75" customHeight="1">
      <c r="B83" s="3">
        <f>IFERROR(__xludf.DUMMYFUNCTION("""COMPUTED_VALUE"""),40732.645833333336)</f>
        <v>40732.64583</v>
      </c>
      <c r="C83" s="2">
        <f>IFERROR(__xludf.DUMMYFUNCTION("""COMPUTED_VALUE"""),247.45)</f>
        <v>247.45</v>
      </c>
    </row>
    <row r="84" ht="15.75" customHeight="1">
      <c r="B84" s="3">
        <f>IFERROR(__xludf.DUMMYFUNCTION("""COMPUTED_VALUE"""),40739.645833333336)</f>
        <v>40739.64583</v>
      </c>
      <c r="C84" s="2">
        <f>IFERROR(__xludf.DUMMYFUNCTION("""COMPUTED_VALUE"""),250.7)</f>
        <v>250.7</v>
      </c>
    </row>
    <row r="85" ht="15.75" customHeight="1">
      <c r="B85" s="3">
        <f>IFERROR(__xludf.DUMMYFUNCTION("""COMPUTED_VALUE"""),40746.645833333336)</f>
        <v>40746.64583</v>
      </c>
      <c r="C85" s="2">
        <f>IFERROR(__xludf.DUMMYFUNCTION("""COMPUTED_VALUE"""),254.48)</f>
        <v>254.48</v>
      </c>
    </row>
    <row r="86" ht="15.75" customHeight="1">
      <c r="B86" s="3">
        <f>IFERROR(__xludf.DUMMYFUNCTION("""COMPUTED_VALUE"""),40753.645833333336)</f>
        <v>40753.64583</v>
      </c>
      <c r="C86" s="2">
        <f>IFERROR(__xludf.DUMMYFUNCTION("""COMPUTED_VALUE"""),245.0)</f>
        <v>245</v>
      </c>
    </row>
    <row r="87" ht="15.75" customHeight="1">
      <c r="B87" s="3">
        <f>IFERROR(__xludf.DUMMYFUNCTION("""COMPUTED_VALUE"""),40760.645833333336)</f>
        <v>40760.64583</v>
      </c>
      <c r="C87" s="2">
        <f>IFERROR(__xludf.DUMMYFUNCTION("""COMPUTED_VALUE"""),231.8)</f>
        <v>231.8</v>
      </c>
    </row>
    <row r="88" ht="15.75" customHeight="1">
      <c r="B88" s="3">
        <f>IFERROR(__xludf.DUMMYFUNCTION("""COMPUTED_VALUE"""),40767.645833333336)</f>
        <v>40767.64583</v>
      </c>
      <c r="C88" s="2">
        <f>IFERROR(__xludf.DUMMYFUNCTION("""COMPUTED_VALUE"""),239.0)</f>
        <v>239</v>
      </c>
    </row>
    <row r="89" ht="15.75" customHeight="1">
      <c r="B89" s="3">
        <f>IFERROR(__xludf.DUMMYFUNCTION("""COMPUTED_VALUE"""),40774.645833333336)</f>
        <v>40774.64583</v>
      </c>
      <c r="C89" s="2">
        <f>IFERROR(__xludf.DUMMYFUNCTION("""COMPUTED_VALUE"""),232.4)</f>
        <v>232.4</v>
      </c>
    </row>
    <row r="90" ht="15.75" customHeight="1">
      <c r="B90" s="3">
        <f>IFERROR(__xludf.DUMMYFUNCTION("""COMPUTED_VALUE"""),40781.645833333336)</f>
        <v>40781.64583</v>
      </c>
      <c r="C90" s="2">
        <f>IFERROR(__xludf.DUMMYFUNCTION("""COMPUTED_VALUE"""),219.5)</f>
        <v>219.5</v>
      </c>
    </row>
    <row r="91" ht="15.75" customHeight="1">
      <c r="B91" s="3">
        <f>IFERROR(__xludf.DUMMYFUNCTION("""COMPUTED_VALUE"""),40788.645833333336)</f>
        <v>40788.64583</v>
      </c>
      <c r="C91" s="2">
        <f>IFERROR(__xludf.DUMMYFUNCTION("""COMPUTED_VALUE"""),229.25)</f>
        <v>229.25</v>
      </c>
    </row>
    <row r="92" ht="15.75" customHeight="1">
      <c r="B92" s="3">
        <f>IFERROR(__xludf.DUMMYFUNCTION("""COMPUTED_VALUE"""),40795.645833333336)</f>
        <v>40795.64583</v>
      </c>
      <c r="C92" s="2">
        <f>IFERROR(__xludf.DUMMYFUNCTION("""COMPUTED_VALUE"""),237.0)</f>
        <v>237</v>
      </c>
    </row>
    <row r="93" ht="15.75" customHeight="1">
      <c r="B93" s="3">
        <f>IFERROR(__xludf.DUMMYFUNCTION("""COMPUTED_VALUE"""),40802.645833333336)</f>
        <v>40802.64583</v>
      </c>
      <c r="C93" s="2">
        <f>IFERROR(__xludf.DUMMYFUNCTION("""COMPUTED_VALUE"""),242.33)</f>
        <v>242.33</v>
      </c>
    </row>
    <row r="94" ht="15.75" customHeight="1">
      <c r="B94" s="3">
        <f>IFERROR(__xludf.DUMMYFUNCTION("""COMPUTED_VALUE"""),40809.645833333336)</f>
        <v>40809.64583</v>
      </c>
      <c r="C94" s="2">
        <f>IFERROR(__xludf.DUMMYFUNCTION("""COMPUTED_VALUE"""),242.5)</f>
        <v>242.5</v>
      </c>
    </row>
    <row r="95" ht="15.75" customHeight="1">
      <c r="B95" s="3">
        <f>IFERROR(__xludf.DUMMYFUNCTION("""COMPUTED_VALUE"""),40816.645833333336)</f>
        <v>40816.64583</v>
      </c>
      <c r="C95" s="2">
        <f>IFERROR(__xludf.DUMMYFUNCTION("""COMPUTED_VALUE"""),240.0)</f>
        <v>240</v>
      </c>
    </row>
    <row r="96" ht="15.75" customHeight="1">
      <c r="B96" s="3">
        <f>IFERROR(__xludf.DUMMYFUNCTION("""COMPUTED_VALUE"""),40823.645833333336)</f>
        <v>40823.64583</v>
      </c>
      <c r="C96" s="2">
        <f>IFERROR(__xludf.DUMMYFUNCTION("""COMPUTED_VALUE"""),227.48)</f>
        <v>227.48</v>
      </c>
    </row>
    <row r="97" ht="15.75" customHeight="1">
      <c r="B97" s="3">
        <f>IFERROR(__xludf.DUMMYFUNCTION("""COMPUTED_VALUE"""),40830.645833333336)</f>
        <v>40830.64583</v>
      </c>
      <c r="C97" s="2">
        <f>IFERROR(__xludf.DUMMYFUNCTION("""COMPUTED_VALUE"""),239.93)</f>
        <v>239.93</v>
      </c>
    </row>
    <row r="98" ht="15.75" customHeight="1">
      <c r="B98" s="3">
        <f>IFERROR(__xludf.DUMMYFUNCTION("""COMPUTED_VALUE"""),40837.645833333336)</f>
        <v>40837.64583</v>
      </c>
      <c r="C98" s="2">
        <f>IFERROR(__xludf.DUMMYFUNCTION("""COMPUTED_VALUE"""),240.2)</f>
        <v>240.2</v>
      </c>
    </row>
    <row r="99" ht="15.75" customHeight="1">
      <c r="B99" s="3">
        <f>IFERROR(__xludf.DUMMYFUNCTION("""COMPUTED_VALUE"""),40844.645833333336)</f>
        <v>40844.64583</v>
      </c>
      <c r="C99" s="2">
        <f>IFERROR(__xludf.DUMMYFUNCTION("""COMPUTED_VALUE"""),260.0)</f>
        <v>260</v>
      </c>
    </row>
    <row r="100" ht="15.75" customHeight="1">
      <c r="B100" s="3">
        <f>IFERROR(__xludf.DUMMYFUNCTION("""COMPUTED_VALUE"""),40851.645833333336)</f>
        <v>40851.64583</v>
      </c>
      <c r="C100" s="2">
        <f>IFERROR(__xludf.DUMMYFUNCTION("""COMPUTED_VALUE"""),257.55)</f>
        <v>257.55</v>
      </c>
    </row>
    <row r="101" ht="15.75" customHeight="1">
      <c r="B101" s="3">
        <f>IFERROR(__xludf.DUMMYFUNCTION("""COMPUTED_VALUE"""),40858.645833333336)</f>
        <v>40858.64583</v>
      </c>
      <c r="C101" s="2">
        <f>IFERROR(__xludf.DUMMYFUNCTION("""COMPUTED_VALUE"""),252.5)</f>
        <v>252.5</v>
      </c>
    </row>
    <row r="102" ht="15.75" customHeight="1">
      <c r="B102" s="3">
        <f>IFERROR(__xludf.DUMMYFUNCTION("""COMPUTED_VALUE"""),40865.645833333336)</f>
        <v>40865.64583</v>
      </c>
      <c r="C102" s="2">
        <f>IFERROR(__xludf.DUMMYFUNCTION("""COMPUTED_VALUE"""),255.38)</f>
        <v>255.38</v>
      </c>
    </row>
    <row r="103" ht="15.75" customHeight="1">
      <c r="B103" s="3">
        <f>IFERROR(__xludf.DUMMYFUNCTION("""COMPUTED_VALUE"""),40872.645833333336)</f>
        <v>40872.64583</v>
      </c>
      <c r="C103" s="2">
        <f>IFERROR(__xludf.DUMMYFUNCTION("""COMPUTED_VALUE"""),236.5)</f>
        <v>236.5</v>
      </c>
    </row>
    <row r="104" ht="15.75" customHeight="1">
      <c r="B104" s="3">
        <f>IFERROR(__xludf.DUMMYFUNCTION("""COMPUTED_VALUE"""),40879.645833333336)</f>
        <v>40879.64583</v>
      </c>
      <c r="C104" s="2">
        <f>IFERROR(__xludf.DUMMYFUNCTION("""COMPUTED_VALUE"""),249.0)</f>
        <v>249</v>
      </c>
    </row>
    <row r="105" ht="15.75" customHeight="1">
      <c r="B105" s="3">
        <f>IFERROR(__xludf.DUMMYFUNCTION("""COMPUTED_VALUE"""),40886.645833333336)</f>
        <v>40886.64583</v>
      </c>
      <c r="C105" s="2">
        <f>IFERROR(__xludf.DUMMYFUNCTION("""COMPUTED_VALUE"""),250.5)</f>
        <v>250.5</v>
      </c>
    </row>
    <row r="106" ht="15.75" customHeight="1">
      <c r="B106" s="3">
        <f>IFERROR(__xludf.DUMMYFUNCTION("""COMPUTED_VALUE"""),40893.645833333336)</f>
        <v>40893.64583</v>
      </c>
      <c r="C106" s="2">
        <f>IFERROR(__xludf.DUMMYFUNCTION("""COMPUTED_VALUE"""),248.48)</f>
        <v>248.48</v>
      </c>
    </row>
    <row r="107" ht="15.75" customHeight="1">
      <c r="B107" s="3">
        <f>IFERROR(__xludf.DUMMYFUNCTION("""COMPUTED_VALUE"""),40900.645833333336)</f>
        <v>40900.64583</v>
      </c>
      <c r="C107" s="2">
        <f>IFERROR(__xludf.DUMMYFUNCTION("""COMPUTED_VALUE"""),241.0)</f>
        <v>241</v>
      </c>
    </row>
    <row r="108" ht="15.75" customHeight="1">
      <c r="B108" s="3">
        <f>IFERROR(__xludf.DUMMYFUNCTION("""COMPUTED_VALUE"""),40907.645833333336)</f>
        <v>40907.64583</v>
      </c>
      <c r="C108" s="2">
        <f>IFERROR(__xludf.DUMMYFUNCTION("""COMPUTED_VALUE"""),232.5)</f>
        <v>232.5</v>
      </c>
    </row>
    <row r="109" ht="15.75" customHeight="1"/>
    <row r="110" ht="15.75" customHeight="1"/>
    <row r="111" ht="15.75" customHeight="1">
      <c r="B111" s="2" t="str">
        <f>IFERROR(__xludf.DUMMYFUNCTION("GOOGLEFINANCE(""NSE:KOTAKBANK"", ""high"",DATE(2012,1,1),DATE(2013,1,1),""weekly"")"),"Date")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IFERROR(__xludf.DUMMYFUNCTION("""COMPUTED_VALUE"""),40921.645833333336)</f>
        <v>40921.64583</v>
      </c>
      <c r="C112" s="2">
        <f>IFERROR(__xludf.DUMMYFUNCTION("""COMPUTED_VALUE"""),239.0)</f>
        <v>239</v>
      </c>
    </row>
    <row r="113" ht="15.75" customHeight="1">
      <c r="B113" s="3">
        <f>IFERROR(__xludf.DUMMYFUNCTION("""COMPUTED_VALUE"""),40928.645833333336)</f>
        <v>40928.64583</v>
      </c>
      <c r="C113" s="2">
        <f>IFERROR(__xludf.DUMMYFUNCTION("""COMPUTED_VALUE"""),249.13)</f>
        <v>249.13</v>
      </c>
    </row>
    <row r="114" ht="15.75" customHeight="1">
      <c r="B114" s="3">
        <f>IFERROR(__xludf.DUMMYFUNCTION("""COMPUTED_VALUE"""),40935.645833333336)</f>
        <v>40935.64583</v>
      </c>
      <c r="C114" s="2">
        <f>IFERROR(__xludf.DUMMYFUNCTION("""COMPUTED_VALUE"""),251.0)</f>
        <v>251</v>
      </c>
    </row>
    <row r="115" ht="15.75" customHeight="1">
      <c r="B115" s="3">
        <f>IFERROR(__xludf.DUMMYFUNCTION("""COMPUTED_VALUE"""),40942.645833333336)</f>
        <v>40942.64583</v>
      </c>
      <c r="C115" s="2">
        <f>IFERROR(__xludf.DUMMYFUNCTION("""COMPUTED_VALUE"""),260.0)</f>
        <v>260</v>
      </c>
    </row>
    <row r="116" ht="15.75" customHeight="1">
      <c r="B116" s="3">
        <f>IFERROR(__xludf.DUMMYFUNCTION("""COMPUTED_VALUE"""),40949.645833333336)</f>
        <v>40949.64583</v>
      </c>
      <c r="C116" s="2">
        <f>IFERROR(__xludf.DUMMYFUNCTION("""COMPUTED_VALUE"""),279.5)</f>
        <v>279.5</v>
      </c>
    </row>
    <row r="117" ht="15.75" customHeight="1">
      <c r="B117" s="3">
        <f>IFERROR(__xludf.DUMMYFUNCTION("""COMPUTED_VALUE"""),40956.645833333336)</f>
        <v>40956.64583</v>
      </c>
      <c r="C117" s="2">
        <f>IFERROR(__xludf.DUMMYFUNCTION("""COMPUTED_VALUE"""),292.0)</f>
        <v>292</v>
      </c>
    </row>
    <row r="118" ht="15.75" customHeight="1">
      <c r="B118" s="3">
        <f>IFERROR(__xludf.DUMMYFUNCTION("""COMPUTED_VALUE"""),40963.645833333336)</f>
        <v>40963.64583</v>
      </c>
      <c r="C118" s="2">
        <f>IFERROR(__xludf.DUMMYFUNCTION("""COMPUTED_VALUE"""),292.48)</f>
        <v>292.48</v>
      </c>
    </row>
    <row r="119" ht="15.75" customHeight="1">
      <c r="B119" s="3">
        <f>IFERROR(__xludf.DUMMYFUNCTION("""COMPUTED_VALUE"""),40977.645833333336)</f>
        <v>40977.64583</v>
      </c>
      <c r="C119" s="2">
        <f>IFERROR(__xludf.DUMMYFUNCTION("""COMPUTED_VALUE"""),284.5)</f>
        <v>284.5</v>
      </c>
    </row>
    <row r="120" ht="15.75" customHeight="1">
      <c r="B120" s="3">
        <f>IFERROR(__xludf.DUMMYFUNCTION("""COMPUTED_VALUE"""),40984.645833333336)</f>
        <v>40984.64583</v>
      </c>
      <c r="C120" s="2">
        <f>IFERROR(__xludf.DUMMYFUNCTION("""COMPUTED_VALUE"""),287.95)</f>
        <v>287.95</v>
      </c>
    </row>
    <row r="121" ht="15.75" customHeight="1">
      <c r="B121" s="3">
        <f>IFERROR(__xludf.DUMMYFUNCTION("""COMPUTED_VALUE"""),40991.645833333336)</f>
        <v>40991.64583</v>
      </c>
      <c r="C121" s="2">
        <f>IFERROR(__xludf.DUMMYFUNCTION("""COMPUTED_VALUE"""),273.25)</f>
        <v>273.25</v>
      </c>
    </row>
    <row r="122" ht="15.75" customHeight="1">
      <c r="B122" s="3">
        <f>IFERROR(__xludf.DUMMYFUNCTION("""COMPUTED_VALUE"""),40998.645833333336)</f>
        <v>40998.64583</v>
      </c>
      <c r="C122" s="2">
        <f>IFERROR(__xludf.DUMMYFUNCTION("""COMPUTED_VALUE"""),275.6)</f>
        <v>275.6</v>
      </c>
    </row>
    <row r="123" ht="15.75" customHeight="1">
      <c r="B123" s="3">
        <f>IFERROR(__xludf.DUMMYFUNCTION("""COMPUTED_VALUE"""),41003.645833333336)</f>
        <v>41003.64583</v>
      </c>
      <c r="C123" s="2">
        <f>IFERROR(__xludf.DUMMYFUNCTION("""COMPUTED_VALUE"""),281.8)</f>
        <v>281.8</v>
      </c>
    </row>
    <row r="124" ht="15.75" customHeight="1">
      <c r="B124" s="3">
        <f>IFERROR(__xludf.DUMMYFUNCTION("""COMPUTED_VALUE"""),41012.645833333336)</f>
        <v>41012.64583</v>
      </c>
      <c r="C124" s="2">
        <f>IFERROR(__xludf.DUMMYFUNCTION("""COMPUTED_VALUE"""),291.98)</f>
        <v>291.98</v>
      </c>
    </row>
    <row r="125" ht="15.75" customHeight="1">
      <c r="B125" s="3">
        <f>IFERROR(__xludf.DUMMYFUNCTION("""COMPUTED_VALUE"""),41019.645833333336)</f>
        <v>41019.64583</v>
      </c>
      <c r="C125" s="2">
        <f>IFERROR(__xludf.DUMMYFUNCTION("""COMPUTED_VALUE"""),301.38)</f>
        <v>301.38</v>
      </c>
    </row>
    <row r="126" ht="15.75" customHeight="1">
      <c r="B126" s="3">
        <f>IFERROR(__xludf.DUMMYFUNCTION("""COMPUTED_VALUE"""),41033.645833333336)</f>
        <v>41033.64583</v>
      </c>
      <c r="C126" s="2">
        <f>IFERROR(__xludf.DUMMYFUNCTION("""COMPUTED_VALUE"""),296.95)</f>
        <v>296.95</v>
      </c>
    </row>
    <row r="127" ht="15.75" customHeight="1">
      <c r="B127" s="3">
        <f>IFERROR(__xludf.DUMMYFUNCTION("""COMPUTED_VALUE"""),41040.645833333336)</f>
        <v>41040.64583</v>
      </c>
      <c r="C127" s="2">
        <f>IFERROR(__xludf.DUMMYFUNCTION("""COMPUTED_VALUE"""),290.9)</f>
        <v>290.9</v>
      </c>
    </row>
    <row r="128" ht="15.75" customHeight="1">
      <c r="B128" s="3">
        <f>IFERROR(__xludf.DUMMYFUNCTION("""COMPUTED_VALUE"""),41047.645833333336)</f>
        <v>41047.64583</v>
      </c>
      <c r="C128" s="2">
        <f>IFERROR(__xludf.DUMMYFUNCTION("""COMPUTED_VALUE"""),280.5)</f>
        <v>280.5</v>
      </c>
    </row>
    <row r="129" ht="15.75" customHeight="1">
      <c r="B129" s="3">
        <f>IFERROR(__xludf.DUMMYFUNCTION("""COMPUTED_VALUE"""),41054.645833333336)</f>
        <v>41054.64583</v>
      </c>
      <c r="C129" s="2">
        <f>IFERROR(__xludf.DUMMYFUNCTION("""COMPUTED_VALUE"""),284.5)</f>
        <v>284.5</v>
      </c>
    </row>
    <row r="130" ht="15.75" customHeight="1">
      <c r="B130" s="3">
        <f>IFERROR(__xludf.DUMMYFUNCTION("""COMPUTED_VALUE"""),41061.645833333336)</f>
        <v>41061.64583</v>
      </c>
      <c r="C130" s="2">
        <f>IFERROR(__xludf.DUMMYFUNCTION("""COMPUTED_VALUE"""),283.0)</f>
        <v>283</v>
      </c>
    </row>
    <row r="131" ht="15.75" customHeight="1">
      <c r="B131" s="3">
        <f>IFERROR(__xludf.DUMMYFUNCTION("""COMPUTED_VALUE"""),41068.645833333336)</f>
        <v>41068.64583</v>
      </c>
      <c r="C131" s="2">
        <f>IFERROR(__xludf.DUMMYFUNCTION("""COMPUTED_VALUE"""),289.0)</f>
        <v>289</v>
      </c>
    </row>
    <row r="132" ht="15.75" customHeight="1">
      <c r="B132" s="3">
        <f>IFERROR(__xludf.DUMMYFUNCTION("""COMPUTED_VALUE"""),41075.645833333336)</f>
        <v>41075.64583</v>
      </c>
      <c r="C132" s="2">
        <f>IFERROR(__xludf.DUMMYFUNCTION("""COMPUTED_VALUE"""),296.48)</f>
        <v>296.48</v>
      </c>
    </row>
    <row r="133" ht="15.75" customHeight="1">
      <c r="B133" s="3">
        <f>IFERROR(__xludf.DUMMYFUNCTION("""COMPUTED_VALUE"""),41082.645833333336)</f>
        <v>41082.64583</v>
      </c>
      <c r="C133" s="2">
        <f>IFERROR(__xludf.DUMMYFUNCTION("""COMPUTED_VALUE"""),294.65)</f>
        <v>294.65</v>
      </c>
    </row>
    <row r="134" ht="15.75" customHeight="1">
      <c r="B134" s="3">
        <f>IFERROR(__xludf.DUMMYFUNCTION("""COMPUTED_VALUE"""),41089.645833333336)</f>
        <v>41089.64583</v>
      </c>
      <c r="C134" s="2">
        <f>IFERROR(__xludf.DUMMYFUNCTION("""COMPUTED_VALUE"""),297.2)</f>
        <v>297.2</v>
      </c>
    </row>
    <row r="135" ht="15.75" customHeight="1">
      <c r="B135" s="3">
        <f>IFERROR(__xludf.DUMMYFUNCTION("""COMPUTED_VALUE"""),41096.645833333336)</f>
        <v>41096.64583</v>
      </c>
      <c r="C135" s="2">
        <f>IFERROR(__xludf.DUMMYFUNCTION("""COMPUTED_VALUE"""),303.85)</f>
        <v>303.85</v>
      </c>
    </row>
    <row r="136" ht="15.75" customHeight="1">
      <c r="B136" s="3">
        <f>IFERROR(__xludf.DUMMYFUNCTION("""COMPUTED_VALUE"""),41103.645833333336)</f>
        <v>41103.64583</v>
      </c>
      <c r="C136" s="2">
        <f>IFERROR(__xludf.DUMMYFUNCTION("""COMPUTED_VALUE"""),306.45)</f>
        <v>306.45</v>
      </c>
    </row>
    <row r="137" ht="15.75" customHeight="1">
      <c r="B137" s="3">
        <f>IFERROR(__xludf.DUMMYFUNCTION("""COMPUTED_VALUE"""),41110.645833333336)</f>
        <v>41110.64583</v>
      </c>
      <c r="C137" s="2">
        <f>IFERROR(__xludf.DUMMYFUNCTION("""COMPUTED_VALUE"""),302.45)</f>
        <v>302.45</v>
      </c>
    </row>
    <row r="138" ht="15.75" customHeight="1">
      <c r="B138" s="3">
        <f>IFERROR(__xludf.DUMMYFUNCTION("""COMPUTED_VALUE"""),41117.645833333336)</f>
        <v>41117.64583</v>
      </c>
      <c r="C138" s="2">
        <f>IFERROR(__xludf.DUMMYFUNCTION("""COMPUTED_VALUE"""),279.98)</f>
        <v>279.98</v>
      </c>
    </row>
    <row r="139" ht="15.75" customHeight="1">
      <c r="B139" s="3">
        <f>IFERROR(__xludf.DUMMYFUNCTION("""COMPUTED_VALUE"""),41124.645833333336)</f>
        <v>41124.64583</v>
      </c>
      <c r="C139" s="2">
        <f>IFERROR(__xludf.DUMMYFUNCTION("""COMPUTED_VALUE"""),279.4)</f>
        <v>279.4</v>
      </c>
    </row>
    <row r="140" ht="15.75" customHeight="1">
      <c r="B140" s="3">
        <f>IFERROR(__xludf.DUMMYFUNCTION("""COMPUTED_VALUE"""),41131.645833333336)</f>
        <v>41131.64583</v>
      </c>
      <c r="C140" s="2">
        <f>IFERROR(__xludf.DUMMYFUNCTION("""COMPUTED_VALUE"""),292.0)</f>
        <v>292</v>
      </c>
    </row>
    <row r="141" ht="15.75" customHeight="1">
      <c r="B141" s="3">
        <f>IFERROR(__xludf.DUMMYFUNCTION("""COMPUTED_VALUE"""),41138.645833333336)</f>
        <v>41138.64583</v>
      </c>
      <c r="C141" s="2">
        <f>IFERROR(__xludf.DUMMYFUNCTION("""COMPUTED_VALUE"""),296.75)</f>
        <v>296.75</v>
      </c>
    </row>
    <row r="142" ht="15.75" customHeight="1">
      <c r="B142" s="3">
        <f>IFERROR(__xludf.DUMMYFUNCTION("""COMPUTED_VALUE"""),41145.645833333336)</f>
        <v>41145.64583</v>
      </c>
      <c r="C142" s="2">
        <f>IFERROR(__xludf.DUMMYFUNCTION("""COMPUTED_VALUE"""),299.0)</f>
        <v>299</v>
      </c>
    </row>
    <row r="143" ht="15.75" customHeight="1">
      <c r="B143" s="3">
        <f>IFERROR(__xludf.DUMMYFUNCTION("""COMPUTED_VALUE"""),41152.645833333336)</f>
        <v>41152.64583</v>
      </c>
      <c r="C143" s="2">
        <f>IFERROR(__xludf.DUMMYFUNCTION("""COMPUTED_VALUE"""),300.0)</f>
        <v>300</v>
      </c>
    </row>
    <row r="144" ht="15.75" customHeight="1">
      <c r="B144" s="3">
        <f>IFERROR(__xludf.DUMMYFUNCTION("""COMPUTED_VALUE"""),41166.645833333336)</f>
        <v>41166.64583</v>
      </c>
      <c r="C144" s="2">
        <f>IFERROR(__xludf.DUMMYFUNCTION("""COMPUTED_VALUE"""),305.45)</f>
        <v>305.45</v>
      </c>
    </row>
    <row r="145" ht="15.75" customHeight="1">
      <c r="B145" s="3">
        <f>IFERROR(__xludf.DUMMYFUNCTION("""COMPUTED_VALUE"""),41173.645833333336)</f>
        <v>41173.64583</v>
      </c>
      <c r="C145" s="2">
        <f>IFERROR(__xludf.DUMMYFUNCTION("""COMPUTED_VALUE"""),313.0)</f>
        <v>313</v>
      </c>
    </row>
    <row r="146" ht="15.75" customHeight="1">
      <c r="B146" s="3">
        <f>IFERROR(__xludf.DUMMYFUNCTION("""COMPUTED_VALUE"""),41180.645833333336)</f>
        <v>41180.64583</v>
      </c>
      <c r="C146" s="2">
        <f>IFERROR(__xludf.DUMMYFUNCTION("""COMPUTED_VALUE"""),325.45)</f>
        <v>325.45</v>
      </c>
    </row>
    <row r="147" ht="15.75" customHeight="1">
      <c r="B147" s="3">
        <f>IFERROR(__xludf.DUMMYFUNCTION("""COMPUTED_VALUE"""),41187.645833333336)</f>
        <v>41187.64583</v>
      </c>
      <c r="C147" s="2">
        <f>IFERROR(__xludf.DUMMYFUNCTION("""COMPUTED_VALUE"""),326.25)</f>
        <v>326.25</v>
      </c>
    </row>
    <row r="148" ht="15.75" customHeight="1">
      <c r="B148" s="3">
        <f>IFERROR(__xludf.DUMMYFUNCTION("""COMPUTED_VALUE"""),41194.645833333336)</f>
        <v>41194.64583</v>
      </c>
      <c r="C148" s="2">
        <f>IFERROR(__xludf.DUMMYFUNCTION("""COMPUTED_VALUE"""),320.95)</f>
        <v>320.95</v>
      </c>
    </row>
    <row r="149" ht="15.75" customHeight="1">
      <c r="B149" s="3">
        <f>IFERROR(__xludf.DUMMYFUNCTION("""COMPUTED_VALUE"""),41201.645833333336)</f>
        <v>41201.64583</v>
      </c>
      <c r="C149" s="2">
        <f>IFERROR(__xludf.DUMMYFUNCTION("""COMPUTED_VALUE"""),320.15)</f>
        <v>320.15</v>
      </c>
    </row>
    <row r="150" ht="15.75" customHeight="1">
      <c r="B150" s="3">
        <f>IFERROR(__xludf.DUMMYFUNCTION("""COMPUTED_VALUE"""),41208.645833333336)</f>
        <v>41208.64583</v>
      </c>
      <c r="C150" s="2">
        <f>IFERROR(__xludf.DUMMYFUNCTION("""COMPUTED_VALUE"""),317.5)</f>
        <v>317.5</v>
      </c>
    </row>
    <row r="151" ht="15.75" customHeight="1">
      <c r="B151" s="3">
        <f>IFERROR(__xludf.DUMMYFUNCTION("""COMPUTED_VALUE"""),41215.645833333336)</f>
        <v>41215.64583</v>
      </c>
      <c r="C151" s="2">
        <f>IFERROR(__xludf.DUMMYFUNCTION("""COMPUTED_VALUE"""),310.77)</f>
        <v>310.77</v>
      </c>
    </row>
    <row r="152" ht="15.75" customHeight="1">
      <c r="B152" s="3">
        <f>IFERROR(__xludf.DUMMYFUNCTION("""COMPUTED_VALUE"""),41222.645833333336)</f>
        <v>41222.64583</v>
      </c>
      <c r="C152" s="2">
        <f>IFERROR(__xludf.DUMMYFUNCTION("""COMPUTED_VALUE"""),316.67)</f>
        <v>316.67</v>
      </c>
    </row>
    <row r="153" ht="15.75" customHeight="1">
      <c r="B153" s="3">
        <f>IFERROR(__xludf.DUMMYFUNCTION("""COMPUTED_VALUE"""),41229.645833333336)</f>
        <v>41229.64583</v>
      </c>
      <c r="C153" s="2">
        <f>IFERROR(__xludf.DUMMYFUNCTION("""COMPUTED_VALUE"""),319.75)</f>
        <v>319.75</v>
      </c>
    </row>
    <row r="154" ht="15.75" customHeight="1">
      <c r="B154" s="3">
        <f>IFERROR(__xludf.DUMMYFUNCTION("""COMPUTED_VALUE"""),41236.645833333336)</f>
        <v>41236.64583</v>
      </c>
      <c r="C154" s="2">
        <f>IFERROR(__xludf.DUMMYFUNCTION("""COMPUTED_VALUE"""),316.38)</f>
        <v>316.38</v>
      </c>
    </row>
    <row r="155" ht="15.75" customHeight="1">
      <c r="B155" s="3">
        <f>IFERROR(__xludf.DUMMYFUNCTION("""COMPUTED_VALUE"""),41243.645833333336)</f>
        <v>41243.64583</v>
      </c>
      <c r="C155" s="2">
        <f>IFERROR(__xludf.DUMMYFUNCTION("""COMPUTED_VALUE"""),337.5)</f>
        <v>337.5</v>
      </c>
    </row>
    <row r="156" ht="15.75" customHeight="1">
      <c r="B156" s="3">
        <f>IFERROR(__xludf.DUMMYFUNCTION("""COMPUTED_VALUE"""),41250.645833333336)</f>
        <v>41250.64583</v>
      </c>
      <c r="C156" s="2">
        <f>IFERROR(__xludf.DUMMYFUNCTION("""COMPUTED_VALUE"""),337.25)</f>
        <v>337.25</v>
      </c>
    </row>
    <row r="157" ht="15.75" customHeight="1">
      <c r="B157" s="3">
        <f>IFERROR(__xludf.DUMMYFUNCTION("""COMPUTED_VALUE"""),41257.645833333336)</f>
        <v>41257.64583</v>
      </c>
      <c r="C157" s="2">
        <f>IFERROR(__xludf.DUMMYFUNCTION("""COMPUTED_VALUE"""),338.5)</f>
        <v>338.5</v>
      </c>
    </row>
    <row r="158" ht="15.75" customHeight="1">
      <c r="B158" s="3">
        <f>IFERROR(__xludf.DUMMYFUNCTION("""COMPUTED_VALUE"""),41264.645833333336)</f>
        <v>41264.64583</v>
      </c>
      <c r="C158" s="2">
        <f>IFERROR(__xludf.DUMMYFUNCTION("""COMPUTED_VALUE"""),334.5)</f>
        <v>334.5</v>
      </c>
    </row>
    <row r="159" ht="15.75" customHeight="1">
      <c r="B159" s="3">
        <f>IFERROR(__xludf.DUMMYFUNCTION("""COMPUTED_VALUE"""),41271.645833333336)</f>
        <v>41271.64583</v>
      </c>
      <c r="C159" s="2">
        <f>IFERROR(__xludf.DUMMYFUNCTION("""COMPUTED_VALUE"""),328.05)</f>
        <v>328.05</v>
      </c>
    </row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IFERROR(__xludf.DUMMYFUNCTION("GOOGLEFINANCE(""NSE:KOTAKBANK"", ""high"",DATE(2013,1,1),DATE(2014,1,1),""weekly"")"),"Date")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IFERROR(__xludf.DUMMYFUNCTION("""COMPUTED_VALUE"""),41278.645833333336)</f>
        <v>41278.64583</v>
      </c>
      <c r="C167" s="2">
        <f>IFERROR(__xludf.DUMMYFUNCTION("""COMPUTED_VALUE"""),332.25)</f>
        <v>332.25</v>
      </c>
    </row>
    <row r="168" ht="15.75" customHeight="1">
      <c r="B168" s="3">
        <f>IFERROR(__xludf.DUMMYFUNCTION("""COMPUTED_VALUE"""),41285.645833333336)</f>
        <v>41285.64583</v>
      </c>
      <c r="C168" s="2">
        <f>IFERROR(__xludf.DUMMYFUNCTION("""COMPUTED_VALUE"""),330.85)</f>
        <v>330.85</v>
      </c>
    </row>
    <row r="169" ht="15.75" customHeight="1">
      <c r="B169" s="3">
        <f>IFERROR(__xludf.DUMMYFUNCTION("""COMPUTED_VALUE"""),41292.645833333336)</f>
        <v>41292.64583</v>
      </c>
      <c r="C169" s="2">
        <f>IFERROR(__xludf.DUMMYFUNCTION("""COMPUTED_VALUE"""),318.25)</f>
        <v>318.25</v>
      </c>
    </row>
    <row r="170" ht="15.75" customHeight="1">
      <c r="B170" s="3">
        <f>IFERROR(__xludf.DUMMYFUNCTION("""COMPUTED_VALUE"""),41299.645833333336)</f>
        <v>41299.64583</v>
      </c>
      <c r="C170" s="2">
        <f>IFERROR(__xludf.DUMMYFUNCTION("""COMPUTED_VALUE"""),333.9)</f>
        <v>333.9</v>
      </c>
    </row>
    <row r="171" ht="15.75" customHeight="1">
      <c r="B171" s="3">
        <f>IFERROR(__xludf.DUMMYFUNCTION("""COMPUTED_VALUE"""),41306.645833333336)</f>
        <v>41306.64583</v>
      </c>
      <c r="C171" s="2">
        <f>IFERROR(__xludf.DUMMYFUNCTION("""COMPUTED_VALUE"""),342.53)</f>
        <v>342.53</v>
      </c>
    </row>
    <row r="172" ht="15.75" customHeight="1">
      <c r="B172" s="3">
        <f>IFERROR(__xludf.DUMMYFUNCTION("""COMPUTED_VALUE"""),41313.645833333336)</f>
        <v>41313.64583</v>
      </c>
      <c r="C172" s="2">
        <f>IFERROR(__xludf.DUMMYFUNCTION("""COMPUTED_VALUE"""),348.6)</f>
        <v>348.6</v>
      </c>
    </row>
    <row r="173" ht="15.75" customHeight="1">
      <c r="B173" s="3">
        <f>IFERROR(__xludf.DUMMYFUNCTION("""COMPUTED_VALUE"""),41320.645833333336)</f>
        <v>41320.64583</v>
      </c>
      <c r="C173" s="2">
        <f>IFERROR(__xludf.DUMMYFUNCTION("""COMPUTED_VALUE"""),340.75)</f>
        <v>340.75</v>
      </c>
    </row>
    <row r="174" ht="15.75" customHeight="1">
      <c r="B174" s="3">
        <f>IFERROR(__xludf.DUMMYFUNCTION("""COMPUTED_VALUE"""),41327.645833333336)</f>
        <v>41327.64583</v>
      </c>
      <c r="C174" s="2">
        <f>IFERROR(__xludf.DUMMYFUNCTION("""COMPUTED_VALUE"""),339.78)</f>
        <v>339.78</v>
      </c>
    </row>
    <row r="175" ht="15.75" customHeight="1">
      <c r="B175" s="3">
        <f>IFERROR(__xludf.DUMMYFUNCTION("""COMPUTED_VALUE"""),41334.645833333336)</f>
        <v>41334.64583</v>
      </c>
      <c r="C175" s="2">
        <f>IFERROR(__xludf.DUMMYFUNCTION("""COMPUTED_VALUE"""),333.55)</f>
        <v>333.55</v>
      </c>
    </row>
    <row r="176" ht="15.75" customHeight="1">
      <c r="B176" s="3">
        <f>IFERROR(__xludf.DUMMYFUNCTION("""COMPUTED_VALUE"""),41341.645833333336)</f>
        <v>41341.64583</v>
      </c>
      <c r="C176" s="2">
        <f>IFERROR(__xludf.DUMMYFUNCTION("""COMPUTED_VALUE"""),339.42)</f>
        <v>339.42</v>
      </c>
    </row>
    <row r="177" ht="15.75" customHeight="1">
      <c r="B177" s="3">
        <f>IFERROR(__xludf.DUMMYFUNCTION("""COMPUTED_VALUE"""),41348.645833333336)</f>
        <v>41348.64583</v>
      </c>
      <c r="C177" s="2">
        <f>IFERROR(__xludf.DUMMYFUNCTION("""COMPUTED_VALUE"""),338.58)</f>
        <v>338.58</v>
      </c>
    </row>
    <row r="178" ht="15.75" customHeight="1">
      <c r="B178" s="3">
        <f>IFERROR(__xludf.DUMMYFUNCTION("""COMPUTED_VALUE"""),41355.645833333336)</f>
        <v>41355.64583</v>
      </c>
      <c r="C178" s="2">
        <f>IFERROR(__xludf.DUMMYFUNCTION("""COMPUTED_VALUE"""),332.98)</f>
        <v>332.98</v>
      </c>
    </row>
    <row r="179" ht="15.75" customHeight="1">
      <c r="B179" s="3">
        <f>IFERROR(__xludf.DUMMYFUNCTION("""COMPUTED_VALUE"""),41361.645833333336)</f>
        <v>41361.64583</v>
      </c>
      <c r="C179" s="2">
        <f>IFERROR(__xludf.DUMMYFUNCTION("""COMPUTED_VALUE"""),329.85)</f>
        <v>329.85</v>
      </c>
    </row>
    <row r="180" ht="15.75" customHeight="1">
      <c r="B180" s="3">
        <f>IFERROR(__xludf.DUMMYFUNCTION("""COMPUTED_VALUE"""),41369.645833333336)</f>
        <v>41369.64583</v>
      </c>
      <c r="C180" s="2">
        <f>IFERROR(__xludf.DUMMYFUNCTION("""COMPUTED_VALUE"""),330.0)</f>
        <v>330</v>
      </c>
    </row>
    <row r="181" ht="15.75" customHeight="1">
      <c r="B181" s="3">
        <f>IFERROR(__xludf.DUMMYFUNCTION("""COMPUTED_VALUE"""),41376.645833333336)</f>
        <v>41376.64583</v>
      </c>
      <c r="C181" s="2">
        <f>IFERROR(__xludf.DUMMYFUNCTION("""COMPUTED_VALUE"""),321.83)</f>
        <v>321.83</v>
      </c>
    </row>
    <row r="182" ht="15.75" customHeight="1">
      <c r="B182" s="3">
        <f>IFERROR(__xludf.DUMMYFUNCTION("""COMPUTED_VALUE"""),41382.645833333336)</f>
        <v>41382.64583</v>
      </c>
      <c r="C182" s="2">
        <f>IFERROR(__xludf.DUMMYFUNCTION("""COMPUTED_VALUE"""),336.0)</f>
        <v>336</v>
      </c>
    </row>
    <row r="183" ht="15.75" customHeight="1">
      <c r="B183" s="3">
        <f>IFERROR(__xludf.DUMMYFUNCTION("""COMPUTED_VALUE"""),41390.645833333336)</f>
        <v>41390.64583</v>
      </c>
      <c r="C183" s="2">
        <f>IFERROR(__xludf.DUMMYFUNCTION("""COMPUTED_VALUE"""),358.25)</f>
        <v>358.25</v>
      </c>
    </row>
    <row r="184" ht="15.75" customHeight="1">
      <c r="B184" s="3">
        <f>IFERROR(__xludf.DUMMYFUNCTION("""COMPUTED_VALUE"""),41397.645833333336)</f>
        <v>41397.64583</v>
      </c>
      <c r="C184" s="2">
        <f>IFERROR(__xludf.DUMMYFUNCTION("""COMPUTED_VALUE"""),363.9)</f>
        <v>363.9</v>
      </c>
    </row>
    <row r="185" ht="15.75" customHeight="1">
      <c r="B185" s="3">
        <f>IFERROR(__xludf.DUMMYFUNCTION("""COMPUTED_VALUE"""),41411.645833333336)</f>
        <v>41411.64583</v>
      </c>
      <c r="C185" s="2">
        <f>IFERROR(__xludf.DUMMYFUNCTION("""COMPUTED_VALUE"""),399.5)</f>
        <v>399.5</v>
      </c>
    </row>
    <row r="186" ht="15.75" customHeight="1">
      <c r="B186" s="3">
        <f>IFERROR(__xludf.DUMMYFUNCTION("""COMPUTED_VALUE"""),41418.645833333336)</f>
        <v>41418.64583</v>
      </c>
      <c r="C186" s="2">
        <f>IFERROR(__xludf.DUMMYFUNCTION("""COMPUTED_VALUE"""),398.98)</f>
        <v>398.98</v>
      </c>
    </row>
    <row r="187" ht="15.75" customHeight="1">
      <c r="B187" s="3">
        <f>IFERROR(__xludf.DUMMYFUNCTION("""COMPUTED_VALUE"""),41425.645833333336)</f>
        <v>41425.64583</v>
      </c>
      <c r="C187" s="2">
        <f>IFERROR(__xludf.DUMMYFUNCTION("""COMPUTED_VALUE"""),403.67)</f>
        <v>403.67</v>
      </c>
    </row>
    <row r="188" ht="15.75" customHeight="1">
      <c r="B188" s="3">
        <f>IFERROR(__xludf.DUMMYFUNCTION("""COMPUTED_VALUE"""),41432.645833333336)</f>
        <v>41432.64583</v>
      </c>
      <c r="C188" s="2">
        <f>IFERROR(__xludf.DUMMYFUNCTION("""COMPUTED_VALUE"""),392.85)</f>
        <v>392.85</v>
      </c>
    </row>
    <row r="189" ht="15.75" customHeight="1">
      <c r="B189" s="3">
        <f>IFERROR(__xludf.DUMMYFUNCTION("""COMPUTED_VALUE"""),41439.645833333336)</f>
        <v>41439.64583</v>
      </c>
      <c r="C189" s="2">
        <f>IFERROR(__xludf.DUMMYFUNCTION("""COMPUTED_VALUE"""),384.15)</f>
        <v>384.15</v>
      </c>
    </row>
    <row r="190" ht="15.75" customHeight="1">
      <c r="B190" s="3">
        <f>IFERROR(__xludf.DUMMYFUNCTION("""COMPUTED_VALUE"""),41446.645833333336)</f>
        <v>41446.64583</v>
      </c>
      <c r="C190" s="2">
        <f>IFERROR(__xludf.DUMMYFUNCTION("""COMPUTED_VALUE"""),385.8)</f>
        <v>385.8</v>
      </c>
    </row>
    <row r="191" ht="15.75" customHeight="1">
      <c r="B191" s="3">
        <f>IFERROR(__xludf.DUMMYFUNCTION("""COMPUTED_VALUE"""),41453.645833333336)</f>
        <v>41453.64583</v>
      </c>
      <c r="C191" s="2">
        <f>IFERROR(__xludf.DUMMYFUNCTION("""COMPUTED_VALUE"""),363.5)</f>
        <v>363.5</v>
      </c>
    </row>
    <row r="192" ht="15.75" customHeight="1">
      <c r="B192" s="3">
        <f>IFERROR(__xludf.DUMMYFUNCTION("""COMPUTED_VALUE"""),41460.645833333336)</f>
        <v>41460.64583</v>
      </c>
      <c r="C192" s="2">
        <f>IFERROR(__xludf.DUMMYFUNCTION("""COMPUTED_VALUE"""),367.5)</f>
        <v>367.5</v>
      </c>
    </row>
    <row r="193" ht="15.75" customHeight="1">
      <c r="B193" s="3">
        <f>IFERROR(__xludf.DUMMYFUNCTION("""COMPUTED_VALUE"""),41467.645833333336)</f>
        <v>41467.64583</v>
      </c>
      <c r="C193" s="2">
        <f>IFERROR(__xludf.DUMMYFUNCTION("""COMPUTED_VALUE"""),380.95)</f>
        <v>380.95</v>
      </c>
    </row>
    <row r="194" ht="15.75" customHeight="1">
      <c r="B194" s="3">
        <f>IFERROR(__xludf.DUMMYFUNCTION("""COMPUTED_VALUE"""),41474.645833333336)</f>
        <v>41474.64583</v>
      </c>
      <c r="C194" s="2">
        <f>IFERROR(__xludf.DUMMYFUNCTION("""COMPUTED_VALUE"""),381.15)</f>
        <v>381.15</v>
      </c>
    </row>
    <row r="195" ht="15.75" customHeight="1">
      <c r="B195" s="3">
        <f>IFERROR(__xludf.DUMMYFUNCTION("""COMPUTED_VALUE"""),41481.645833333336)</f>
        <v>41481.64583</v>
      </c>
      <c r="C195" s="2">
        <f>IFERROR(__xludf.DUMMYFUNCTION("""COMPUTED_VALUE"""),366.98)</f>
        <v>366.98</v>
      </c>
    </row>
    <row r="196" ht="15.75" customHeight="1">
      <c r="B196" s="3">
        <f>IFERROR(__xludf.DUMMYFUNCTION("""COMPUTED_VALUE"""),41488.645833333336)</f>
        <v>41488.64583</v>
      </c>
      <c r="C196" s="2">
        <f>IFERROR(__xludf.DUMMYFUNCTION("""COMPUTED_VALUE"""),341.42)</f>
        <v>341.42</v>
      </c>
    </row>
    <row r="197" ht="15.75" customHeight="1">
      <c r="B197" s="3">
        <f>IFERROR(__xludf.DUMMYFUNCTION("""COMPUTED_VALUE"""),41494.645833333336)</f>
        <v>41494.64583</v>
      </c>
      <c r="C197" s="2">
        <f>IFERROR(__xludf.DUMMYFUNCTION("""COMPUTED_VALUE"""),332.9)</f>
        <v>332.9</v>
      </c>
    </row>
    <row r="198" ht="15.75" customHeight="1">
      <c r="B198" s="3">
        <f>IFERROR(__xludf.DUMMYFUNCTION("""COMPUTED_VALUE"""),41502.645833333336)</f>
        <v>41502.64583</v>
      </c>
      <c r="C198" s="2">
        <f>IFERROR(__xludf.DUMMYFUNCTION("""COMPUTED_VALUE"""),334.67)</f>
        <v>334.67</v>
      </c>
    </row>
    <row r="199" ht="15.75" customHeight="1">
      <c r="B199" s="3">
        <f>IFERROR(__xludf.DUMMYFUNCTION("""COMPUTED_VALUE"""),41509.645833333336)</f>
        <v>41509.64583</v>
      </c>
      <c r="C199" s="2">
        <f>IFERROR(__xludf.DUMMYFUNCTION("""COMPUTED_VALUE"""),337.0)</f>
        <v>337</v>
      </c>
    </row>
    <row r="200" ht="15.75" customHeight="1">
      <c r="B200" s="3">
        <f>IFERROR(__xludf.DUMMYFUNCTION("""COMPUTED_VALUE"""),41516.645833333336)</f>
        <v>41516.64583</v>
      </c>
      <c r="C200" s="2">
        <f>IFERROR(__xludf.DUMMYFUNCTION("""COMPUTED_VALUE"""),334.5)</f>
        <v>334.5</v>
      </c>
    </row>
    <row r="201" ht="15.75" customHeight="1">
      <c r="B201" s="3">
        <f>IFERROR(__xludf.DUMMYFUNCTION("""COMPUTED_VALUE"""),41523.645833333336)</f>
        <v>41523.64583</v>
      </c>
      <c r="C201" s="2">
        <f>IFERROR(__xludf.DUMMYFUNCTION("""COMPUTED_VALUE"""),340.8)</f>
        <v>340.8</v>
      </c>
    </row>
    <row r="202" ht="15.75" customHeight="1">
      <c r="B202" s="3">
        <f>IFERROR(__xludf.DUMMYFUNCTION("""COMPUTED_VALUE"""),41530.645833333336)</f>
        <v>41530.64583</v>
      </c>
      <c r="C202" s="2">
        <f>IFERROR(__xludf.DUMMYFUNCTION("""COMPUTED_VALUE"""),361.45)</f>
        <v>361.45</v>
      </c>
    </row>
    <row r="203" ht="15.75" customHeight="1">
      <c r="B203" s="3">
        <f>IFERROR(__xludf.DUMMYFUNCTION("""COMPUTED_VALUE"""),41537.645833333336)</f>
        <v>41537.64583</v>
      </c>
      <c r="C203" s="2">
        <f>IFERROR(__xludf.DUMMYFUNCTION("""COMPUTED_VALUE"""),389.5)</f>
        <v>389.5</v>
      </c>
    </row>
    <row r="204" ht="15.75" customHeight="1">
      <c r="B204" s="3">
        <f>IFERROR(__xludf.DUMMYFUNCTION("""COMPUTED_VALUE"""),41544.645833333336)</f>
        <v>41544.64583</v>
      </c>
      <c r="C204" s="2">
        <f>IFERROR(__xludf.DUMMYFUNCTION("""COMPUTED_VALUE"""),370.35)</f>
        <v>370.35</v>
      </c>
    </row>
    <row r="205" ht="15.75" customHeight="1">
      <c r="B205" s="3">
        <f>IFERROR(__xludf.DUMMYFUNCTION("""COMPUTED_VALUE"""),41551.645833333336)</f>
        <v>41551.64583</v>
      </c>
      <c r="C205" s="2">
        <f>IFERROR(__xludf.DUMMYFUNCTION("""COMPUTED_VALUE"""),353.8)</f>
        <v>353.8</v>
      </c>
    </row>
    <row r="206" ht="15.75" customHeight="1">
      <c r="B206" s="3">
        <f>IFERROR(__xludf.DUMMYFUNCTION("""COMPUTED_VALUE"""),41558.645833333336)</f>
        <v>41558.64583</v>
      </c>
      <c r="C206" s="2">
        <f>IFERROR(__xludf.DUMMYFUNCTION("""COMPUTED_VALUE"""),361.85)</f>
        <v>361.85</v>
      </c>
    </row>
    <row r="207" ht="15.75" customHeight="1">
      <c r="B207" s="3">
        <f>IFERROR(__xludf.DUMMYFUNCTION("""COMPUTED_VALUE"""),41565.645833333336)</f>
        <v>41565.64583</v>
      </c>
      <c r="C207" s="2">
        <f>IFERROR(__xludf.DUMMYFUNCTION("""COMPUTED_VALUE"""),357.25)</f>
        <v>357.25</v>
      </c>
    </row>
    <row r="208" ht="15.75" customHeight="1">
      <c r="B208" s="3">
        <f>IFERROR(__xludf.DUMMYFUNCTION("""COMPUTED_VALUE"""),41572.645833333336)</f>
        <v>41572.64583</v>
      </c>
      <c r="C208" s="2">
        <f>IFERROR(__xludf.DUMMYFUNCTION("""COMPUTED_VALUE"""),365.25)</f>
        <v>365.25</v>
      </c>
    </row>
    <row r="209" ht="15.75" customHeight="1">
      <c r="B209" s="3">
        <f>IFERROR(__xludf.DUMMYFUNCTION("""COMPUTED_VALUE"""),41579.645833333336)</f>
        <v>41579.64583</v>
      </c>
      <c r="C209" s="2">
        <f>IFERROR(__xludf.DUMMYFUNCTION("""COMPUTED_VALUE"""),380.9)</f>
        <v>380.9</v>
      </c>
    </row>
    <row r="210" ht="15.75" customHeight="1">
      <c r="B210" s="3">
        <f>IFERROR(__xludf.DUMMYFUNCTION("""COMPUTED_VALUE"""),41586.645833333336)</f>
        <v>41586.64583</v>
      </c>
      <c r="C210" s="2">
        <f>IFERROR(__xludf.DUMMYFUNCTION("""COMPUTED_VALUE"""),376.5)</f>
        <v>376.5</v>
      </c>
    </row>
    <row r="211" ht="15.75" customHeight="1">
      <c r="B211" s="3">
        <f>IFERROR(__xludf.DUMMYFUNCTION("""COMPUTED_VALUE"""),41592.645833333336)</f>
        <v>41592.64583</v>
      </c>
      <c r="C211" s="2">
        <f>IFERROR(__xludf.DUMMYFUNCTION("""COMPUTED_VALUE"""),367.38)</f>
        <v>367.38</v>
      </c>
    </row>
    <row r="212" ht="15.75" customHeight="1">
      <c r="B212" s="3">
        <f>IFERROR(__xludf.DUMMYFUNCTION("""COMPUTED_VALUE"""),41600.645833333336)</f>
        <v>41600.64583</v>
      </c>
      <c r="C212" s="2">
        <f>IFERROR(__xludf.DUMMYFUNCTION("""COMPUTED_VALUE"""),373.0)</f>
        <v>373</v>
      </c>
    </row>
    <row r="213" ht="15.75" customHeight="1">
      <c r="B213" s="3">
        <f>IFERROR(__xludf.DUMMYFUNCTION("""COMPUTED_VALUE"""),41607.645833333336)</f>
        <v>41607.64583</v>
      </c>
      <c r="C213" s="2">
        <f>IFERROR(__xludf.DUMMYFUNCTION("""COMPUTED_VALUE"""),382.35)</f>
        <v>382.35</v>
      </c>
    </row>
    <row r="214" ht="15.75" customHeight="1">
      <c r="B214" s="3">
        <f>IFERROR(__xludf.DUMMYFUNCTION("""COMPUTED_VALUE"""),41614.645833333336)</f>
        <v>41614.64583</v>
      </c>
      <c r="C214" s="2">
        <f>IFERROR(__xludf.DUMMYFUNCTION("""COMPUTED_VALUE"""),387.0)</f>
        <v>387</v>
      </c>
    </row>
    <row r="215" ht="15.75" customHeight="1">
      <c r="B215" s="3">
        <f>IFERROR(__xludf.DUMMYFUNCTION("""COMPUTED_VALUE"""),41621.645833333336)</f>
        <v>41621.64583</v>
      </c>
      <c r="C215" s="2">
        <f>IFERROR(__xludf.DUMMYFUNCTION("""COMPUTED_VALUE"""),393.95)</f>
        <v>393.95</v>
      </c>
    </row>
    <row r="216" ht="15.75" customHeight="1">
      <c r="B216" s="3">
        <f>IFERROR(__xludf.DUMMYFUNCTION("""COMPUTED_VALUE"""),41628.645833333336)</f>
        <v>41628.64583</v>
      </c>
      <c r="C216" s="2">
        <f>IFERROR(__xludf.DUMMYFUNCTION("""COMPUTED_VALUE"""),381.58)</f>
        <v>381.58</v>
      </c>
    </row>
    <row r="217" ht="15.75" customHeight="1">
      <c r="B217" s="3">
        <f>IFERROR(__xludf.DUMMYFUNCTION("""COMPUTED_VALUE"""),41635.645833333336)</f>
        <v>41635.64583</v>
      </c>
      <c r="C217" s="2">
        <f>IFERROR(__xludf.DUMMYFUNCTION("""COMPUTED_VALUE"""),371.48)</f>
        <v>371.48</v>
      </c>
    </row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IFERROR(__xludf.DUMMYFUNCTION("GOOGLEFINANCE(""NSE:KOTAKBANK"", ""high"",DATE(2014,1,1),DATE(2015,1,1),""weekly"")"),"Date")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IFERROR(__xludf.DUMMYFUNCTION("""COMPUTED_VALUE"""),41642.645833333336)</f>
        <v>41642.64583</v>
      </c>
      <c r="C222" s="2">
        <f>IFERROR(__xludf.DUMMYFUNCTION("""COMPUTED_VALUE"""),370.55)</f>
        <v>370.55</v>
      </c>
    </row>
    <row r="223" ht="15.75" customHeight="1">
      <c r="B223" s="3">
        <f>IFERROR(__xludf.DUMMYFUNCTION("""COMPUTED_VALUE"""),41649.645833333336)</f>
        <v>41649.64583</v>
      </c>
      <c r="C223" s="2">
        <f>IFERROR(__xludf.DUMMYFUNCTION("""COMPUTED_VALUE"""),358.5)</f>
        <v>358.5</v>
      </c>
    </row>
    <row r="224" ht="15.75" customHeight="1">
      <c r="B224" s="3">
        <f>IFERROR(__xludf.DUMMYFUNCTION("""COMPUTED_VALUE"""),41656.645833333336)</f>
        <v>41656.64583</v>
      </c>
      <c r="C224" s="2">
        <f>IFERROR(__xludf.DUMMYFUNCTION("""COMPUTED_VALUE"""),368.88)</f>
        <v>368.88</v>
      </c>
    </row>
    <row r="225" ht="15.75" customHeight="1">
      <c r="B225" s="3">
        <f>IFERROR(__xludf.DUMMYFUNCTION("""COMPUTED_VALUE"""),41663.645833333336)</f>
        <v>41663.64583</v>
      </c>
      <c r="C225" s="2">
        <f>IFERROR(__xludf.DUMMYFUNCTION("""COMPUTED_VALUE"""),368.75)</f>
        <v>368.75</v>
      </c>
    </row>
    <row r="226" ht="15.75" customHeight="1">
      <c r="B226" s="3">
        <f>IFERROR(__xludf.DUMMYFUNCTION("""COMPUTED_VALUE"""),41670.645833333336)</f>
        <v>41670.64583</v>
      </c>
      <c r="C226" s="2">
        <f>IFERROR(__xludf.DUMMYFUNCTION("""COMPUTED_VALUE"""),341.25)</f>
        <v>341.25</v>
      </c>
    </row>
    <row r="227" ht="15.75" customHeight="1">
      <c r="B227" s="3">
        <f>IFERROR(__xludf.DUMMYFUNCTION("""COMPUTED_VALUE"""),41677.645833333336)</f>
        <v>41677.64583</v>
      </c>
      <c r="C227" s="2">
        <f>IFERROR(__xludf.DUMMYFUNCTION("""COMPUTED_VALUE"""),338.05)</f>
        <v>338.05</v>
      </c>
    </row>
    <row r="228" ht="15.75" customHeight="1">
      <c r="B228" s="3">
        <f>IFERROR(__xludf.DUMMYFUNCTION("""COMPUTED_VALUE"""),41684.645833333336)</f>
        <v>41684.64583</v>
      </c>
      <c r="C228" s="2">
        <f>IFERROR(__xludf.DUMMYFUNCTION("""COMPUTED_VALUE"""),330.92)</f>
        <v>330.92</v>
      </c>
    </row>
    <row r="229" ht="15.75" customHeight="1">
      <c r="B229" s="3">
        <f>IFERROR(__xludf.DUMMYFUNCTION("""COMPUTED_VALUE"""),41691.645833333336)</f>
        <v>41691.64583</v>
      </c>
      <c r="C229" s="2">
        <f>IFERROR(__xludf.DUMMYFUNCTION("""COMPUTED_VALUE"""),341.5)</f>
        <v>341.5</v>
      </c>
    </row>
    <row r="230" ht="15.75" customHeight="1">
      <c r="B230" s="3">
        <f>IFERROR(__xludf.DUMMYFUNCTION("""COMPUTED_VALUE"""),41698.645833333336)</f>
        <v>41698.64583</v>
      </c>
      <c r="C230" s="2">
        <f>IFERROR(__xludf.DUMMYFUNCTION("""COMPUTED_VALUE"""),347.0)</f>
        <v>347</v>
      </c>
    </row>
    <row r="231" ht="15.75" customHeight="1">
      <c r="B231" s="3">
        <f>IFERROR(__xludf.DUMMYFUNCTION("""COMPUTED_VALUE"""),41705.645833333336)</f>
        <v>41705.64583</v>
      </c>
      <c r="C231" s="2">
        <f>IFERROR(__xludf.DUMMYFUNCTION("""COMPUTED_VALUE"""),358.75)</f>
        <v>358.75</v>
      </c>
    </row>
    <row r="232" ht="15.75" customHeight="1">
      <c r="B232" s="3">
        <f>IFERROR(__xludf.DUMMYFUNCTION("""COMPUTED_VALUE"""),41712.645833333336)</f>
        <v>41712.64583</v>
      </c>
      <c r="C232" s="2">
        <f>IFERROR(__xludf.DUMMYFUNCTION("""COMPUTED_VALUE"""),388.33)</f>
        <v>388.33</v>
      </c>
    </row>
    <row r="233" ht="15.75" customHeight="1">
      <c r="B233" s="3">
        <f>IFERROR(__xludf.DUMMYFUNCTION("""COMPUTED_VALUE"""),41726.645833333336)</f>
        <v>41726.64583</v>
      </c>
      <c r="C233" s="2">
        <f>IFERROR(__xludf.DUMMYFUNCTION("""COMPUTED_VALUE"""),394.0)</f>
        <v>394</v>
      </c>
    </row>
    <row r="234" ht="15.75" customHeight="1">
      <c r="B234" s="3">
        <f>IFERROR(__xludf.DUMMYFUNCTION("""COMPUTED_VALUE"""),41733.645833333336)</f>
        <v>41733.64583</v>
      </c>
      <c r="C234" s="2">
        <f>IFERROR(__xludf.DUMMYFUNCTION("""COMPUTED_VALUE"""),392.35)</f>
        <v>392.35</v>
      </c>
    </row>
    <row r="235" ht="15.75" customHeight="1">
      <c r="B235" s="3">
        <f>IFERROR(__xludf.DUMMYFUNCTION("""COMPUTED_VALUE"""),41740.645833333336)</f>
        <v>41740.64583</v>
      </c>
      <c r="C235" s="2">
        <f>IFERROR(__xludf.DUMMYFUNCTION("""COMPUTED_VALUE"""),406.0)</f>
        <v>406</v>
      </c>
    </row>
    <row r="236" ht="15.75" customHeight="1">
      <c r="B236" s="3">
        <f>IFERROR(__xludf.DUMMYFUNCTION("""COMPUTED_VALUE"""),41746.645833333336)</f>
        <v>41746.64583</v>
      </c>
      <c r="C236" s="2">
        <f>IFERROR(__xludf.DUMMYFUNCTION("""COMPUTED_VALUE"""),402.5)</f>
        <v>402.5</v>
      </c>
    </row>
    <row r="237" ht="15.75" customHeight="1">
      <c r="B237" s="3">
        <f>IFERROR(__xludf.DUMMYFUNCTION("""COMPUTED_VALUE"""),41754.645833333336)</f>
        <v>41754.64583</v>
      </c>
      <c r="C237" s="2">
        <f>IFERROR(__xludf.DUMMYFUNCTION("""COMPUTED_VALUE"""),417.3)</f>
        <v>417.3</v>
      </c>
    </row>
    <row r="238" ht="15.75" customHeight="1">
      <c r="B238" s="3">
        <f>IFERROR(__xludf.DUMMYFUNCTION("""COMPUTED_VALUE"""),41761.645833333336)</f>
        <v>41761.64583</v>
      </c>
      <c r="C238" s="2">
        <f>IFERROR(__xludf.DUMMYFUNCTION("""COMPUTED_VALUE"""),414.95)</f>
        <v>414.95</v>
      </c>
    </row>
    <row r="239" ht="15.75" customHeight="1">
      <c r="B239" s="3">
        <f>IFERROR(__xludf.DUMMYFUNCTION("""COMPUTED_VALUE"""),41768.645833333336)</f>
        <v>41768.64583</v>
      </c>
      <c r="C239" s="2">
        <f>IFERROR(__xludf.DUMMYFUNCTION("""COMPUTED_VALUE"""),427.5)</f>
        <v>427.5</v>
      </c>
    </row>
    <row r="240" ht="15.75" customHeight="1">
      <c r="B240" s="3">
        <f>IFERROR(__xludf.DUMMYFUNCTION("""COMPUTED_VALUE"""),41775.645833333336)</f>
        <v>41775.64583</v>
      </c>
      <c r="C240" s="2">
        <f>IFERROR(__xludf.DUMMYFUNCTION("""COMPUTED_VALUE"""),475.5)</f>
        <v>475.5</v>
      </c>
    </row>
    <row r="241" ht="15.75" customHeight="1">
      <c r="B241" s="3">
        <f>IFERROR(__xludf.DUMMYFUNCTION("""COMPUTED_VALUE"""),41782.645833333336)</f>
        <v>41782.64583</v>
      </c>
      <c r="C241" s="2">
        <f>IFERROR(__xludf.DUMMYFUNCTION("""COMPUTED_VALUE"""),466.0)</f>
        <v>466</v>
      </c>
    </row>
    <row r="242" ht="15.75" customHeight="1">
      <c r="B242" s="3">
        <f>IFERROR(__xludf.DUMMYFUNCTION("""COMPUTED_VALUE"""),41789.645833333336)</f>
        <v>41789.64583</v>
      </c>
      <c r="C242" s="2">
        <f>IFERROR(__xludf.DUMMYFUNCTION("""COMPUTED_VALUE"""),444.8)</f>
        <v>444.8</v>
      </c>
    </row>
    <row r="243" ht="15.75" customHeight="1">
      <c r="B243" s="3">
        <f>IFERROR(__xludf.DUMMYFUNCTION("""COMPUTED_VALUE"""),41796.645833333336)</f>
        <v>41796.64583</v>
      </c>
      <c r="C243" s="2">
        <f>IFERROR(__xludf.DUMMYFUNCTION("""COMPUTED_VALUE"""),454.05)</f>
        <v>454.05</v>
      </c>
    </row>
    <row r="244" ht="15.75" customHeight="1">
      <c r="B244" s="3">
        <f>IFERROR(__xludf.DUMMYFUNCTION("""COMPUTED_VALUE"""),41803.645833333336)</f>
        <v>41803.64583</v>
      </c>
      <c r="C244" s="2">
        <f>IFERROR(__xludf.DUMMYFUNCTION("""COMPUTED_VALUE"""),474.75)</f>
        <v>474.75</v>
      </c>
    </row>
    <row r="245" ht="15.75" customHeight="1">
      <c r="B245" s="3">
        <f>IFERROR(__xludf.DUMMYFUNCTION("""COMPUTED_VALUE"""),41810.645833333336)</f>
        <v>41810.64583</v>
      </c>
      <c r="C245" s="2">
        <f>IFERROR(__xludf.DUMMYFUNCTION("""COMPUTED_VALUE"""),485.98)</f>
        <v>485.98</v>
      </c>
    </row>
    <row r="246" ht="15.75" customHeight="1">
      <c r="B246" s="3">
        <f>IFERROR(__xludf.DUMMYFUNCTION("""COMPUTED_VALUE"""),41817.645833333336)</f>
        <v>41817.64583</v>
      </c>
      <c r="C246" s="2">
        <f>IFERROR(__xludf.DUMMYFUNCTION("""COMPUTED_VALUE"""),463.0)</f>
        <v>463</v>
      </c>
    </row>
    <row r="247" ht="15.75" customHeight="1">
      <c r="B247" s="3">
        <f>IFERROR(__xludf.DUMMYFUNCTION("""COMPUTED_VALUE"""),41824.645833333336)</f>
        <v>41824.64583</v>
      </c>
      <c r="C247" s="2">
        <f>IFERROR(__xludf.DUMMYFUNCTION("""COMPUTED_VALUE"""),450.98)</f>
        <v>450.98</v>
      </c>
    </row>
    <row r="248" ht="15.75" customHeight="1">
      <c r="B248" s="3">
        <f>IFERROR(__xludf.DUMMYFUNCTION("""COMPUTED_VALUE"""),41831.645833333336)</f>
        <v>41831.64583</v>
      </c>
      <c r="C248" s="2">
        <f>IFERROR(__xludf.DUMMYFUNCTION("""COMPUTED_VALUE"""),446.35)</f>
        <v>446.35</v>
      </c>
    </row>
    <row r="249" ht="15.75" customHeight="1">
      <c r="B249" s="3">
        <f>IFERROR(__xludf.DUMMYFUNCTION("""COMPUTED_VALUE"""),41838.645833333336)</f>
        <v>41838.64583</v>
      </c>
      <c r="C249" s="2">
        <f>IFERROR(__xludf.DUMMYFUNCTION("""COMPUTED_VALUE"""),474.0)</f>
        <v>474</v>
      </c>
    </row>
    <row r="250" ht="15.75" customHeight="1">
      <c r="B250" s="3">
        <f>IFERROR(__xludf.DUMMYFUNCTION("""COMPUTED_VALUE"""),41845.645833333336)</f>
        <v>41845.64583</v>
      </c>
      <c r="C250" s="2">
        <f>IFERROR(__xludf.DUMMYFUNCTION("""COMPUTED_VALUE"""),483.5)</f>
        <v>483.5</v>
      </c>
    </row>
    <row r="251" ht="15.75" customHeight="1">
      <c r="B251" s="3">
        <f>IFERROR(__xludf.DUMMYFUNCTION("""COMPUTED_VALUE"""),41852.645833333336)</f>
        <v>41852.64583</v>
      </c>
      <c r="C251" s="2">
        <f>IFERROR(__xludf.DUMMYFUNCTION("""COMPUTED_VALUE"""),489.8)</f>
        <v>489.8</v>
      </c>
    </row>
    <row r="252" ht="15.75" customHeight="1">
      <c r="B252" s="3">
        <f>IFERROR(__xludf.DUMMYFUNCTION("""COMPUTED_VALUE"""),41859.645833333336)</f>
        <v>41859.64583</v>
      </c>
      <c r="C252" s="2">
        <f>IFERROR(__xludf.DUMMYFUNCTION("""COMPUTED_VALUE"""),474.5)</f>
        <v>474.5</v>
      </c>
    </row>
    <row r="253" ht="15.75" customHeight="1">
      <c r="B253" s="3">
        <f>IFERROR(__xludf.DUMMYFUNCTION("""COMPUTED_VALUE"""),41865.645833333336)</f>
        <v>41865.64583</v>
      </c>
      <c r="C253" s="2">
        <f>IFERROR(__xludf.DUMMYFUNCTION("""COMPUTED_VALUE"""),485.0)</f>
        <v>485</v>
      </c>
    </row>
    <row r="254" ht="15.75" customHeight="1">
      <c r="B254" s="3">
        <f>IFERROR(__xludf.DUMMYFUNCTION("""COMPUTED_VALUE"""),41873.645833333336)</f>
        <v>41873.64583</v>
      </c>
      <c r="C254" s="2">
        <f>IFERROR(__xludf.DUMMYFUNCTION("""COMPUTED_VALUE"""),517.45)</f>
        <v>517.45</v>
      </c>
    </row>
    <row r="255" ht="15.75" customHeight="1">
      <c r="B255" s="3">
        <f>IFERROR(__xludf.DUMMYFUNCTION("""COMPUTED_VALUE"""),41879.645833333336)</f>
        <v>41879.64583</v>
      </c>
      <c r="C255" s="2">
        <f>IFERROR(__xludf.DUMMYFUNCTION("""COMPUTED_VALUE"""),529.98)</f>
        <v>529.98</v>
      </c>
    </row>
    <row r="256" ht="15.75" customHeight="1">
      <c r="B256" s="3">
        <f>IFERROR(__xludf.DUMMYFUNCTION("""COMPUTED_VALUE"""),41887.645833333336)</f>
        <v>41887.64583</v>
      </c>
      <c r="C256" s="2">
        <f>IFERROR(__xludf.DUMMYFUNCTION("""COMPUTED_VALUE"""),542.92)</f>
        <v>542.92</v>
      </c>
    </row>
    <row r="257" ht="15.75" customHeight="1">
      <c r="B257" s="3">
        <f>IFERROR(__xludf.DUMMYFUNCTION("""COMPUTED_VALUE"""),41894.645833333336)</f>
        <v>41894.64583</v>
      </c>
      <c r="C257" s="2">
        <f>IFERROR(__xludf.DUMMYFUNCTION("""COMPUTED_VALUE"""),543.3)</f>
        <v>543.3</v>
      </c>
    </row>
    <row r="258" ht="15.75" customHeight="1">
      <c r="B258" s="3">
        <f>IFERROR(__xludf.DUMMYFUNCTION("""COMPUTED_VALUE"""),41901.645833333336)</f>
        <v>41901.64583</v>
      </c>
      <c r="C258" s="2">
        <f>IFERROR(__xludf.DUMMYFUNCTION("""COMPUTED_VALUE"""),534.5)</f>
        <v>534.5</v>
      </c>
    </row>
    <row r="259" ht="15.75" customHeight="1">
      <c r="B259" s="3">
        <f>IFERROR(__xludf.DUMMYFUNCTION("""COMPUTED_VALUE"""),41908.645833333336)</f>
        <v>41908.64583</v>
      </c>
      <c r="C259" s="2">
        <f>IFERROR(__xludf.DUMMYFUNCTION("""COMPUTED_VALUE"""),530.0)</f>
        <v>530</v>
      </c>
    </row>
    <row r="260" ht="15.75" customHeight="1">
      <c r="B260" s="3">
        <f>IFERROR(__xludf.DUMMYFUNCTION("""COMPUTED_VALUE"""),41913.645833333336)</f>
        <v>41913.64583</v>
      </c>
      <c r="C260" s="2">
        <f>IFERROR(__xludf.DUMMYFUNCTION("""COMPUTED_VALUE"""),514.6)</f>
        <v>514.6</v>
      </c>
    </row>
    <row r="261" ht="15.75" customHeight="1">
      <c r="B261" s="3">
        <f>IFERROR(__xludf.DUMMYFUNCTION("""COMPUTED_VALUE"""),41922.645833333336)</f>
        <v>41922.64583</v>
      </c>
      <c r="C261" s="2">
        <f>IFERROR(__xludf.DUMMYFUNCTION("""COMPUTED_VALUE"""),513.2)</f>
        <v>513.2</v>
      </c>
    </row>
    <row r="262" ht="15.75" customHeight="1">
      <c r="B262" s="3">
        <f>IFERROR(__xludf.DUMMYFUNCTION("""COMPUTED_VALUE"""),41929.645833333336)</f>
        <v>41929.64583</v>
      </c>
      <c r="C262" s="2">
        <f>IFERROR(__xludf.DUMMYFUNCTION("""COMPUTED_VALUE"""),510.5)</f>
        <v>510.5</v>
      </c>
    </row>
    <row r="263" ht="15.75" customHeight="1">
      <c r="B263" s="3">
        <f>IFERROR(__xludf.DUMMYFUNCTION("""COMPUTED_VALUE"""),41935.645833333336)</f>
        <v>41935.64583</v>
      </c>
      <c r="C263" s="2">
        <f>IFERROR(__xludf.DUMMYFUNCTION("""COMPUTED_VALUE"""),535.0)</f>
        <v>535</v>
      </c>
    </row>
    <row r="264" ht="15.75" customHeight="1">
      <c r="B264" s="3">
        <f>IFERROR(__xludf.DUMMYFUNCTION("""COMPUTED_VALUE"""),41943.645833333336)</f>
        <v>41943.64583</v>
      </c>
      <c r="C264" s="2">
        <f>IFERROR(__xludf.DUMMYFUNCTION("""COMPUTED_VALUE"""),561.13)</f>
        <v>561.13</v>
      </c>
    </row>
    <row r="265" ht="15.75" customHeight="1">
      <c r="B265" s="3">
        <f>IFERROR(__xludf.DUMMYFUNCTION("""COMPUTED_VALUE"""),41950.645833333336)</f>
        <v>41950.64583</v>
      </c>
      <c r="C265" s="2">
        <f>IFERROR(__xludf.DUMMYFUNCTION("""COMPUTED_VALUE"""),570.0)</f>
        <v>570</v>
      </c>
    </row>
    <row r="266" ht="15.75" customHeight="1">
      <c r="B266" s="3">
        <f>IFERROR(__xludf.DUMMYFUNCTION("""COMPUTED_VALUE"""),41957.64583333333)</f>
        <v>41957.64583</v>
      </c>
      <c r="C266" s="2">
        <f>IFERROR(__xludf.DUMMYFUNCTION("""COMPUTED_VALUE"""),566.5)</f>
        <v>566.5</v>
      </c>
    </row>
    <row r="267" ht="15.75" customHeight="1">
      <c r="B267" s="3">
        <f>IFERROR(__xludf.DUMMYFUNCTION("""COMPUTED_VALUE"""),41964.64583333333)</f>
        <v>41964.64583</v>
      </c>
      <c r="C267" s="2">
        <f>IFERROR(__xludf.DUMMYFUNCTION("""COMPUTED_VALUE"""),632.35)</f>
        <v>632.35</v>
      </c>
    </row>
    <row r="268" ht="15.75" customHeight="1">
      <c r="B268" s="3">
        <f>IFERROR(__xludf.DUMMYFUNCTION("""COMPUTED_VALUE"""),41971.64583333333)</f>
        <v>41971.64583</v>
      </c>
      <c r="C268" s="2">
        <f>IFERROR(__xludf.DUMMYFUNCTION("""COMPUTED_VALUE"""),606.98)</f>
        <v>606.98</v>
      </c>
    </row>
    <row r="269" ht="15.75" customHeight="1">
      <c r="B269" s="3">
        <f>IFERROR(__xludf.DUMMYFUNCTION("""COMPUTED_VALUE"""),41978.64583333333)</f>
        <v>41978.64583</v>
      </c>
      <c r="C269" s="2">
        <f>IFERROR(__xludf.DUMMYFUNCTION("""COMPUTED_VALUE"""),624.5)</f>
        <v>624.5</v>
      </c>
    </row>
    <row r="270" ht="15.75" customHeight="1">
      <c r="B270" s="3">
        <f>IFERROR(__xludf.DUMMYFUNCTION("""COMPUTED_VALUE"""),41985.64583333333)</f>
        <v>41985.64583</v>
      </c>
      <c r="C270" s="2">
        <f>IFERROR(__xludf.DUMMYFUNCTION("""COMPUTED_VALUE"""),627.17)</f>
        <v>627.17</v>
      </c>
    </row>
    <row r="271" ht="15.75" customHeight="1">
      <c r="B271" s="3">
        <f>IFERROR(__xludf.DUMMYFUNCTION("""COMPUTED_VALUE"""),41992.64583333333)</f>
        <v>41992.64583</v>
      </c>
      <c r="C271" s="2">
        <f>IFERROR(__xludf.DUMMYFUNCTION("""COMPUTED_VALUE"""),657.75)</f>
        <v>657.75</v>
      </c>
    </row>
    <row r="272" ht="15.75" customHeight="1">
      <c r="B272" s="3">
        <f>IFERROR(__xludf.DUMMYFUNCTION("""COMPUTED_VALUE"""),41999.64583333333)</f>
        <v>41999.64583</v>
      </c>
      <c r="C272" s="2">
        <f>IFERROR(__xludf.DUMMYFUNCTION("""COMPUTED_VALUE"""),636.0)</f>
        <v>636</v>
      </c>
    </row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IFERROR(__xludf.DUMMYFUNCTION("GOOGLEFINANCE(""NSE:KOTAKBANK"", ""high"",DATE(2015,1,1),DATE(2016,1,1),""weekly"")"),"Date")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IFERROR(__xludf.DUMMYFUNCTION("""COMPUTED_VALUE"""),42006.64583333333)</f>
        <v>42006.64583</v>
      </c>
      <c r="C277" s="2">
        <f>IFERROR(__xludf.DUMMYFUNCTION("""COMPUTED_VALUE"""),639.5)</f>
        <v>639.5</v>
      </c>
    </row>
    <row r="278" ht="15.75" customHeight="1">
      <c r="B278" s="3">
        <f>IFERROR(__xludf.DUMMYFUNCTION("""COMPUTED_VALUE"""),42013.64583333333)</f>
        <v>42013.64583</v>
      </c>
      <c r="C278" s="2">
        <f>IFERROR(__xludf.DUMMYFUNCTION("""COMPUTED_VALUE"""),685.25)</f>
        <v>685.25</v>
      </c>
    </row>
    <row r="279" ht="15.75" customHeight="1">
      <c r="B279" s="3">
        <f>IFERROR(__xludf.DUMMYFUNCTION("""COMPUTED_VALUE"""),42020.64583333333)</f>
        <v>42020.64583</v>
      </c>
      <c r="C279" s="2">
        <f>IFERROR(__xludf.DUMMYFUNCTION("""COMPUTED_VALUE"""),722.0)</f>
        <v>722</v>
      </c>
    </row>
    <row r="280" ht="15.75" customHeight="1">
      <c r="B280" s="3">
        <f>IFERROR(__xludf.DUMMYFUNCTION("""COMPUTED_VALUE"""),42027.64583333333)</f>
        <v>42027.64583</v>
      </c>
      <c r="C280" s="2">
        <f>IFERROR(__xludf.DUMMYFUNCTION("""COMPUTED_VALUE"""),709.5)</f>
        <v>709.5</v>
      </c>
    </row>
    <row r="281" ht="15.75" customHeight="1">
      <c r="B281" s="3">
        <f>IFERROR(__xludf.DUMMYFUNCTION("""COMPUTED_VALUE"""),42034.64583333333)</f>
        <v>42034.64583</v>
      </c>
      <c r="C281" s="2">
        <f>IFERROR(__xludf.DUMMYFUNCTION("""COMPUTED_VALUE"""),696.5)</f>
        <v>696.5</v>
      </c>
    </row>
    <row r="282" ht="15.75" customHeight="1">
      <c r="B282" s="3">
        <f>IFERROR(__xludf.DUMMYFUNCTION("""COMPUTED_VALUE"""),42041.64583333333)</f>
        <v>42041.64583</v>
      </c>
      <c r="C282" s="2">
        <f>IFERROR(__xludf.DUMMYFUNCTION("""COMPUTED_VALUE"""),683.0)</f>
        <v>683</v>
      </c>
    </row>
    <row r="283" ht="15.75" customHeight="1">
      <c r="B283" s="3">
        <f>IFERROR(__xludf.DUMMYFUNCTION("""COMPUTED_VALUE"""),42048.64583333333)</f>
        <v>42048.64583</v>
      </c>
      <c r="C283" s="2">
        <f>IFERROR(__xludf.DUMMYFUNCTION("""COMPUTED_VALUE"""),661.4)</f>
        <v>661.4</v>
      </c>
    </row>
    <row r="284" ht="15.75" customHeight="1">
      <c r="B284" s="3">
        <f>IFERROR(__xludf.DUMMYFUNCTION("""COMPUTED_VALUE"""),42055.64583333333)</f>
        <v>42055.64583</v>
      </c>
      <c r="C284" s="2">
        <f>IFERROR(__xludf.DUMMYFUNCTION("""COMPUTED_VALUE"""),661.5)</f>
        <v>661.5</v>
      </c>
    </row>
    <row r="285" ht="15.75" customHeight="1">
      <c r="B285" s="3">
        <f>IFERROR(__xludf.DUMMYFUNCTION("""COMPUTED_VALUE"""),42068.64583333333)</f>
        <v>42068.64583</v>
      </c>
      <c r="C285" s="2">
        <f>IFERROR(__xludf.DUMMYFUNCTION("""COMPUTED_VALUE"""),728.88)</f>
        <v>728.88</v>
      </c>
    </row>
    <row r="286" ht="15.75" customHeight="1">
      <c r="B286" s="3">
        <f>IFERROR(__xludf.DUMMYFUNCTION("""COMPUTED_VALUE"""),42076.64583333333)</f>
        <v>42076.64583</v>
      </c>
      <c r="C286" s="2">
        <f>IFERROR(__xludf.DUMMYFUNCTION("""COMPUTED_VALUE"""),702.48)</f>
        <v>702.48</v>
      </c>
    </row>
    <row r="287" ht="15.75" customHeight="1">
      <c r="B287" s="3">
        <f>IFERROR(__xludf.DUMMYFUNCTION("""COMPUTED_VALUE"""),42083.64583333333)</f>
        <v>42083.64583</v>
      </c>
      <c r="C287" s="2">
        <f>IFERROR(__xludf.DUMMYFUNCTION("""COMPUTED_VALUE"""),681.38)</f>
        <v>681.38</v>
      </c>
    </row>
    <row r="288" ht="15.75" customHeight="1">
      <c r="B288" s="3">
        <f>IFERROR(__xludf.DUMMYFUNCTION("""COMPUTED_VALUE"""),42090.64583333333)</f>
        <v>42090.64583</v>
      </c>
      <c r="C288" s="2">
        <f>IFERROR(__xludf.DUMMYFUNCTION("""COMPUTED_VALUE"""),681.0)</f>
        <v>681</v>
      </c>
    </row>
    <row r="289" ht="15.75" customHeight="1">
      <c r="B289" s="3">
        <f>IFERROR(__xludf.DUMMYFUNCTION("""COMPUTED_VALUE"""),42095.64583333333)</f>
        <v>42095.64583</v>
      </c>
      <c r="C289" s="2">
        <f>IFERROR(__xludf.DUMMYFUNCTION("""COMPUTED_VALUE"""),684.4)</f>
        <v>684.4</v>
      </c>
    </row>
    <row r="290" ht="15.75" customHeight="1">
      <c r="B290" s="3">
        <f>IFERROR(__xludf.DUMMYFUNCTION("""COMPUTED_VALUE"""),42104.64583333333)</f>
        <v>42104.64583</v>
      </c>
      <c r="C290" s="2">
        <f>IFERROR(__xludf.DUMMYFUNCTION("""COMPUTED_VALUE"""),722.15)</f>
        <v>722.15</v>
      </c>
    </row>
    <row r="291" ht="15.75" customHeight="1">
      <c r="B291" s="3">
        <f>IFERROR(__xludf.DUMMYFUNCTION("""COMPUTED_VALUE"""),42111.64583333333)</f>
        <v>42111.64583</v>
      </c>
      <c r="C291" s="2">
        <f>IFERROR(__xludf.DUMMYFUNCTION("""COMPUTED_VALUE"""),737.65)</f>
        <v>737.65</v>
      </c>
    </row>
    <row r="292" ht="15.75" customHeight="1">
      <c r="B292" s="3">
        <f>IFERROR(__xludf.DUMMYFUNCTION("""COMPUTED_VALUE"""),42118.64583333333)</f>
        <v>42118.64583</v>
      </c>
      <c r="C292" s="2">
        <f>IFERROR(__xludf.DUMMYFUNCTION("""COMPUTED_VALUE"""),694.75)</f>
        <v>694.75</v>
      </c>
    </row>
    <row r="293" ht="15.75" customHeight="1">
      <c r="B293" s="3">
        <f>IFERROR(__xludf.DUMMYFUNCTION("""COMPUTED_VALUE"""),42124.64583333333)</f>
        <v>42124.64583</v>
      </c>
      <c r="C293" s="2">
        <f>IFERROR(__xludf.DUMMYFUNCTION("""COMPUTED_VALUE"""),692.0)</f>
        <v>692</v>
      </c>
    </row>
    <row r="294" ht="15.75" customHeight="1">
      <c r="B294" s="3">
        <f>IFERROR(__xludf.DUMMYFUNCTION("""COMPUTED_VALUE"""),42132.64583333333)</f>
        <v>42132.64583</v>
      </c>
      <c r="C294" s="2">
        <f>IFERROR(__xludf.DUMMYFUNCTION("""COMPUTED_VALUE"""),717.45)</f>
        <v>717.45</v>
      </c>
    </row>
    <row r="295" ht="15.75" customHeight="1">
      <c r="B295" s="3">
        <f>IFERROR(__xludf.DUMMYFUNCTION("""COMPUTED_VALUE"""),42139.64583333333)</f>
        <v>42139.64583</v>
      </c>
      <c r="C295" s="2">
        <f>IFERROR(__xludf.DUMMYFUNCTION("""COMPUTED_VALUE"""),675.9)</f>
        <v>675.9</v>
      </c>
    </row>
    <row r="296" ht="15.75" customHeight="1">
      <c r="B296" s="3">
        <f>IFERROR(__xludf.DUMMYFUNCTION("""COMPUTED_VALUE"""),42146.64583333333)</f>
        <v>42146.64583</v>
      </c>
      <c r="C296" s="2">
        <f>IFERROR(__xludf.DUMMYFUNCTION("""COMPUTED_VALUE"""),701.63)</f>
        <v>701.63</v>
      </c>
    </row>
    <row r="297" ht="15.75" customHeight="1">
      <c r="B297" s="3">
        <f>IFERROR(__xludf.DUMMYFUNCTION("""COMPUTED_VALUE"""),42153.64583333333)</f>
        <v>42153.64583</v>
      </c>
      <c r="C297" s="2">
        <f>IFERROR(__xludf.DUMMYFUNCTION("""COMPUTED_VALUE"""),702.5)</f>
        <v>702.5</v>
      </c>
    </row>
    <row r="298" ht="15.75" customHeight="1">
      <c r="B298" s="3">
        <f>IFERROR(__xludf.DUMMYFUNCTION("""COMPUTED_VALUE"""),42160.64583333333)</f>
        <v>42160.64583</v>
      </c>
      <c r="C298" s="2">
        <f>IFERROR(__xludf.DUMMYFUNCTION("""COMPUTED_VALUE"""),705.0)</f>
        <v>705</v>
      </c>
    </row>
    <row r="299" ht="15.75" customHeight="1">
      <c r="B299" s="3">
        <f>IFERROR(__xludf.DUMMYFUNCTION("""COMPUTED_VALUE"""),42167.64583333333)</f>
        <v>42167.64583</v>
      </c>
      <c r="C299" s="2">
        <f>IFERROR(__xludf.DUMMYFUNCTION("""COMPUTED_VALUE"""),682.43)</f>
        <v>682.43</v>
      </c>
    </row>
    <row r="300" ht="15.75" customHeight="1">
      <c r="B300" s="3">
        <f>IFERROR(__xludf.DUMMYFUNCTION("""COMPUTED_VALUE"""),42174.64583333333)</f>
        <v>42174.64583</v>
      </c>
      <c r="C300" s="2">
        <f>IFERROR(__xludf.DUMMYFUNCTION("""COMPUTED_VALUE"""),669.0)</f>
        <v>669</v>
      </c>
    </row>
    <row r="301" ht="15.75" customHeight="1">
      <c r="B301" s="3">
        <f>IFERROR(__xludf.DUMMYFUNCTION("""COMPUTED_VALUE"""),42181.64583333333)</f>
        <v>42181.64583</v>
      </c>
      <c r="C301" s="2">
        <f>IFERROR(__xludf.DUMMYFUNCTION("""COMPUTED_VALUE"""),707.1)</f>
        <v>707.1</v>
      </c>
    </row>
    <row r="302" ht="15.75" customHeight="1">
      <c r="B302" s="3">
        <f>IFERROR(__xludf.DUMMYFUNCTION("""COMPUTED_VALUE"""),42188.64583333333)</f>
        <v>42188.64583</v>
      </c>
      <c r="C302" s="2">
        <f>IFERROR(__xludf.DUMMYFUNCTION("""COMPUTED_VALUE"""),730.45)</f>
        <v>730.45</v>
      </c>
    </row>
    <row r="303" ht="15.75" customHeight="1">
      <c r="B303" s="3">
        <f>IFERROR(__xludf.DUMMYFUNCTION("""COMPUTED_VALUE"""),42195.64583333333)</f>
        <v>42195.64583</v>
      </c>
      <c r="C303" s="2">
        <f>IFERROR(__xludf.DUMMYFUNCTION("""COMPUTED_VALUE"""),732.0)</f>
        <v>732</v>
      </c>
    </row>
    <row r="304" ht="15.75" customHeight="1">
      <c r="B304" s="3">
        <f>IFERROR(__xludf.DUMMYFUNCTION("""COMPUTED_VALUE"""),42202.64583333333)</f>
        <v>42202.64583</v>
      </c>
      <c r="C304" s="2">
        <f>IFERROR(__xludf.DUMMYFUNCTION("""COMPUTED_VALUE"""),743.0)</f>
        <v>743</v>
      </c>
    </row>
    <row r="305" ht="15.75" customHeight="1">
      <c r="B305" s="3">
        <f>IFERROR(__xludf.DUMMYFUNCTION("""COMPUTED_VALUE"""),42209.64583333333)</f>
        <v>42209.64583</v>
      </c>
      <c r="C305" s="2">
        <f>IFERROR(__xludf.DUMMYFUNCTION("""COMPUTED_VALUE"""),744.8)</f>
        <v>744.8</v>
      </c>
    </row>
    <row r="306" ht="15.75" customHeight="1">
      <c r="B306" s="3">
        <f>IFERROR(__xludf.DUMMYFUNCTION("""COMPUTED_VALUE"""),42216.64583333333)</f>
        <v>42216.64583</v>
      </c>
      <c r="C306" s="2">
        <f>IFERROR(__xludf.DUMMYFUNCTION("""COMPUTED_VALUE"""),737.3)</f>
        <v>737.3</v>
      </c>
    </row>
    <row r="307" ht="15.75" customHeight="1">
      <c r="B307" s="3">
        <f>IFERROR(__xludf.DUMMYFUNCTION("""COMPUTED_VALUE"""),42223.64583333333)</f>
        <v>42223.64583</v>
      </c>
      <c r="C307" s="2">
        <f>IFERROR(__xludf.DUMMYFUNCTION("""COMPUTED_VALUE"""),712.5)</f>
        <v>712.5</v>
      </c>
    </row>
    <row r="308" ht="15.75" customHeight="1">
      <c r="B308" s="3">
        <f>IFERROR(__xludf.DUMMYFUNCTION("""COMPUTED_VALUE"""),42230.64583333333)</f>
        <v>42230.64583</v>
      </c>
      <c r="C308" s="2">
        <f>IFERROR(__xludf.DUMMYFUNCTION("""COMPUTED_VALUE"""),719.5)</f>
        <v>719.5</v>
      </c>
    </row>
    <row r="309" ht="15.75" customHeight="1">
      <c r="B309" s="3">
        <f>IFERROR(__xludf.DUMMYFUNCTION("""COMPUTED_VALUE"""),42237.64583333333)</f>
        <v>42237.64583</v>
      </c>
      <c r="C309" s="2">
        <f>IFERROR(__xludf.DUMMYFUNCTION("""COMPUTED_VALUE"""),724.75)</f>
        <v>724.75</v>
      </c>
    </row>
    <row r="310" ht="15.75" customHeight="1">
      <c r="B310" s="3">
        <f>IFERROR(__xludf.DUMMYFUNCTION("""COMPUTED_VALUE"""),42244.64583333333)</f>
        <v>42244.64583</v>
      </c>
      <c r="C310" s="2">
        <f>IFERROR(__xludf.DUMMYFUNCTION("""COMPUTED_VALUE"""),674.75)</f>
        <v>674.75</v>
      </c>
    </row>
    <row r="311" ht="15.75" customHeight="1">
      <c r="B311" s="3">
        <f>IFERROR(__xludf.DUMMYFUNCTION("""COMPUTED_VALUE"""),42251.64583333333)</f>
        <v>42251.64583</v>
      </c>
      <c r="C311" s="2">
        <f>IFERROR(__xludf.DUMMYFUNCTION("""COMPUTED_VALUE"""),658.9)</f>
        <v>658.9</v>
      </c>
    </row>
    <row r="312" ht="15.75" customHeight="1">
      <c r="B312" s="3">
        <f>IFERROR(__xludf.DUMMYFUNCTION("""COMPUTED_VALUE"""),42258.64583333333)</f>
        <v>42258.64583</v>
      </c>
      <c r="C312" s="2">
        <f>IFERROR(__xludf.DUMMYFUNCTION("""COMPUTED_VALUE"""),642.0)</f>
        <v>642</v>
      </c>
    </row>
    <row r="313" ht="15.75" customHeight="1">
      <c r="B313" s="3">
        <f>IFERROR(__xludf.DUMMYFUNCTION("""COMPUTED_VALUE"""),42265.64583333333)</f>
        <v>42265.64583</v>
      </c>
      <c r="C313" s="2">
        <f>IFERROR(__xludf.DUMMYFUNCTION("""COMPUTED_VALUE"""),668.0)</f>
        <v>668</v>
      </c>
    </row>
    <row r="314" ht="15.75" customHeight="1">
      <c r="B314" s="3">
        <f>IFERROR(__xludf.DUMMYFUNCTION("""COMPUTED_VALUE"""),42271.64583333333)</f>
        <v>42271.64583</v>
      </c>
      <c r="C314" s="2">
        <f>IFERROR(__xludf.DUMMYFUNCTION("""COMPUTED_VALUE"""),670.0)</f>
        <v>670</v>
      </c>
    </row>
    <row r="315" ht="15.75" customHeight="1">
      <c r="B315" s="3">
        <f>IFERROR(__xludf.DUMMYFUNCTION("""COMPUTED_VALUE"""),42278.64583333333)</f>
        <v>42278.64583</v>
      </c>
      <c r="C315" s="2">
        <f>IFERROR(__xludf.DUMMYFUNCTION("""COMPUTED_VALUE"""),659.9)</f>
        <v>659.9</v>
      </c>
    </row>
    <row r="316" ht="15.75" customHeight="1">
      <c r="B316" s="3">
        <f>IFERROR(__xludf.DUMMYFUNCTION("""COMPUTED_VALUE"""),42286.64583333333)</f>
        <v>42286.64583</v>
      </c>
      <c r="C316" s="2">
        <f>IFERROR(__xludf.DUMMYFUNCTION("""COMPUTED_VALUE"""),665.0)</f>
        <v>665</v>
      </c>
    </row>
    <row r="317" ht="15.75" customHeight="1">
      <c r="B317" s="3">
        <f>IFERROR(__xludf.DUMMYFUNCTION("""COMPUTED_VALUE"""),42300.64583333333)</f>
        <v>42300.64583</v>
      </c>
      <c r="C317" s="2">
        <f>IFERROR(__xludf.DUMMYFUNCTION("""COMPUTED_VALUE"""),668.0)</f>
        <v>668</v>
      </c>
    </row>
    <row r="318" ht="15.75" customHeight="1">
      <c r="B318" s="3">
        <f>IFERROR(__xludf.DUMMYFUNCTION("""COMPUTED_VALUE"""),42307.64583333333)</f>
        <v>42307.64583</v>
      </c>
      <c r="C318" s="2">
        <f>IFERROR(__xludf.DUMMYFUNCTION("""COMPUTED_VALUE"""),693.8)</f>
        <v>693.8</v>
      </c>
    </row>
    <row r="319" ht="15.75" customHeight="1">
      <c r="B319" s="3">
        <f>IFERROR(__xludf.DUMMYFUNCTION("""COMPUTED_VALUE"""),42314.64583333333)</f>
        <v>42314.64583</v>
      </c>
      <c r="C319" s="2">
        <f>IFERROR(__xludf.DUMMYFUNCTION("""COMPUTED_VALUE"""),690.0)</f>
        <v>690</v>
      </c>
    </row>
    <row r="320" ht="15.75" customHeight="1">
      <c r="B320" s="3">
        <f>IFERROR(__xludf.DUMMYFUNCTION("""COMPUTED_VALUE"""),42321.64583333333)</f>
        <v>42321.64583</v>
      </c>
      <c r="C320" s="2">
        <f>IFERROR(__xludf.DUMMYFUNCTION("""COMPUTED_VALUE"""),673.85)</f>
        <v>673.85</v>
      </c>
    </row>
    <row r="321" ht="15.75" customHeight="1">
      <c r="B321" s="3">
        <f>IFERROR(__xludf.DUMMYFUNCTION("""COMPUTED_VALUE"""),42328.64583333333)</f>
        <v>42328.64583</v>
      </c>
      <c r="C321" s="2">
        <f>IFERROR(__xludf.DUMMYFUNCTION("""COMPUTED_VALUE"""),692.65)</f>
        <v>692.65</v>
      </c>
    </row>
    <row r="322" ht="15.75" customHeight="1">
      <c r="B322" s="3">
        <f>IFERROR(__xludf.DUMMYFUNCTION("""COMPUTED_VALUE"""),42335.64583333333)</f>
        <v>42335.64583</v>
      </c>
      <c r="C322" s="2">
        <f>IFERROR(__xludf.DUMMYFUNCTION("""COMPUTED_VALUE"""),702.95)</f>
        <v>702.95</v>
      </c>
    </row>
    <row r="323" ht="15.75" customHeight="1">
      <c r="B323" s="3">
        <f>IFERROR(__xludf.DUMMYFUNCTION("""COMPUTED_VALUE"""),42342.64583333333)</f>
        <v>42342.64583</v>
      </c>
      <c r="C323" s="2">
        <f>IFERROR(__xludf.DUMMYFUNCTION("""COMPUTED_VALUE"""),695.5)</f>
        <v>695.5</v>
      </c>
    </row>
    <row r="324" ht="15.75" customHeight="1">
      <c r="B324" s="3">
        <f>IFERROR(__xludf.DUMMYFUNCTION("""COMPUTED_VALUE"""),42349.64583333333)</f>
        <v>42349.64583</v>
      </c>
      <c r="C324" s="2">
        <f>IFERROR(__xludf.DUMMYFUNCTION("""COMPUTED_VALUE"""),682.0)</f>
        <v>682</v>
      </c>
    </row>
    <row r="325" ht="15.75" customHeight="1">
      <c r="B325" s="3">
        <f>IFERROR(__xludf.DUMMYFUNCTION("""COMPUTED_VALUE"""),42356.64583333333)</f>
        <v>42356.64583</v>
      </c>
      <c r="C325" s="2">
        <f>IFERROR(__xludf.DUMMYFUNCTION("""COMPUTED_VALUE"""),706.0)</f>
        <v>706</v>
      </c>
    </row>
    <row r="326" ht="15.75" customHeight="1">
      <c r="B326" s="3">
        <f>IFERROR(__xludf.DUMMYFUNCTION("""COMPUTED_VALUE"""),42362.64583333333)</f>
        <v>42362.64583</v>
      </c>
      <c r="C326" s="2">
        <f>IFERROR(__xludf.DUMMYFUNCTION("""COMPUTED_VALUE"""),708.0)</f>
        <v>708</v>
      </c>
    </row>
    <row r="327" ht="15.75" customHeight="1">
      <c r="B327" s="3">
        <f>IFERROR(__xludf.DUMMYFUNCTION("""COMPUTED_VALUE"""),42370.64583333333)</f>
        <v>42370.64583</v>
      </c>
      <c r="C327" s="2">
        <f>IFERROR(__xludf.DUMMYFUNCTION("""COMPUTED_VALUE"""),729.85)</f>
        <v>729.85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IFERROR(__xludf.DUMMYFUNCTION("GOOGLEFINANCE(""NSE:KOTAKBANK"", ""high"",DATE(2016,1,1),DATE(2017,1,1),""weekly"")"),"Date")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IFERROR(__xludf.DUMMYFUNCTION("""COMPUTED_VALUE"""),42377.64583333333)</f>
        <v>42377.64583</v>
      </c>
      <c r="C332" s="2">
        <f>IFERROR(__xludf.DUMMYFUNCTION("""COMPUTED_VALUE"""),727.0)</f>
        <v>727</v>
      </c>
    </row>
    <row r="333" ht="15.75" customHeight="1">
      <c r="B333" s="3">
        <f>IFERROR(__xludf.DUMMYFUNCTION("""COMPUTED_VALUE"""),42384.64583333333)</f>
        <v>42384.64583</v>
      </c>
      <c r="C333" s="2">
        <f>IFERROR(__xludf.DUMMYFUNCTION("""COMPUTED_VALUE"""),704.75)</f>
        <v>704.75</v>
      </c>
    </row>
    <row r="334" ht="15.75" customHeight="1">
      <c r="B334" s="3">
        <f>IFERROR(__xludf.DUMMYFUNCTION("""COMPUTED_VALUE"""),42391.64583333333)</f>
        <v>42391.64583</v>
      </c>
      <c r="C334" s="2">
        <f>IFERROR(__xludf.DUMMYFUNCTION("""COMPUTED_VALUE"""),700.0)</f>
        <v>700</v>
      </c>
    </row>
    <row r="335" ht="15.75" customHeight="1">
      <c r="B335" s="3">
        <f>IFERROR(__xludf.DUMMYFUNCTION("""COMPUTED_VALUE"""),42398.64583333333)</f>
        <v>42398.64583</v>
      </c>
      <c r="C335" s="2">
        <f>IFERROR(__xludf.DUMMYFUNCTION("""COMPUTED_VALUE"""),686.0)</f>
        <v>686</v>
      </c>
    </row>
    <row r="336" ht="15.75" customHeight="1">
      <c r="B336" s="3">
        <f>IFERROR(__xludf.DUMMYFUNCTION("""COMPUTED_VALUE"""),42405.64583333333)</f>
        <v>42405.64583</v>
      </c>
      <c r="C336" s="2">
        <f>IFERROR(__xludf.DUMMYFUNCTION("""COMPUTED_VALUE"""),697.3)</f>
        <v>697.3</v>
      </c>
    </row>
    <row r="337" ht="15.75" customHeight="1">
      <c r="B337" s="3">
        <f>IFERROR(__xludf.DUMMYFUNCTION("""COMPUTED_VALUE"""),42419.64583333333)</f>
        <v>42419.64583</v>
      </c>
      <c r="C337" s="2">
        <f>IFERROR(__xludf.DUMMYFUNCTION("""COMPUTED_VALUE"""),639.9)</f>
        <v>639.9</v>
      </c>
    </row>
    <row r="338" ht="15.75" customHeight="1">
      <c r="B338" s="3">
        <f>IFERROR(__xludf.DUMMYFUNCTION("""COMPUTED_VALUE"""),42426.64583333333)</f>
        <v>42426.64583</v>
      </c>
      <c r="C338" s="2">
        <f>IFERROR(__xludf.DUMMYFUNCTION("""COMPUTED_VALUE"""),642.2)</f>
        <v>642.2</v>
      </c>
    </row>
    <row r="339" ht="15.75" customHeight="1">
      <c r="B339" s="3">
        <f>IFERROR(__xludf.DUMMYFUNCTION("""COMPUTED_VALUE"""),42433.64583333333)</f>
        <v>42433.64583</v>
      </c>
      <c r="C339" s="2">
        <f>IFERROR(__xludf.DUMMYFUNCTION("""COMPUTED_VALUE"""),669.85)</f>
        <v>669.85</v>
      </c>
    </row>
    <row r="340" ht="15.75" customHeight="1">
      <c r="B340" s="3">
        <f>IFERROR(__xludf.DUMMYFUNCTION("""COMPUTED_VALUE"""),42440.64583333333)</f>
        <v>42440.64583</v>
      </c>
      <c r="C340" s="2">
        <f>IFERROR(__xludf.DUMMYFUNCTION("""COMPUTED_VALUE"""),670.0)</f>
        <v>670</v>
      </c>
    </row>
    <row r="341" ht="15.75" customHeight="1">
      <c r="B341" s="3">
        <f>IFERROR(__xludf.DUMMYFUNCTION("""COMPUTED_VALUE"""),42447.64583333333)</f>
        <v>42447.64583</v>
      </c>
      <c r="C341" s="2">
        <f>IFERROR(__xludf.DUMMYFUNCTION("""COMPUTED_VALUE"""),660.95)</f>
        <v>660.95</v>
      </c>
    </row>
    <row r="342" ht="15.75" customHeight="1">
      <c r="B342" s="3">
        <f>IFERROR(__xludf.DUMMYFUNCTION("""COMPUTED_VALUE"""),42452.64583333333)</f>
        <v>42452.64583</v>
      </c>
      <c r="C342" s="2">
        <f>IFERROR(__xludf.DUMMYFUNCTION("""COMPUTED_VALUE"""),675.8)</f>
        <v>675.8</v>
      </c>
    </row>
    <row r="343" ht="15.75" customHeight="1">
      <c r="B343" s="3">
        <f>IFERROR(__xludf.DUMMYFUNCTION("""COMPUTED_VALUE"""),42461.64583333333)</f>
        <v>42461.64583</v>
      </c>
      <c r="C343" s="2">
        <f>IFERROR(__xludf.DUMMYFUNCTION("""COMPUTED_VALUE"""),694.9)</f>
        <v>694.9</v>
      </c>
    </row>
    <row r="344" ht="15.75" customHeight="1">
      <c r="B344" s="3">
        <f>IFERROR(__xludf.DUMMYFUNCTION("""COMPUTED_VALUE"""),42468.64583333333)</f>
        <v>42468.64583</v>
      </c>
      <c r="C344" s="2">
        <f>IFERROR(__xludf.DUMMYFUNCTION("""COMPUTED_VALUE"""),689.3)</f>
        <v>689.3</v>
      </c>
    </row>
    <row r="345" ht="15.75" customHeight="1">
      <c r="B345" s="3">
        <f>IFERROR(__xludf.DUMMYFUNCTION("""COMPUTED_VALUE"""),42473.64583333333)</f>
        <v>42473.64583</v>
      </c>
      <c r="C345" s="2">
        <f>IFERROR(__xludf.DUMMYFUNCTION("""COMPUTED_VALUE"""),699.95)</f>
        <v>699.95</v>
      </c>
    </row>
    <row r="346" ht="15.75" customHeight="1">
      <c r="B346" s="3">
        <f>IFERROR(__xludf.DUMMYFUNCTION("""COMPUTED_VALUE"""),42482.64583333333)</f>
        <v>42482.64583</v>
      </c>
      <c r="C346" s="2">
        <f>IFERROR(__xludf.DUMMYFUNCTION("""COMPUTED_VALUE"""),692.0)</f>
        <v>692</v>
      </c>
    </row>
    <row r="347" ht="15.75" customHeight="1">
      <c r="B347" s="3">
        <f>IFERROR(__xludf.DUMMYFUNCTION("""COMPUTED_VALUE"""),42489.64583333333)</f>
        <v>42489.64583</v>
      </c>
      <c r="C347" s="2">
        <f>IFERROR(__xludf.DUMMYFUNCTION("""COMPUTED_VALUE"""),719.8)</f>
        <v>719.8</v>
      </c>
    </row>
    <row r="348" ht="15.75" customHeight="1">
      <c r="B348" s="3">
        <f>IFERROR(__xludf.DUMMYFUNCTION("""COMPUTED_VALUE"""),42496.64583333333)</f>
        <v>42496.64583</v>
      </c>
      <c r="C348" s="2">
        <f>IFERROR(__xludf.DUMMYFUNCTION("""COMPUTED_VALUE"""),724.75)</f>
        <v>724.75</v>
      </c>
    </row>
    <row r="349" ht="15.75" customHeight="1">
      <c r="B349" s="3">
        <f>IFERROR(__xludf.DUMMYFUNCTION("""COMPUTED_VALUE"""),42503.64583333333)</f>
        <v>42503.64583</v>
      </c>
      <c r="C349" s="2">
        <f>IFERROR(__xludf.DUMMYFUNCTION("""COMPUTED_VALUE"""),743.75)</f>
        <v>743.75</v>
      </c>
    </row>
    <row r="350" ht="15.75" customHeight="1">
      <c r="B350" s="3">
        <f>IFERROR(__xludf.DUMMYFUNCTION("""COMPUTED_VALUE"""),42510.64583333333)</f>
        <v>42510.64583</v>
      </c>
      <c r="C350" s="2">
        <f>IFERROR(__xludf.DUMMYFUNCTION("""COMPUTED_VALUE"""),725.0)</f>
        <v>725</v>
      </c>
    </row>
    <row r="351" ht="15.75" customHeight="1">
      <c r="B351" s="3">
        <f>IFERROR(__xludf.DUMMYFUNCTION("""COMPUTED_VALUE"""),42517.64583333333)</f>
        <v>42517.64583</v>
      </c>
      <c r="C351" s="2">
        <f>IFERROR(__xludf.DUMMYFUNCTION("""COMPUTED_VALUE"""),744.65)</f>
        <v>744.65</v>
      </c>
    </row>
    <row r="352" ht="15.75" customHeight="1">
      <c r="B352" s="3">
        <f>IFERROR(__xludf.DUMMYFUNCTION("""COMPUTED_VALUE"""),42524.64583333333)</f>
        <v>42524.64583</v>
      </c>
      <c r="C352" s="2">
        <f>IFERROR(__xludf.DUMMYFUNCTION("""COMPUTED_VALUE"""),772.45)</f>
        <v>772.45</v>
      </c>
    </row>
    <row r="353" ht="15.75" customHeight="1">
      <c r="B353" s="3">
        <f>IFERROR(__xludf.DUMMYFUNCTION("""COMPUTED_VALUE"""),42531.64583333333)</f>
        <v>42531.64583</v>
      </c>
      <c r="C353" s="2">
        <f>IFERROR(__xludf.DUMMYFUNCTION("""COMPUTED_VALUE"""),778.85)</f>
        <v>778.85</v>
      </c>
    </row>
    <row r="354" ht="15.75" customHeight="1">
      <c r="B354" s="3">
        <f>IFERROR(__xludf.DUMMYFUNCTION("""COMPUTED_VALUE"""),42538.64583333333)</f>
        <v>42538.64583</v>
      </c>
      <c r="C354" s="2">
        <f>IFERROR(__xludf.DUMMYFUNCTION("""COMPUTED_VALUE"""),768.1)</f>
        <v>768.1</v>
      </c>
    </row>
    <row r="355" ht="15.75" customHeight="1">
      <c r="B355" s="3">
        <f>IFERROR(__xludf.DUMMYFUNCTION("""COMPUTED_VALUE"""),42545.64583333333)</f>
        <v>42545.64583</v>
      </c>
      <c r="C355" s="2">
        <f>IFERROR(__xludf.DUMMYFUNCTION("""COMPUTED_VALUE"""),756.8)</f>
        <v>756.8</v>
      </c>
    </row>
    <row r="356" ht="15.75" customHeight="1">
      <c r="B356" s="3">
        <f>IFERROR(__xludf.DUMMYFUNCTION("""COMPUTED_VALUE"""),42552.64583333333)</f>
        <v>42552.64583</v>
      </c>
      <c r="C356" s="2">
        <f>IFERROR(__xludf.DUMMYFUNCTION("""COMPUTED_VALUE"""),766.55)</f>
        <v>766.55</v>
      </c>
    </row>
    <row r="357" ht="15.75" customHeight="1">
      <c r="B357" s="3">
        <f>IFERROR(__xludf.DUMMYFUNCTION("""COMPUTED_VALUE"""),42559.64583333333)</f>
        <v>42559.64583</v>
      </c>
      <c r="C357" s="2">
        <f>IFERROR(__xludf.DUMMYFUNCTION("""COMPUTED_VALUE"""),756.25)</f>
        <v>756.25</v>
      </c>
    </row>
    <row r="358" ht="15.75" customHeight="1">
      <c r="B358" s="3">
        <f>IFERROR(__xludf.DUMMYFUNCTION("""COMPUTED_VALUE"""),42566.64583333333)</f>
        <v>42566.64583</v>
      </c>
      <c r="C358" s="2">
        <f>IFERROR(__xludf.DUMMYFUNCTION("""COMPUTED_VALUE"""),784.0)</f>
        <v>784</v>
      </c>
    </row>
    <row r="359" ht="15.75" customHeight="1">
      <c r="B359" s="3">
        <f>IFERROR(__xludf.DUMMYFUNCTION("""COMPUTED_VALUE"""),42573.64583333333)</f>
        <v>42573.64583</v>
      </c>
      <c r="C359" s="2">
        <f>IFERROR(__xludf.DUMMYFUNCTION("""COMPUTED_VALUE"""),787.5)</f>
        <v>787.5</v>
      </c>
    </row>
    <row r="360" ht="15.75" customHeight="1">
      <c r="B360" s="3">
        <f>IFERROR(__xludf.DUMMYFUNCTION("""COMPUTED_VALUE"""),42580.64583333333)</f>
        <v>42580.64583</v>
      </c>
      <c r="C360" s="2">
        <f>IFERROR(__xludf.DUMMYFUNCTION("""COMPUTED_VALUE"""),773.2)</f>
        <v>773.2</v>
      </c>
    </row>
    <row r="361" ht="15.75" customHeight="1">
      <c r="B361" s="3">
        <f>IFERROR(__xludf.DUMMYFUNCTION("""COMPUTED_VALUE"""),42587.64583333333)</f>
        <v>42587.64583</v>
      </c>
      <c r="C361" s="2">
        <f>IFERROR(__xludf.DUMMYFUNCTION("""COMPUTED_VALUE"""),776.0)</f>
        <v>776</v>
      </c>
    </row>
    <row r="362" ht="15.75" customHeight="1">
      <c r="B362" s="3">
        <f>IFERROR(__xludf.DUMMYFUNCTION("""COMPUTED_VALUE"""),42594.64583333333)</f>
        <v>42594.64583</v>
      </c>
      <c r="C362" s="2">
        <f>IFERROR(__xludf.DUMMYFUNCTION("""COMPUTED_VALUE"""),781.8)</f>
        <v>781.8</v>
      </c>
    </row>
    <row r="363" ht="15.75" customHeight="1">
      <c r="B363" s="3">
        <f>IFERROR(__xludf.DUMMYFUNCTION("""COMPUTED_VALUE"""),42601.64583333333)</f>
        <v>42601.64583</v>
      </c>
      <c r="C363" s="2">
        <f>IFERROR(__xludf.DUMMYFUNCTION("""COMPUTED_VALUE"""),785.95)</f>
        <v>785.95</v>
      </c>
    </row>
    <row r="364" ht="15.75" customHeight="1">
      <c r="B364" s="3">
        <f>IFERROR(__xludf.DUMMYFUNCTION("""COMPUTED_VALUE"""),42608.64583333333)</f>
        <v>42608.64583</v>
      </c>
      <c r="C364" s="2">
        <f>IFERROR(__xludf.DUMMYFUNCTION("""COMPUTED_VALUE"""),789.0)</f>
        <v>789</v>
      </c>
    </row>
    <row r="365" ht="15.75" customHeight="1">
      <c r="B365" s="3">
        <f>IFERROR(__xludf.DUMMYFUNCTION("""COMPUTED_VALUE"""),42615.64583333333)</f>
        <v>42615.64583</v>
      </c>
      <c r="C365" s="2">
        <f>IFERROR(__xludf.DUMMYFUNCTION("""COMPUTED_VALUE"""),817.45)</f>
        <v>817.45</v>
      </c>
    </row>
    <row r="366" ht="15.75" customHeight="1">
      <c r="B366" s="3">
        <f>IFERROR(__xludf.DUMMYFUNCTION("""COMPUTED_VALUE"""),42622.64583333333)</f>
        <v>42622.64583</v>
      </c>
      <c r="C366" s="2">
        <f>IFERROR(__xludf.DUMMYFUNCTION("""COMPUTED_VALUE"""),825.4)</f>
        <v>825.4</v>
      </c>
    </row>
    <row r="367" ht="15.75" customHeight="1">
      <c r="B367" s="3">
        <f>IFERROR(__xludf.DUMMYFUNCTION("""COMPUTED_VALUE"""),42629.64583333333)</f>
        <v>42629.64583</v>
      </c>
      <c r="C367" s="2">
        <f>IFERROR(__xludf.DUMMYFUNCTION("""COMPUTED_VALUE"""),820.0)</f>
        <v>820</v>
      </c>
    </row>
    <row r="368" ht="15.75" customHeight="1">
      <c r="B368" s="3">
        <f>IFERROR(__xludf.DUMMYFUNCTION("""COMPUTED_VALUE"""),42636.64583333333)</f>
        <v>42636.64583</v>
      </c>
      <c r="C368" s="2">
        <f>IFERROR(__xludf.DUMMYFUNCTION("""COMPUTED_VALUE"""),812.2)</f>
        <v>812.2</v>
      </c>
    </row>
    <row r="369" ht="15.75" customHeight="1">
      <c r="B369" s="3">
        <f>IFERROR(__xludf.DUMMYFUNCTION("""COMPUTED_VALUE"""),42643.64583333333)</f>
        <v>42643.64583</v>
      </c>
      <c r="C369" s="2">
        <f>IFERROR(__xludf.DUMMYFUNCTION("""COMPUTED_VALUE"""),799.45)</f>
        <v>799.45</v>
      </c>
    </row>
    <row r="370" ht="15.75" customHeight="1">
      <c r="B370" s="3">
        <f>IFERROR(__xludf.DUMMYFUNCTION("""COMPUTED_VALUE"""),42650.64583333333)</f>
        <v>42650.64583</v>
      </c>
      <c r="C370" s="2">
        <f>IFERROR(__xludf.DUMMYFUNCTION("""COMPUTED_VALUE"""),796.6)</f>
        <v>796.6</v>
      </c>
    </row>
    <row r="371" ht="15.75" customHeight="1">
      <c r="B371" s="3">
        <f>IFERROR(__xludf.DUMMYFUNCTION("""COMPUTED_VALUE"""),42657.64583333333)</f>
        <v>42657.64583</v>
      </c>
      <c r="C371" s="2">
        <f>IFERROR(__xludf.DUMMYFUNCTION("""COMPUTED_VALUE"""),785.5)</f>
        <v>785.5</v>
      </c>
    </row>
    <row r="372" ht="15.75" customHeight="1">
      <c r="B372" s="3">
        <f>IFERROR(__xludf.DUMMYFUNCTION("""COMPUTED_VALUE"""),42664.64583333333)</f>
        <v>42664.64583</v>
      </c>
      <c r="C372" s="2">
        <f>IFERROR(__xludf.DUMMYFUNCTION("""COMPUTED_VALUE"""),785.0)</f>
        <v>785</v>
      </c>
    </row>
    <row r="373" ht="15.75" customHeight="1">
      <c r="B373" s="3">
        <f>IFERROR(__xludf.DUMMYFUNCTION("""COMPUTED_VALUE"""),42671.64583333333)</f>
        <v>42671.64583</v>
      </c>
      <c r="C373" s="2">
        <f>IFERROR(__xludf.DUMMYFUNCTION("""COMPUTED_VALUE"""),822.0)</f>
        <v>822</v>
      </c>
    </row>
    <row r="374" ht="15.75" customHeight="1">
      <c r="B374" s="3">
        <f>IFERROR(__xludf.DUMMYFUNCTION("""COMPUTED_VALUE"""),42678.64583333333)</f>
        <v>42678.64583</v>
      </c>
      <c r="C374" s="2">
        <f>IFERROR(__xludf.DUMMYFUNCTION("""COMPUTED_VALUE"""),826.0)</f>
        <v>826</v>
      </c>
    </row>
    <row r="375" ht="15.75" customHeight="1">
      <c r="B375" s="3">
        <f>IFERROR(__xludf.DUMMYFUNCTION("""COMPUTED_VALUE"""),42685.64583333333)</f>
        <v>42685.64583</v>
      </c>
      <c r="C375" s="2">
        <f>IFERROR(__xludf.DUMMYFUNCTION("""COMPUTED_VALUE"""),833.45)</f>
        <v>833.45</v>
      </c>
    </row>
    <row r="376" ht="15.75" customHeight="1">
      <c r="B376" s="3">
        <f>IFERROR(__xludf.DUMMYFUNCTION("""COMPUTED_VALUE"""),42692.64583333333)</f>
        <v>42692.64583</v>
      </c>
      <c r="C376" s="2">
        <f>IFERROR(__xludf.DUMMYFUNCTION("""COMPUTED_VALUE"""),818.5)</f>
        <v>818.5</v>
      </c>
    </row>
    <row r="377" ht="15.75" customHeight="1">
      <c r="B377" s="3">
        <f>IFERROR(__xludf.DUMMYFUNCTION("""COMPUTED_VALUE"""),42699.64583333333)</f>
        <v>42699.64583</v>
      </c>
      <c r="C377" s="2">
        <f>IFERROR(__xludf.DUMMYFUNCTION("""COMPUTED_VALUE"""),780.95)</f>
        <v>780.95</v>
      </c>
    </row>
    <row r="378" ht="15.75" customHeight="1">
      <c r="B378" s="3">
        <f>IFERROR(__xludf.DUMMYFUNCTION("""COMPUTED_VALUE"""),42706.64583333333)</f>
        <v>42706.64583</v>
      </c>
      <c r="C378" s="2">
        <f>IFERROR(__xludf.DUMMYFUNCTION("""COMPUTED_VALUE"""),760.0)</f>
        <v>760</v>
      </c>
    </row>
    <row r="379" ht="15.75" customHeight="1">
      <c r="B379" s="3">
        <f>IFERROR(__xludf.DUMMYFUNCTION("""COMPUTED_VALUE"""),42713.64583333333)</f>
        <v>42713.64583</v>
      </c>
      <c r="C379" s="2">
        <f>IFERROR(__xludf.DUMMYFUNCTION("""COMPUTED_VALUE"""),752.5)</f>
        <v>752.5</v>
      </c>
    </row>
    <row r="380" ht="15.75" customHeight="1">
      <c r="B380" s="3">
        <f>IFERROR(__xludf.DUMMYFUNCTION("""COMPUTED_VALUE"""),42720.64583333333)</f>
        <v>42720.64583</v>
      </c>
      <c r="C380" s="2">
        <f>IFERROR(__xludf.DUMMYFUNCTION("""COMPUTED_VALUE"""),746.5)</f>
        <v>746.5</v>
      </c>
    </row>
    <row r="381" ht="15.75" customHeight="1">
      <c r="B381" s="3">
        <f>IFERROR(__xludf.DUMMYFUNCTION("""COMPUTED_VALUE"""),42727.64583333333)</f>
        <v>42727.64583</v>
      </c>
      <c r="C381" s="2">
        <f>IFERROR(__xludf.DUMMYFUNCTION("""COMPUTED_VALUE"""),726.5)</f>
        <v>726.5</v>
      </c>
    </row>
    <row r="382" ht="15.75" customHeight="1">
      <c r="B382" s="3">
        <f>IFERROR(__xludf.DUMMYFUNCTION("""COMPUTED_VALUE"""),42734.64583333333)</f>
        <v>42734.64583</v>
      </c>
      <c r="C382" s="2">
        <f>IFERROR(__xludf.DUMMYFUNCTION("""COMPUTED_VALUE"""),722.75)</f>
        <v>722.75</v>
      </c>
    </row>
    <row r="383" ht="15.75" customHeight="1"/>
    <row r="384" ht="15.75" customHeight="1"/>
    <row r="385" ht="15.75" customHeight="1"/>
    <row r="386" ht="15.75" customHeight="1">
      <c r="B386" s="2" t="str">
        <f>IFERROR(__xludf.DUMMYFUNCTION("GOOGLEFINANCE(""NSE:KOTAKBANK"", ""high"",DATE(2017,1,1),DATE(2018,1,1),""weekly"")"),"Date")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IFERROR(__xludf.DUMMYFUNCTION("""COMPUTED_VALUE"""),42741.64583333333)</f>
        <v>42741.64583</v>
      </c>
      <c r="C387" s="2">
        <f>IFERROR(__xludf.DUMMYFUNCTION("""COMPUTED_VALUE"""),721.0)</f>
        <v>721</v>
      </c>
    </row>
    <row r="388" ht="15.75" customHeight="1">
      <c r="B388" s="3">
        <f>IFERROR(__xludf.DUMMYFUNCTION("""COMPUTED_VALUE"""),42748.64583333333)</f>
        <v>42748.64583</v>
      </c>
      <c r="C388" s="2">
        <f>IFERROR(__xludf.DUMMYFUNCTION("""COMPUTED_VALUE"""),735.6)</f>
        <v>735.6</v>
      </c>
    </row>
    <row r="389" ht="15.75" customHeight="1">
      <c r="B389" s="3">
        <f>IFERROR(__xludf.DUMMYFUNCTION("""COMPUTED_VALUE"""),42755.64583333333)</f>
        <v>42755.64583</v>
      </c>
      <c r="C389" s="2">
        <f>IFERROR(__xludf.DUMMYFUNCTION("""COMPUTED_VALUE"""),741.75)</f>
        <v>741.75</v>
      </c>
    </row>
    <row r="390" ht="15.75" customHeight="1">
      <c r="B390" s="3">
        <f>IFERROR(__xludf.DUMMYFUNCTION("""COMPUTED_VALUE"""),42762.64583333333)</f>
        <v>42762.64583</v>
      </c>
      <c r="C390" s="2">
        <f>IFERROR(__xludf.DUMMYFUNCTION("""COMPUTED_VALUE"""),802.1)</f>
        <v>802.1</v>
      </c>
    </row>
    <row r="391" ht="15.75" customHeight="1">
      <c r="B391" s="3">
        <f>IFERROR(__xludf.DUMMYFUNCTION("""COMPUTED_VALUE"""),42769.64583333333)</f>
        <v>42769.64583</v>
      </c>
      <c r="C391" s="2">
        <f>IFERROR(__xludf.DUMMYFUNCTION("""COMPUTED_VALUE"""),790.0)</f>
        <v>790</v>
      </c>
    </row>
    <row r="392" ht="15.75" customHeight="1">
      <c r="B392" s="3">
        <f>IFERROR(__xludf.DUMMYFUNCTION("""COMPUTED_VALUE"""),42776.64583333333)</f>
        <v>42776.64583</v>
      </c>
      <c r="C392" s="2">
        <f>IFERROR(__xludf.DUMMYFUNCTION("""COMPUTED_VALUE"""),786.3)</f>
        <v>786.3</v>
      </c>
    </row>
    <row r="393" ht="15.75" customHeight="1">
      <c r="B393" s="3">
        <f>IFERROR(__xludf.DUMMYFUNCTION("""COMPUTED_VALUE"""),42783.64583333333)</f>
        <v>42783.64583</v>
      </c>
      <c r="C393" s="2">
        <f>IFERROR(__xludf.DUMMYFUNCTION("""COMPUTED_VALUE"""),811.0)</f>
        <v>811</v>
      </c>
    </row>
    <row r="394" ht="15.75" customHeight="1">
      <c r="B394" s="3">
        <f>IFERROR(__xludf.DUMMYFUNCTION("""COMPUTED_VALUE"""),42789.64583333333)</f>
        <v>42789.64583</v>
      </c>
      <c r="C394" s="2">
        <f>IFERROR(__xludf.DUMMYFUNCTION("""COMPUTED_VALUE"""),814.4)</f>
        <v>814.4</v>
      </c>
    </row>
    <row r="395" ht="15.75" customHeight="1">
      <c r="B395" s="3">
        <f>IFERROR(__xludf.DUMMYFUNCTION("""COMPUTED_VALUE"""),42797.64583333333)</f>
        <v>42797.64583</v>
      </c>
      <c r="C395" s="2">
        <f>IFERROR(__xludf.DUMMYFUNCTION("""COMPUTED_VALUE"""),828.7)</f>
        <v>828.7</v>
      </c>
    </row>
    <row r="396" ht="15.75" customHeight="1">
      <c r="B396" s="3">
        <f>IFERROR(__xludf.DUMMYFUNCTION("""COMPUTED_VALUE"""),42804.64583333333)</f>
        <v>42804.64583</v>
      </c>
      <c r="C396" s="2">
        <f>IFERROR(__xludf.DUMMYFUNCTION("""COMPUTED_VALUE"""),838.95)</f>
        <v>838.95</v>
      </c>
    </row>
    <row r="397" ht="15.75" customHeight="1">
      <c r="B397" s="3">
        <f>IFERROR(__xludf.DUMMYFUNCTION("""COMPUTED_VALUE"""),42811.64583333333)</f>
        <v>42811.64583</v>
      </c>
      <c r="C397" s="2">
        <f>IFERROR(__xludf.DUMMYFUNCTION("""COMPUTED_VALUE"""),856.35)</f>
        <v>856.35</v>
      </c>
    </row>
    <row r="398" ht="15.75" customHeight="1">
      <c r="B398" s="3">
        <f>IFERROR(__xludf.DUMMYFUNCTION("""COMPUTED_VALUE"""),42818.64583333333)</f>
        <v>42818.64583</v>
      </c>
      <c r="C398" s="2">
        <f>IFERROR(__xludf.DUMMYFUNCTION("""COMPUTED_VALUE"""),886.4)</f>
        <v>886.4</v>
      </c>
    </row>
    <row r="399" ht="15.75" customHeight="1">
      <c r="B399" s="3">
        <f>IFERROR(__xludf.DUMMYFUNCTION("""COMPUTED_VALUE"""),42825.64583333333)</f>
        <v>42825.64583</v>
      </c>
      <c r="C399" s="2">
        <f>IFERROR(__xludf.DUMMYFUNCTION("""COMPUTED_VALUE"""),880.0)</f>
        <v>880</v>
      </c>
    </row>
    <row r="400" ht="15.75" customHeight="1">
      <c r="B400" s="3">
        <f>IFERROR(__xludf.DUMMYFUNCTION("""COMPUTED_VALUE"""),42832.64583333333)</f>
        <v>42832.64583</v>
      </c>
      <c r="C400" s="2">
        <f>IFERROR(__xludf.DUMMYFUNCTION("""COMPUTED_VALUE"""),897.5)</f>
        <v>897.5</v>
      </c>
    </row>
    <row r="401" ht="15.75" customHeight="1">
      <c r="B401" s="3">
        <f>IFERROR(__xludf.DUMMYFUNCTION("""COMPUTED_VALUE"""),42838.64583333333)</f>
        <v>42838.64583</v>
      </c>
      <c r="C401" s="2">
        <f>IFERROR(__xludf.DUMMYFUNCTION("""COMPUTED_VALUE"""),889.0)</f>
        <v>889</v>
      </c>
    </row>
    <row r="402" ht="15.75" customHeight="1">
      <c r="B402" s="3">
        <f>IFERROR(__xludf.DUMMYFUNCTION("""COMPUTED_VALUE"""),42846.64583333333)</f>
        <v>42846.64583</v>
      </c>
      <c r="C402" s="2">
        <f>IFERROR(__xludf.DUMMYFUNCTION("""COMPUTED_VALUE"""),897.5)</f>
        <v>897.5</v>
      </c>
    </row>
    <row r="403" ht="15.75" customHeight="1">
      <c r="B403" s="3">
        <f>IFERROR(__xludf.DUMMYFUNCTION("""COMPUTED_VALUE"""),42853.64583333333)</f>
        <v>42853.64583</v>
      </c>
      <c r="C403" s="2">
        <f>IFERROR(__xludf.DUMMYFUNCTION("""COMPUTED_VALUE"""),921.0)</f>
        <v>921</v>
      </c>
    </row>
    <row r="404" ht="15.75" customHeight="1">
      <c r="B404" s="3">
        <f>IFERROR(__xludf.DUMMYFUNCTION("""COMPUTED_VALUE"""),42860.64583333333)</f>
        <v>42860.64583</v>
      </c>
      <c r="C404" s="2">
        <f>IFERROR(__xludf.DUMMYFUNCTION("""COMPUTED_VALUE"""),922.0)</f>
        <v>922</v>
      </c>
    </row>
    <row r="405" ht="15.75" customHeight="1">
      <c r="B405" s="3">
        <f>IFERROR(__xludf.DUMMYFUNCTION("""COMPUTED_VALUE"""),42867.64583333333)</f>
        <v>42867.64583</v>
      </c>
      <c r="C405" s="2">
        <f>IFERROR(__xludf.DUMMYFUNCTION("""COMPUTED_VALUE"""),962.0)</f>
        <v>962</v>
      </c>
    </row>
    <row r="406" ht="15.75" customHeight="1">
      <c r="B406" s="3">
        <f>IFERROR(__xludf.DUMMYFUNCTION("""COMPUTED_VALUE"""),42874.64583333333)</f>
        <v>42874.64583</v>
      </c>
      <c r="C406" s="2">
        <f>IFERROR(__xludf.DUMMYFUNCTION("""COMPUTED_VALUE"""),981.45)</f>
        <v>981.45</v>
      </c>
    </row>
    <row r="407" ht="15.75" customHeight="1">
      <c r="B407" s="3">
        <f>IFERROR(__xludf.DUMMYFUNCTION("""COMPUTED_VALUE"""),42881.64583333333)</f>
        <v>42881.64583</v>
      </c>
      <c r="C407" s="2">
        <f>IFERROR(__xludf.DUMMYFUNCTION("""COMPUTED_VALUE"""),969.55)</f>
        <v>969.55</v>
      </c>
    </row>
    <row r="408" ht="15.75" customHeight="1">
      <c r="B408" s="3">
        <f>IFERROR(__xludf.DUMMYFUNCTION("""COMPUTED_VALUE"""),42888.64583333333)</f>
        <v>42888.64583</v>
      </c>
      <c r="C408" s="2">
        <f>IFERROR(__xludf.DUMMYFUNCTION("""COMPUTED_VALUE"""),972.5)</f>
        <v>972.5</v>
      </c>
    </row>
    <row r="409" ht="15.75" customHeight="1">
      <c r="B409" s="3">
        <f>IFERROR(__xludf.DUMMYFUNCTION("""COMPUTED_VALUE"""),42895.64583333333)</f>
        <v>42895.64583</v>
      </c>
      <c r="C409" s="2">
        <f>IFERROR(__xludf.DUMMYFUNCTION("""COMPUTED_VALUE"""),987.0)</f>
        <v>987</v>
      </c>
    </row>
    <row r="410" ht="15.75" customHeight="1">
      <c r="B410" s="3">
        <f>IFERROR(__xludf.DUMMYFUNCTION("""COMPUTED_VALUE"""),42902.64583333333)</f>
        <v>42902.64583</v>
      </c>
      <c r="C410" s="2">
        <f>IFERROR(__xludf.DUMMYFUNCTION("""COMPUTED_VALUE"""),990.1)</f>
        <v>990.1</v>
      </c>
    </row>
    <row r="411" ht="15.75" customHeight="1">
      <c r="B411" s="3">
        <f>IFERROR(__xludf.DUMMYFUNCTION("""COMPUTED_VALUE"""),42909.64583333333)</f>
        <v>42909.64583</v>
      </c>
      <c r="C411" s="2">
        <f>IFERROR(__xludf.DUMMYFUNCTION("""COMPUTED_VALUE"""),1004.65)</f>
        <v>1004.65</v>
      </c>
    </row>
    <row r="412" ht="15.75" customHeight="1">
      <c r="B412" s="3">
        <f>IFERROR(__xludf.DUMMYFUNCTION("""COMPUTED_VALUE"""),42916.64583333333)</f>
        <v>42916.64583</v>
      </c>
      <c r="C412" s="2">
        <f>IFERROR(__xludf.DUMMYFUNCTION("""COMPUTED_VALUE"""),992.9)</f>
        <v>992.9</v>
      </c>
    </row>
    <row r="413" ht="15.75" customHeight="1">
      <c r="B413" s="3">
        <f>IFERROR(__xludf.DUMMYFUNCTION("""COMPUTED_VALUE"""),42923.64583333333)</f>
        <v>42923.64583</v>
      </c>
      <c r="C413" s="2">
        <f>IFERROR(__xludf.DUMMYFUNCTION("""COMPUTED_VALUE"""),967.5)</f>
        <v>967.5</v>
      </c>
    </row>
    <row r="414" ht="15.75" customHeight="1">
      <c r="B414" s="3">
        <f>IFERROR(__xludf.DUMMYFUNCTION("""COMPUTED_VALUE"""),42930.64583333333)</f>
        <v>42930.64583</v>
      </c>
      <c r="C414" s="2">
        <f>IFERROR(__xludf.DUMMYFUNCTION("""COMPUTED_VALUE"""),983.45)</f>
        <v>983.45</v>
      </c>
    </row>
    <row r="415" ht="15.75" customHeight="1">
      <c r="B415" s="3">
        <f>IFERROR(__xludf.DUMMYFUNCTION("""COMPUTED_VALUE"""),42937.64583333333)</f>
        <v>42937.64583</v>
      </c>
      <c r="C415" s="2">
        <f>IFERROR(__xludf.DUMMYFUNCTION("""COMPUTED_VALUE"""),1016.4)</f>
        <v>1016.4</v>
      </c>
    </row>
    <row r="416" ht="15.75" customHeight="1">
      <c r="B416" s="3">
        <f>IFERROR(__xludf.DUMMYFUNCTION("""COMPUTED_VALUE"""),42944.64583333333)</f>
        <v>42944.64583</v>
      </c>
      <c r="C416" s="2">
        <f>IFERROR(__xludf.DUMMYFUNCTION("""COMPUTED_VALUE"""),1017.5)</f>
        <v>1017.5</v>
      </c>
    </row>
    <row r="417" ht="15.75" customHeight="1">
      <c r="B417" s="3">
        <f>IFERROR(__xludf.DUMMYFUNCTION("""COMPUTED_VALUE"""),42951.64583333333)</f>
        <v>42951.64583</v>
      </c>
      <c r="C417" s="2">
        <f>IFERROR(__xludf.DUMMYFUNCTION("""COMPUTED_VALUE"""),1031.7)</f>
        <v>1031.7</v>
      </c>
    </row>
    <row r="418" ht="15.75" customHeight="1">
      <c r="B418" s="3">
        <f>IFERROR(__xludf.DUMMYFUNCTION("""COMPUTED_VALUE"""),42958.64583333333)</f>
        <v>42958.64583</v>
      </c>
      <c r="C418" s="2">
        <f>IFERROR(__xludf.DUMMYFUNCTION("""COMPUTED_VALUE"""),1002.5)</f>
        <v>1002.5</v>
      </c>
    </row>
    <row r="419" ht="15.75" customHeight="1">
      <c r="B419" s="3">
        <f>IFERROR(__xludf.DUMMYFUNCTION("""COMPUTED_VALUE"""),42965.64583333333)</f>
        <v>42965.64583</v>
      </c>
      <c r="C419" s="2">
        <f>IFERROR(__xludf.DUMMYFUNCTION("""COMPUTED_VALUE"""),1005.0)</f>
        <v>1005</v>
      </c>
    </row>
    <row r="420" ht="15.75" customHeight="1">
      <c r="B420" s="3">
        <f>IFERROR(__xludf.DUMMYFUNCTION("""COMPUTED_VALUE"""),42971.64583333333)</f>
        <v>42971.64583</v>
      </c>
      <c r="C420" s="2">
        <f>IFERROR(__xludf.DUMMYFUNCTION("""COMPUTED_VALUE"""),991.7)</f>
        <v>991.7</v>
      </c>
    </row>
    <row r="421" ht="15.75" customHeight="1">
      <c r="B421" s="3">
        <f>IFERROR(__xludf.DUMMYFUNCTION("""COMPUTED_VALUE"""),42979.64583333333)</f>
        <v>42979.64583</v>
      </c>
      <c r="C421" s="2">
        <f>IFERROR(__xludf.DUMMYFUNCTION("""COMPUTED_VALUE"""),998.1)</f>
        <v>998.1</v>
      </c>
    </row>
    <row r="422" ht="15.75" customHeight="1">
      <c r="B422" s="3">
        <f>IFERROR(__xludf.DUMMYFUNCTION("""COMPUTED_VALUE"""),42986.64583333333)</f>
        <v>42986.64583</v>
      </c>
      <c r="C422" s="2">
        <f>IFERROR(__xludf.DUMMYFUNCTION("""COMPUTED_VALUE"""),1010.8)</f>
        <v>1010.8</v>
      </c>
    </row>
    <row r="423" ht="15.75" customHeight="1">
      <c r="B423" s="3">
        <f>IFERROR(__xludf.DUMMYFUNCTION("""COMPUTED_VALUE"""),42993.64583333333)</f>
        <v>42993.64583</v>
      </c>
      <c r="C423" s="2">
        <f>IFERROR(__xludf.DUMMYFUNCTION("""COMPUTED_VALUE"""),1026.45)</f>
        <v>1026.45</v>
      </c>
    </row>
    <row r="424" ht="15.75" customHeight="1">
      <c r="B424" s="3">
        <f>IFERROR(__xludf.DUMMYFUNCTION("""COMPUTED_VALUE"""),43000.64583333333)</f>
        <v>43000.64583</v>
      </c>
      <c r="C424" s="2">
        <f>IFERROR(__xludf.DUMMYFUNCTION("""COMPUTED_VALUE"""),1045.4)</f>
        <v>1045.4</v>
      </c>
    </row>
    <row r="425" ht="15.75" customHeight="1">
      <c r="B425" s="3">
        <f>IFERROR(__xludf.DUMMYFUNCTION("""COMPUTED_VALUE"""),43007.64583333333)</f>
        <v>43007.64583</v>
      </c>
      <c r="C425" s="2">
        <f>IFERROR(__xludf.DUMMYFUNCTION("""COMPUTED_VALUE"""),1021.7)</f>
        <v>1021.7</v>
      </c>
    </row>
    <row r="426" ht="15.75" customHeight="1">
      <c r="B426" s="3">
        <f>IFERROR(__xludf.DUMMYFUNCTION("""COMPUTED_VALUE"""),43014.64583333333)</f>
        <v>43014.64583</v>
      </c>
      <c r="C426" s="2">
        <f>IFERROR(__xludf.DUMMYFUNCTION("""COMPUTED_VALUE"""),1043.15)</f>
        <v>1043.15</v>
      </c>
    </row>
    <row r="427" ht="15.75" customHeight="1">
      <c r="B427" s="3">
        <f>IFERROR(__xludf.DUMMYFUNCTION("""COMPUTED_VALUE"""),43021.64583333333)</f>
        <v>43021.64583</v>
      </c>
      <c r="C427" s="2">
        <f>IFERROR(__xludf.DUMMYFUNCTION("""COMPUTED_VALUE"""),1088.8)</f>
        <v>1088.8</v>
      </c>
    </row>
    <row r="428" ht="15.75" customHeight="1">
      <c r="B428" s="3">
        <f>IFERROR(__xludf.DUMMYFUNCTION("""COMPUTED_VALUE"""),43027.83333333333)</f>
        <v>43027.83333</v>
      </c>
      <c r="C428" s="2">
        <f>IFERROR(__xludf.DUMMYFUNCTION("""COMPUTED_VALUE"""),1115.05)</f>
        <v>1115.05</v>
      </c>
    </row>
    <row r="429" ht="15.75" customHeight="1">
      <c r="B429" s="3">
        <f>IFERROR(__xludf.DUMMYFUNCTION("""COMPUTED_VALUE"""),43035.64583333333)</f>
        <v>43035.64583</v>
      </c>
      <c r="C429" s="2">
        <f>IFERROR(__xludf.DUMMYFUNCTION("""COMPUTED_VALUE"""),1082.85)</f>
        <v>1082.85</v>
      </c>
    </row>
    <row r="430" ht="15.75" customHeight="1">
      <c r="B430" s="3">
        <f>IFERROR(__xludf.DUMMYFUNCTION("""COMPUTED_VALUE"""),43042.64583333333)</f>
        <v>43042.64583</v>
      </c>
      <c r="C430" s="2">
        <f>IFERROR(__xludf.DUMMYFUNCTION("""COMPUTED_VALUE"""),1037.0)</f>
        <v>1037</v>
      </c>
    </row>
    <row r="431" ht="15.75" customHeight="1">
      <c r="B431" s="3">
        <f>IFERROR(__xludf.DUMMYFUNCTION("""COMPUTED_VALUE"""),43049.64583333333)</f>
        <v>43049.64583</v>
      </c>
      <c r="C431" s="2">
        <f>IFERROR(__xludf.DUMMYFUNCTION("""COMPUTED_VALUE"""),1025.9)</f>
        <v>1025.9</v>
      </c>
    </row>
    <row r="432" ht="15.75" customHeight="1">
      <c r="B432" s="3">
        <f>IFERROR(__xludf.DUMMYFUNCTION("""COMPUTED_VALUE"""),43056.64583333333)</f>
        <v>43056.64583</v>
      </c>
      <c r="C432" s="2">
        <f>IFERROR(__xludf.DUMMYFUNCTION("""COMPUTED_VALUE"""),1030.0)</f>
        <v>1030</v>
      </c>
    </row>
    <row r="433" ht="15.75" customHeight="1">
      <c r="B433" s="3">
        <f>IFERROR(__xludf.DUMMYFUNCTION("""COMPUTED_VALUE"""),43063.64583333333)</f>
        <v>43063.64583</v>
      </c>
      <c r="C433" s="2">
        <f>IFERROR(__xludf.DUMMYFUNCTION("""COMPUTED_VALUE"""),1050.0)</f>
        <v>1050</v>
      </c>
    </row>
    <row r="434" ht="15.75" customHeight="1">
      <c r="B434" s="3">
        <f>IFERROR(__xludf.DUMMYFUNCTION("""COMPUTED_VALUE"""),43070.64583333333)</f>
        <v>43070.64583</v>
      </c>
      <c r="C434" s="2">
        <f>IFERROR(__xludf.DUMMYFUNCTION("""COMPUTED_VALUE"""),1041.7)</f>
        <v>1041.7</v>
      </c>
    </row>
    <row r="435" ht="15.75" customHeight="1">
      <c r="B435" s="3">
        <f>IFERROR(__xludf.DUMMYFUNCTION("""COMPUTED_VALUE"""),43077.64583333333)</f>
        <v>43077.64583</v>
      </c>
      <c r="C435" s="2">
        <f>IFERROR(__xludf.DUMMYFUNCTION("""COMPUTED_VALUE"""),1012.0)</f>
        <v>1012</v>
      </c>
    </row>
    <row r="436" ht="15.75" customHeight="1">
      <c r="B436" s="3">
        <f>IFERROR(__xludf.DUMMYFUNCTION("""COMPUTED_VALUE"""),43084.64583333333)</f>
        <v>43084.64583</v>
      </c>
      <c r="C436" s="2">
        <f>IFERROR(__xludf.DUMMYFUNCTION("""COMPUTED_VALUE"""),1037.0)</f>
        <v>1037</v>
      </c>
    </row>
    <row r="437" ht="15.75" customHeight="1">
      <c r="B437" s="3">
        <f>IFERROR(__xludf.DUMMYFUNCTION("""COMPUTED_VALUE"""),43091.64583333333)</f>
        <v>43091.64583</v>
      </c>
      <c r="C437" s="2">
        <f>IFERROR(__xludf.DUMMYFUNCTION("""COMPUTED_VALUE"""),1038.0)</f>
        <v>1038</v>
      </c>
    </row>
    <row r="438" ht="15.75" customHeight="1">
      <c r="B438" s="3">
        <f>IFERROR(__xludf.DUMMYFUNCTION("""COMPUTED_VALUE"""),43098.64583333333)</f>
        <v>43098.64583</v>
      </c>
      <c r="C438" s="2">
        <f>IFERROR(__xludf.DUMMYFUNCTION("""COMPUTED_VALUE"""),1022.0)</f>
        <v>1022</v>
      </c>
    </row>
    <row r="439" ht="15.75" customHeight="1"/>
    <row r="440" ht="15.75" customHeight="1"/>
    <row r="441" ht="15.75" customHeight="1">
      <c r="B441" s="2" t="str">
        <f>IFERROR(__xludf.DUMMYFUNCTION("GOOGLEFINANCE(""NSE:KOTAKBANK"", ""high"",DATE(2018,1,1),DATE(2019,1,1),""weekly"")"),"Date")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IFERROR(__xludf.DUMMYFUNCTION("""COMPUTED_VALUE"""),43105.64583333333)</f>
        <v>43105.64583</v>
      </c>
      <c r="C442" s="2">
        <f>IFERROR(__xludf.DUMMYFUNCTION("""COMPUTED_VALUE"""),1012.2)</f>
        <v>1012.2</v>
      </c>
    </row>
    <row r="443" ht="15.75" customHeight="1">
      <c r="B443" s="3">
        <f>IFERROR(__xludf.DUMMYFUNCTION("""COMPUTED_VALUE"""),43112.64583333333)</f>
        <v>43112.64583</v>
      </c>
      <c r="C443" s="2">
        <f>IFERROR(__xludf.DUMMYFUNCTION("""COMPUTED_VALUE"""),1025.9)</f>
        <v>1025.9</v>
      </c>
    </row>
    <row r="444" ht="15.75" customHeight="1">
      <c r="B444" s="3">
        <f>IFERROR(__xludf.DUMMYFUNCTION("""COMPUTED_VALUE"""),43119.64583333333)</f>
        <v>43119.64583</v>
      </c>
      <c r="C444" s="2">
        <f>IFERROR(__xludf.DUMMYFUNCTION("""COMPUTED_VALUE"""),1063.9)</f>
        <v>1063.9</v>
      </c>
    </row>
    <row r="445" ht="15.75" customHeight="1">
      <c r="B445" s="3">
        <f>IFERROR(__xludf.DUMMYFUNCTION("""COMPUTED_VALUE"""),43125.64583333333)</f>
        <v>43125.64583</v>
      </c>
      <c r="C445" s="2">
        <f>IFERROR(__xludf.DUMMYFUNCTION("""COMPUTED_VALUE"""),1098.0)</f>
        <v>1098</v>
      </c>
    </row>
    <row r="446" ht="15.75" customHeight="1">
      <c r="B446" s="3">
        <f>IFERROR(__xludf.DUMMYFUNCTION("""COMPUTED_VALUE"""),43133.64583333333)</f>
        <v>43133.64583</v>
      </c>
      <c r="C446" s="2">
        <f>IFERROR(__xludf.DUMMYFUNCTION("""COMPUTED_VALUE"""),1131.0)</f>
        <v>1131</v>
      </c>
    </row>
    <row r="447" ht="15.75" customHeight="1">
      <c r="B447" s="3">
        <f>IFERROR(__xludf.DUMMYFUNCTION("""COMPUTED_VALUE"""),43140.64583333333)</f>
        <v>43140.64583</v>
      </c>
      <c r="C447" s="2">
        <f>IFERROR(__xludf.DUMMYFUNCTION("""COMPUTED_VALUE"""),1081.05)</f>
        <v>1081.05</v>
      </c>
    </row>
    <row r="448" ht="15.75" customHeight="1">
      <c r="B448" s="3">
        <f>IFERROR(__xludf.DUMMYFUNCTION("""COMPUTED_VALUE"""),43147.64583333333)</f>
        <v>43147.64583</v>
      </c>
      <c r="C448" s="2">
        <f>IFERROR(__xludf.DUMMYFUNCTION("""COMPUTED_VALUE"""),1062.0)</f>
        <v>1062</v>
      </c>
    </row>
    <row r="449" ht="15.75" customHeight="1">
      <c r="B449" s="3">
        <f>IFERROR(__xludf.DUMMYFUNCTION("""COMPUTED_VALUE"""),43154.64583333333)</f>
        <v>43154.64583</v>
      </c>
      <c r="C449" s="2">
        <f>IFERROR(__xludf.DUMMYFUNCTION("""COMPUTED_VALUE"""),1083.3)</f>
        <v>1083.3</v>
      </c>
    </row>
    <row r="450" ht="15.75" customHeight="1">
      <c r="B450" s="3">
        <f>IFERROR(__xludf.DUMMYFUNCTION("""COMPUTED_VALUE"""),43160.64583333333)</f>
        <v>43160.64583</v>
      </c>
      <c r="C450" s="2">
        <f>IFERROR(__xludf.DUMMYFUNCTION("""COMPUTED_VALUE"""),1109.6)</f>
        <v>1109.6</v>
      </c>
    </row>
    <row r="451" ht="15.75" customHeight="1">
      <c r="B451" s="3">
        <f>IFERROR(__xludf.DUMMYFUNCTION("""COMPUTED_VALUE"""),43168.64583333333)</f>
        <v>43168.64583</v>
      </c>
      <c r="C451" s="2">
        <f>IFERROR(__xludf.DUMMYFUNCTION("""COMPUTED_VALUE"""),1105.95)</f>
        <v>1105.95</v>
      </c>
    </row>
    <row r="452" ht="15.75" customHeight="1">
      <c r="B452" s="3">
        <f>IFERROR(__xludf.DUMMYFUNCTION("""COMPUTED_VALUE"""),43175.64583333333)</f>
        <v>43175.64583</v>
      </c>
      <c r="C452" s="2">
        <f>IFERROR(__xludf.DUMMYFUNCTION("""COMPUTED_VALUE"""),1108.5)</f>
        <v>1108.5</v>
      </c>
    </row>
    <row r="453" ht="15.75" customHeight="1">
      <c r="B453" s="3">
        <f>IFERROR(__xludf.DUMMYFUNCTION("""COMPUTED_VALUE"""),43182.64583333333)</f>
        <v>43182.64583</v>
      </c>
      <c r="C453" s="2">
        <f>IFERROR(__xludf.DUMMYFUNCTION("""COMPUTED_VALUE"""),1065.6)</f>
        <v>1065.6</v>
      </c>
    </row>
    <row r="454" ht="15.75" customHeight="1">
      <c r="B454" s="3">
        <f>IFERROR(__xludf.DUMMYFUNCTION("""COMPUTED_VALUE"""),43187.64583333333)</f>
        <v>43187.64583</v>
      </c>
      <c r="C454" s="2">
        <f>IFERROR(__xludf.DUMMYFUNCTION("""COMPUTED_VALUE"""),1058.0)</f>
        <v>1058</v>
      </c>
    </row>
    <row r="455" ht="15.75" customHeight="1">
      <c r="B455" s="3">
        <f>IFERROR(__xludf.DUMMYFUNCTION("""COMPUTED_VALUE"""),43196.64583333333)</f>
        <v>43196.64583</v>
      </c>
      <c r="C455" s="2">
        <f>IFERROR(__xludf.DUMMYFUNCTION("""COMPUTED_VALUE"""),1123.0)</f>
        <v>1123</v>
      </c>
    </row>
    <row r="456" ht="15.75" customHeight="1">
      <c r="B456" s="3">
        <f>IFERROR(__xludf.DUMMYFUNCTION("""COMPUTED_VALUE"""),43203.64583333333)</f>
        <v>43203.64583</v>
      </c>
      <c r="C456" s="2">
        <f>IFERROR(__xludf.DUMMYFUNCTION("""COMPUTED_VALUE"""),1157.05)</f>
        <v>1157.05</v>
      </c>
    </row>
    <row r="457" ht="15.75" customHeight="1">
      <c r="B457" s="3">
        <f>IFERROR(__xludf.DUMMYFUNCTION("""COMPUTED_VALUE"""),43210.64583333333)</f>
        <v>43210.64583</v>
      </c>
      <c r="C457" s="2">
        <f>IFERROR(__xludf.DUMMYFUNCTION("""COMPUTED_VALUE"""),1177.5)</f>
        <v>1177.5</v>
      </c>
    </row>
    <row r="458" ht="15.75" customHeight="1">
      <c r="B458" s="3">
        <f>IFERROR(__xludf.DUMMYFUNCTION("""COMPUTED_VALUE"""),43217.64583333333)</f>
        <v>43217.64583</v>
      </c>
      <c r="C458" s="2">
        <f>IFERROR(__xludf.DUMMYFUNCTION("""COMPUTED_VALUE"""),1207.0)</f>
        <v>1207</v>
      </c>
    </row>
    <row r="459" ht="15.75" customHeight="1">
      <c r="B459" s="3">
        <f>IFERROR(__xludf.DUMMYFUNCTION("""COMPUTED_VALUE"""),43224.64583333333)</f>
        <v>43224.64583</v>
      </c>
      <c r="C459" s="2">
        <f>IFERROR(__xludf.DUMMYFUNCTION("""COMPUTED_VALUE"""),1288.4)</f>
        <v>1288.4</v>
      </c>
    </row>
    <row r="460" ht="15.75" customHeight="1">
      <c r="B460" s="3">
        <f>IFERROR(__xludf.DUMMYFUNCTION("""COMPUTED_VALUE"""),43231.64583333333)</f>
        <v>43231.64583</v>
      </c>
      <c r="C460" s="2">
        <f>IFERROR(__xludf.DUMMYFUNCTION("""COMPUTED_VALUE"""),1272.4)</f>
        <v>1272.4</v>
      </c>
    </row>
    <row r="461" ht="15.75" customHeight="1">
      <c r="B461" s="3">
        <f>IFERROR(__xludf.DUMMYFUNCTION("""COMPUTED_VALUE"""),43238.64583333333)</f>
        <v>43238.64583</v>
      </c>
      <c r="C461" s="2">
        <f>IFERROR(__xludf.DUMMYFUNCTION("""COMPUTED_VALUE"""),1304.45)</f>
        <v>1304.45</v>
      </c>
    </row>
    <row r="462" ht="15.75" customHeight="1">
      <c r="B462" s="3">
        <f>IFERROR(__xludf.DUMMYFUNCTION("""COMPUTED_VALUE"""),43245.64583333333)</f>
        <v>43245.64583</v>
      </c>
      <c r="C462" s="2">
        <f>IFERROR(__xludf.DUMMYFUNCTION("""COMPUTED_VALUE"""),1306.85)</f>
        <v>1306.85</v>
      </c>
    </row>
    <row r="463" ht="15.75" customHeight="1">
      <c r="B463" s="3">
        <f>IFERROR(__xludf.DUMMYFUNCTION("""COMPUTED_VALUE"""),43252.64583333333)</f>
        <v>43252.64583</v>
      </c>
      <c r="C463" s="2">
        <f>IFERROR(__xludf.DUMMYFUNCTION("""COMPUTED_VALUE"""),1400.0)</f>
        <v>1400</v>
      </c>
    </row>
    <row r="464" ht="15.75" customHeight="1">
      <c r="B464" s="3">
        <f>IFERROR(__xludf.DUMMYFUNCTION("""COMPUTED_VALUE"""),43259.64583333333)</f>
        <v>43259.64583</v>
      </c>
      <c r="C464" s="2">
        <f>IFERROR(__xludf.DUMMYFUNCTION("""COMPUTED_VALUE"""),1334.7)</f>
        <v>1334.7</v>
      </c>
    </row>
    <row r="465" ht="15.75" customHeight="1">
      <c r="B465" s="3">
        <f>IFERROR(__xludf.DUMMYFUNCTION("""COMPUTED_VALUE"""),43266.64583333333)</f>
        <v>43266.64583</v>
      </c>
      <c r="C465" s="2">
        <f>IFERROR(__xludf.DUMMYFUNCTION("""COMPUTED_VALUE"""),1344.5)</f>
        <v>1344.5</v>
      </c>
    </row>
    <row r="466" ht="15.75" customHeight="1">
      <c r="B466" s="3">
        <f>IFERROR(__xludf.DUMMYFUNCTION("""COMPUTED_VALUE"""),43273.64583333333)</f>
        <v>43273.64583</v>
      </c>
      <c r="C466" s="2">
        <f>IFERROR(__xludf.DUMMYFUNCTION("""COMPUTED_VALUE"""),1341.0)</f>
        <v>1341</v>
      </c>
    </row>
    <row r="467" ht="15.75" customHeight="1">
      <c r="B467" s="3">
        <f>IFERROR(__xludf.DUMMYFUNCTION("""COMPUTED_VALUE"""),43280.64583333333)</f>
        <v>43280.64583</v>
      </c>
      <c r="C467" s="2">
        <f>IFERROR(__xludf.DUMMYFUNCTION("""COMPUTED_VALUE"""),1360.0)</f>
        <v>1360</v>
      </c>
    </row>
    <row r="468" ht="15.75" customHeight="1">
      <c r="B468" s="3">
        <f>IFERROR(__xludf.DUMMYFUNCTION("""COMPUTED_VALUE"""),43287.64583333333)</f>
        <v>43287.64583</v>
      </c>
      <c r="C468" s="2">
        <f>IFERROR(__xludf.DUMMYFUNCTION("""COMPUTED_VALUE"""),1377.55)</f>
        <v>1377.55</v>
      </c>
    </row>
    <row r="469" ht="15.75" customHeight="1">
      <c r="B469" s="3">
        <f>IFERROR(__xludf.DUMMYFUNCTION("""COMPUTED_VALUE"""),43294.64583333333)</f>
        <v>43294.64583</v>
      </c>
      <c r="C469" s="2">
        <f>IFERROR(__xludf.DUMMYFUNCTION("""COMPUTED_VALUE"""),1411.9)</f>
        <v>1411.9</v>
      </c>
    </row>
    <row r="470" ht="15.75" customHeight="1">
      <c r="B470" s="3">
        <f>IFERROR(__xludf.DUMMYFUNCTION("""COMPUTED_VALUE"""),43301.64583333333)</f>
        <v>43301.64583</v>
      </c>
      <c r="C470" s="2">
        <f>IFERROR(__xludf.DUMMYFUNCTION("""COMPUTED_VALUE"""),1417.0)</f>
        <v>1417</v>
      </c>
    </row>
    <row r="471" ht="15.75" customHeight="1">
      <c r="B471" s="3">
        <f>IFERROR(__xludf.DUMMYFUNCTION("""COMPUTED_VALUE"""),43308.64583333333)</f>
        <v>43308.64583</v>
      </c>
      <c r="C471" s="2">
        <f>IFERROR(__xludf.DUMMYFUNCTION("""COMPUTED_VALUE"""),1351.0)</f>
        <v>1351</v>
      </c>
    </row>
    <row r="472" ht="15.75" customHeight="1">
      <c r="B472" s="3">
        <f>IFERROR(__xludf.DUMMYFUNCTION("""COMPUTED_VALUE"""),43315.64583333333)</f>
        <v>43315.64583</v>
      </c>
      <c r="C472" s="2">
        <f>IFERROR(__xludf.DUMMYFUNCTION("""COMPUTED_VALUE"""),1326.1)</f>
        <v>1326.1</v>
      </c>
    </row>
    <row r="473" ht="15.75" customHeight="1">
      <c r="B473" s="3">
        <f>IFERROR(__xludf.DUMMYFUNCTION("""COMPUTED_VALUE"""),43322.64583333333)</f>
        <v>43322.64583</v>
      </c>
      <c r="C473" s="2">
        <f>IFERROR(__xludf.DUMMYFUNCTION("""COMPUTED_VALUE"""),1314.0)</f>
        <v>1314</v>
      </c>
    </row>
    <row r="474" ht="15.75" customHeight="1">
      <c r="B474" s="3">
        <f>IFERROR(__xludf.DUMMYFUNCTION("""COMPUTED_VALUE"""),43329.64583333333)</f>
        <v>43329.64583</v>
      </c>
      <c r="C474" s="2">
        <f>IFERROR(__xludf.DUMMYFUNCTION("""COMPUTED_VALUE"""),1298.8)</f>
        <v>1298.8</v>
      </c>
    </row>
    <row r="475" ht="15.75" customHeight="1">
      <c r="B475" s="3">
        <f>IFERROR(__xludf.DUMMYFUNCTION("""COMPUTED_VALUE"""),43336.64583333333)</f>
        <v>43336.64583</v>
      </c>
      <c r="C475" s="2">
        <f>IFERROR(__xludf.DUMMYFUNCTION("""COMPUTED_VALUE"""),1280.25)</f>
        <v>1280.25</v>
      </c>
    </row>
    <row r="476" ht="15.75" customHeight="1">
      <c r="B476" s="3">
        <f>IFERROR(__xludf.DUMMYFUNCTION("""COMPUTED_VALUE"""),43343.64583333333)</f>
        <v>43343.64583</v>
      </c>
      <c r="C476" s="2">
        <f>IFERROR(__xludf.DUMMYFUNCTION("""COMPUTED_VALUE"""),1295.0)</f>
        <v>1295</v>
      </c>
    </row>
    <row r="477" ht="15.75" customHeight="1">
      <c r="B477" s="3">
        <f>IFERROR(__xludf.DUMMYFUNCTION("""COMPUTED_VALUE"""),43350.64583333333)</f>
        <v>43350.64583</v>
      </c>
      <c r="C477" s="2">
        <f>IFERROR(__xludf.DUMMYFUNCTION("""COMPUTED_VALUE"""),1295.0)</f>
        <v>1295</v>
      </c>
    </row>
    <row r="478" ht="15.75" customHeight="1">
      <c r="B478" s="3">
        <f>IFERROR(__xludf.DUMMYFUNCTION("""COMPUTED_VALUE"""),43357.64583333333)</f>
        <v>43357.64583</v>
      </c>
      <c r="C478" s="2">
        <f>IFERROR(__xludf.DUMMYFUNCTION("""COMPUTED_VALUE"""),1244.65)</f>
        <v>1244.65</v>
      </c>
    </row>
    <row r="479" ht="15.75" customHeight="1">
      <c r="B479" s="3">
        <f>IFERROR(__xludf.DUMMYFUNCTION("""COMPUTED_VALUE"""),43364.64583333333)</f>
        <v>43364.64583</v>
      </c>
      <c r="C479" s="2">
        <f>IFERROR(__xludf.DUMMYFUNCTION("""COMPUTED_VALUE"""),1246.0)</f>
        <v>1246</v>
      </c>
    </row>
    <row r="480" ht="15.75" customHeight="1">
      <c r="B480" s="3">
        <f>IFERROR(__xludf.DUMMYFUNCTION("""COMPUTED_VALUE"""),43371.64583333333)</f>
        <v>43371.64583</v>
      </c>
      <c r="C480" s="2">
        <f>IFERROR(__xludf.DUMMYFUNCTION("""COMPUTED_VALUE"""),1191.1)</f>
        <v>1191.1</v>
      </c>
    </row>
    <row r="481" ht="15.75" customHeight="1">
      <c r="B481" s="3">
        <f>IFERROR(__xludf.DUMMYFUNCTION("""COMPUTED_VALUE"""),43378.64583333333)</f>
        <v>43378.64583</v>
      </c>
      <c r="C481" s="2">
        <f>IFERROR(__xludf.DUMMYFUNCTION("""COMPUTED_VALUE"""),1138.55)</f>
        <v>1138.55</v>
      </c>
    </row>
    <row r="482" ht="15.75" customHeight="1">
      <c r="B482" s="3">
        <f>IFERROR(__xludf.DUMMYFUNCTION("""COMPUTED_VALUE"""),43385.64583333333)</f>
        <v>43385.64583</v>
      </c>
      <c r="C482" s="2">
        <f>IFERROR(__xludf.DUMMYFUNCTION("""COMPUTED_VALUE"""),1173.15)</f>
        <v>1173.15</v>
      </c>
    </row>
    <row r="483" ht="15.75" customHeight="1">
      <c r="B483" s="3">
        <f>IFERROR(__xludf.DUMMYFUNCTION("""COMPUTED_VALUE"""),43392.64583333333)</f>
        <v>43392.64583</v>
      </c>
      <c r="C483" s="2">
        <f>IFERROR(__xludf.DUMMYFUNCTION("""COMPUTED_VALUE"""),1206.0)</f>
        <v>1206</v>
      </c>
    </row>
    <row r="484" ht="15.75" customHeight="1">
      <c r="B484" s="3">
        <f>IFERROR(__xludf.DUMMYFUNCTION("""COMPUTED_VALUE"""),43399.64583333333)</f>
        <v>43399.64583</v>
      </c>
      <c r="C484" s="2">
        <f>IFERROR(__xludf.DUMMYFUNCTION("""COMPUTED_VALUE"""),1219.2)</f>
        <v>1219.2</v>
      </c>
    </row>
    <row r="485" ht="15.75" customHeight="1">
      <c r="B485" s="3">
        <f>IFERROR(__xludf.DUMMYFUNCTION("""COMPUTED_VALUE"""),43406.64583333333)</f>
        <v>43406.64583</v>
      </c>
      <c r="C485" s="2">
        <f>IFERROR(__xludf.DUMMYFUNCTION("""COMPUTED_VALUE"""),1152.9)</f>
        <v>1152.9</v>
      </c>
    </row>
    <row r="486" ht="15.75" customHeight="1">
      <c r="B486" s="3">
        <f>IFERROR(__xludf.DUMMYFUNCTION("""COMPUTED_VALUE"""),43413.64583333333)</f>
        <v>43413.64583</v>
      </c>
      <c r="C486" s="2">
        <f>IFERROR(__xludf.DUMMYFUNCTION("""COMPUTED_VALUE"""),1140.0)</f>
        <v>1140</v>
      </c>
    </row>
    <row r="487" ht="15.75" customHeight="1">
      <c r="B487" s="3">
        <f>IFERROR(__xludf.DUMMYFUNCTION("""COMPUTED_VALUE"""),43420.64583333333)</f>
        <v>43420.64583</v>
      </c>
      <c r="C487" s="2">
        <f>IFERROR(__xludf.DUMMYFUNCTION("""COMPUTED_VALUE"""),1175.0)</f>
        <v>1175</v>
      </c>
    </row>
    <row r="488" ht="15.75" customHeight="1">
      <c r="B488" s="3">
        <f>IFERROR(__xludf.DUMMYFUNCTION("""COMPUTED_VALUE"""),43426.64583333333)</f>
        <v>43426.64583</v>
      </c>
      <c r="C488" s="2">
        <f>IFERROR(__xludf.DUMMYFUNCTION("""COMPUTED_VALUE"""),1188.95)</f>
        <v>1188.95</v>
      </c>
    </row>
    <row r="489" ht="15.75" customHeight="1">
      <c r="B489" s="3">
        <f>IFERROR(__xludf.DUMMYFUNCTION("""COMPUTED_VALUE"""),43434.64583333333)</f>
        <v>43434.64583</v>
      </c>
      <c r="C489" s="2">
        <f>IFERROR(__xludf.DUMMYFUNCTION("""COMPUTED_VALUE"""),1238.4)</f>
        <v>1238.4</v>
      </c>
    </row>
    <row r="490" ht="15.75" customHeight="1">
      <c r="B490" s="3">
        <f>IFERROR(__xludf.DUMMYFUNCTION("""COMPUTED_VALUE"""),43441.64583333333)</f>
        <v>43441.64583</v>
      </c>
      <c r="C490" s="2">
        <f>IFERROR(__xludf.DUMMYFUNCTION("""COMPUTED_VALUE"""),1345.95)</f>
        <v>1345.95</v>
      </c>
    </row>
    <row r="491" ht="15.75" customHeight="1">
      <c r="B491" s="3">
        <f>IFERROR(__xludf.DUMMYFUNCTION("""COMPUTED_VALUE"""),43448.64583333333)</f>
        <v>43448.64583</v>
      </c>
      <c r="C491" s="2">
        <f>IFERROR(__xludf.DUMMYFUNCTION("""COMPUTED_VALUE"""),1289.9)</f>
        <v>1289.9</v>
      </c>
    </row>
    <row r="492" ht="15.75" customHeight="1">
      <c r="B492" s="3">
        <f>IFERROR(__xludf.DUMMYFUNCTION("""COMPUTED_VALUE"""),43455.64583333333)</f>
        <v>43455.64583</v>
      </c>
      <c r="C492" s="2">
        <f>IFERROR(__xludf.DUMMYFUNCTION("""COMPUTED_VALUE"""),1266.0)</f>
        <v>1266</v>
      </c>
    </row>
    <row r="493" ht="15.75" customHeight="1">
      <c r="B493" s="3">
        <f>IFERROR(__xludf.DUMMYFUNCTION("""COMPUTED_VALUE"""),43462.64583333333)</f>
        <v>43462.64583</v>
      </c>
      <c r="C493" s="2">
        <f>IFERROR(__xludf.DUMMYFUNCTION("""COMPUTED_VALUE"""),1258.65)</f>
        <v>1258.65</v>
      </c>
    </row>
    <row r="494" ht="15.75" customHeight="1"/>
    <row r="495" ht="15.75" customHeight="1"/>
    <row r="496" ht="15.75" customHeight="1">
      <c r="B496" s="2" t="str">
        <f>IFERROR(__xludf.DUMMYFUNCTION("GOOGLEFINANCE(""NSE:KOTAKBANK"", ""high"",DATE(2019,1,1),DATE(2020,1,1),""weekly"")"),"Date")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IFERROR(__xludf.DUMMYFUNCTION("""COMPUTED_VALUE"""),43469.64583333333)</f>
        <v>43469.64583</v>
      </c>
      <c r="C497" s="2">
        <f>IFERROR(__xludf.DUMMYFUNCTION("""COMPUTED_VALUE"""),1262.5)</f>
        <v>1262.5</v>
      </c>
    </row>
    <row r="498" ht="15.75" customHeight="1">
      <c r="B498" s="3">
        <f>IFERROR(__xludf.DUMMYFUNCTION("""COMPUTED_VALUE"""),43476.64583333333)</f>
        <v>43476.64583</v>
      </c>
      <c r="C498" s="2">
        <f>IFERROR(__xludf.DUMMYFUNCTION("""COMPUTED_VALUE"""),1254.0)</f>
        <v>1254</v>
      </c>
    </row>
    <row r="499" ht="15.75" customHeight="1">
      <c r="B499" s="3">
        <f>IFERROR(__xludf.DUMMYFUNCTION("""COMPUTED_VALUE"""),43483.64583333333)</f>
        <v>43483.64583</v>
      </c>
      <c r="C499" s="2">
        <f>IFERROR(__xludf.DUMMYFUNCTION("""COMPUTED_VALUE"""),1243.0)</f>
        <v>1243</v>
      </c>
    </row>
    <row r="500" ht="15.75" customHeight="1">
      <c r="B500" s="3">
        <f>IFERROR(__xludf.DUMMYFUNCTION("""COMPUTED_VALUE"""),43490.64583333333)</f>
        <v>43490.64583</v>
      </c>
      <c r="C500" s="2">
        <f>IFERROR(__xludf.DUMMYFUNCTION("""COMPUTED_VALUE"""),1307.95)</f>
        <v>1307.95</v>
      </c>
    </row>
    <row r="501" ht="15.75" customHeight="1">
      <c r="B501" s="3">
        <f>IFERROR(__xludf.DUMMYFUNCTION("""COMPUTED_VALUE"""),43497.64583333333)</f>
        <v>43497.64583</v>
      </c>
      <c r="C501" s="2">
        <f>IFERROR(__xludf.DUMMYFUNCTION("""COMPUTED_VALUE"""),1285.0)</f>
        <v>1285</v>
      </c>
    </row>
    <row r="502" ht="15.75" customHeight="1">
      <c r="B502" s="3">
        <f>IFERROR(__xludf.DUMMYFUNCTION("""COMPUTED_VALUE"""),43504.64583333333)</f>
        <v>43504.64583</v>
      </c>
      <c r="C502" s="2">
        <f>IFERROR(__xludf.DUMMYFUNCTION("""COMPUTED_VALUE"""),1311.0)</f>
        <v>1311</v>
      </c>
    </row>
    <row r="503" ht="15.75" customHeight="1">
      <c r="B503" s="3">
        <f>IFERROR(__xludf.DUMMYFUNCTION("""COMPUTED_VALUE"""),43511.64583333333)</f>
        <v>43511.64583</v>
      </c>
      <c r="C503" s="2">
        <f>IFERROR(__xludf.DUMMYFUNCTION("""COMPUTED_VALUE"""),1315.0)</f>
        <v>1315</v>
      </c>
    </row>
    <row r="504" ht="15.75" customHeight="1">
      <c r="B504" s="3">
        <f>IFERROR(__xludf.DUMMYFUNCTION("""COMPUTED_VALUE"""),43518.64583333333)</f>
        <v>43518.64583</v>
      </c>
      <c r="C504" s="2">
        <f>IFERROR(__xludf.DUMMYFUNCTION("""COMPUTED_VALUE"""),1297.6)</f>
        <v>1297.6</v>
      </c>
    </row>
    <row r="505" ht="15.75" customHeight="1">
      <c r="B505" s="3">
        <f>IFERROR(__xludf.DUMMYFUNCTION("""COMPUTED_VALUE"""),43525.64583333333)</f>
        <v>43525.64583</v>
      </c>
      <c r="C505" s="2">
        <f>IFERROR(__xludf.DUMMYFUNCTION("""COMPUTED_VALUE"""),1249.7)</f>
        <v>1249.7</v>
      </c>
    </row>
    <row r="506" ht="15.75" customHeight="1">
      <c r="B506" s="3">
        <f>IFERROR(__xludf.DUMMYFUNCTION("""COMPUTED_VALUE"""),43532.64583333333)</f>
        <v>43532.64583</v>
      </c>
      <c r="C506" s="2">
        <f>IFERROR(__xludf.DUMMYFUNCTION("""COMPUTED_VALUE"""),1247.0)</f>
        <v>1247</v>
      </c>
    </row>
    <row r="507" ht="15.75" customHeight="1">
      <c r="B507" s="3">
        <f>IFERROR(__xludf.DUMMYFUNCTION("""COMPUTED_VALUE"""),43539.64583333333)</f>
        <v>43539.64583</v>
      </c>
      <c r="C507" s="2">
        <f>IFERROR(__xludf.DUMMYFUNCTION("""COMPUTED_VALUE"""),1339.35)</f>
        <v>1339.35</v>
      </c>
    </row>
    <row r="508" ht="15.75" customHeight="1">
      <c r="B508" s="3">
        <f>IFERROR(__xludf.DUMMYFUNCTION("""COMPUTED_VALUE"""),43546.64583333333)</f>
        <v>43546.64583</v>
      </c>
      <c r="C508" s="2">
        <f>IFERROR(__xludf.DUMMYFUNCTION("""COMPUTED_VALUE"""),1364.65)</f>
        <v>1364.65</v>
      </c>
    </row>
    <row r="509" ht="15.75" customHeight="1">
      <c r="B509" s="3">
        <f>IFERROR(__xludf.DUMMYFUNCTION("""COMPUTED_VALUE"""),43553.64583333333)</f>
        <v>43553.64583</v>
      </c>
      <c r="C509" s="2">
        <f>IFERROR(__xludf.DUMMYFUNCTION("""COMPUTED_VALUE"""),1363.9)</f>
        <v>1363.9</v>
      </c>
    </row>
    <row r="510" ht="15.75" customHeight="1">
      <c r="B510" s="3">
        <f>IFERROR(__xludf.DUMMYFUNCTION("""COMPUTED_VALUE"""),43560.64583333333)</f>
        <v>43560.64583</v>
      </c>
      <c r="C510" s="2">
        <f>IFERROR(__xludf.DUMMYFUNCTION("""COMPUTED_VALUE"""),1362.0)</f>
        <v>1362</v>
      </c>
    </row>
    <row r="511" ht="15.75" customHeight="1">
      <c r="B511" s="3">
        <f>IFERROR(__xludf.DUMMYFUNCTION("""COMPUTED_VALUE"""),43567.64583333333)</f>
        <v>43567.64583</v>
      </c>
      <c r="C511" s="2">
        <f>IFERROR(__xludf.DUMMYFUNCTION("""COMPUTED_VALUE"""),1367.95)</f>
        <v>1367.95</v>
      </c>
    </row>
    <row r="512" ht="15.75" customHeight="1">
      <c r="B512" s="3">
        <f>IFERROR(__xludf.DUMMYFUNCTION("""COMPUTED_VALUE"""),43573.64583333333)</f>
        <v>43573.64583</v>
      </c>
      <c r="C512" s="2">
        <f>IFERROR(__xludf.DUMMYFUNCTION("""COMPUTED_VALUE"""),1392.0)</f>
        <v>1392</v>
      </c>
    </row>
    <row r="513" ht="15.75" customHeight="1">
      <c r="B513" s="3">
        <f>IFERROR(__xludf.DUMMYFUNCTION("""COMPUTED_VALUE"""),43581.64583333333)</f>
        <v>43581.64583</v>
      </c>
      <c r="C513" s="2">
        <f>IFERROR(__xludf.DUMMYFUNCTION("""COMPUTED_VALUE"""),1384.4)</f>
        <v>1384.4</v>
      </c>
    </row>
    <row r="514" ht="15.75" customHeight="1">
      <c r="B514" s="3">
        <f>IFERROR(__xludf.DUMMYFUNCTION("""COMPUTED_VALUE"""),43588.64583333333)</f>
        <v>43588.64583</v>
      </c>
      <c r="C514" s="2">
        <f>IFERROR(__xludf.DUMMYFUNCTION("""COMPUTED_VALUE"""),1435.75)</f>
        <v>1435.75</v>
      </c>
    </row>
    <row r="515" ht="15.75" customHeight="1">
      <c r="B515" s="3">
        <f>IFERROR(__xludf.DUMMYFUNCTION("""COMPUTED_VALUE"""),43595.64583333333)</f>
        <v>43595.64583</v>
      </c>
      <c r="C515" s="2">
        <f>IFERROR(__xludf.DUMMYFUNCTION("""COMPUTED_VALUE"""),1425.0)</f>
        <v>1425</v>
      </c>
    </row>
    <row r="516" ht="15.75" customHeight="1">
      <c r="B516" s="3">
        <f>IFERROR(__xludf.DUMMYFUNCTION("""COMPUTED_VALUE"""),43602.64583333333)</f>
        <v>43602.64583</v>
      </c>
      <c r="C516" s="2">
        <f>IFERROR(__xludf.DUMMYFUNCTION("""COMPUTED_VALUE"""),1469.8)</f>
        <v>1469.8</v>
      </c>
    </row>
    <row r="517" ht="15.75" customHeight="1">
      <c r="B517" s="3">
        <f>IFERROR(__xludf.DUMMYFUNCTION("""COMPUTED_VALUE"""),43609.64583333333)</f>
        <v>43609.64583</v>
      </c>
      <c r="C517" s="2">
        <f>IFERROR(__xludf.DUMMYFUNCTION("""COMPUTED_VALUE"""),1555.9)</f>
        <v>1555.9</v>
      </c>
    </row>
    <row r="518" ht="15.75" customHeight="1">
      <c r="B518" s="3">
        <f>IFERROR(__xludf.DUMMYFUNCTION("""COMPUTED_VALUE"""),43616.64583333333)</f>
        <v>43616.64583</v>
      </c>
      <c r="C518" s="2">
        <f>IFERROR(__xludf.DUMMYFUNCTION("""COMPUTED_VALUE"""),1544.0)</f>
        <v>1544</v>
      </c>
    </row>
    <row r="519" ht="15.75" customHeight="1">
      <c r="B519" s="3">
        <f>IFERROR(__xludf.DUMMYFUNCTION("""COMPUTED_VALUE"""),43623.64583333333)</f>
        <v>43623.64583</v>
      </c>
      <c r="C519" s="2">
        <f>IFERROR(__xludf.DUMMYFUNCTION("""COMPUTED_VALUE"""),1540.9)</f>
        <v>1540.9</v>
      </c>
    </row>
    <row r="520" ht="15.75" customHeight="1">
      <c r="B520" s="3">
        <f>IFERROR(__xludf.DUMMYFUNCTION("""COMPUTED_VALUE"""),43630.64583333333)</f>
        <v>43630.64583</v>
      </c>
      <c r="C520" s="2">
        <f>IFERROR(__xludf.DUMMYFUNCTION("""COMPUTED_VALUE"""),1514.25)</f>
        <v>1514.25</v>
      </c>
    </row>
    <row r="521" ht="15.75" customHeight="1">
      <c r="B521" s="3">
        <f>IFERROR(__xludf.DUMMYFUNCTION("""COMPUTED_VALUE"""),43637.64583333333)</f>
        <v>43637.64583</v>
      </c>
      <c r="C521" s="2">
        <f>IFERROR(__xludf.DUMMYFUNCTION("""COMPUTED_VALUE"""),1520.0)</f>
        <v>1520</v>
      </c>
    </row>
    <row r="522" ht="15.75" customHeight="1">
      <c r="B522" s="3">
        <f>IFERROR(__xludf.DUMMYFUNCTION("""COMPUTED_VALUE"""),43644.64583333333)</f>
        <v>43644.64583</v>
      </c>
      <c r="C522" s="2">
        <f>IFERROR(__xludf.DUMMYFUNCTION("""COMPUTED_VALUE"""),1506.7)</f>
        <v>1506.7</v>
      </c>
    </row>
    <row r="523" ht="15.75" customHeight="1">
      <c r="B523" s="3">
        <f>IFERROR(__xludf.DUMMYFUNCTION("""COMPUTED_VALUE"""),43651.64583333333)</f>
        <v>43651.64583</v>
      </c>
      <c r="C523" s="2">
        <f>IFERROR(__xludf.DUMMYFUNCTION("""COMPUTED_VALUE"""),1520.0)</f>
        <v>1520</v>
      </c>
    </row>
    <row r="524" ht="15.75" customHeight="1">
      <c r="B524" s="3">
        <f>IFERROR(__xludf.DUMMYFUNCTION("""COMPUTED_VALUE"""),43658.64583333333)</f>
        <v>43658.64583</v>
      </c>
      <c r="C524" s="2">
        <f>IFERROR(__xludf.DUMMYFUNCTION("""COMPUTED_VALUE"""),1513.4)</f>
        <v>1513.4</v>
      </c>
    </row>
    <row r="525" ht="15.75" customHeight="1">
      <c r="B525" s="3">
        <f>IFERROR(__xludf.DUMMYFUNCTION("""COMPUTED_VALUE"""),43665.64583333333)</f>
        <v>43665.64583</v>
      </c>
      <c r="C525" s="2">
        <f>IFERROR(__xludf.DUMMYFUNCTION("""COMPUTED_VALUE"""),1546.85)</f>
        <v>1546.85</v>
      </c>
    </row>
    <row r="526" ht="15.75" customHeight="1">
      <c r="B526" s="3">
        <f>IFERROR(__xludf.DUMMYFUNCTION("""COMPUTED_VALUE"""),43672.64583333333)</f>
        <v>43672.64583</v>
      </c>
      <c r="C526" s="2">
        <f>IFERROR(__xludf.DUMMYFUNCTION("""COMPUTED_VALUE"""),1517.95)</f>
        <v>1517.95</v>
      </c>
    </row>
    <row r="527" ht="15.75" customHeight="1">
      <c r="B527" s="3">
        <f>IFERROR(__xludf.DUMMYFUNCTION("""COMPUTED_VALUE"""),43679.64583333333)</f>
        <v>43679.64583</v>
      </c>
      <c r="C527" s="2">
        <f>IFERROR(__xludf.DUMMYFUNCTION("""COMPUTED_VALUE"""),1534.7)</f>
        <v>1534.7</v>
      </c>
    </row>
    <row r="528" ht="15.75" customHeight="1">
      <c r="B528" s="3">
        <f>IFERROR(__xludf.DUMMYFUNCTION("""COMPUTED_VALUE"""),43686.64583333333)</f>
        <v>43686.64583</v>
      </c>
      <c r="C528" s="2">
        <f>IFERROR(__xludf.DUMMYFUNCTION("""COMPUTED_VALUE"""),1535.5)</f>
        <v>1535.5</v>
      </c>
    </row>
    <row r="529" ht="15.75" customHeight="1">
      <c r="B529" s="3">
        <f>IFERROR(__xludf.DUMMYFUNCTION("""COMPUTED_VALUE"""),43693.64583333333)</f>
        <v>43693.64583</v>
      </c>
      <c r="C529" s="2">
        <f>IFERROR(__xludf.DUMMYFUNCTION("""COMPUTED_VALUE"""),1534.0)</f>
        <v>1534</v>
      </c>
    </row>
    <row r="530" ht="15.75" customHeight="1">
      <c r="B530" s="3">
        <f>IFERROR(__xludf.DUMMYFUNCTION("""COMPUTED_VALUE"""),43700.64583333333)</f>
        <v>43700.64583</v>
      </c>
      <c r="C530" s="2">
        <f>IFERROR(__xludf.DUMMYFUNCTION("""COMPUTED_VALUE"""),1519.5)</f>
        <v>1519.5</v>
      </c>
    </row>
    <row r="531" ht="15.75" customHeight="1">
      <c r="B531" s="3">
        <f>IFERROR(__xludf.DUMMYFUNCTION("""COMPUTED_VALUE"""),43707.64583333333)</f>
        <v>43707.64583</v>
      </c>
      <c r="C531" s="2">
        <f>IFERROR(__xludf.DUMMYFUNCTION("""COMPUTED_VALUE"""),1522.75)</f>
        <v>1522.75</v>
      </c>
    </row>
    <row r="532" ht="15.75" customHeight="1">
      <c r="B532" s="3">
        <f>IFERROR(__xludf.DUMMYFUNCTION("""COMPUTED_VALUE"""),43714.64583333333)</f>
        <v>43714.64583</v>
      </c>
      <c r="C532" s="2">
        <f>IFERROR(__xludf.DUMMYFUNCTION("""COMPUTED_VALUE"""),1444.6)</f>
        <v>1444.6</v>
      </c>
    </row>
    <row r="533" ht="15.75" customHeight="1">
      <c r="B533" s="3">
        <f>IFERROR(__xludf.DUMMYFUNCTION("""COMPUTED_VALUE"""),43721.64583333333)</f>
        <v>43721.64583</v>
      </c>
      <c r="C533" s="2">
        <f>IFERROR(__xludf.DUMMYFUNCTION("""COMPUTED_VALUE"""),1486.0)</f>
        <v>1486</v>
      </c>
    </row>
    <row r="534" ht="15.75" customHeight="1">
      <c r="B534" s="3">
        <f>IFERROR(__xludf.DUMMYFUNCTION("""COMPUTED_VALUE"""),43728.64583333333)</f>
        <v>43728.64583</v>
      </c>
      <c r="C534" s="2">
        <f>IFERROR(__xludf.DUMMYFUNCTION("""COMPUTED_VALUE"""),1598.9)</f>
        <v>1598.9</v>
      </c>
    </row>
    <row r="535" ht="15.75" customHeight="1">
      <c r="B535" s="3">
        <f>IFERROR(__xludf.DUMMYFUNCTION("""COMPUTED_VALUE"""),43735.64583333333)</f>
        <v>43735.64583</v>
      </c>
      <c r="C535" s="2">
        <f>IFERROR(__xludf.DUMMYFUNCTION("""COMPUTED_VALUE"""),1683.95)</f>
        <v>1683.95</v>
      </c>
    </row>
    <row r="536" ht="15.75" customHeight="1">
      <c r="B536" s="3">
        <f>IFERROR(__xludf.DUMMYFUNCTION("""COMPUTED_VALUE"""),43742.64583333333)</f>
        <v>43742.64583</v>
      </c>
      <c r="C536" s="2">
        <f>IFERROR(__xludf.DUMMYFUNCTION("""COMPUTED_VALUE"""),1662.0)</f>
        <v>1662</v>
      </c>
    </row>
    <row r="537" ht="15.75" customHeight="1">
      <c r="B537" s="3">
        <f>IFERROR(__xludf.DUMMYFUNCTION("""COMPUTED_VALUE"""),43749.64583333333)</f>
        <v>43749.64583</v>
      </c>
      <c r="C537" s="2">
        <f>IFERROR(__xludf.DUMMYFUNCTION("""COMPUTED_VALUE"""),1627.75)</f>
        <v>1627.75</v>
      </c>
    </row>
    <row r="538" ht="15.75" customHeight="1">
      <c r="B538" s="3">
        <f>IFERROR(__xludf.DUMMYFUNCTION("""COMPUTED_VALUE"""),43756.64583333333)</f>
        <v>43756.64583</v>
      </c>
      <c r="C538" s="2">
        <f>IFERROR(__xludf.DUMMYFUNCTION("""COMPUTED_VALUE"""),1629.5)</f>
        <v>1629.5</v>
      </c>
    </row>
    <row r="539" ht="15.75" customHeight="1">
      <c r="B539" s="3">
        <f>IFERROR(__xludf.DUMMYFUNCTION("""COMPUTED_VALUE"""),43763.79166666667)</f>
        <v>43763.79167</v>
      </c>
      <c r="C539" s="2">
        <f>IFERROR(__xludf.DUMMYFUNCTION("""COMPUTED_VALUE"""),1643.0)</f>
        <v>1643</v>
      </c>
    </row>
    <row r="540" ht="15.75" customHeight="1">
      <c r="B540" s="3">
        <f>IFERROR(__xludf.DUMMYFUNCTION("""COMPUTED_VALUE"""),43770.64583333333)</f>
        <v>43770.64583</v>
      </c>
      <c r="C540" s="2">
        <f>IFERROR(__xludf.DUMMYFUNCTION("""COMPUTED_VALUE"""),1605.0)</f>
        <v>1605</v>
      </c>
    </row>
    <row r="541" ht="15.75" customHeight="1">
      <c r="B541" s="3">
        <f>IFERROR(__xludf.DUMMYFUNCTION("""COMPUTED_VALUE"""),43777.64583333333)</f>
        <v>43777.64583</v>
      </c>
      <c r="C541" s="2">
        <f>IFERROR(__xludf.DUMMYFUNCTION("""COMPUTED_VALUE"""),1606.0)</f>
        <v>1606</v>
      </c>
    </row>
    <row r="542" ht="15.75" customHeight="1">
      <c r="B542" s="3">
        <f>IFERROR(__xludf.DUMMYFUNCTION("""COMPUTED_VALUE"""),43784.64583333333)</f>
        <v>43784.64583</v>
      </c>
      <c r="C542" s="2">
        <f>IFERROR(__xludf.DUMMYFUNCTION("""COMPUTED_VALUE"""),1629.0)</f>
        <v>1629</v>
      </c>
    </row>
    <row r="543" ht="15.75" customHeight="1">
      <c r="B543" s="3">
        <f>IFERROR(__xludf.DUMMYFUNCTION("""COMPUTED_VALUE"""),43791.64583333333)</f>
        <v>43791.64583</v>
      </c>
      <c r="C543" s="2">
        <f>IFERROR(__xludf.DUMMYFUNCTION("""COMPUTED_VALUE"""),1635.0)</f>
        <v>1635</v>
      </c>
    </row>
    <row r="544" ht="15.75" customHeight="1">
      <c r="B544" s="3">
        <f>IFERROR(__xludf.DUMMYFUNCTION("""COMPUTED_VALUE"""),43798.64583333333)</f>
        <v>43798.64583</v>
      </c>
      <c r="C544" s="2">
        <f>IFERROR(__xludf.DUMMYFUNCTION("""COMPUTED_VALUE"""),1626.1)</f>
        <v>1626.1</v>
      </c>
    </row>
    <row r="545" ht="15.75" customHeight="1">
      <c r="B545" s="3">
        <f>IFERROR(__xludf.DUMMYFUNCTION("""COMPUTED_VALUE"""),43805.64583333333)</f>
        <v>43805.64583</v>
      </c>
      <c r="C545" s="2">
        <f>IFERROR(__xludf.DUMMYFUNCTION("""COMPUTED_VALUE"""),1680.0)</f>
        <v>1680</v>
      </c>
    </row>
    <row r="546" ht="15.75" customHeight="1">
      <c r="B546" s="3">
        <f>IFERROR(__xludf.DUMMYFUNCTION("""COMPUTED_VALUE"""),43812.64583333333)</f>
        <v>43812.64583</v>
      </c>
      <c r="C546" s="2">
        <f>IFERROR(__xludf.DUMMYFUNCTION("""COMPUTED_VALUE"""),1720.0)</f>
        <v>1720</v>
      </c>
    </row>
    <row r="547" ht="15.75" customHeight="1">
      <c r="B547" s="3">
        <f>IFERROR(__xludf.DUMMYFUNCTION("""COMPUTED_VALUE"""),43819.64583333333)</f>
        <v>43819.64583</v>
      </c>
      <c r="C547" s="2">
        <f>IFERROR(__xludf.DUMMYFUNCTION("""COMPUTED_VALUE"""),1734.8)</f>
        <v>1734.8</v>
      </c>
    </row>
    <row r="548" ht="15.75" customHeight="1">
      <c r="B548" s="3">
        <f>IFERROR(__xludf.DUMMYFUNCTION("""COMPUTED_VALUE"""),43826.64583333333)</f>
        <v>43826.64583</v>
      </c>
      <c r="C548" s="2">
        <f>IFERROR(__xludf.DUMMYFUNCTION("""COMPUTED_VALUE"""),1716.5)</f>
        <v>1716.5</v>
      </c>
    </row>
    <row r="549" ht="15.75" customHeight="1"/>
    <row r="550" ht="15.75" customHeight="1"/>
    <row r="551" ht="15.75" customHeight="1">
      <c r="B551" s="2" t="str">
        <f>IFERROR(__xludf.DUMMYFUNCTION("GOOGLEFINANCE(""NSE:KOTAKBANK"", ""high"",DATE(2020,1,1),DATE(2021,1,1),""weekly"")"),"Date")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IFERROR(__xludf.DUMMYFUNCTION("""COMPUTED_VALUE"""),43833.64583333333)</f>
        <v>43833.64583</v>
      </c>
      <c r="C552" s="2">
        <f>IFERROR(__xludf.DUMMYFUNCTION("""COMPUTED_VALUE"""),1706.8)</f>
        <v>1706.8</v>
      </c>
    </row>
    <row r="553" ht="15.75" customHeight="1">
      <c r="B553" s="3">
        <f>IFERROR(__xludf.DUMMYFUNCTION("""COMPUTED_VALUE"""),43840.64583333333)</f>
        <v>43840.64583</v>
      </c>
      <c r="C553" s="2">
        <f>IFERROR(__xludf.DUMMYFUNCTION("""COMPUTED_VALUE"""),1692.0)</f>
        <v>1692</v>
      </c>
    </row>
    <row r="554" ht="15.75" customHeight="1">
      <c r="B554" s="3">
        <f>IFERROR(__xludf.DUMMYFUNCTION("""COMPUTED_VALUE"""),43847.64583333333)</f>
        <v>43847.64583</v>
      </c>
      <c r="C554" s="2">
        <f>IFERROR(__xludf.DUMMYFUNCTION("""COMPUTED_VALUE"""),1705.85)</f>
        <v>1705.85</v>
      </c>
    </row>
    <row r="555" ht="15.75" customHeight="1">
      <c r="B555" s="3">
        <f>IFERROR(__xludf.DUMMYFUNCTION("""COMPUTED_VALUE"""),43854.64583333333)</f>
        <v>43854.64583</v>
      </c>
      <c r="C555" s="2">
        <f>IFERROR(__xludf.DUMMYFUNCTION("""COMPUTED_VALUE"""),1709.0)</f>
        <v>1709</v>
      </c>
    </row>
    <row r="556" ht="15.75" customHeight="1">
      <c r="B556" s="3">
        <f>IFERROR(__xludf.DUMMYFUNCTION("""COMPUTED_VALUE"""),43862.70833333333)</f>
        <v>43862.70833</v>
      </c>
      <c r="C556" s="2">
        <f>IFERROR(__xludf.DUMMYFUNCTION("""COMPUTED_VALUE"""),1729.0)</f>
        <v>1729</v>
      </c>
    </row>
    <row r="557" ht="15.75" customHeight="1">
      <c r="B557" s="3">
        <f>IFERROR(__xludf.DUMMYFUNCTION("""COMPUTED_VALUE"""),43868.64583333333)</f>
        <v>43868.64583</v>
      </c>
      <c r="C557" s="2">
        <f>IFERROR(__xludf.DUMMYFUNCTION("""COMPUTED_VALUE"""),1707.45)</f>
        <v>1707.45</v>
      </c>
    </row>
    <row r="558" ht="15.75" customHeight="1">
      <c r="B558" s="3">
        <f>IFERROR(__xludf.DUMMYFUNCTION("""COMPUTED_VALUE"""),43875.64583333333)</f>
        <v>43875.64583</v>
      </c>
      <c r="C558" s="2">
        <f>IFERROR(__xludf.DUMMYFUNCTION("""COMPUTED_VALUE"""),1720.0)</f>
        <v>1720</v>
      </c>
    </row>
    <row r="559" ht="15.75" customHeight="1">
      <c r="B559" s="3">
        <f>IFERROR(__xludf.DUMMYFUNCTION("""COMPUTED_VALUE"""),43881.64583333333)</f>
        <v>43881.64583</v>
      </c>
      <c r="C559" s="2">
        <f>IFERROR(__xludf.DUMMYFUNCTION("""COMPUTED_VALUE"""),1740.0)</f>
        <v>1740</v>
      </c>
    </row>
    <row r="560" ht="15.75" customHeight="1">
      <c r="B560" s="3">
        <f>IFERROR(__xludf.DUMMYFUNCTION("""COMPUTED_VALUE"""),43889.64583333333)</f>
        <v>43889.64583</v>
      </c>
      <c r="C560" s="2">
        <f>IFERROR(__xludf.DUMMYFUNCTION("""COMPUTED_VALUE"""),1689.7)</f>
        <v>1689.7</v>
      </c>
    </row>
    <row r="561" ht="15.75" customHeight="1">
      <c r="B561" s="3">
        <f>IFERROR(__xludf.DUMMYFUNCTION("""COMPUTED_VALUE"""),43896.64583333333)</f>
        <v>43896.64583</v>
      </c>
      <c r="C561" s="2">
        <f>IFERROR(__xludf.DUMMYFUNCTION("""COMPUTED_VALUE"""),1676.5)</f>
        <v>1676.5</v>
      </c>
    </row>
    <row r="562" ht="15.75" customHeight="1">
      <c r="B562" s="3">
        <f>IFERROR(__xludf.DUMMYFUNCTION("""COMPUTED_VALUE"""),43903.64583333333)</f>
        <v>43903.64583</v>
      </c>
      <c r="C562" s="2">
        <f>IFERROR(__xludf.DUMMYFUNCTION("""COMPUTED_VALUE"""),1609.95)</f>
        <v>1609.95</v>
      </c>
    </row>
    <row r="563" ht="15.75" customHeight="1">
      <c r="B563" s="3">
        <f>IFERROR(__xludf.DUMMYFUNCTION("""COMPUTED_VALUE"""),43910.64583333333)</f>
        <v>43910.64583</v>
      </c>
      <c r="C563" s="2">
        <f>IFERROR(__xludf.DUMMYFUNCTION("""COMPUTED_VALUE"""),1444.75)</f>
        <v>1444.75</v>
      </c>
    </row>
    <row r="564" ht="15.75" customHeight="1">
      <c r="B564" s="3">
        <f>IFERROR(__xludf.DUMMYFUNCTION("""COMPUTED_VALUE"""),43917.64583333333)</f>
        <v>43917.64583</v>
      </c>
      <c r="C564" s="2">
        <f>IFERROR(__xludf.DUMMYFUNCTION("""COMPUTED_VALUE"""),1450.0)</f>
        <v>1450</v>
      </c>
    </row>
    <row r="565" ht="15.75" customHeight="1">
      <c r="B565" s="3">
        <f>IFERROR(__xludf.DUMMYFUNCTION("""COMPUTED_VALUE"""),43924.64583333333)</f>
        <v>43924.64583</v>
      </c>
      <c r="C565" s="2">
        <f>IFERROR(__xludf.DUMMYFUNCTION("""COMPUTED_VALUE"""),1380.0)</f>
        <v>1380</v>
      </c>
    </row>
    <row r="566" ht="15.75" customHeight="1">
      <c r="B566" s="3">
        <f>IFERROR(__xludf.DUMMYFUNCTION("""COMPUTED_VALUE"""),43930.64583333333)</f>
        <v>43930.64583</v>
      </c>
      <c r="C566" s="2">
        <f>IFERROR(__xludf.DUMMYFUNCTION("""COMPUTED_VALUE"""),1281.2)</f>
        <v>1281.2</v>
      </c>
    </row>
    <row r="567" ht="15.75" customHeight="1">
      <c r="B567" s="3">
        <f>IFERROR(__xludf.DUMMYFUNCTION("""COMPUTED_VALUE"""),43938.64583333333)</f>
        <v>43938.64583</v>
      </c>
      <c r="C567" s="2">
        <f>IFERROR(__xludf.DUMMYFUNCTION("""COMPUTED_VALUE"""),1270.95)</f>
        <v>1270.95</v>
      </c>
    </row>
    <row r="568" ht="15.75" customHeight="1">
      <c r="B568" s="3">
        <f>IFERROR(__xludf.DUMMYFUNCTION("""COMPUTED_VALUE"""),43945.64583333333)</f>
        <v>43945.64583</v>
      </c>
      <c r="C568" s="2">
        <f>IFERROR(__xludf.DUMMYFUNCTION("""COMPUTED_VALUE"""),1258.0)</f>
        <v>1258</v>
      </c>
    </row>
    <row r="569" ht="15.75" customHeight="1">
      <c r="B569" s="3">
        <f>IFERROR(__xludf.DUMMYFUNCTION("""COMPUTED_VALUE"""),43951.64583333333)</f>
        <v>43951.64583</v>
      </c>
      <c r="C569" s="2">
        <f>IFERROR(__xludf.DUMMYFUNCTION("""COMPUTED_VALUE"""),1380.0)</f>
        <v>1380</v>
      </c>
    </row>
    <row r="570" ht="15.75" customHeight="1">
      <c r="B570" s="3">
        <f>IFERROR(__xludf.DUMMYFUNCTION("""COMPUTED_VALUE"""),43959.64583333333)</f>
        <v>43959.64583</v>
      </c>
      <c r="C570" s="2">
        <f>IFERROR(__xludf.DUMMYFUNCTION("""COMPUTED_VALUE"""),1305.9)</f>
        <v>1305.9</v>
      </c>
    </row>
    <row r="571" ht="15.75" customHeight="1">
      <c r="B571" s="3">
        <f>IFERROR(__xludf.DUMMYFUNCTION("""COMPUTED_VALUE"""),43966.64583333333)</f>
        <v>43966.64583</v>
      </c>
      <c r="C571" s="2">
        <f>IFERROR(__xludf.DUMMYFUNCTION("""COMPUTED_VALUE"""),1252.3)</f>
        <v>1252.3</v>
      </c>
    </row>
    <row r="572" ht="15.75" customHeight="1">
      <c r="B572" s="3">
        <f>IFERROR(__xludf.DUMMYFUNCTION("""COMPUTED_VALUE"""),43973.64583333333)</f>
        <v>43973.64583</v>
      </c>
      <c r="C572" s="2">
        <f>IFERROR(__xludf.DUMMYFUNCTION("""COMPUTED_VALUE"""),1189.55)</f>
        <v>1189.55</v>
      </c>
    </row>
    <row r="573" ht="15.75" customHeight="1">
      <c r="B573" s="3">
        <f>IFERROR(__xludf.DUMMYFUNCTION("""COMPUTED_VALUE"""),43980.64583333333)</f>
        <v>43980.64583</v>
      </c>
      <c r="C573" s="2">
        <f>IFERROR(__xludf.DUMMYFUNCTION("""COMPUTED_VALUE"""),1254.9)</f>
        <v>1254.9</v>
      </c>
    </row>
    <row r="574" ht="15.75" customHeight="1">
      <c r="B574" s="3">
        <f>IFERROR(__xludf.DUMMYFUNCTION("""COMPUTED_VALUE"""),43987.64583333333)</f>
        <v>43987.64583</v>
      </c>
      <c r="C574" s="2">
        <f>IFERROR(__xludf.DUMMYFUNCTION("""COMPUTED_VALUE"""),1428.2)</f>
        <v>1428.2</v>
      </c>
    </row>
    <row r="575" ht="15.75" customHeight="1">
      <c r="B575" s="3">
        <f>IFERROR(__xludf.DUMMYFUNCTION("""COMPUTED_VALUE"""),43994.64583333333)</f>
        <v>43994.64583</v>
      </c>
      <c r="C575" s="2">
        <f>IFERROR(__xludf.DUMMYFUNCTION("""COMPUTED_VALUE"""),1365.0)</f>
        <v>1365</v>
      </c>
    </row>
    <row r="576" ht="15.75" customHeight="1">
      <c r="B576" s="3">
        <f>IFERROR(__xludf.DUMMYFUNCTION("""COMPUTED_VALUE"""),44001.64583333333)</f>
        <v>44001.64583</v>
      </c>
      <c r="C576" s="2">
        <f>IFERROR(__xludf.DUMMYFUNCTION("""COMPUTED_VALUE"""),1315.75)</f>
        <v>1315.75</v>
      </c>
    </row>
    <row r="577" ht="15.75" customHeight="1">
      <c r="B577" s="3">
        <f>IFERROR(__xludf.DUMMYFUNCTION("""COMPUTED_VALUE"""),44008.64583333333)</f>
        <v>44008.64583</v>
      </c>
      <c r="C577" s="2">
        <f>IFERROR(__xludf.DUMMYFUNCTION("""COMPUTED_VALUE"""),1398.0)</f>
        <v>1398</v>
      </c>
    </row>
    <row r="578" ht="15.75" customHeight="1">
      <c r="B578" s="3">
        <f>IFERROR(__xludf.DUMMYFUNCTION("""COMPUTED_VALUE"""),44015.64583333333)</f>
        <v>44015.64583</v>
      </c>
      <c r="C578" s="2">
        <f>IFERROR(__xludf.DUMMYFUNCTION("""COMPUTED_VALUE"""),1372.9)</f>
        <v>1372.9</v>
      </c>
    </row>
    <row r="579" ht="15.75" customHeight="1">
      <c r="B579" s="3">
        <f>IFERROR(__xludf.DUMMYFUNCTION("""COMPUTED_VALUE"""),44022.64583333333)</f>
        <v>44022.64583</v>
      </c>
      <c r="C579" s="2">
        <f>IFERROR(__xludf.DUMMYFUNCTION("""COMPUTED_VALUE"""),1381.25)</f>
        <v>1381.25</v>
      </c>
    </row>
    <row r="580" ht="15.75" customHeight="1">
      <c r="B580" s="3">
        <f>IFERROR(__xludf.DUMMYFUNCTION("""COMPUTED_VALUE"""),44029.64583333333)</f>
        <v>44029.64583</v>
      </c>
      <c r="C580" s="2">
        <f>IFERROR(__xludf.DUMMYFUNCTION("""COMPUTED_VALUE"""),1364.9)</f>
        <v>1364.9</v>
      </c>
    </row>
    <row r="581" ht="15.75" customHeight="1">
      <c r="B581" s="3">
        <f>IFERROR(__xludf.DUMMYFUNCTION("""COMPUTED_VALUE"""),44036.64583333333)</f>
        <v>44036.64583</v>
      </c>
      <c r="C581" s="2">
        <f>IFERROR(__xludf.DUMMYFUNCTION("""COMPUTED_VALUE"""),1379.85)</f>
        <v>1379.85</v>
      </c>
    </row>
    <row r="582" ht="15.75" customHeight="1">
      <c r="B582" s="3">
        <f>IFERROR(__xludf.DUMMYFUNCTION("""COMPUTED_VALUE"""),44043.64583333333)</f>
        <v>44043.64583</v>
      </c>
      <c r="C582" s="2">
        <f>IFERROR(__xludf.DUMMYFUNCTION("""COMPUTED_VALUE"""),1424.7)</f>
        <v>1424.7</v>
      </c>
    </row>
    <row r="583" ht="15.75" customHeight="1">
      <c r="B583" s="3">
        <f>IFERROR(__xludf.DUMMYFUNCTION("""COMPUTED_VALUE"""),44050.64583333333)</f>
        <v>44050.64583</v>
      </c>
      <c r="C583" s="2">
        <f>IFERROR(__xludf.DUMMYFUNCTION("""COMPUTED_VALUE"""),1367.4)</f>
        <v>1367.4</v>
      </c>
    </row>
    <row r="584" ht="15.75" customHeight="1">
      <c r="B584" s="3">
        <f>IFERROR(__xludf.DUMMYFUNCTION("""COMPUTED_VALUE"""),44057.64583333333)</f>
        <v>44057.64583</v>
      </c>
      <c r="C584" s="2">
        <f>IFERROR(__xludf.DUMMYFUNCTION("""COMPUTED_VALUE"""),1385.0)</f>
        <v>1385</v>
      </c>
    </row>
    <row r="585" ht="15.75" customHeight="1">
      <c r="B585" s="3">
        <f>IFERROR(__xludf.DUMMYFUNCTION("""COMPUTED_VALUE"""),44064.64583333333)</f>
        <v>44064.64583</v>
      </c>
      <c r="C585" s="2">
        <f>IFERROR(__xludf.DUMMYFUNCTION("""COMPUTED_VALUE"""),1380.9)</f>
        <v>1380.9</v>
      </c>
    </row>
    <row r="586" ht="15.75" customHeight="1">
      <c r="B586" s="3">
        <f>IFERROR(__xludf.DUMMYFUNCTION("""COMPUTED_VALUE"""),44071.64583333333)</f>
        <v>44071.64583</v>
      </c>
      <c r="C586" s="2">
        <f>IFERROR(__xludf.DUMMYFUNCTION("""COMPUTED_VALUE"""),1474.0)</f>
        <v>1474</v>
      </c>
    </row>
    <row r="587" ht="15.75" customHeight="1">
      <c r="B587" s="3">
        <f>IFERROR(__xludf.DUMMYFUNCTION("""COMPUTED_VALUE"""),44078.64583333333)</f>
        <v>44078.64583</v>
      </c>
      <c r="C587" s="2">
        <f>IFERROR(__xludf.DUMMYFUNCTION("""COMPUTED_VALUE"""),1501.5)</f>
        <v>1501.5</v>
      </c>
    </row>
    <row r="588" ht="15.75" customHeight="1">
      <c r="B588" s="3">
        <f>IFERROR(__xludf.DUMMYFUNCTION("""COMPUTED_VALUE"""),44085.64583333333)</f>
        <v>44085.64583</v>
      </c>
      <c r="C588" s="2">
        <f>IFERROR(__xludf.DUMMYFUNCTION("""COMPUTED_VALUE"""),1379.0)</f>
        <v>1379</v>
      </c>
    </row>
    <row r="589" ht="15.75" customHeight="1">
      <c r="B589" s="3">
        <f>IFERROR(__xludf.DUMMYFUNCTION("""COMPUTED_VALUE"""),44092.64583333333)</f>
        <v>44092.64583</v>
      </c>
      <c r="C589" s="2">
        <f>IFERROR(__xludf.DUMMYFUNCTION("""COMPUTED_VALUE"""),1347.95)</f>
        <v>1347.95</v>
      </c>
    </row>
    <row r="590" ht="15.75" customHeight="1">
      <c r="B590" s="3">
        <f>IFERROR(__xludf.DUMMYFUNCTION("""COMPUTED_VALUE"""),44099.64583333333)</f>
        <v>44099.64583</v>
      </c>
      <c r="C590" s="2">
        <f>IFERROR(__xludf.DUMMYFUNCTION("""COMPUTED_VALUE"""),1319.45)</f>
        <v>1319.45</v>
      </c>
    </row>
    <row r="591" ht="15.75" customHeight="1">
      <c r="B591" s="3">
        <f>IFERROR(__xludf.DUMMYFUNCTION("""COMPUTED_VALUE"""),44105.64583333333)</f>
        <v>44105.64583</v>
      </c>
      <c r="C591" s="2">
        <f>IFERROR(__xludf.DUMMYFUNCTION("""COMPUTED_VALUE"""),1309.8)</f>
        <v>1309.8</v>
      </c>
    </row>
    <row r="592" ht="15.75" customHeight="1">
      <c r="B592" s="3">
        <f>IFERROR(__xludf.DUMMYFUNCTION("""COMPUTED_VALUE"""),44113.64583333333)</f>
        <v>44113.64583</v>
      </c>
      <c r="C592" s="2">
        <f>IFERROR(__xludf.DUMMYFUNCTION("""COMPUTED_VALUE"""),1342.0)</f>
        <v>1342</v>
      </c>
    </row>
    <row r="593" ht="15.75" customHeight="1">
      <c r="B593" s="3">
        <f>IFERROR(__xludf.DUMMYFUNCTION("""COMPUTED_VALUE"""),44120.64583333333)</f>
        <v>44120.64583</v>
      </c>
      <c r="C593" s="2">
        <f>IFERROR(__xludf.DUMMYFUNCTION("""COMPUTED_VALUE"""),1365.95)</f>
        <v>1365.95</v>
      </c>
    </row>
    <row r="594" ht="15.75" customHeight="1">
      <c r="B594" s="3">
        <f>IFERROR(__xludf.DUMMYFUNCTION("""COMPUTED_VALUE"""),44127.64583333333)</f>
        <v>44127.64583</v>
      </c>
      <c r="C594" s="2">
        <f>IFERROR(__xludf.DUMMYFUNCTION("""COMPUTED_VALUE"""),1407.7)</f>
        <v>1407.7</v>
      </c>
    </row>
    <row r="595" ht="15.75" customHeight="1">
      <c r="B595" s="3">
        <f>IFERROR(__xludf.DUMMYFUNCTION("""COMPUTED_VALUE"""),44134.64583333333)</f>
        <v>44134.64583</v>
      </c>
      <c r="C595" s="2">
        <f>IFERROR(__xludf.DUMMYFUNCTION("""COMPUTED_VALUE"""),1602.0)</f>
        <v>1602</v>
      </c>
    </row>
    <row r="596" ht="15.75" customHeight="1">
      <c r="B596" s="3">
        <f>IFERROR(__xludf.DUMMYFUNCTION("""COMPUTED_VALUE"""),44141.64583333333)</f>
        <v>44141.64583</v>
      </c>
      <c r="C596" s="2">
        <f>IFERROR(__xludf.DUMMYFUNCTION("""COMPUTED_VALUE"""),1725.0)</f>
        <v>1725</v>
      </c>
    </row>
    <row r="597" ht="15.75" customHeight="1">
      <c r="B597" s="3">
        <f>IFERROR(__xludf.DUMMYFUNCTION("""COMPUTED_VALUE"""),44155.64583333333)</f>
        <v>44155.64583</v>
      </c>
      <c r="C597" s="2">
        <f>IFERROR(__xludf.DUMMYFUNCTION("""COMPUTED_VALUE"""),1899.0)</f>
        <v>1899</v>
      </c>
    </row>
    <row r="598" ht="15.75" customHeight="1">
      <c r="B598" s="3">
        <f>IFERROR(__xludf.DUMMYFUNCTION("""COMPUTED_VALUE"""),44162.64583333333)</f>
        <v>44162.64583</v>
      </c>
      <c r="C598" s="2">
        <f>IFERROR(__xludf.DUMMYFUNCTION("""COMPUTED_VALUE"""),1948.4)</f>
        <v>1948.4</v>
      </c>
    </row>
    <row r="599" ht="15.75" customHeight="1">
      <c r="B599" s="3">
        <f>IFERROR(__xludf.DUMMYFUNCTION("""COMPUTED_VALUE"""),44169.64583333333)</f>
        <v>44169.64583</v>
      </c>
      <c r="C599" s="2">
        <f>IFERROR(__xludf.DUMMYFUNCTION("""COMPUTED_VALUE"""),1930.0)</f>
        <v>1930</v>
      </c>
    </row>
    <row r="600" ht="15.75" customHeight="1">
      <c r="B600" s="3">
        <f>IFERROR(__xludf.DUMMYFUNCTION("""COMPUTED_VALUE"""),44176.64583333333)</f>
        <v>44176.64583</v>
      </c>
      <c r="C600" s="2">
        <f>IFERROR(__xludf.DUMMYFUNCTION("""COMPUTED_VALUE"""),1928.7)</f>
        <v>1928.7</v>
      </c>
    </row>
    <row r="601" ht="15.75" customHeight="1">
      <c r="B601" s="3">
        <f>IFERROR(__xludf.DUMMYFUNCTION("""COMPUTED_VALUE"""),44183.64583333333)</f>
        <v>44183.64583</v>
      </c>
      <c r="C601" s="2">
        <f>IFERROR(__xludf.DUMMYFUNCTION("""COMPUTED_VALUE"""),1969.0)</f>
        <v>1969</v>
      </c>
    </row>
    <row r="602" ht="15.75" customHeight="1">
      <c r="B602" s="3">
        <f>IFERROR(__xludf.DUMMYFUNCTION("""COMPUTED_VALUE"""),44189.64583333333)</f>
        <v>44189.64583</v>
      </c>
      <c r="C602" s="2">
        <f>IFERROR(__xludf.DUMMYFUNCTION("""COMPUTED_VALUE"""),1978.0)</f>
        <v>1978</v>
      </c>
    </row>
    <row r="603" ht="15.75" customHeight="1">
      <c r="B603" s="3">
        <f>IFERROR(__xludf.DUMMYFUNCTION("""COMPUTED_VALUE"""),44197.64583333333)</f>
        <v>44197.64583</v>
      </c>
      <c r="C603" s="2">
        <f>IFERROR(__xludf.DUMMYFUNCTION("""COMPUTED_VALUE"""),2027.0)</f>
        <v>2027</v>
      </c>
    </row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IFERROR(__xludf.DUMMYFUNCTION("GOOGLEFINANCE(""NSE:VEDL"", ""high"",DATE(2010,1,1),DATE(2011,1,1),""weekly"")"),"Date")</f>
        <v>Date</v>
      </c>
      <c r="C1" s="2" t="str">
        <f>IFERROR(__xludf.DUMMYFUNCTION("""COMPUTED_VALUE"""),"High")</f>
        <v>High</v>
      </c>
    </row>
    <row r="2">
      <c r="A2" s="2" t="s">
        <v>9</v>
      </c>
      <c r="B2" s="3">
        <f>IFERROR(__xludf.DUMMYFUNCTION("""COMPUTED_VALUE"""),40186.645833333336)</f>
        <v>40186.64583</v>
      </c>
      <c r="C2" s="2">
        <f>IFERROR(__xludf.DUMMYFUNCTION("""COMPUTED_VALUE"""),421.5)</f>
        <v>421.5</v>
      </c>
    </row>
    <row r="3">
      <c r="A3" s="2" t="s">
        <v>10</v>
      </c>
      <c r="B3" s="3">
        <f>IFERROR(__xludf.DUMMYFUNCTION("""COMPUTED_VALUE"""),40193.645833333336)</f>
        <v>40193.64583</v>
      </c>
      <c r="C3" s="2">
        <f>IFERROR(__xludf.DUMMYFUNCTION("""COMPUTED_VALUE"""),424.0)</f>
        <v>424</v>
      </c>
    </row>
    <row r="4">
      <c r="A4" s="2" t="s">
        <v>11</v>
      </c>
      <c r="B4" s="3">
        <f>IFERROR(__xludf.DUMMYFUNCTION("""COMPUTED_VALUE"""),40200.645833333336)</f>
        <v>40200.64583</v>
      </c>
      <c r="C4" s="2">
        <f>IFERROR(__xludf.DUMMYFUNCTION("""COMPUTED_VALUE"""),419.0)</f>
        <v>419</v>
      </c>
    </row>
    <row r="5">
      <c r="A5" s="2" t="s">
        <v>12</v>
      </c>
      <c r="B5" s="3">
        <f>IFERROR(__xludf.DUMMYFUNCTION("""COMPUTED_VALUE"""),40207.645833333336)</f>
        <v>40207.64583</v>
      </c>
      <c r="C5" s="2">
        <f>IFERROR(__xludf.DUMMYFUNCTION("""COMPUTED_VALUE"""),384.4)</f>
        <v>384.4</v>
      </c>
    </row>
    <row r="6">
      <c r="A6" s="2" t="s">
        <v>13</v>
      </c>
      <c r="B6" s="3">
        <f>IFERROR(__xludf.DUMMYFUNCTION("""COMPUTED_VALUE"""),40220.645833333336)</f>
        <v>40220.64583</v>
      </c>
      <c r="C6" s="2">
        <f>IFERROR(__xludf.DUMMYFUNCTION("""COMPUTED_VALUE"""),385.5)</f>
        <v>385.5</v>
      </c>
    </row>
    <row r="7">
      <c r="A7" s="2" t="s">
        <v>14</v>
      </c>
      <c r="B7" s="3">
        <f>IFERROR(__xludf.DUMMYFUNCTION("""COMPUTED_VALUE"""),40228.645833333336)</f>
        <v>40228.64583</v>
      </c>
      <c r="C7" s="2">
        <f>IFERROR(__xludf.DUMMYFUNCTION("""COMPUTED_VALUE"""),388.9)</f>
        <v>388.9</v>
      </c>
    </row>
    <row r="8">
      <c r="A8" s="2" t="s">
        <v>15</v>
      </c>
      <c r="B8" s="3">
        <f>IFERROR(__xludf.DUMMYFUNCTION("""COMPUTED_VALUE"""),40235.645833333336)</f>
        <v>40235.64583</v>
      </c>
      <c r="C8" s="2">
        <f>IFERROR(__xludf.DUMMYFUNCTION("""COMPUTED_VALUE"""),404.95)</f>
        <v>404.95</v>
      </c>
    </row>
    <row r="9">
      <c r="A9" s="2" t="s">
        <v>16</v>
      </c>
      <c r="B9" s="3">
        <f>IFERROR(__xludf.DUMMYFUNCTION("""COMPUTED_VALUE"""),40242.645833333336)</f>
        <v>40242.64583</v>
      </c>
      <c r="C9" s="2">
        <f>IFERROR(__xludf.DUMMYFUNCTION("""COMPUTED_VALUE"""),462.0)</f>
        <v>462</v>
      </c>
    </row>
    <row r="10">
      <c r="A10" s="2" t="s">
        <v>16</v>
      </c>
      <c r="B10" s="3">
        <f>IFERROR(__xludf.DUMMYFUNCTION("""COMPUTED_VALUE"""),40249.645833333336)</f>
        <v>40249.64583</v>
      </c>
      <c r="C10" s="2">
        <f>IFERROR(__xludf.DUMMYFUNCTION("""COMPUTED_VALUE"""),455.7)</f>
        <v>455.7</v>
      </c>
    </row>
    <row r="11">
      <c r="A11" s="2" t="s">
        <v>17</v>
      </c>
      <c r="B11" s="3">
        <f>IFERROR(__xludf.DUMMYFUNCTION("""COMPUTED_VALUE"""),40256.645833333336)</f>
        <v>40256.64583</v>
      </c>
      <c r="C11" s="2">
        <f>IFERROR(__xludf.DUMMYFUNCTION("""COMPUTED_VALUE"""),454.4)</f>
        <v>454.4</v>
      </c>
    </row>
    <row r="12">
      <c r="A12" s="2" t="s">
        <v>17</v>
      </c>
      <c r="B12" s="3">
        <f>IFERROR(__xludf.DUMMYFUNCTION("""COMPUTED_VALUE"""),40263.645833333336)</f>
        <v>40263.64583</v>
      </c>
      <c r="C12" s="2">
        <f>IFERROR(__xludf.DUMMYFUNCTION("""COMPUTED_VALUE"""),463.95)</f>
        <v>463.95</v>
      </c>
    </row>
    <row r="13">
      <c r="A13" s="2" t="s">
        <v>18</v>
      </c>
      <c r="B13" s="3">
        <f>IFERROR(__xludf.DUMMYFUNCTION("""COMPUTED_VALUE"""),40269.645833333336)</f>
        <v>40269.64583</v>
      </c>
      <c r="C13" s="2">
        <f>IFERROR(__xludf.DUMMYFUNCTION("""COMPUTED_VALUE"""),477.4)</f>
        <v>477.4</v>
      </c>
    </row>
    <row r="14">
      <c r="A14" s="2" t="s">
        <v>18</v>
      </c>
      <c r="B14" s="3">
        <f>IFERROR(__xludf.DUMMYFUNCTION("""COMPUTED_VALUE"""),40277.645833333336)</f>
        <v>40277.64583</v>
      </c>
      <c r="C14" s="2">
        <f>IFERROR(__xludf.DUMMYFUNCTION("""COMPUTED_VALUE"""),495.0)</f>
        <v>495</v>
      </c>
    </row>
    <row r="15">
      <c r="A15" s="2" t="s">
        <v>19</v>
      </c>
      <c r="B15" s="3">
        <f>IFERROR(__xludf.DUMMYFUNCTION("""COMPUTED_VALUE"""),40284.645833333336)</f>
        <v>40284.64583</v>
      </c>
      <c r="C15" s="2">
        <f>IFERROR(__xludf.DUMMYFUNCTION("""COMPUTED_VALUE"""),473.0)</f>
        <v>473</v>
      </c>
    </row>
    <row r="16">
      <c r="A16" s="2" t="s">
        <v>19</v>
      </c>
      <c r="B16" s="3">
        <f>IFERROR(__xludf.DUMMYFUNCTION("""COMPUTED_VALUE"""),40291.645833333336)</f>
        <v>40291.64583</v>
      </c>
      <c r="C16" s="2">
        <f>IFERROR(__xludf.DUMMYFUNCTION("""COMPUTED_VALUE"""),473.9)</f>
        <v>473.9</v>
      </c>
    </row>
    <row r="17">
      <c r="B17" s="3">
        <f>IFERROR(__xludf.DUMMYFUNCTION("""COMPUTED_VALUE"""),40298.645833333336)</f>
        <v>40298.64583</v>
      </c>
      <c r="C17" s="2">
        <f>IFERROR(__xludf.DUMMYFUNCTION("""COMPUTED_VALUE"""),448.4)</f>
        <v>448.4</v>
      </c>
    </row>
    <row r="18">
      <c r="B18" s="3">
        <f>IFERROR(__xludf.DUMMYFUNCTION("""COMPUTED_VALUE"""),40305.645833333336)</f>
        <v>40305.64583</v>
      </c>
      <c r="C18" s="2">
        <f>IFERROR(__xludf.DUMMYFUNCTION("""COMPUTED_VALUE"""),426.9)</f>
        <v>426.9</v>
      </c>
    </row>
    <row r="19">
      <c r="B19" s="3">
        <f>IFERROR(__xludf.DUMMYFUNCTION("""COMPUTED_VALUE"""),40312.645833333336)</f>
        <v>40312.64583</v>
      </c>
      <c r="C19" s="2">
        <f>IFERROR(__xludf.DUMMYFUNCTION("""COMPUTED_VALUE"""),416.75)</f>
        <v>416.75</v>
      </c>
    </row>
    <row r="20">
      <c r="B20" s="3">
        <f>IFERROR(__xludf.DUMMYFUNCTION("""COMPUTED_VALUE"""),40319.645833333336)</f>
        <v>40319.64583</v>
      </c>
      <c r="C20" s="2">
        <f>IFERROR(__xludf.DUMMYFUNCTION("""COMPUTED_VALUE"""),391.45)</f>
        <v>391.45</v>
      </c>
    </row>
    <row r="21" ht="15.75" customHeight="1">
      <c r="B21" s="3">
        <f>IFERROR(__xludf.DUMMYFUNCTION("""COMPUTED_VALUE"""),40326.645833333336)</f>
        <v>40326.64583</v>
      </c>
      <c r="C21" s="2">
        <f>IFERROR(__xludf.DUMMYFUNCTION("""COMPUTED_VALUE"""),375.5)</f>
        <v>375.5</v>
      </c>
    </row>
    <row r="22" ht="15.75" customHeight="1">
      <c r="B22" s="3">
        <f>IFERROR(__xludf.DUMMYFUNCTION("""COMPUTED_VALUE"""),40333.645833333336)</f>
        <v>40333.64583</v>
      </c>
      <c r="C22" s="2">
        <f>IFERROR(__xludf.DUMMYFUNCTION("""COMPUTED_VALUE"""),387.6)</f>
        <v>387.6</v>
      </c>
    </row>
    <row r="23" ht="15.75" customHeight="1">
      <c r="B23" s="3">
        <f>IFERROR(__xludf.DUMMYFUNCTION("""COMPUTED_VALUE"""),40340.645833333336)</f>
        <v>40340.64583</v>
      </c>
      <c r="C23" s="2">
        <f>IFERROR(__xludf.DUMMYFUNCTION("""COMPUTED_VALUE"""),364.0)</f>
        <v>364</v>
      </c>
    </row>
    <row r="24" ht="15.75" customHeight="1">
      <c r="B24" s="3">
        <f>IFERROR(__xludf.DUMMYFUNCTION("""COMPUTED_VALUE"""),40347.645833333336)</f>
        <v>40347.64583</v>
      </c>
      <c r="C24" s="2">
        <f>IFERROR(__xludf.DUMMYFUNCTION("""COMPUTED_VALUE"""),366.7)</f>
        <v>366.7</v>
      </c>
    </row>
    <row r="25" ht="15.75" customHeight="1">
      <c r="B25" s="3">
        <f>IFERROR(__xludf.DUMMYFUNCTION("""COMPUTED_VALUE"""),40354.645833333336)</f>
        <v>40354.64583</v>
      </c>
      <c r="C25" s="2">
        <f>IFERROR(__xludf.DUMMYFUNCTION("""COMPUTED_VALUE"""),389.7)</f>
        <v>389.7</v>
      </c>
    </row>
    <row r="26" ht="15.75" customHeight="1">
      <c r="B26" s="3">
        <f>IFERROR(__xludf.DUMMYFUNCTION("""COMPUTED_VALUE"""),40361.645833333336)</f>
        <v>40361.64583</v>
      </c>
      <c r="C26" s="2">
        <f>IFERROR(__xludf.DUMMYFUNCTION("""COMPUTED_VALUE"""),372.7)</f>
        <v>372.7</v>
      </c>
    </row>
    <row r="27" ht="15.75" customHeight="1">
      <c r="B27" s="3">
        <f>IFERROR(__xludf.DUMMYFUNCTION("""COMPUTED_VALUE"""),40368.645833333336)</f>
        <v>40368.64583</v>
      </c>
      <c r="C27" s="2">
        <f>IFERROR(__xludf.DUMMYFUNCTION("""COMPUTED_VALUE"""),358.6)</f>
        <v>358.6</v>
      </c>
    </row>
    <row r="28" ht="15.75" customHeight="1">
      <c r="B28" s="3">
        <f>IFERROR(__xludf.DUMMYFUNCTION("""COMPUTED_VALUE"""),40375.645833333336)</f>
        <v>40375.64583</v>
      </c>
      <c r="C28" s="2">
        <f>IFERROR(__xludf.DUMMYFUNCTION("""COMPUTED_VALUE"""),363.7)</f>
        <v>363.7</v>
      </c>
    </row>
    <row r="29" ht="15.75" customHeight="1">
      <c r="B29" s="3">
        <f>IFERROR(__xludf.DUMMYFUNCTION("""COMPUTED_VALUE"""),40382.645833333336)</f>
        <v>40382.64583</v>
      </c>
      <c r="C29" s="2">
        <f>IFERROR(__xludf.DUMMYFUNCTION("""COMPUTED_VALUE"""),373.3)</f>
        <v>373.3</v>
      </c>
    </row>
    <row r="30" ht="15.75" customHeight="1">
      <c r="B30" s="3">
        <f>IFERROR(__xludf.DUMMYFUNCTION("""COMPUTED_VALUE"""),40389.645833333336)</f>
        <v>40389.64583</v>
      </c>
      <c r="C30" s="2">
        <f>IFERROR(__xludf.DUMMYFUNCTION("""COMPUTED_VALUE"""),376.0)</f>
        <v>376</v>
      </c>
    </row>
    <row r="31" ht="15.75" customHeight="1">
      <c r="B31" s="3">
        <f>IFERROR(__xludf.DUMMYFUNCTION("""COMPUTED_VALUE"""),40396.645833333336)</f>
        <v>40396.64583</v>
      </c>
      <c r="C31" s="2">
        <f>IFERROR(__xludf.DUMMYFUNCTION("""COMPUTED_VALUE"""),375.0)</f>
        <v>375</v>
      </c>
    </row>
    <row r="32" ht="15.75" customHeight="1">
      <c r="B32" s="3">
        <f>IFERROR(__xludf.DUMMYFUNCTION("""COMPUTED_VALUE"""),40403.645833333336)</f>
        <v>40403.64583</v>
      </c>
      <c r="C32" s="2">
        <f>IFERROR(__xludf.DUMMYFUNCTION("""COMPUTED_VALUE"""),384.0)</f>
        <v>384</v>
      </c>
    </row>
    <row r="33" ht="15.75" customHeight="1">
      <c r="B33" s="3">
        <f>IFERROR(__xludf.DUMMYFUNCTION("""COMPUTED_VALUE"""),40410.645833333336)</f>
        <v>40410.64583</v>
      </c>
      <c r="C33" s="2">
        <f>IFERROR(__xludf.DUMMYFUNCTION("""COMPUTED_VALUE"""),356.0)</f>
        <v>356</v>
      </c>
    </row>
    <row r="34" ht="15.75" customHeight="1">
      <c r="B34" s="3">
        <f>IFERROR(__xludf.DUMMYFUNCTION("""COMPUTED_VALUE"""),40417.645833333336)</f>
        <v>40417.64583</v>
      </c>
      <c r="C34" s="2">
        <f>IFERROR(__xludf.DUMMYFUNCTION("""COMPUTED_VALUE"""),332.75)</f>
        <v>332.75</v>
      </c>
    </row>
    <row r="35" ht="15.75" customHeight="1">
      <c r="B35" s="3">
        <f>IFERROR(__xludf.DUMMYFUNCTION("""COMPUTED_VALUE"""),40424.645833333336)</f>
        <v>40424.64583</v>
      </c>
      <c r="C35" s="2">
        <f>IFERROR(__xludf.DUMMYFUNCTION("""COMPUTED_VALUE"""),330.5)</f>
        <v>330.5</v>
      </c>
    </row>
    <row r="36" ht="15.75" customHeight="1">
      <c r="B36" s="3">
        <f>IFERROR(__xludf.DUMMYFUNCTION("""COMPUTED_VALUE"""),40430.645833333336)</f>
        <v>40430.64583</v>
      </c>
      <c r="C36" s="2">
        <f>IFERROR(__xludf.DUMMYFUNCTION("""COMPUTED_VALUE"""),325.0)</f>
        <v>325</v>
      </c>
    </row>
    <row r="37" ht="15.75" customHeight="1">
      <c r="B37" s="3">
        <f>IFERROR(__xludf.DUMMYFUNCTION("""COMPUTED_VALUE"""),40438.645833333336)</f>
        <v>40438.64583</v>
      </c>
      <c r="C37" s="2">
        <f>IFERROR(__xludf.DUMMYFUNCTION("""COMPUTED_VALUE"""),329.75)</f>
        <v>329.75</v>
      </c>
    </row>
    <row r="38" ht="15.75" customHeight="1">
      <c r="B38" s="3">
        <f>IFERROR(__xludf.DUMMYFUNCTION("""COMPUTED_VALUE"""),40445.645833333336)</f>
        <v>40445.64583</v>
      </c>
      <c r="C38" s="2">
        <f>IFERROR(__xludf.DUMMYFUNCTION("""COMPUTED_VALUE"""),343.4)</f>
        <v>343.4</v>
      </c>
    </row>
    <row r="39" ht="15.75" customHeight="1">
      <c r="B39" s="3">
        <f>IFERROR(__xludf.DUMMYFUNCTION("""COMPUTED_VALUE"""),40452.645833333336)</f>
        <v>40452.64583</v>
      </c>
      <c r="C39" s="2">
        <f>IFERROR(__xludf.DUMMYFUNCTION("""COMPUTED_VALUE"""),346.8)</f>
        <v>346.8</v>
      </c>
    </row>
    <row r="40" ht="15.75" customHeight="1">
      <c r="B40" s="3">
        <f>IFERROR(__xludf.DUMMYFUNCTION("""COMPUTED_VALUE"""),40459.645833333336)</f>
        <v>40459.64583</v>
      </c>
      <c r="C40" s="2">
        <f>IFERROR(__xludf.DUMMYFUNCTION("""COMPUTED_VALUE"""),374.4)</f>
        <v>374.4</v>
      </c>
    </row>
    <row r="41" ht="15.75" customHeight="1">
      <c r="B41" s="3">
        <f>IFERROR(__xludf.DUMMYFUNCTION("""COMPUTED_VALUE"""),40466.645833333336)</f>
        <v>40466.64583</v>
      </c>
      <c r="C41" s="2">
        <f>IFERROR(__xludf.DUMMYFUNCTION("""COMPUTED_VALUE"""),383.65)</f>
        <v>383.65</v>
      </c>
    </row>
    <row r="42" ht="15.75" customHeight="1">
      <c r="B42" s="3">
        <f>IFERROR(__xludf.DUMMYFUNCTION("""COMPUTED_VALUE"""),40473.645833333336)</f>
        <v>40473.64583</v>
      </c>
      <c r="C42" s="2">
        <f>IFERROR(__xludf.DUMMYFUNCTION("""COMPUTED_VALUE"""),380.85)</f>
        <v>380.85</v>
      </c>
    </row>
    <row r="43" ht="15.75" customHeight="1">
      <c r="B43" s="3">
        <f>IFERROR(__xludf.DUMMYFUNCTION("""COMPUTED_VALUE"""),40480.645833333336)</f>
        <v>40480.64583</v>
      </c>
      <c r="C43" s="2">
        <f>IFERROR(__xludf.DUMMYFUNCTION("""COMPUTED_VALUE"""),350.8)</f>
        <v>350.8</v>
      </c>
    </row>
    <row r="44" ht="15.75" customHeight="1">
      <c r="B44" s="3">
        <f>IFERROR(__xludf.DUMMYFUNCTION("""COMPUTED_VALUE"""),40487.645833333336)</f>
        <v>40487.64583</v>
      </c>
      <c r="C44" s="2">
        <f>IFERROR(__xludf.DUMMYFUNCTION("""COMPUTED_VALUE"""),340.9)</f>
        <v>340.9</v>
      </c>
    </row>
    <row r="45" ht="15.75" customHeight="1">
      <c r="B45" s="3">
        <f>IFERROR(__xludf.DUMMYFUNCTION("""COMPUTED_VALUE"""),40494.645833333336)</f>
        <v>40494.64583</v>
      </c>
      <c r="C45" s="2">
        <f>IFERROR(__xludf.DUMMYFUNCTION("""COMPUTED_VALUE"""),348.7)</f>
        <v>348.7</v>
      </c>
    </row>
    <row r="46" ht="15.75" customHeight="1">
      <c r="B46" s="3">
        <f>IFERROR(__xludf.DUMMYFUNCTION("""COMPUTED_VALUE"""),40501.645833333336)</f>
        <v>40501.64583</v>
      </c>
      <c r="C46" s="2">
        <f>IFERROR(__xludf.DUMMYFUNCTION("""COMPUTED_VALUE"""),347.45)</f>
        <v>347.45</v>
      </c>
    </row>
    <row r="47" ht="15.75" customHeight="1">
      <c r="B47" s="3">
        <f>IFERROR(__xludf.DUMMYFUNCTION("""COMPUTED_VALUE"""),40508.645833333336)</f>
        <v>40508.64583</v>
      </c>
      <c r="C47" s="2">
        <f>IFERROR(__xludf.DUMMYFUNCTION("""COMPUTED_VALUE"""),335.95)</f>
        <v>335.95</v>
      </c>
    </row>
    <row r="48" ht="15.75" customHeight="1">
      <c r="B48" s="3">
        <f>IFERROR(__xludf.DUMMYFUNCTION("""COMPUTED_VALUE"""),40515.645833333336)</f>
        <v>40515.64583</v>
      </c>
      <c r="C48" s="2">
        <f>IFERROR(__xludf.DUMMYFUNCTION("""COMPUTED_VALUE"""),313.65)</f>
        <v>313.65</v>
      </c>
    </row>
    <row r="49" ht="15.75" customHeight="1">
      <c r="B49" s="3">
        <f>IFERROR(__xludf.DUMMYFUNCTION("""COMPUTED_VALUE"""),40522.645833333336)</f>
        <v>40522.64583</v>
      </c>
      <c r="C49" s="2">
        <f>IFERROR(__xludf.DUMMYFUNCTION("""COMPUTED_VALUE"""),313.65)</f>
        <v>313.65</v>
      </c>
    </row>
    <row r="50" ht="15.75" customHeight="1">
      <c r="B50" s="3">
        <f>IFERROR(__xludf.DUMMYFUNCTION("""COMPUTED_VALUE"""),40528.645833333336)</f>
        <v>40528.64583</v>
      </c>
      <c r="C50" s="2">
        <f>IFERROR(__xludf.DUMMYFUNCTION("""COMPUTED_VALUE"""),305.85)</f>
        <v>305.85</v>
      </c>
    </row>
    <row r="51" ht="15.75" customHeight="1">
      <c r="B51" s="3">
        <f>IFERROR(__xludf.DUMMYFUNCTION("""COMPUTED_VALUE"""),40536.645833333336)</f>
        <v>40536.64583</v>
      </c>
      <c r="C51" s="2">
        <f>IFERROR(__xludf.DUMMYFUNCTION("""COMPUTED_VALUE"""),317.7)</f>
        <v>317.7</v>
      </c>
    </row>
    <row r="52" ht="15.75" customHeight="1">
      <c r="B52" s="3">
        <f>IFERROR(__xludf.DUMMYFUNCTION("""COMPUTED_VALUE"""),40543.645833333336)</f>
        <v>40543.64583</v>
      </c>
      <c r="C52" s="2">
        <f>IFERROR(__xludf.DUMMYFUNCTION("""COMPUTED_VALUE"""),330.7)</f>
        <v>330.7</v>
      </c>
    </row>
    <row r="53" ht="15.75" customHeight="1"/>
    <row r="54" ht="15.75" customHeight="1"/>
    <row r="55" ht="15.75" customHeight="1"/>
    <row r="56" ht="15.75" customHeight="1">
      <c r="B56" s="2" t="str">
        <f>IFERROR(__xludf.DUMMYFUNCTION("GOOGLEFINANCE(""NSE:VEDL"", ""high"",DATE(2011,1,1),DATE(2012,1,1),""weekly"")"),"Date")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IFERROR(__xludf.DUMMYFUNCTION("""COMPUTED_VALUE"""),40550.645833333336)</f>
        <v>40550.64583</v>
      </c>
      <c r="C57" s="2">
        <f>IFERROR(__xludf.DUMMYFUNCTION("""COMPUTED_VALUE"""),346.5)</f>
        <v>346.5</v>
      </c>
    </row>
    <row r="58" ht="15.75" customHeight="1">
      <c r="B58" s="3">
        <f>IFERROR(__xludf.DUMMYFUNCTION("""COMPUTED_VALUE"""),40557.645833333336)</f>
        <v>40557.64583</v>
      </c>
      <c r="C58" s="2">
        <f>IFERROR(__xludf.DUMMYFUNCTION("""COMPUTED_VALUE"""),345.95)</f>
        <v>345.95</v>
      </c>
    </row>
    <row r="59" ht="15.75" customHeight="1">
      <c r="B59" s="3">
        <f>IFERROR(__xludf.DUMMYFUNCTION("""COMPUTED_VALUE"""),40564.645833333336)</f>
        <v>40564.64583</v>
      </c>
      <c r="C59" s="2">
        <f>IFERROR(__xludf.DUMMYFUNCTION("""COMPUTED_VALUE"""),338.0)</f>
        <v>338</v>
      </c>
    </row>
    <row r="60" ht="15.75" customHeight="1">
      <c r="B60" s="3">
        <f>IFERROR(__xludf.DUMMYFUNCTION("""COMPUTED_VALUE"""),40571.645833333336)</f>
        <v>40571.64583</v>
      </c>
      <c r="C60" s="2">
        <f>IFERROR(__xludf.DUMMYFUNCTION("""COMPUTED_VALUE"""),343.9)</f>
        <v>343.9</v>
      </c>
    </row>
    <row r="61" ht="15.75" customHeight="1">
      <c r="B61" s="3">
        <f>IFERROR(__xludf.DUMMYFUNCTION("""COMPUTED_VALUE"""),40578.645833333336)</f>
        <v>40578.64583</v>
      </c>
      <c r="C61" s="2">
        <f>IFERROR(__xludf.DUMMYFUNCTION("""COMPUTED_VALUE"""),333.4)</f>
        <v>333.4</v>
      </c>
    </row>
    <row r="62" ht="15.75" customHeight="1">
      <c r="B62" s="3">
        <f>IFERROR(__xludf.DUMMYFUNCTION("""COMPUTED_VALUE"""),40585.645833333336)</f>
        <v>40585.64583</v>
      </c>
      <c r="C62" s="2">
        <f>IFERROR(__xludf.DUMMYFUNCTION("""COMPUTED_VALUE"""),323.4)</f>
        <v>323.4</v>
      </c>
    </row>
    <row r="63" ht="15.75" customHeight="1">
      <c r="B63" s="3">
        <f>IFERROR(__xludf.DUMMYFUNCTION("""COMPUTED_VALUE"""),40592.645833333336)</f>
        <v>40592.64583</v>
      </c>
      <c r="C63" s="2">
        <f>IFERROR(__xludf.DUMMYFUNCTION("""COMPUTED_VALUE"""),316.6)</f>
        <v>316.6</v>
      </c>
    </row>
    <row r="64" ht="15.75" customHeight="1">
      <c r="B64" s="3">
        <f>IFERROR(__xludf.DUMMYFUNCTION("""COMPUTED_VALUE"""),40599.645833333336)</f>
        <v>40599.64583</v>
      </c>
      <c r="C64" s="2">
        <f>IFERROR(__xludf.DUMMYFUNCTION("""COMPUTED_VALUE"""),313.0)</f>
        <v>313</v>
      </c>
    </row>
    <row r="65" ht="15.75" customHeight="1">
      <c r="B65" s="3">
        <f>IFERROR(__xludf.DUMMYFUNCTION("""COMPUTED_VALUE"""),40606.645833333336)</f>
        <v>40606.64583</v>
      </c>
      <c r="C65" s="2">
        <f>IFERROR(__xludf.DUMMYFUNCTION("""COMPUTED_VALUE"""),285.45)</f>
        <v>285.45</v>
      </c>
    </row>
    <row r="66" ht="15.75" customHeight="1">
      <c r="B66" s="3">
        <f>IFERROR(__xludf.DUMMYFUNCTION("""COMPUTED_VALUE"""),40613.645833333336)</f>
        <v>40613.64583</v>
      </c>
      <c r="C66" s="2">
        <f>IFERROR(__xludf.DUMMYFUNCTION("""COMPUTED_VALUE"""),281.95)</f>
        <v>281.95</v>
      </c>
    </row>
    <row r="67" ht="15.75" customHeight="1">
      <c r="B67" s="3">
        <f>IFERROR(__xludf.DUMMYFUNCTION("""COMPUTED_VALUE"""),40620.645833333336)</f>
        <v>40620.64583</v>
      </c>
      <c r="C67" s="2">
        <f>IFERROR(__xludf.DUMMYFUNCTION("""COMPUTED_VALUE"""),272.75)</f>
        <v>272.75</v>
      </c>
    </row>
    <row r="68" ht="15.75" customHeight="1">
      <c r="B68" s="3">
        <f>IFERROR(__xludf.DUMMYFUNCTION("""COMPUTED_VALUE"""),40627.645833333336)</f>
        <v>40627.64583</v>
      </c>
      <c r="C68" s="2">
        <f>IFERROR(__xludf.DUMMYFUNCTION("""COMPUTED_VALUE"""),279.7)</f>
        <v>279.7</v>
      </c>
    </row>
    <row r="69" ht="15.75" customHeight="1">
      <c r="B69" s="3">
        <f>IFERROR(__xludf.DUMMYFUNCTION("""COMPUTED_VALUE"""),40634.645833333336)</f>
        <v>40634.64583</v>
      </c>
      <c r="C69" s="2">
        <f>IFERROR(__xludf.DUMMYFUNCTION("""COMPUTED_VALUE"""),299.25)</f>
        <v>299.25</v>
      </c>
    </row>
    <row r="70" ht="15.75" customHeight="1">
      <c r="B70" s="3">
        <f>IFERROR(__xludf.DUMMYFUNCTION("""COMPUTED_VALUE"""),40641.645833333336)</f>
        <v>40641.64583</v>
      </c>
      <c r="C70" s="2">
        <f>IFERROR(__xludf.DUMMYFUNCTION("""COMPUTED_VALUE"""),330.8)</f>
        <v>330.8</v>
      </c>
    </row>
    <row r="71" ht="15.75" customHeight="1">
      <c r="B71" s="3">
        <f>IFERROR(__xludf.DUMMYFUNCTION("""COMPUTED_VALUE"""),40648.645833333336)</f>
        <v>40648.64583</v>
      </c>
      <c r="C71" s="2">
        <f>IFERROR(__xludf.DUMMYFUNCTION("""COMPUTED_VALUE"""),323.7)</f>
        <v>323.7</v>
      </c>
    </row>
    <row r="72" ht="15.75" customHeight="1">
      <c r="B72" s="3">
        <f>IFERROR(__xludf.DUMMYFUNCTION("""COMPUTED_VALUE"""),40654.645833333336)</f>
        <v>40654.64583</v>
      </c>
      <c r="C72" s="2">
        <f>IFERROR(__xludf.DUMMYFUNCTION("""COMPUTED_VALUE"""),323.7)</f>
        <v>323.7</v>
      </c>
    </row>
    <row r="73" ht="15.75" customHeight="1">
      <c r="B73" s="3">
        <f>IFERROR(__xludf.DUMMYFUNCTION("""COMPUTED_VALUE"""),40662.645833333336)</f>
        <v>40662.64583</v>
      </c>
      <c r="C73" s="2">
        <f>IFERROR(__xludf.DUMMYFUNCTION("""COMPUTED_VALUE"""),328.6)</f>
        <v>328.6</v>
      </c>
    </row>
    <row r="74" ht="15.75" customHeight="1">
      <c r="B74" s="3">
        <f>IFERROR(__xludf.DUMMYFUNCTION("""COMPUTED_VALUE"""),40669.645833333336)</f>
        <v>40669.64583</v>
      </c>
      <c r="C74" s="2">
        <f>IFERROR(__xludf.DUMMYFUNCTION("""COMPUTED_VALUE"""),317.0)</f>
        <v>317</v>
      </c>
    </row>
    <row r="75" ht="15.75" customHeight="1">
      <c r="B75" s="3">
        <f>IFERROR(__xludf.DUMMYFUNCTION("""COMPUTED_VALUE"""),40676.645833333336)</f>
        <v>40676.64583</v>
      </c>
      <c r="C75" s="2">
        <f>IFERROR(__xludf.DUMMYFUNCTION("""COMPUTED_VALUE"""),304.15)</f>
        <v>304.15</v>
      </c>
    </row>
    <row r="76" ht="15.75" customHeight="1">
      <c r="B76" s="3">
        <f>IFERROR(__xludf.DUMMYFUNCTION("""COMPUTED_VALUE"""),40683.645833333336)</f>
        <v>40683.64583</v>
      </c>
      <c r="C76" s="2">
        <f>IFERROR(__xludf.DUMMYFUNCTION("""COMPUTED_VALUE"""),306.9)</f>
        <v>306.9</v>
      </c>
    </row>
    <row r="77" ht="15.75" customHeight="1">
      <c r="B77" s="3">
        <f>IFERROR(__xludf.DUMMYFUNCTION("""COMPUTED_VALUE"""),40690.645833333336)</f>
        <v>40690.64583</v>
      </c>
      <c r="C77" s="2">
        <f>IFERROR(__xludf.DUMMYFUNCTION("""COMPUTED_VALUE"""),288.9)</f>
        <v>288.9</v>
      </c>
    </row>
    <row r="78" ht="15.75" customHeight="1">
      <c r="B78" s="3">
        <f>IFERROR(__xludf.DUMMYFUNCTION("""COMPUTED_VALUE"""),40697.645833333336)</f>
        <v>40697.64583</v>
      </c>
      <c r="C78" s="2">
        <f>IFERROR(__xludf.DUMMYFUNCTION("""COMPUTED_VALUE"""),295.45)</f>
        <v>295.45</v>
      </c>
    </row>
    <row r="79" ht="15.75" customHeight="1">
      <c r="B79" s="3">
        <f>IFERROR(__xludf.DUMMYFUNCTION("""COMPUTED_VALUE"""),40704.645833333336)</f>
        <v>40704.64583</v>
      </c>
      <c r="C79" s="2">
        <f>IFERROR(__xludf.DUMMYFUNCTION("""COMPUTED_VALUE"""),290.85)</f>
        <v>290.85</v>
      </c>
    </row>
    <row r="80" ht="15.75" customHeight="1">
      <c r="B80" s="3">
        <f>IFERROR(__xludf.DUMMYFUNCTION("""COMPUTED_VALUE"""),40711.645833333336)</f>
        <v>40711.64583</v>
      </c>
      <c r="C80" s="2">
        <f>IFERROR(__xludf.DUMMYFUNCTION("""COMPUTED_VALUE"""),286.35)</f>
        <v>286.35</v>
      </c>
    </row>
    <row r="81" ht="15.75" customHeight="1">
      <c r="B81" s="3">
        <f>IFERROR(__xludf.DUMMYFUNCTION("""COMPUTED_VALUE"""),40718.645833333336)</f>
        <v>40718.64583</v>
      </c>
      <c r="C81" s="2">
        <f>IFERROR(__xludf.DUMMYFUNCTION("""COMPUTED_VALUE"""),282.2)</f>
        <v>282.2</v>
      </c>
    </row>
    <row r="82" ht="15.75" customHeight="1">
      <c r="B82" s="3">
        <f>IFERROR(__xludf.DUMMYFUNCTION("""COMPUTED_VALUE"""),40725.645833333336)</f>
        <v>40725.64583</v>
      </c>
      <c r="C82" s="2">
        <f>IFERROR(__xludf.DUMMYFUNCTION("""COMPUTED_VALUE"""),290.3)</f>
        <v>290.3</v>
      </c>
    </row>
    <row r="83" ht="15.75" customHeight="1">
      <c r="B83" s="3">
        <f>IFERROR(__xludf.DUMMYFUNCTION("""COMPUTED_VALUE"""),40732.645833333336)</f>
        <v>40732.64583</v>
      </c>
      <c r="C83" s="2">
        <f>IFERROR(__xludf.DUMMYFUNCTION("""COMPUTED_VALUE"""),296.5)</f>
        <v>296.5</v>
      </c>
    </row>
    <row r="84" ht="15.75" customHeight="1">
      <c r="B84" s="3">
        <f>IFERROR(__xludf.DUMMYFUNCTION("""COMPUTED_VALUE"""),40739.645833333336)</f>
        <v>40739.64583</v>
      </c>
      <c r="C84" s="2">
        <f>IFERROR(__xludf.DUMMYFUNCTION("""COMPUTED_VALUE"""),300.4)</f>
        <v>300.4</v>
      </c>
    </row>
    <row r="85" ht="15.75" customHeight="1">
      <c r="B85" s="3">
        <f>IFERROR(__xludf.DUMMYFUNCTION("""COMPUTED_VALUE"""),40746.645833333336)</f>
        <v>40746.64583</v>
      </c>
      <c r="C85" s="2">
        <f>IFERROR(__xludf.DUMMYFUNCTION("""COMPUTED_VALUE"""),294.35)</f>
        <v>294.35</v>
      </c>
    </row>
    <row r="86" ht="15.75" customHeight="1">
      <c r="B86" s="3">
        <f>IFERROR(__xludf.DUMMYFUNCTION("""COMPUTED_VALUE"""),40753.645833333336)</f>
        <v>40753.64583</v>
      </c>
      <c r="C86" s="2">
        <f>IFERROR(__xludf.DUMMYFUNCTION("""COMPUTED_VALUE"""),293.8)</f>
        <v>293.8</v>
      </c>
    </row>
    <row r="87" ht="15.75" customHeight="1">
      <c r="B87" s="3">
        <f>IFERROR(__xludf.DUMMYFUNCTION("""COMPUTED_VALUE"""),40760.645833333336)</f>
        <v>40760.64583</v>
      </c>
      <c r="C87" s="2">
        <f>IFERROR(__xludf.DUMMYFUNCTION("""COMPUTED_VALUE"""),280.0)</f>
        <v>280</v>
      </c>
    </row>
    <row r="88" ht="15.75" customHeight="1">
      <c r="B88" s="3">
        <f>IFERROR(__xludf.DUMMYFUNCTION("""COMPUTED_VALUE"""),40767.645833333336)</f>
        <v>40767.64583</v>
      </c>
      <c r="C88" s="2">
        <f>IFERROR(__xludf.DUMMYFUNCTION("""COMPUTED_VALUE"""),249.25)</f>
        <v>249.25</v>
      </c>
    </row>
    <row r="89" ht="15.75" customHeight="1">
      <c r="B89" s="3">
        <f>IFERROR(__xludf.DUMMYFUNCTION("""COMPUTED_VALUE"""),40774.645833333336)</f>
        <v>40774.64583</v>
      </c>
      <c r="C89" s="2">
        <f>IFERROR(__xludf.DUMMYFUNCTION("""COMPUTED_VALUE"""),244.0)</f>
        <v>244</v>
      </c>
    </row>
    <row r="90" ht="15.75" customHeight="1">
      <c r="B90" s="3">
        <f>IFERROR(__xludf.DUMMYFUNCTION("""COMPUTED_VALUE"""),40781.645833333336)</f>
        <v>40781.64583</v>
      </c>
      <c r="C90" s="2">
        <f>IFERROR(__xludf.DUMMYFUNCTION("""COMPUTED_VALUE"""),227.15)</f>
        <v>227.15</v>
      </c>
    </row>
    <row r="91" ht="15.75" customHeight="1">
      <c r="B91" s="3">
        <f>IFERROR(__xludf.DUMMYFUNCTION("""COMPUTED_VALUE"""),40788.645833333336)</f>
        <v>40788.64583</v>
      </c>
      <c r="C91" s="2">
        <f>IFERROR(__xludf.DUMMYFUNCTION("""COMPUTED_VALUE"""),236.9)</f>
        <v>236.9</v>
      </c>
    </row>
    <row r="92" ht="15.75" customHeight="1">
      <c r="B92" s="3">
        <f>IFERROR(__xludf.DUMMYFUNCTION("""COMPUTED_VALUE"""),40795.645833333336)</f>
        <v>40795.64583</v>
      </c>
      <c r="C92" s="2">
        <f>IFERROR(__xludf.DUMMYFUNCTION("""COMPUTED_VALUE"""),239.8)</f>
        <v>239.8</v>
      </c>
    </row>
    <row r="93" ht="15.75" customHeight="1">
      <c r="B93" s="3">
        <f>IFERROR(__xludf.DUMMYFUNCTION("""COMPUTED_VALUE"""),40802.645833333336)</f>
        <v>40802.64583</v>
      </c>
      <c r="C93" s="2">
        <f>IFERROR(__xludf.DUMMYFUNCTION("""COMPUTED_VALUE"""),231.4)</f>
        <v>231.4</v>
      </c>
    </row>
    <row r="94" ht="15.75" customHeight="1">
      <c r="B94" s="3">
        <f>IFERROR(__xludf.DUMMYFUNCTION("""COMPUTED_VALUE"""),40809.645833333336)</f>
        <v>40809.64583</v>
      </c>
      <c r="C94" s="2">
        <f>IFERROR(__xludf.DUMMYFUNCTION("""COMPUTED_VALUE"""),226.0)</f>
        <v>226</v>
      </c>
    </row>
    <row r="95" ht="15.75" customHeight="1">
      <c r="B95" s="3">
        <f>IFERROR(__xludf.DUMMYFUNCTION("""COMPUTED_VALUE"""),40816.645833333336)</f>
        <v>40816.64583</v>
      </c>
      <c r="C95" s="2">
        <f>IFERROR(__xludf.DUMMYFUNCTION("""COMPUTED_VALUE"""),205.85)</f>
        <v>205.85</v>
      </c>
    </row>
    <row r="96" ht="15.75" customHeight="1">
      <c r="B96" s="3">
        <f>IFERROR(__xludf.DUMMYFUNCTION("""COMPUTED_VALUE"""),40823.645833333336)</f>
        <v>40823.64583</v>
      </c>
      <c r="C96" s="2">
        <f>IFERROR(__xludf.DUMMYFUNCTION("""COMPUTED_VALUE"""),206.4)</f>
        <v>206.4</v>
      </c>
    </row>
    <row r="97" ht="15.75" customHeight="1">
      <c r="B97" s="3">
        <f>IFERROR(__xludf.DUMMYFUNCTION("""COMPUTED_VALUE"""),40830.645833333336)</f>
        <v>40830.64583</v>
      </c>
      <c r="C97" s="2">
        <f>IFERROR(__xludf.DUMMYFUNCTION("""COMPUTED_VALUE"""),232.7)</f>
        <v>232.7</v>
      </c>
    </row>
    <row r="98" ht="15.75" customHeight="1">
      <c r="B98" s="3">
        <f>IFERROR(__xludf.DUMMYFUNCTION("""COMPUTED_VALUE"""),40837.645833333336)</f>
        <v>40837.64583</v>
      </c>
      <c r="C98" s="2">
        <f>IFERROR(__xludf.DUMMYFUNCTION("""COMPUTED_VALUE"""),225.3)</f>
        <v>225.3</v>
      </c>
    </row>
    <row r="99" ht="15.75" customHeight="1">
      <c r="B99" s="3">
        <f>IFERROR(__xludf.DUMMYFUNCTION("""COMPUTED_VALUE"""),40844.645833333336)</f>
        <v>40844.64583</v>
      </c>
      <c r="C99" s="2">
        <f>IFERROR(__xludf.DUMMYFUNCTION("""COMPUTED_VALUE"""),212.95)</f>
        <v>212.95</v>
      </c>
    </row>
    <row r="100" ht="15.75" customHeight="1">
      <c r="B100" s="3">
        <f>IFERROR(__xludf.DUMMYFUNCTION("""COMPUTED_VALUE"""),40851.645833333336)</f>
        <v>40851.64583</v>
      </c>
      <c r="C100" s="2">
        <f>IFERROR(__xludf.DUMMYFUNCTION("""COMPUTED_VALUE"""),216.8)</f>
        <v>216.8</v>
      </c>
    </row>
    <row r="101" ht="15.75" customHeight="1">
      <c r="B101" s="3">
        <f>IFERROR(__xludf.DUMMYFUNCTION("""COMPUTED_VALUE"""),40858.645833333336)</f>
        <v>40858.64583</v>
      </c>
      <c r="C101" s="2">
        <f>IFERROR(__xludf.DUMMYFUNCTION("""COMPUTED_VALUE"""),214.7)</f>
        <v>214.7</v>
      </c>
    </row>
    <row r="102" ht="15.75" customHeight="1">
      <c r="B102" s="3">
        <f>IFERROR(__xludf.DUMMYFUNCTION("""COMPUTED_VALUE"""),40865.645833333336)</f>
        <v>40865.64583</v>
      </c>
      <c r="C102" s="2">
        <f>IFERROR(__xludf.DUMMYFUNCTION("""COMPUTED_VALUE"""),211.0)</f>
        <v>211</v>
      </c>
    </row>
    <row r="103" ht="15.75" customHeight="1">
      <c r="B103" s="3">
        <f>IFERROR(__xludf.DUMMYFUNCTION("""COMPUTED_VALUE"""),40872.645833333336)</f>
        <v>40872.64583</v>
      </c>
      <c r="C103" s="2">
        <f>IFERROR(__xludf.DUMMYFUNCTION("""COMPUTED_VALUE"""),183.95)</f>
        <v>183.95</v>
      </c>
    </row>
    <row r="104" ht="15.75" customHeight="1">
      <c r="B104" s="3">
        <f>IFERROR(__xludf.DUMMYFUNCTION("""COMPUTED_VALUE"""),40879.645833333336)</f>
        <v>40879.64583</v>
      </c>
      <c r="C104" s="2">
        <f>IFERROR(__xludf.DUMMYFUNCTION("""COMPUTED_VALUE"""),196.35)</f>
        <v>196.35</v>
      </c>
    </row>
    <row r="105" ht="15.75" customHeight="1">
      <c r="B105" s="3">
        <f>IFERROR(__xludf.DUMMYFUNCTION("""COMPUTED_VALUE"""),40886.645833333336)</f>
        <v>40886.64583</v>
      </c>
      <c r="C105" s="2">
        <f>IFERROR(__xludf.DUMMYFUNCTION("""COMPUTED_VALUE"""),193.55)</f>
        <v>193.55</v>
      </c>
    </row>
    <row r="106" ht="15.75" customHeight="1">
      <c r="B106" s="3">
        <f>IFERROR(__xludf.DUMMYFUNCTION("""COMPUTED_VALUE"""),40893.645833333336)</f>
        <v>40893.64583</v>
      </c>
      <c r="C106" s="2">
        <f>IFERROR(__xludf.DUMMYFUNCTION("""COMPUTED_VALUE"""),176.7)</f>
        <v>176.7</v>
      </c>
    </row>
    <row r="107" ht="15.75" customHeight="1">
      <c r="B107" s="3">
        <f>IFERROR(__xludf.DUMMYFUNCTION("""COMPUTED_VALUE"""),40900.645833333336)</f>
        <v>40900.64583</v>
      </c>
      <c r="C107" s="2">
        <f>IFERROR(__xludf.DUMMYFUNCTION("""COMPUTED_VALUE"""),167.2)</f>
        <v>167.2</v>
      </c>
    </row>
    <row r="108" ht="15.75" customHeight="1">
      <c r="B108" s="3">
        <f>IFERROR(__xludf.DUMMYFUNCTION("""COMPUTED_VALUE"""),40907.645833333336)</f>
        <v>40907.64583</v>
      </c>
      <c r="C108" s="2">
        <f>IFERROR(__xludf.DUMMYFUNCTION("""COMPUTED_VALUE"""),166.5)</f>
        <v>166.5</v>
      </c>
    </row>
    <row r="109" ht="15.75" customHeight="1"/>
    <row r="110" ht="15.75" customHeight="1"/>
    <row r="111" ht="15.75" customHeight="1">
      <c r="B111" s="2" t="str">
        <f>IFERROR(__xludf.DUMMYFUNCTION("GOOGLEFINANCE(""NSE:VEDL"", ""high"",DATE(2012,1,1),DATE(2013,1,1),""weekly"")"),"Date")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IFERROR(__xludf.DUMMYFUNCTION("""COMPUTED_VALUE"""),40921.645833333336)</f>
        <v>40921.64583</v>
      </c>
      <c r="C112" s="2">
        <f>IFERROR(__xludf.DUMMYFUNCTION("""COMPUTED_VALUE"""),191.9)</f>
        <v>191.9</v>
      </c>
    </row>
    <row r="113" ht="15.75" customHeight="1">
      <c r="B113" s="3">
        <f>IFERROR(__xludf.DUMMYFUNCTION("""COMPUTED_VALUE"""),40928.645833333336)</f>
        <v>40928.64583</v>
      </c>
      <c r="C113" s="2">
        <f>IFERROR(__xludf.DUMMYFUNCTION("""COMPUTED_VALUE"""),195.85)</f>
        <v>195.85</v>
      </c>
    </row>
    <row r="114" ht="15.75" customHeight="1">
      <c r="B114" s="3">
        <f>IFERROR(__xludf.DUMMYFUNCTION("""COMPUTED_VALUE"""),40935.645833333336)</f>
        <v>40935.64583</v>
      </c>
      <c r="C114" s="2">
        <f>IFERROR(__xludf.DUMMYFUNCTION("""COMPUTED_VALUE"""),215.9)</f>
        <v>215.9</v>
      </c>
    </row>
    <row r="115" ht="15.75" customHeight="1">
      <c r="B115" s="3">
        <f>IFERROR(__xludf.DUMMYFUNCTION("""COMPUTED_VALUE"""),40942.645833333336)</f>
        <v>40942.64583</v>
      </c>
      <c r="C115" s="2">
        <f>IFERROR(__xludf.DUMMYFUNCTION("""COMPUTED_VALUE"""),237.0)</f>
        <v>237</v>
      </c>
    </row>
    <row r="116" ht="15.75" customHeight="1">
      <c r="B116" s="3">
        <f>IFERROR(__xludf.DUMMYFUNCTION("""COMPUTED_VALUE"""),40949.645833333336)</f>
        <v>40949.64583</v>
      </c>
      <c r="C116" s="2">
        <f>IFERROR(__xludf.DUMMYFUNCTION("""COMPUTED_VALUE"""),242.3)</f>
        <v>242.3</v>
      </c>
    </row>
    <row r="117" ht="15.75" customHeight="1">
      <c r="B117" s="3">
        <f>IFERROR(__xludf.DUMMYFUNCTION("""COMPUTED_VALUE"""),40956.645833333336)</f>
        <v>40956.64583</v>
      </c>
      <c r="C117" s="2">
        <f>IFERROR(__xludf.DUMMYFUNCTION("""COMPUTED_VALUE"""),270.0)</f>
        <v>270</v>
      </c>
    </row>
    <row r="118" ht="15.75" customHeight="1">
      <c r="B118" s="3">
        <f>IFERROR(__xludf.DUMMYFUNCTION("""COMPUTED_VALUE"""),40963.645833333336)</f>
        <v>40963.64583</v>
      </c>
      <c r="C118" s="2">
        <f>IFERROR(__xludf.DUMMYFUNCTION("""COMPUTED_VALUE"""),257.85)</f>
        <v>257.85</v>
      </c>
    </row>
    <row r="119" ht="15.75" customHeight="1">
      <c r="B119" s="3">
        <f>IFERROR(__xludf.DUMMYFUNCTION("""COMPUTED_VALUE"""),40977.645833333336)</f>
        <v>40977.64583</v>
      </c>
      <c r="C119" s="2">
        <f>IFERROR(__xludf.DUMMYFUNCTION("""COMPUTED_VALUE"""),211.45)</f>
        <v>211.45</v>
      </c>
    </row>
    <row r="120" ht="15.75" customHeight="1">
      <c r="B120" s="3">
        <f>IFERROR(__xludf.DUMMYFUNCTION("""COMPUTED_VALUE"""),40984.645833333336)</f>
        <v>40984.64583</v>
      </c>
      <c r="C120" s="2">
        <f>IFERROR(__xludf.DUMMYFUNCTION("""COMPUTED_VALUE"""),215.1)</f>
        <v>215.1</v>
      </c>
    </row>
    <row r="121" ht="15.75" customHeight="1">
      <c r="B121" s="3">
        <f>IFERROR(__xludf.DUMMYFUNCTION("""COMPUTED_VALUE"""),40991.645833333336)</f>
        <v>40991.64583</v>
      </c>
      <c r="C121" s="2">
        <f>IFERROR(__xludf.DUMMYFUNCTION("""COMPUTED_VALUE"""),207.45)</f>
        <v>207.45</v>
      </c>
    </row>
    <row r="122" ht="15.75" customHeight="1">
      <c r="B122" s="3">
        <f>IFERROR(__xludf.DUMMYFUNCTION("""COMPUTED_VALUE"""),40998.645833333336)</f>
        <v>40998.64583</v>
      </c>
      <c r="C122" s="2">
        <f>IFERROR(__xludf.DUMMYFUNCTION("""COMPUTED_VALUE"""),199.9)</f>
        <v>199.9</v>
      </c>
    </row>
    <row r="123" ht="15.75" customHeight="1">
      <c r="B123" s="3">
        <f>IFERROR(__xludf.DUMMYFUNCTION("""COMPUTED_VALUE"""),41003.645833333336)</f>
        <v>41003.64583</v>
      </c>
      <c r="C123" s="2">
        <f>IFERROR(__xludf.DUMMYFUNCTION("""COMPUTED_VALUE"""),199.5)</f>
        <v>199.5</v>
      </c>
    </row>
    <row r="124" ht="15.75" customHeight="1">
      <c r="B124" s="3">
        <f>IFERROR(__xludf.DUMMYFUNCTION("""COMPUTED_VALUE"""),41012.645833333336)</f>
        <v>41012.64583</v>
      </c>
      <c r="C124" s="2">
        <f>IFERROR(__xludf.DUMMYFUNCTION("""COMPUTED_VALUE"""),192.5)</f>
        <v>192.5</v>
      </c>
    </row>
    <row r="125" ht="15.75" customHeight="1">
      <c r="B125" s="3">
        <f>IFERROR(__xludf.DUMMYFUNCTION("""COMPUTED_VALUE"""),41019.645833333336)</f>
        <v>41019.64583</v>
      </c>
      <c r="C125" s="2">
        <f>IFERROR(__xludf.DUMMYFUNCTION("""COMPUTED_VALUE"""),194.9)</f>
        <v>194.9</v>
      </c>
    </row>
    <row r="126" ht="15.75" customHeight="1">
      <c r="B126" s="3">
        <f>IFERROR(__xludf.DUMMYFUNCTION("""COMPUTED_VALUE"""),41033.645833333336)</f>
        <v>41033.64583</v>
      </c>
      <c r="C126" s="2">
        <f>IFERROR(__xludf.DUMMYFUNCTION("""COMPUTED_VALUE"""),191.25)</f>
        <v>191.25</v>
      </c>
    </row>
    <row r="127" ht="15.75" customHeight="1">
      <c r="B127" s="3">
        <f>IFERROR(__xludf.DUMMYFUNCTION("""COMPUTED_VALUE"""),41040.645833333336)</f>
        <v>41040.64583</v>
      </c>
      <c r="C127" s="2">
        <f>IFERROR(__xludf.DUMMYFUNCTION("""COMPUTED_VALUE"""),185.25)</f>
        <v>185.25</v>
      </c>
    </row>
    <row r="128" ht="15.75" customHeight="1">
      <c r="B128" s="3">
        <f>IFERROR(__xludf.DUMMYFUNCTION("""COMPUTED_VALUE"""),41047.645833333336)</f>
        <v>41047.64583</v>
      </c>
      <c r="C128" s="2">
        <f>IFERROR(__xludf.DUMMYFUNCTION("""COMPUTED_VALUE"""),196.6)</f>
        <v>196.6</v>
      </c>
    </row>
    <row r="129" ht="15.75" customHeight="1">
      <c r="B129" s="3">
        <f>IFERROR(__xludf.DUMMYFUNCTION("""COMPUTED_VALUE"""),41054.645833333336)</f>
        <v>41054.64583</v>
      </c>
      <c r="C129" s="2">
        <f>IFERROR(__xludf.DUMMYFUNCTION("""COMPUTED_VALUE"""),199.0)</f>
        <v>199</v>
      </c>
    </row>
    <row r="130" ht="15.75" customHeight="1">
      <c r="B130" s="3">
        <f>IFERROR(__xludf.DUMMYFUNCTION("""COMPUTED_VALUE"""),41061.645833333336)</f>
        <v>41061.64583</v>
      </c>
      <c r="C130" s="2">
        <f>IFERROR(__xludf.DUMMYFUNCTION("""COMPUTED_VALUE"""),189.8)</f>
        <v>189.8</v>
      </c>
    </row>
    <row r="131" ht="15.75" customHeight="1">
      <c r="B131" s="3">
        <f>IFERROR(__xludf.DUMMYFUNCTION("""COMPUTED_VALUE"""),41068.645833333336)</f>
        <v>41068.64583</v>
      </c>
      <c r="C131" s="2">
        <f>IFERROR(__xludf.DUMMYFUNCTION("""COMPUTED_VALUE"""),189.5)</f>
        <v>189.5</v>
      </c>
    </row>
    <row r="132" ht="15.75" customHeight="1">
      <c r="B132" s="3">
        <f>IFERROR(__xludf.DUMMYFUNCTION("""COMPUTED_VALUE"""),41075.645833333336)</f>
        <v>41075.64583</v>
      </c>
      <c r="C132" s="2">
        <f>IFERROR(__xludf.DUMMYFUNCTION("""COMPUTED_VALUE"""),194.0)</f>
        <v>194</v>
      </c>
    </row>
    <row r="133" ht="15.75" customHeight="1">
      <c r="B133" s="3">
        <f>IFERROR(__xludf.DUMMYFUNCTION("""COMPUTED_VALUE"""),41082.645833333336)</f>
        <v>41082.64583</v>
      </c>
      <c r="C133" s="2">
        <f>IFERROR(__xludf.DUMMYFUNCTION("""COMPUTED_VALUE"""),190.6)</f>
        <v>190.6</v>
      </c>
    </row>
    <row r="134" ht="15.75" customHeight="1">
      <c r="B134" s="3">
        <f>IFERROR(__xludf.DUMMYFUNCTION("""COMPUTED_VALUE"""),41089.645833333336)</f>
        <v>41089.64583</v>
      </c>
      <c r="C134" s="2">
        <f>IFERROR(__xludf.DUMMYFUNCTION("""COMPUTED_VALUE"""),193.9)</f>
        <v>193.9</v>
      </c>
    </row>
    <row r="135" ht="15.75" customHeight="1">
      <c r="B135" s="3">
        <f>IFERROR(__xludf.DUMMYFUNCTION("""COMPUTED_VALUE"""),41096.645833333336)</f>
        <v>41096.64583</v>
      </c>
      <c r="C135" s="2">
        <f>IFERROR(__xludf.DUMMYFUNCTION("""COMPUTED_VALUE"""),207.95)</f>
        <v>207.95</v>
      </c>
    </row>
    <row r="136" ht="15.75" customHeight="1">
      <c r="B136" s="3">
        <f>IFERROR(__xludf.DUMMYFUNCTION("""COMPUTED_VALUE"""),41103.645833333336)</f>
        <v>41103.64583</v>
      </c>
      <c r="C136" s="2">
        <f>IFERROR(__xludf.DUMMYFUNCTION("""COMPUTED_VALUE"""),202.3)</f>
        <v>202.3</v>
      </c>
    </row>
    <row r="137" ht="15.75" customHeight="1">
      <c r="B137" s="3">
        <f>IFERROR(__xludf.DUMMYFUNCTION("""COMPUTED_VALUE"""),41110.645833333336)</f>
        <v>41110.64583</v>
      </c>
      <c r="C137" s="2">
        <f>IFERROR(__xludf.DUMMYFUNCTION("""COMPUTED_VALUE"""),195.0)</f>
        <v>195</v>
      </c>
    </row>
    <row r="138" ht="15.75" customHeight="1">
      <c r="B138" s="3">
        <f>IFERROR(__xludf.DUMMYFUNCTION("""COMPUTED_VALUE"""),41117.645833333336)</f>
        <v>41117.64583</v>
      </c>
      <c r="C138" s="2">
        <f>IFERROR(__xludf.DUMMYFUNCTION("""COMPUTED_VALUE"""),190.1)</f>
        <v>190.1</v>
      </c>
    </row>
    <row r="139" ht="15.75" customHeight="1">
      <c r="B139" s="3">
        <f>IFERROR(__xludf.DUMMYFUNCTION("""COMPUTED_VALUE"""),41124.645833333336)</f>
        <v>41124.64583</v>
      </c>
      <c r="C139" s="2">
        <f>IFERROR(__xludf.DUMMYFUNCTION("""COMPUTED_VALUE"""),192.0)</f>
        <v>192</v>
      </c>
    </row>
    <row r="140" ht="15.75" customHeight="1">
      <c r="B140" s="3">
        <f>IFERROR(__xludf.DUMMYFUNCTION("""COMPUTED_VALUE"""),41131.645833333336)</f>
        <v>41131.64583</v>
      </c>
      <c r="C140" s="2">
        <f>IFERROR(__xludf.DUMMYFUNCTION("""COMPUTED_VALUE"""),191.65)</f>
        <v>191.65</v>
      </c>
    </row>
    <row r="141" ht="15.75" customHeight="1">
      <c r="B141" s="3">
        <f>IFERROR(__xludf.DUMMYFUNCTION("""COMPUTED_VALUE"""),41138.645833333336)</f>
        <v>41138.64583</v>
      </c>
      <c r="C141" s="2">
        <f>IFERROR(__xludf.DUMMYFUNCTION("""COMPUTED_VALUE"""),195.7)</f>
        <v>195.7</v>
      </c>
    </row>
    <row r="142" ht="15.75" customHeight="1">
      <c r="B142" s="3">
        <f>IFERROR(__xludf.DUMMYFUNCTION("""COMPUTED_VALUE"""),41145.645833333336)</f>
        <v>41145.64583</v>
      </c>
      <c r="C142" s="2">
        <f>IFERROR(__xludf.DUMMYFUNCTION("""COMPUTED_VALUE"""),194.95)</f>
        <v>194.95</v>
      </c>
    </row>
    <row r="143" ht="15.75" customHeight="1">
      <c r="B143" s="3">
        <f>IFERROR(__xludf.DUMMYFUNCTION("""COMPUTED_VALUE"""),41152.645833333336)</f>
        <v>41152.64583</v>
      </c>
      <c r="C143" s="2">
        <f>IFERROR(__xludf.DUMMYFUNCTION("""COMPUTED_VALUE"""),192.45)</f>
        <v>192.45</v>
      </c>
    </row>
    <row r="144" ht="15.75" customHeight="1">
      <c r="B144" s="3">
        <f>IFERROR(__xludf.DUMMYFUNCTION("""COMPUTED_VALUE"""),41166.645833333336)</f>
        <v>41166.64583</v>
      </c>
      <c r="C144" s="2">
        <f>IFERROR(__xludf.DUMMYFUNCTION("""COMPUTED_VALUE"""),171.95)</f>
        <v>171.95</v>
      </c>
    </row>
    <row r="145" ht="15.75" customHeight="1">
      <c r="B145" s="3">
        <f>IFERROR(__xludf.DUMMYFUNCTION("""COMPUTED_VALUE"""),41173.645833333336)</f>
        <v>41173.64583</v>
      </c>
      <c r="C145" s="2">
        <f>IFERROR(__xludf.DUMMYFUNCTION("""COMPUTED_VALUE"""),182.0)</f>
        <v>182</v>
      </c>
    </row>
    <row r="146" ht="15.75" customHeight="1">
      <c r="B146" s="3">
        <f>IFERROR(__xludf.DUMMYFUNCTION("""COMPUTED_VALUE"""),41180.645833333336)</f>
        <v>41180.64583</v>
      </c>
      <c r="C146" s="2">
        <f>IFERROR(__xludf.DUMMYFUNCTION("""COMPUTED_VALUE"""),187.7)</f>
        <v>187.7</v>
      </c>
    </row>
    <row r="147" ht="15.75" customHeight="1">
      <c r="B147" s="3">
        <f>IFERROR(__xludf.DUMMYFUNCTION("""COMPUTED_VALUE"""),41187.645833333336)</f>
        <v>41187.64583</v>
      </c>
      <c r="C147" s="2">
        <f>IFERROR(__xludf.DUMMYFUNCTION("""COMPUTED_VALUE"""),178.0)</f>
        <v>178</v>
      </c>
    </row>
    <row r="148" ht="15.75" customHeight="1">
      <c r="B148" s="3">
        <f>IFERROR(__xludf.DUMMYFUNCTION("""COMPUTED_VALUE"""),41194.645833333336)</f>
        <v>41194.64583</v>
      </c>
      <c r="C148" s="2">
        <f>IFERROR(__xludf.DUMMYFUNCTION("""COMPUTED_VALUE"""),176.25)</f>
        <v>176.25</v>
      </c>
    </row>
    <row r="149" ht="15.75" customHeight="1">
      <c r="B149" s="3">
        <f>IFERROR(__xludf.DUMMYFUNCTION("""COMPUTED_VALUE"""),41201.645833333336)</f>
        <v>41201.64583</v>
      </c>
      <c r="C149" s="2">
        <f>IFERROR(__xludf.DUMMYFUNCTION("""COMPUTED_VALUE"""),173.5)</f>
        <v>173.5</v>
      </c>
    </row>
    <row r="150" ht="15.75" customHeight="1">
      <c r="B150" s="3">
        <f>IFERROR(__xludf.DUMMYFUNCTION("""COMPUTED_VALUE"""),41208.645833333336)</f>
        <v>41208.64583</v>
      </c>
      <c r="C150" s="2">
        <f>IFERROR(__xludf.DUMMYFUNCTION("""COMPUTED_VALUE"""),170.9)</f>
        <v>170.9</v>
      </c>
    </row>
    <row r="151" ht="15.75" customHeight="1">
      <c r="B151" s="3">
        <f>IFERROR(__xludf.DUMMYFUNCTION("""COMPUTED_VALUE"""),41215.645833333336)</f>
        <v>41215.64583</v>
      </c>
      <c r="C151" s="2">
        <f>IFERROR(__xludf.DUMMYFUNCTION("""COMPUTED_VALUE"""),176.3)</f>
        <v>176.3</v>
      </c>
    </row>
    <row r="152" ht="15.75" customHeight="1">
      <c r="B152" s="3">
        <f>IFERROR(__xludf.DUMMYFUNCTION("""COMPUTED_VALUE"""),41222.645833333336)</f>
        <v>41222.64583</v>
      </c>
      <c r="C152" s="2">
        <f>IFERROR(__xludf.DUMMYFUNCTION("""COMPUTED_VALUE"""),178.8)</f>
        <v>178.8</v>
      </c>
    </row>
    <row r="153" ht="15.75" customHeight="1">
      <c r="B153" s="3">
        <f>IFERROR(__xludf.DUMMYFUNCTION("""COMPUTED_VALUE"""),41229.645833333336)</f>
        <v>41229.64583</v>
      </c>
      <c r="C153" s="2">
        <f>IFERROR(__xludf.DUMMYFUNCTION("""COMPUTED_VALUE"""),175.8)</f>
        <v>175.8</v>
      </c>
    </row>
    <row r="154" ht="15.75" customHeight="1">
      <c r="B154" s="3">
        <f>IFERROR(__xludf.DUMMYFUNCTION("""COMPUTED_VALUE"""),41236.645833333336)</f>
        <v>41236.64583</v>
      </c>
      <c r="C154" s="2">
        <f>IFERROR(__xludf.DUMMYFUNCTION("""COMPUTED_VALUE"""),169.3)</f>
        <v>169.3</v>
      </c>
    </row>
    <row r="155" ht="15.75" customHeight="1">
      <c r="B155" s="3">
        <f>IFERROR(__xludf.DUMMYFUNCTION("""COMPUTED_VALUE"""),41243.645833333336)</f>
        <v>41243.64583</v>
      </c>
      <c r="C155" s="2">
        <f>IFERROR(__xludf.DUMMYFUNCTION("""COMPUTED_VALUE"""),183.5)</f>
        <v>183.5</v>
      </c>
    </row>
    <row r="156" ht="15.75" customHeight="1">
      <c r="B156" s="3">
        <f>IFERROR(__xludf.DUMMYFUNCTION("""COMPUTED_VALUE"""),41250.645833333336)</f>
        <v>41250.64583</v>
      </c>
      <c r="C156" s="2">
        <f>IFERROR(__xludf.DUMMYFUNCTION("""COMPUTED_VALUE"""),193.45)</f>
        <v>193.45</v>
      </c>
    </row>
    <row r="157" ht="15.75" customHeight="1">
      <c r="B157" s="3">
        <f>IFERROR(__xludf.DUMMYFUNCTION("""COMPUTED_VALUE"""),41257.645833333336)</f>
        <v>41257.64583</v>
      </c>
      <c r="C157" s="2">
        <f>IFERROR(__xludf.DUMMYFUNCTION("""COMPUTED_VALUE"""),190.35)</f>
        <v>190.35</v>
      </c>
    </row>
    <row r="158" ht="15.75" customHeight="1">
      <c r="B158" s="3">
        <f>IFERROR(__xludf.DUMMYFUNCTION("""COMPUTED_VALUE"""),41264.645833333336)</f>
        <v>41264.64583</v>
      </c>
      <c r="C158" s="2">
        <f>IFERROR(__xludf.DUMMYFUNCTION("""COMPUTED_VALUE"""),201.6)</f>
        <v>201.6</v>
      </c>
    </row>
    <row r="159" ht="15.75" customHeight="1">
      <c r="B159" s="3">
        <f>IFERROR(__xludf.DUMMYFUNCTION("""COMPUTED_VALUE"""),41271.645833333336)</f>
        <v>41271.64583</v>
      </c>
      <c r="C159" s="2">
        <f>IFERROR(__xludf.DUMMYFUNCTION("""COMPUTED_VALUE"""),196.8)</f>
        <v>196.8</v>
      </c>
    </row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IFERROR(__xludf.DUMMYFUNCTION("GOOGLEFINANCE(""NSE:VEDL"", ""high"",DATE(2013,1,1),DATE(2014,1,1),""weekly"")"),"Date")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IFERROR(__xludf.DUMMYFUNCTION("""COMPUTED_VALUE"""),41278.645833333336)</f>
        <v>41278.64583</v>
      </c>
      <c r="C167" s="2">
        <f>IFERROR(__xludf.DUMMYFUNCTION("""COMPUTED_VALUE"""),205.45)</f>
        <v>205.45</v>
      </c>
    </row>
    <row r="168" ht="15.75" customHeight="1">
      <c r="B168" s="3">
        <f>IFERROR(__xludf.DUMMYFUNCTION("""COMPUTED_VALUE"""),41285.645833333336)</f>
        <v>41285.64583</v>
      </c>
      <c r="C168" s="2">
        <f>IFERROR(__xludf.DUMMYFUNCTION("""COMPUTED_VALUE"""),205.0)</f>
        <v>205</v>
      </c>
    </row>
    <row r="169" ht="15.75" customHeight="1">
      <c r="B169" s="3">
        <f>IFERROR(__xludf.DUMMYFUNCTION("""COMPUTED_VALUE"""),41292.645833333336)</f>
        <v>41292.64583</v>
      </c>
      <c r="C169" s="2">
        <f>IFERROR(__xludf.DUMMYFUNCTION("""COMPUTED_VALUE"""),197.55)</f>
        <v>197.55</v>
      </c>
    </row>
    <row r="170" ht="15.75" customHeight="1">
      <c r="B170" s="3">
        <f>IFERROR(__xludf.DUMMYFUNCTION("""COMPUTED_VALUE"""),41299.645833333336)</f>
        <v>41299.64583</v>
      </c>
      <c r="C170" s="2">
        <f>IFERROR(__xludf.DUMMYFUNCTION("""COMPUTED_VALUE"""),189.55)</f>
        <v>189.55</v>
      </c>
    </row>
    <row r="171" ht="15.75" customHeight="1">
      <c r="B171" s="3">
        <f>IFERROR(__xludf.DUMMYFUNCTION("""COMPUTED_VALUE"""),41306.645833333336)</f>
        <v>41306.64583</v>
      </c>
      <c r="C171" s="2">
        <f>IFERROR(__xludf.DUMMYFUNCTION("""COMPUTED_VALUE"""),189.8)</f>
        <v>189.8</v>
      </c>
    </row>
    <row r="172" ht="15.75" customHeight="1">
      <c r="B172" s="3">
        <f>IFERROR(__xludf.DUMMYFUNCTION("""COMPUTED_VALUE"""),41313.645833333336)</f>
        <v>41313.64583</v>
      </c>
      <c r="C172" s="2">
        <f>IFERROR(__xludf.DUMMYFUNCTION("""COMPUTED_VALUE"""),185.5)</f>
        <v>185.5</v>
      </c>
    </row>
    <row r="173" ht="15.75" customHeight="1">
      <c r="B173" s="3">
        <f>IFERROR(__xludf.DUMMYFUNCTION("""COMPUTED_VALUE"""),41320.645833333336)</f>
        <v>41320.64583</v>
      </c>
      <c r="C173" s="2">
        <f>IFERROR(__xludf.DUMMYFUNCTION("""COMPUTED_VALUE"""),173.45)</f>
        <v>173.45</v>
      </c>
    </row>
    <row r="174" ht="15.75" customHeight="1">
      <c r="B174" s="3">
        <f>IFERROR(__xludf.DUMMYFUNCTION("""COMPUTED_VALUE"""),41327.645833333336)</f>
        <v>41327.64583</v>
      </c>
      <c r="C174" s="2">
        <f>IFERROR(__xludf.DUMMYFUNCTION("""COMPUTED_VALUE"""),172.3)</f>
        <v>172.3</v>
      </c>
    </row>
    <row r="175" ht="15.75" customHeight="1">
      <c r="B175" s="3">
        <f>IFERROR(__xludf.DUMMYFUNCTION("""COMPUTED_VALUE"""),41334.645833333336)</f>
        <v>41334.64583</v>
      </c>
      <c r="C175" s="2">
        <f>IFERROR(__xludf.DUMMYFUNCTION("""COMPUTED_VALUE"""),164.25)</f>
        <v>164.25</v>
      </c>
    </row>
    <row r="176" ht="15.75" customHeight="1">
      <c r="B176" s="3">
        <f>IFERROR(__xludf.DUMMYFUNCTION("""COMPUTED_VALUE"""),41341.645833333336)</f>
        <v>41341.64583</v>
      </c>
      <c r="C176" s="2">
        <f>IFERROR(__xludf.DUMMYFUNCTION("""COMPUTED_VALUE"""),168.75)</f>
        <v>168.75</v>
      </c>
    </row>
    <row r="177" ht="15.75" customHeight="1">
      <c r="B177" s="3">
        <f>IFERROR(__xludf.DUMMYFUNCTION("""COMPUTED_VALUE"""),41348.645833333336)</f>
        <v>41348.64583</v>
      </c>
      <c r="C177" s="2">
        <f>IFERROR(__xludf.DUMMYFUNCTION("""COMPUTED_VALUE"""),170.25)</f>
        <v>170.25</v>
      </c>
    </row>
    <row r="178" ht="15.75" customHeight="1">
      <c r="B178" s="3">
        <f>IFERROR(__xludf.DUMMYFUNCTION("""COMPUTED_VALUE"""),41355.645833333336)</f>
        <v>41355.64583</v>
      </c>
      <c r="C178" s="2">
        <f>IFERROR(__xludf.DUMMYFUNCTION("""COMPUTED_VALUE"""),163.6)</f>
        <v>163.6</v>
      </c>
    </row>
    <row r="179" ht="15.75" customHeight="1">
      <c r="B179" s="3">
        <f>IFERROR(__xludf.DUMMYFUNCTION("""COMPUTED_VALUE"""),41361.645833333336)</f>
        <v>41361.64583</v>
      </c>
      <c r="C179" s="2">
        <f>IFERROR(__xludf.DUMMYFUNCTION("""COMPUTED_VALUE"""),157.7)</f>
        <v>157.7</v>
      </c>
    </row>
    <row r="180" ht="15.75" customHeight="1">
      <c r="B180" s="3">
        <f>IFERROR(__xludf.DUMMYFUNCTION("""COMPUTED_VALUE"""),41369.645833333336)</f>
        <v>41369.64583</v>
      </c>
      <c r="C180" s="2">
        <f>IFERROR(__xludf.DUMMYFUNCTION("""COMPUTED_VALUE"""),157.9)</f>
        <v>157.9</v>
      </c>
    </row>
    <row r="181" ht="15.75" customHeight="1">
      <c r="B181" s="3">
        <f>IFERROR(__xludf.DUMMYFUNCTION("""COMPUTED_VALUE"""),41376.645833333336)</f>
        <v>41376.64583</v>
      </c>
      <c r="C181" s="2">
        <f>IFERROR(__xludf.DUMMYFUNCTION("""COMPUTED_VALUE"""),151.4)</f>
        <v>151.4</v>
      </c>
    </row>
    <row r="182" ht="15.75" customHeight="1">
      <c r="B182" s="3">
        <f>IFERROR(__xludf.DUMMYFUNCTION("""COMPUTED_VALUE"""),41382.645833333336)</f>
        <v>41382.64583</v>
      </c>
      <c r="C182" s="2">
        <f>IFERROR(__xludf.DUMMYFUNCTION("""COMPUTED_VALUE"""),154.0)</f>
        <v>154</v>
      </c>
    </row>
    <row r="183" ht="15.75" customHeight="1">
      <c r="B183" s="3">
        <f>IFERROR(__xludf.DUMMYFUNCTION("""COMPUTED_VALUE"""),41390.645833333336)</f>
        <v>41390.64583</v>
      </c>
      <c r="C183" s="2">
        <f>IFERROR(__xludf.DUMMYFUNCTION("""COMPUTED_VALUE"""),156.25)</f>
        <v>156.25</v>
      </c>
    </row>
    <row r="184" ht="15.75" customHeight="1">
      <c r="B184" s="3">
        <f>IFERROR(__xludf.DUMMYFUNCTION("""COMPUTED_VALUE"""),41397.645833333336)</f>
        <v>41397.64583</v>
      </c>
      <c r="C184" s="2">
        <f>IFERROR(__xludf.DUMMYFUNCTION("""COMPUTED_VALUE"""),163.5)</f>
        <v>163.5</v>
      </c>
    </row>
    <row r="185" ht="15.75" customHeight="1">
      <c r="B185" s="3">
        <f>IFERROR(__xludf.DUMMYFUNCTION("""COMPUTED_VALUE"""),41411.645833333336)</f>
        <v>41411.64583</v>
      </c>
      <c r="C185" s="2">
        <f>IFERROR(__xludf.DUMMYFUNCTION("""COMPUTED_VALUE"""),169.0)</f>
        <v>169</v>
      </c>
    </row>
    <row r="186" ht="15.75" customHeight="1">
      <c r="B186" s="3">
        <f>IFERROR(__xludf.DUMMYFUNCTION("""COMPUTED_VALUE"""),41418.645833333336)</f>
        <v>41418.64583</v>
      </c>
      <c r="C186" s="2">
        <f>IFERROR(__xludf.DUMMYFUNCTION("""COMPUTED_VALUE"""),168.5)</f>
        <v>168.5</v>
      </c>
    </row>
    <row r="187" ht="15.75" customHeight="1">
      <c r="B187" s="3">
        <f>IFERROR(__xludf.DUMMYFUNCTION("""COMPUTED_VALUE"""),41425.645833333336)</f>
        <v>41425.64583</v>
      </c>
      <c r="C187" s="2">
        <f>IFERROR(__xludf.DUMMYFUNCTION("""COMPUTED_VALUE"""),166.85)</f>
        <v>166.85</v>
      </c>
    </row>
    <row r="188" ht="15.75" customHeight="1">
      <c r="B188" s="3">
        <f>IFERROR(__xludf.DUMMYFUNCTION("""COMPUTED_VALUE"""),41432.645833333336)</f>
        <v>41432.64583</v>
      </c>
      <c r="C188" s="2">
        <f>IFERROR(__xludf.DUMMYFUNCTION("""COMPUTED_VALUE"""),163.85)</f>
        <v>163.85</v>
      </c>
    </row>
    <row r="189" ht="15.75" customHeight="1">
      <c r="B189" s="3">
        <f>IFERROR(__xludf.DUMMYFUNCTION("""COMPUTED_VALUE"""),41439.645833333336)</f>
        <v>41439.64583</v>
      </c>
      <c r="C189" s="2">
        <f>IFERROR(__xludf.DUMMYFUNCTION("""COMPUTED_VALUE"""),155.65)</f>
        <v>155.65</v>
      </c>
    </row>
    <row r="190" ht="15.75" customHeight="1">
      <c r="B190" s="3">
        <f>IFERROR(__xludf.DUMMYFUNCTION("""COMPUTED_VALUE"""),41446.645833333336)</f>
        <v>41446.64583</v>
      </c>
      <c r="C190" s="2">
        <f>IFERROR(__xludf.DUMMYFUNCTION("""COMPUTED_VALUE"""),146.5)</f>
        <v>146.5</v>
      </c>
    </row>
    <row r="191" ht="15.75" customHeight="1">
      <c r="B191" s="3">
        <f>IFERROR(__xludf.DUMMYFUNCTION("""COMPUTED_VALUE"""),41453.645833333336)</f>
        <v>41453.64583</v>
      </c>
      <c r="C191" s="2">
        <f>IFERROR(__xludf.DUMMYFUNCTION("""COMPUTED_VALUE"""),145.0)</f>
        <v>145</v>
      </c>
    </row>
    <row r="192" ht="15.75" customHeight="1">
      <c r="B192" s="3">
        <f>IFERROR(__xludf.DUMMYFUNCTION("""COMPUTED_VALUE"""),41460.645833333336)</f>
        <v>41460.64583</v>
      </c>
      <c r="C192" s="2">
        <f>IFERROR(__xludf.DUMMYFUNCTION("""COMPUTED_VALUE"""),154.0)</f>
        <v>154</v>
      </c>
    </row>
    <row r="193" ht="15.75" customHeight="1">
      <c r="B193" s="3">
        <f>IFERROR(__xludf.DUMMYFUNCTION("""COMPUTED_VALUE"""),41467.645833333336)</f>
        <v>41467.64583</v>
      </c>
      <c r="C193" s="2">
        <f>IFERROR(__xludf.DUMMYFUNCTION("""COMPUTED_VALUE"""),153.2)</f>
        <v>153.2</v>
      </c>
    </row>
    <row r="194" ht="15.75" customHeight="1">
      <c r="B194" s="3">
        <f>IFERROR(__xludf.DUMMYFUNCTION("""COMPUTED_VALUE"""),41474.645833333336)</f>
        <v>41474.64583</v>
      </c>
      <c r="C194" s="2">
        <f>IFERROR(__xludf.DUMMYFUNCTION("""COMPUTED_VALUE"""),157.9)</f>
        <v>157.9</v>
      </c>
    </row>
    <row r="195" ht="15.75" customHeight="1">
      <c r="B195" s="3">
        <f>IFERROR(__xludf.DUMMYFUNCTION("""COMPUTED_VALUE"""),41481.645833333336)</f>
        <v>41481.64583</v>
      </c>
      <c r="C195" s="2">
        <f>IFERROR(__xludf.DUMMYFUNCTION("""COMPUTED_VALUE"""),150.25)</f>
        <v>150.25</v>
      </c>
    </row>
    <row r="196" ht="15.75" customHeight="1">
      <c r="B196" s="3">
        <f>IFERROR(__xludf.DUMMYFUNCTION("""COMPUTED_VALUE"""),41488.645833333336)</f>
        <v>41488.64583</v>
      </c>
      <c r="C196" s="2">
        <f>IFERROR(__xludf.DUMMYFUNCTION("""COMPUTED_VALUE"""),132.5)</f>
        <v>132.5</v>
      </c>
    </row>
    <row r="197" ht="15.75" customHeight="1">
      <c r="B197" s="3">
        <f>IFERROR(__xludf.DUMMYFUNCTION("""COMPUTED_VALUE"""),41494.645833333336)</f>
        <v>41494.64583</v>
      </c>
      <c r="C197" s="2">
        <f>IFERROR(__xludf.DUMMYFUNCTION("""COMPUTED_VALUE"""),134.5)</f>
        <v>134.5</v>
      </c>
    </row>
    <row r="198" ht="15.75" customHeight="1">
      <c r="B198" s="3">
        <f>IFERROR(__xludf.DUMMYFUNCTION("""COMPUTED_VALUE"""),41502.645833333336)</f>
        <v>41502.64583</v>
      </c>
      <c r="C198" s="2">
        <f>IFERROR(__xludf.DUMMYFUNCTION("""COMPUTED_VALUE"""),141.0)</f>
        <v>141</v>
      </c>
    </row>
    <row r="199" ht="15.75" customHeight="1">
      <c r="B199" s="3">
        <f>IFERROR(__xludf.DUMMYFUNCTION("""COMPUTED_VALUE"""),41509.645833333336)</f>
        <v>41509.64583</v>
      </c>
      <c r="C199" s="2">
        <f>IFERROR(__xludf.DUMMYFUNCTION("""COMPUTED_VALUE"""),160.9)</f>
        <v>160.9</v>
      </c>
    </row>
    <row r="200" ht="15.75" customHeight="1">
      <c r="B200" s="3">
        <f>IFERROR(__xludf.DUMMYFUNCTION("""COMPUTED_VALUE"""),41516.645833333336)</f>
        <v>41516.64583</v>
      </c>
      <c r="C200" s="2">
        <f>IFERROR(__xludf.DUMMYFUNCTION("""COMPUTED_VALUE"""),199.5)</f>
        <v>199.5</v>
      </c>
    </row>
    <row r="201" ht="15.75" customHeight="1">
      <c r="B201" s="3">
        <f>IFERROR(__xludf.DUMMYFUNCTION("""COMPUTED_VALUE"""),41523.645833333336)</f>
        <v>41523.64583</v>
      </c>
      <c r="C201" s="2">
        <f>IFERROR(__xludf.DUMMYFUNCTION("""COMPUTED_VALUE"""),196.0)</f>
        <v>196</v>
      </c>
    </row>
    <row r="202" ht="15.75" customHeight="1">
      <c r="B202" s="3">
        <f>IFERROR(__xludf.DUMMYFUNCTION("""COMPUTED_VALUE"""),41530.645833333336)</f>
        <v>41530.64583</v>
      </c>
      <c r="C202" s="2">
        <f>IFERROR(__xludf.DUMMYFUNCTION("""COMPUTED_VALUE"""),191.95)</f>
        <v>191.95</v>
      </c>
    </row>
    <row r="203" ht="15.75" customHeight="1">
      <c r="B203" s="3">
        <f>IFERROR(__xludf.DUMMYFUNCTION("""COMPUTED_VALUE"""),41537.645833333336)</f>
        <v>41537.64583</v>
      </c>
      <c r="C203" s="2">
        <f>IFERROR(__xludf.DUMMYFUNCTION("""COMPUTED_VALUE"""),191.2)</f>
        <v>191.2</v>
      </c>
    </row>
    <row r="204" ht="15.75" customHeight="1">
      <c r="B204" s="3">
        <f>IFERROR(__xludf.DUMMYFUNCTION("""COMPUTED_VALUE"""),41544.645833333336)</f>
        <v>41544.64583</v>
      </c>
      <c r="C204" s="2">
        <f>IFERROR(__xludf.DUMMYFUNCTION("""COMPUTED_VALUE"""),193.6)</f>
        <v>193.6</v>
      </c>
    </row>
    <row r="205" ht="15.75" customHeight="1">
      <c r="B205" s="3">
        <f>IFERROR(__xludf.DUMMYFUNCTION("""COMPUTED_VALUE"""),41551.645833333336)</f>
        <v>41551.64583</v>
      </c>
      <c r="C205" s="2">
        <f>IFERROR(__xludf.DUMMYFUNCTION("""COMPUTED_VALUE"""),193.0)</f>
        <v>193</v>
      </c>
    </row>
    <row r="206" ht="15.75" customHeight="1">
      <c r="B206" s="3">
        <f>IFERROR(__xludf.DUMMYFUNCTION("""COMPUTED_VALUE"""),41558.645833333336)</f>
        <v>41558.64583</v>
      </c>
      <c r="C206" s="2">
        <f>IFERROR(__xludf.DUMMYFUNCTION("""COMPUTED_VALUE"""),189.95)</f>
        <v>189.95</v>
      </c>
    </row>
    <row r="207" ht="15.75" customHeight="1">
      <c r="B207" s="3">
        <f>IFERROR(__xludf.DUMMYFUNCTION("""COMPUTED_VALUE"""),41565.645833333336)</f>
        <v>41565.64583</v>
      </c>
      <c r="C207" s="2">
        <f>IFERROR(__xludf.DUMMYFUNCTION("""COMPUTED_VALUE"""),198.8)</f>
        <v>198.8</v>
      </c>
    </row>
    <row r="208" ht="15.75" customHeight="1">
      <c r="B208" s="3">
        <f>IFERROR(__xludf.DUMMYFUNCTION("""COMPUTED_VALUE"""),41572.645833333336)</f>
        <v>41572.64583</v>
      </c>
      <c r="C208" s="2">
        <f>IFERROR(__xludf.DUMMYFUNCTION("""COMPUTED_VALUE"""),204.9)</f>
        <v>204.9</v>
      </c>
    </row>
    <row r="209" ht="15.75" customHeight="1">
      <c r="B209" s="3">
        <f>IFERROR(__xludf.DUMMYFUNCTION("""COMPUTED_VALUE"""),41579.645833333336)</f>
        <v>41579.64583</v>
      </c>
      <c r="C209" s="2">
        <f>IFERROR(__xludf.DUMMYFUNCTION("""COMPUTED_VALUE"""),209.4)</f>
        <v>209.4</v>
      </c>
    </row>
    <row r="210" ht="15.75" customHeight="1">
      <c r="B210" s="3">
        <f>IFERROR(__xludf.DUMMYFUNCTION("""COMPUTED_VALUE"""),41586.645833333336)</f>
        <v>41586.64583</v>
      </c>
      <c r="C210" s="2">
        <f>IFERROR(__xludf.DUMMYFUNCTION("""COMPUTED_VALUE"""),208.8)</f>
        <v>208.8</v>
      </c>
    </row>
    <row r="211" ht="15.75" customHeight="1">
      <c r="B211" s="3">
        <f>IFERROR(__xludf.DUMMYFUNCTION("""COMPUTED_VALUE"""),41592.645833333336)</f>
        <v>41592.64583</v>
      </c>
      <c r="C211" s="2">
        <f>IFERROR(__xludf.DUMMYFUNCTION("""COMPUTED_VALUE"""),205.6)</f>
        <v>205.6</v>
      </c>
    </row>
    <row r="212" ht="15.75" customHeight="1">
      <c r="B212" s="3">
        <f>IFERROR(__xludf.DUMMYFUNCTION("""COMPUTED_VALUE"""),41600.645833333336)</f>
        <v>41600.64583</v>
      </c>
      <c r="C212" s="2">
        <f>IFERROR(__xludf.DUMMYFUNCTION("""COMPUTED_VALUE"""),193.75)</f>
        <v>193.75</v>
      </c>
    </row>
    <row r="213" ht="15.75" customHeight="1">
      <c r="B213" s="3">
        <f>IFERROR(__xludf.DUMMYFUNCTION("""COMPUTED_VALUE"""),41607.645833333336)</f>
        <v>41607.64583</v>
      </c>
      <c r="C213" s="2">
        <f>IFERROR(__xludf.DUMMYFUNCTION("""COMPUTED_VALUE"""),183.8)</f>
        <v>183.8</v>
      </c>
    </row>
    <row r="214" ht="15.75" customHeight="1">
      <c r="B214" s="3">
        <f>IFERROR(__xludf.DUMMYFUNCTION("""COMPUTED_VALUE"""),41614.645833333336)</f>
        <v>41614.64583</v>
      </c>
      <c r="C214" s="2">
        <f>IFERROR(__xludf.DUMMYFUNCTION("""COMPUTED_VALUE"""),186.95)</f>
        <v>186.95</v>
      </c>
    </row>
    <row r="215" ht="15.75" customHeight="1">
      <c r="B215" s="3">
        <f>IFERROR(__xludf.DUMMYFUNCTION("""COMPUTED_VALUE"""),41621.645833333336)</f>
        <v>41621.64583</v>
      </c>
      <c r="C215" s="2">
        <f>IFERROR(__xludf.DUMMYFUNCTION("""COMPUTED_VALUE"""),197.45)</f>
        <v>197.45</v>
      </c>
    </row>
    <row r="216" ht="15.75" customHeight="1">
      <c r="B216" s="3">
        <f>IFERROR(__xludf.DUMMYFUNCTION("""COMPUTED_VALUE"""),41628.645833333336)</f>
        <v>41628.64583</v>
      </c>
      <c r="C216" s="2">
        <f>IFERROR(__xludf.DUMMYFUNCTION("""COMPUTED_VALUE"""),208.85)</f>
        <v>208.85</v>
      </c>
    </row>
    <row r="217" ht="15.75" customHeight="1">
      <c r="B217" s="3">
        <f>IFERROR(__xludf.DUMMYFUNCTION("""COMPUTED_VALUE"""),41635.645833333336)</f>
        <v>41635.64583</v>
      </c>
      <c r="C217" s="2">
        <f>IFERROR(__xludf.DUMMYFUNCTION("""COMPUTED_VALUE"""),207.2)</f>
        <v>207.2</v>
      </c>
    </row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IFERROR(__xludf.DUMMYFUNCTION("GOOGLEFINANCE(""NSE:VEDL"", ""high"",DATE(2014,1,1),DATE(2015,1,1),""weekly"")"),"Date")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IFERROR(__xludf.DUMMYFUNCTION("""COMPUTED_VALUE"""),41642.645833333336)</f>
        <v>41642.64583</v>
      </c>
      <c r="C222" s="2">
        <f>IFERROR(__xludf.DUMMYFUNCTION("""COMPUTED_VALUE"""),208.8)</f>
        <v>208.8</v>
      </c>
    </row>
    <row r="223" ht="15.75" customHeight="1">
      <c r="B223" s="3">
        <f>IFERROR(__xludf.DUMMYFUNCTION("""COMPUTED_VALUE"""),41649.645833333336)</f>
        <v>41649.64583</v>
      </c>
      <c r="C223" s="2">
        <f>IFERROR(__xludf.DUMMYFUNCTION("""COMPUTED_VALUE"""),202.75)</f>
        <v>202.75</v>
      </c>
    </row>
    <row r="224" ht="15.75" customHeight="1">
      <c r="B224" s="3">
        <f>IFERROR(__xludf.DUMMYFUNCTION("""COMPUTED_VALUE"""),41656.645833333336)</f>
        <v>41656.64583</v>
      </c>
      <c r="C224" s="2">
        <f>IFERROR(__xludf.DUMMYFUNCTION("""COMPUTED_VALUE"""),202.6)</f>
        <v>202.6</v>
      </c>
    </row>
    <row r="225" ht="15.75" customHeight="1">
      <c r="B225" s="3">
        <f>IFERROR(__xludf.DUMMYFUNCTION("""COMPUTED_VALUE"""),41663.645833333336)</f>
        <v>41663.64583</v>
      </c>
      <c r="C225" s="2">
        <f>IFERROR(__xludf.DUMMYFUNCTION("""COMPUTED_VALUE"""),213.3)</f>
        <v>213.3</v>
      </c>
    </row>
    <row r="226" ht="15.75" customHeight="1">
      <c r="B226" s="3">
        <f>IFERROR(__xludf.DUMMYFUNCTION("""COMPUTED_VALUE"""),41670.645833333336)</f>
        <v>41670.64583</v>
      </c>
      <c r="C226" s="2">
        <f>IFERROR(__xludf.DUMMYFUNCTION("""COMPUTED_VALUE"""),203.4)</f>
        <v>203.4</v>
      </c>
    </row>
    <row r="227" ht="15.75" customHeight="1">
      <c r="B227" s="3">
        <f>IFERROR(__xludf.DUMMYFUNCTION("""COMPUTED_VALUE"""),41677.645833333336)</f>
        <v>41677.64583</v>
      </c>
      <c r="C227" s="2">
        <f>IFERROR(__xludf.DUMMYFUNCTION("""COMPUTED_VALUE"""),191.0)</f>
        <v>191</v>
      </c>
    </row>
    <row r="228" ht="15.75" customHeight="1">
      <c r="B228" s="3">
        <f>IFERROR(__xludf.DUMMYFUNCTION("""COMPUTED_VALUE"""),41684.645833333336)</f>
        <v>41684.64583</v>
      </c>
      <c r="C228" s="2">
        <f>IFERROR(__xludf.DUMMYFUNCTION("""COMPUTED_VALUE"""),193.85)</f>
        <v>193.85</v>
      </c>
    </row>
    <row r="229" ht="15.75" customHeight="1">
      <c r="B229" s="3">
        <f>IFERROR(__xludf.DUMMYFUNCTION("""COMPUTED_VALUE"""),41691.645833333336)</f>
        <v>41691.64583</v>
      </c>
      <c r="C229" s="2">
        <f>IFERROR(__xludf.DUMMYFUNCTION("""COMPUTED_VALUE"""),191.3)</f>
        <v>191.3</v>
      </c>
    </row>
    <row r="230" ht="15.75" customHeight="1">
      <c r="B230" s="3">
        <f>IFERROR(__xludf.DUMMYFUNCTION("""COMPUTED_VALUE"""),41698.645833333336)</f>
        <v>41698.64583</v>
      </c>
      <c r="C230" s="2">
        <f>IFERROR(__xludf.DUMMYFUNCTION("""COMPUTED_VALUE"""),186.5)</f>
        <v>186.5</v>
      </c>
    </row>
    <row r="231" ht="15.75" customHeight="1">
      <c r="B231" s="3">
        <f>IFERROR(__xludf.DUMMYFUNCTION("""COMPUTED_VALUE"""),41705.645833333336)</f>
        <v>41705.64583</v>
      </c>
      <c r="C231" s="2">
        <f>IFERROR(__xludf.DUMMYFUNCTION("""COMPUTED_VALUE"""),189.0)</f>
        <v>189</v>
      </c>
    </row>
    <row r="232" ht="15.75" customHeight="1">
      <c r="B232" s="3">
        <f>IFERROR(__xludf.DUMMYFUNCTION("""COMPUTED_VALUE"""),41712.645833333336)</f>
        <v>41712.64583</v>
      </c>
      <c r="C232" s="2">
        <f>IFERROR(__xludf.DUMMYFUNCTION("""COMPUTED_VALUE"""),187.3)</f>
        <v>187.3</v>
      </c>
    </row>
    <row r="233" ht="15.75" customHeight="1">
      <c r="B233" s="3">
        <f>IFERROR(__xludf.DUMMYFUNCTION("""COMPUTED_VALUE"""),41726.645833333336)</f>
        <v>41726.64583</v>
      </c>
      <c r="C233" s="2">
        <f>IFERROR(__xludf.DUMMYFUNCTION("""COMPUTED_VALUE"""),184.7)</f>
        <v>184.7</v>
      </c>
    </row>
    <row r="234" ht="15.75" customHeight="1">
      <c r="B234" s="3">
        <f>IFERROR(__xludf.DUMMYFUNCTION("""COMPUTED_VALUE"""),41733.645833333336)</f>
        <v>41733.64583</v>
      </c>
      <c r="C234" s="2">
        <f>IFERROR(__xludf.DUMMYFUNCTION("""COMPUTED_VALUE"""),193.9)</f>
        <v>193.9</v>
      </c>
    </row>
    <row r="235" ht="15.75" customHeight="1">
      <c r="B235" s="3">
        <f>IFERROR(__xludf.DUMMYFUNCTION("""COMPUTED_VALUE"""),41740.645833333336)</f>
        <v>41740.64583</v>
      </c>
      <c r="C235" s="2">
        <f>IFERROR(__xludf.DUMMYFUNCTION("""COMPUTED_VALUE"""),202.4)</f>
        <v>202.4</v>
      </c>
    </row>
    <row r="236" ht="15.75" customHeight="1">
      <c r="B236" s="3">
        <f>IFERROR(__xludf.DUMMYFUNCTION("""COMPUTED_VALUE"""),41746.645833333336)</f>
        <v>41746.64583</v>
      </c>
      <c r="C236" s="2">
        <f>IFERROR(__xludf.DUMMYFUNCTION("""COMPUTED_VALUE"""),198.95)</f>
        <v>198.95</v>
      </c>
    </row>
    <row r="237" ht="15.75" customHeight="1">
      <c r="B237" s="3">
        <f>IFERROR(__xludf.DUMMYFUNCTION("""COMPUTED_VALUE"""),41754.645833333336)</f>
        <v>41754.64583</v>
      </c>
      <c r="C237" s="2">
        <f>IFERROR(__xludf.DUMMYFUNCTION("""COMPUTED_VALUE"""),207.0)</f>
        <v>207</v>
      </c>
    </row>
    <row r="238" ht="15.75" customHeight="1">
      <c r="B238" s="3">
        <f>IFERROR(__xludf.DUMMYFUNCTION("""COMPUTED_VALUE"""),41761.645833333336)</f>
        <v>41761.64583</v>
      </c>
      <c r="C238" s="2">
        <f>IFERROR(__xludf.DUMMYFUNCTION("""COMPUTED_VALUE"""),196.5)</f>
        <v>196.5</v>
      </c>
    </row>
    <row r="239" ht="15.75" customHeight="1">
      <c r="B239" s="3">
        <f>IFERROR(__xludf.DUMMYFUNCTION("""COMPUTED_VALUE"""),41768.645833333336)</f>
        <v>41768.64583</v>
      </c>
      <c r="C239" s="2">
        <f>IFERROR(__xludf.DUMMYFUNCTION("""COMPUTED_VALUE"""),184.0)</f>
        <v>184</v>
      </c>
    </row>
    <row r="240" ht="15.75" customHeight="1">
      <c r="B240" s="3">
        <f>IFERROR(__xludf.DUMMYFUNCTION("""COMPUTED_VALUE"""),41775.645833333336)</f>
        <v>41775.64583</v>
      </c>
      <c r="C240" s="2">
        <f>IFERROR(__xludf.DUMMYFUNCTION("""COMPUTED_VALUE"""),218.85)</f>
        <v>218.85</v>
      </c>
    </row>
    <row r="241" ht="15.75" customHeight="1">
      <c r="B241" s="3">
        <f>IFERROR(__xludf.DUMMYFUNCTION("""COMPUTED_VALUE"""),41782.645833333336)</f>
        <v>41782.64583</v>
      </c>
      <c r="C241" s="2">
        <f>IFERROR(__xludf.DUMMYFUNCTION("""COMPUTED_VALUE"""),271.0)</f>
        <v>271</v>
      </c>
    </row>
    <row r="242" ht="15.75" customHeight="1">
      <c r="B242" s="3">
        <f>IFERROR(__xludf.DUMMYFUNCTION("""COMPUTED_VALUE"""),41789.645833333336)</f>
        <v>41789.64583</v>
      </c>
      <c r="C242" s="2">
        <f>IFERROR(__xludf.DUMMYFUNCTION("""COMPUTED_VALUE"""),285.0)</f>
        <v>285</v>
      </c>
    </row>
    <row r="243" ht="15.75" customHeight="1">
      <c r="B243" s="3">
        <f>IFERROR(__xludf.DUMMYFUNCTION("""COMPUTED_VALUE"""),41796.645833333336)</f>
        <v>41796.64583</v>
      </c>
      <c r="C243" s="2">
        <f>IFERROR(__xludf.DUMMYFUNCTION("""COMPUTED_VALUE"""),318.3)</f>
        <v>318.3</v>
      </c>
    </row>
    <row r="244" ht="15.75" customHeight="1">
      <c r="B244" s="3">
        <f>IFERROR(__xludf.DUMMYFUNCTION("""COMPUTED_VALUE"""),41803.645833333336)</f>
        <v>41803.64583</v>
      </c>
      <c r="C244" s="2">
        <f>IFERROR(__xludf.DUMMYFUNCTION("""COMPUTED_VALUE"""),312.85)</f>
        <v>312.85</v>
      </c>
    </row>
    <row r="245" ht="15.75" customHeight="1">
      <c r="B245" s="3">
        <f>IFERROR(__xludf.DUMMYFUNCTION("""COMPUTED_VALUE"""),41810.645833333336)</f>
        <v>41810.64583</v>
      </c>
      <c r="C245" s="2">
        <f>IFERROR(__xludf.DUMMYFUNCTION("""COMPUTED_VALUE"""),304.7)</f>
        <v>304.7</v>
      </c>
    </row>
    <row r="246" ht="15.75" customHeight="1">
      <c r="B246" s="3">
        <f>IFERROR(__xludf.DUMMYFUNCTION("""COMPUTED_VALUE"""),41817.645833333336)</f>
        <v>41817.64583</v>
      </c>
      <c r="C246" s="2">
        <f>IFERROR(__xludf.DUMMYFUNCTION("""COMPUTED_VALUE"""),303.6)</f>
        <v>303.6</v>
      </c>
    </row>
    <row r="247" ht="15.75" customHeight="1">
      <c r="B247" s="3">
        <f>IFERROR(__xludf.DUMMYFUNCTION("""COMPUTED_VALUE"""),41824.645833333336)</f>
        <v>41824.64583</v>
      </c>
      <c r="C247" s="2">
        <f>IFERROR(__xludf.DUMMYFUNCTION("""COMPUTED_VALUE"""),316.5)</f>
        <v>316.5</v>
      </c>
    </row>
    <row r="248" ht="15.75" customHeight="1">
      <c r="B248" s="3">
        <f>IFERROR(__xludf.DUMMYFUNCTION("""COMPUTED_VALUE"""),41831.645833333336)</f>
        <v>41831.64583</v>
      </c>
      <c r="C248" s="2">
        <f>IFERROR(__xludf.DUMMYFUNCTION("""COMPUTED_VALUE"""),310.6)</f>
        <v>310.6</v>
      </c>
    </row>
    <row r="249" ht="15.75" customHeight="1">
      <c r="B249" s="3">
        <f>IFERROR(__xludf.DUMMYFUNCTION("""COMPUTED_VALUE"""),41838.645833333336)</f>
        <v>41838.64583</v>
      </c>
      <c r="C249" s="2">
        <f>IFERROR(__xludf.DUMMYFUNCTION("""COMPUTED_VALUE"""),303.5)</f>
        <v>303.5</v>
      </c>
    </row>
    <row r="250" ht="15.75" customHeight="1">
      <c r="B250" s="3">
        <f>IFERROR(__xludf.DUMMYFUNCTION("""COMPUTED_VALUE"""),41845.645833333336)</f>
        <v>41845.64583</v>
      </c>
      <c r="C250" s="2">
        <f>IFERROR(__xludf.DUMMYFUNCTION("""COMPUTED_VALUE"""),302.65)</f>
        <v>302.65</v>
      </c>
    </row>
    <row r="251" ht="15.75" customHeight="1">
      <c r="B251" s="3">
        <f>IFERROR(__xludf.DUMMYFUNCTION("""COMPUTED_VALUE"""),41852.645833333336)</f>
        <v>41852.64583</v>
      </c>
      <c r="C251" s="2">
        <f>IFERROR(__xludf.DUMMYFUNCTION("""COMPUTED_VALUE"""),298.35)</f>
        <v>298.35</v>
      </c>
    </row>
    <row r="252" ht="15.75" customHeight="1">
      <c r="B252" s="3">
        <f>IFERROR(__xludf.DUMMYFUNCTION("""COMPUTED_VALUE"""),41859.645833333336)</f>
        <v>41859.64583</v>
      </c>
      <c r="C252" s="2">
        <f>IFERROR(__xludf.DUMMYFUNCTION("""COMPUTED_VALUE"""),295.75)</f>
        <v>295.75</v>
      </c>
    </row>
    <row r="253" ht="15.75" customHeight="1">
      <c r="B253" s="3">
        <f>IFERROR(__xludf.DUMMYFUNCTION("""COMPUTED_VALUE"""),41865.645833333336)</f>
        <v>41865.64583</v>
      </c>
      <c r="C253" s="2">
        <f>IFERROR(__xludf.DUMMYFUNCTION("""COMPUTED_VALUE"""),291.75)</f>
        <v>291.75</v>
      </c>
    </row>
    <row r="254" ht="15.75" customHeight="1">
      <c r="B254" s="3">
        <f>IFERROR(__xludf.DUMMYFUNCTION("""COMPUTED_VALUE"""),41873.645833333336)</f>
        <v>41873.64583</v>
      </c>
      <c r="C254" s="2">
        <f>IFERROR(__xludf.DUMMYFUNCTION("""COMPUTED_VALUE"""),305.5)</f>
        <v>305.5</v>
      </c>
    </row>
    <row r="255" ht="15.75" customHeight="1">
      <c r="B255" s="3">
        <f>IFERROR(__xludf.DUMMYFUNCTION("""COMPUTED_VALUE"""),41879.645833333336)</f>
        <v>41879.64583</v>
      </c>
      <c r="C255" s="2">
        <f>IFERROR(__xludf.DUMMYFUNCTION("""COMPUTED_VALUE"""),293.3)</f>
        <v>293.3</v>
      </c>
    </row>
    <row r="256" ht="15.75" customHeight="1">
      <c r="B256" s="3">
        <f>IFERROR(__xludf.DUMMYFUNCTION("""COMPUTED_VALUE"""),41887.645833333336)</f>
        <v>41887.64583</v>
      </c>
      <c r="C256" s="2">
        <f>IFERROR(__xludf.DUMMYFUNCTION("""COMPUTED_VALUE"""),285.0)</f>
        <v>285</v>
      </c>
    </row>
    <row r="257" ht="15.75" customHeight="1">
      <c r="B257" s="3">
        <f>IFERROR(__xludf.DUMMYFUNCTION("""COMPUTED_VALUE"""),41894.645833333336)</f>
        <v>41894.64583</v>
      </c>
      <c r="C257" s="2">
        <f>IFERROR(__xludf.DUMMYFUNCTION("""COMPUTED_VALUE"""),291.35)</f>
        <v>291.35</v>
      </c>
    </row>
    <row r="258" ht="15.75" customHeight="1">
      <c r="B258" s="3">
        <f>IFERROR(__xludf.DUMMYFUNCTION("""COMPUTED_VALUE"""),41901.645833333336)</f>
        <v>41901.64583</v>
      </c>
      <c r="C258" s="2">
        <f>IFERROR(__xludf.DUMMYFUNCTION("""COMPUTED_VALUE"""),289.4)</f>
        <v>289.4</v>
      </c>
    </row>
    <row r="259" ht="15.75" customHeight="1">
      <c r="B259" s="3">
        <f>IFERROR(__xludf.DUMMYFUNCTION("""COMPUTED_VALUE"""),41908.645833333336)</f>
        <v>41908.64583</v>
      </c>
      <c r="C259" s="2">
        <f>IFERROR(__xludf.DUMMYFUNCTION("""COMPUTED_VALUE"""),286.0)</f>
        <v>286</v>
      </c>
    </row>
    <row r="260" ht="15.75" customHeight="1">
      <c r="B260" s="3">
        <f>IFERROR(__xludf.DUMMYFUNCTION("""COMPUTED_VALUE"""),41913.645833333336)</f>
        <v>41913.64583</v>
      </c>
      <c r="C260" s="2">
        <f>IFERROR(__xludf.DUMMYFUNCTION("""COMPUTED_VALUE"""),279.2)</f>
        <v>279.2</v>
      </c>
    </row>
    <row r="261" ht="15.75" customHeight="1">
      <c r="B261" s="3">
        <f>IFERROR(__xludf.DUMMYFUNCTION("""COMPUTED_VALUE"""),41922.645833333336)</f>
        <v>41922.64583</v>
      </c>
      <c r="C261" s="2">
        <f>IFERROR(__xludf.DUMMYFUNCTION("""COMPUTED_VALUE"""),271.85)</f>
        <v>271.85</v>
      </c>
    </row>
    <row r="262" ht="15.75" customHeight="1">
      <c r="B262" s="3">
        <f>IFERROR(__xludf.DUMMYFUNCTION("""COMPUTED_VALUE"""),41929.645833333336)</f>
        <v>41929.64583</v>
      </c>
      <c r="C262" s="2">
        <f>IFERROR(__xludf.DUMMYFUNCTION("""COMPUTED_VALUE"""),254.25)</f>
        <v>254.25</v>
      </c>
    </row>
    <row r="263" ht="15.75" customHeight="1">
      <c r="B263" s="3">
        <f>IFERROR(__xludf.DUMMYFUNCTION("""COMPUTED_VALUE"""),41935.645833333336)</f>
        <v>41935.64583</v>
      </c>
      <c r="C263" s="2">
        <f>IFERROR(__xludf.DUMMYFUNCTION("""COMPUTED_VALUE"""),253.5)</f>
        <v>253.5</v>
      </c>
    </row>
    <row r="264" ht="15.75" customHeight="1">
      <c r="B264" s="3">
        <f>IFERROR(__xludf.DUMMYFUNCTION("""COMPUTED_VALUE"""),41943.645833333336)</f>
        <v>41943.64583</v>
      </c>
      <c r="C264" s="2">
        <f>IFERROR(__xludf.DUMMYFUNCTION("""COMPUTED_VALUE"""),259.25)</f>
        <v>259.25</v>
      </c>
    </row>
    <row r="265" ht="15.75" customHeight="1">
      <c r="B265" s="3">
        <f>IFERROR(__xludf.DUMMYFUNCTION("""COMPUTED_VALUE"""),41950.645833333336)</f>
        <v>41950.64583</v>
      </c>
      <c r="C265" s="2">
        <f>IFERROR(__xludf.DUMMYFUNCTION("""COMPUTED_VALUE"""),263.9)</f>
        <v>263.9</v>
      </c>
    </row>
    <row r="266" ht="15.75" customHeight="1">
      <c r="B266" s="3">
        <f>IFERROR(__xludf.DUMMYFUNCTION("""COMPUTED_VALUE"""),41957.64583333333)</f>
        <v>41957.64583</v>
      </c>
      <c r="C266" s="2">
        <f>IFERROR(__xludf.DUMMYFUNCTION("""COMPUTED_VALUE"""),250.3)</f>
        <v>250.3</v>
      </c>
    </row>
    <row r="267" ht="15.75" customHeight="1">
      <c r="B267" s="3">
        <f>IFERROR(__xludf.DUMMYFUNCTION("""COMPUTED_VALUE"""),41964.64583333333)</f>
        <v>41964.64583</v>
      </c>
      <c r="C267" s="2">
        <f>IFERROR(__xludf.DUMMYFUNCTION("""COMPUTED_VALUE"""),251.35)</f>
        <v>251.35</v>
      </c>
    </row>
    <row r="268" ht="15.75" customHeight="1">
      <c r="B268" s="3">
        <f>IFERROR(__xludf.DUMMYFUNCTION("""COMPUTED_VALUE"""),41971.64583333333)</f>
        <v>41971.64583</v>
      </c>
      <c r="C268" s="2">
        <f>IFERROR(__xludf.DUMMYFUNCTION("""COMPUTED_VALUE"""),245.25)</f>
        <v>245.25</v>
      </c>
    </row>
    <row r="269" ht="15.75" customHeight="1">
      <c r="B269" s="3">
        <f>IFERROR(__xludf.DUMMYFUNCTION("""COMPUTED_VALUE"""),41978.64583333333)</f>
        <v>41978.64583</v>
      </c>
      <c r="C269" s="2">
        <f>IFERROR(__xludf.DUMMYFUNCTION("""COMPUTED_VALUE"""),245.95)</f>
        <v>245.95</v>
      </c>
    </row>
    <row r="270" ht="15.75" customHeight="1">
      <c r="B270" s="3">
        <f>IFERROR(__xludf.DUMMYFUNCTION("""COMPUTED_VALUE"""),41985.64583333333)</f>
        <v>41985.64583</v>
      </c>
      <c r="C270" s="2">
        <f>IFERROR(__xludf.DUMMYFUNCTION("""COMPUTED_VALUE"""),241.4)</f>
        <v>241.4</v>
      </c>
    </row>
    <row r="271" ht="15.75" customHeight="1">
      <c r="B271" s="3">
        <f>IFERROR(__xludf.DUMMYFUNCTION("""COMPUTED_VALUE"""),41992.64583333333)</f>
        <v>41992.64583</v>
      </c>
      <c r="C271" s="2">
        <f>IFERROR(__xludf.DUMMYFUNCTION("""COMPUTED_VALUE"""),215.0)</f>
        <v>215</v>
      </c>
    </row>
    <row r="272" ht="15.75" customHeight="1">
      <c r="B272" s="3">
        <f>IFERROR(__xludf.DUMMYFUNCTION("""COMPUTED_VALUE"""),41999.64583333333)</f>
        <v>41999.64583</v>
      </c>
      <c r="C272" s="2">
        <f>IFERROR(__xludf.DUMMYFUNCTION("""COMPUTED_VALUE"""),216.8)</f>
        <v>216.8</v>
      </c>
    </row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IFERROR(__xludf.DUMMYFUNCTION("GOOGLEFINANCE(""NSE:VEDL"", ""high"",DATE(2015,1,1),DATE(2016,1,1),""weekly"")"),"Date")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IFERROR(__xludf.DUMMYFUNCTION("""COMPUTED_VALUE"""),42006.64583333333)</f>
        <v>42006.64583</v>
      </c>
      <c r="C277" s="2">
        <f>IFERROR(__xludf.DUMMYFUNCTION("""COMPUTED_VALUE"""),224.45)</f>
        <v>224.45</v>
      </c>
    </row>
    <row r="278" ht="15.75" customHeight="1">
      <c r="B278" s="3">
        <f>IFERROR(__xludf.DUMMYFUNCTION("""COMPUTED_VALUE"""),42013.64583333333)</f>
        <v>42013.64583</v>
      </c>
      <c r="C278" s="2">
        <f>IFERROR(__xludf.DUMMYFUNCTION("""COMPUTED_VALUE"""),225.3)</f>
        <v>225.3</v>
      </c>
    </row>
    <row r="279" ht="15.75" customHeight="1">
      <c r="B279" s="3">
        <f>IFERROR(__xludf.DUMMYFUNCTION("""COMPUTED_VALUE"""),42020.64583333333)</f>
        <v>42020.64583</v>
      </c>
      <c r="C279" s="2">
        <f>IFERROR(__xludf.DUMMYFUNCTION("""COMPUTED_VALUE"""),209.0)</f>
        <v>209</v>
      </c>
    </row>
    <row r="280" ht="15.75" customHeight="1">
      <c r="B280" s="3">
        <f>IFERROR(__xludf.DUMMYFUNCTION("""COMPUTED_VALUE"""),42027.64583333333)</f>
        <v>42027.64583</v>
      </c>
      <c r="C280" s="2">
        <f>IFERROR(__xludf.DUMMYFUNCTION("""COMPUTED_VALUE"""),206.8)</f>
        <v>206.8</v>
      </c>
    </row>
    <row r="281" ht="15.75" customHeight="1">
      <c r="B281" s="3">
        <f>IFERROR(__xludf.DUMMYFUNCTION("""COMPUTED_VALUE"""),42034.64583333333)</f>
        <v>42034.64583</v>
      </c>
      <c r="C281" s="2">
        <f>IFERROR(__xludf.DUMMYFUNCTION("""COMPUTED_VALUE"""),208.15)</f>
        <v>208.15</v>
      </c>
    </row>
    <row r="282" ht="15.75" customHeight="1">
      <c r="B282" s="3">
        <f>IFERROR(__xludf.DUMMYFUNCTION("""COMPUTED_VALUE"""),42041.64583333333)</f>
        <v>42041.64583</v>
      </c>
      <c r="C282" s="2">
        <f>IFERROR(__xludf.DUMMYFUNCTION("""COMPUTED_VALUE"""),219.6)</f>
        <v>219.6</v>
      </c>
    </row>
    <row r="283" ht="15.75" customHeight="1">
      <c r="B283" s="3">
        <f>IFERROR(__xludf.DUMMYFUNCTION("""COMPUTED_VALUE"""),42048.64583333333)</f>
        <v>42048.64583</v>
      </c>
      <c r="C283" s="2">
        <f>IFERROR(__xludf.DUMMYFUNCTION("""COMPUTED_VALUE"""),215.9)</f>
        <v>215.9</v>
      </c>
    </row>
    <row r="284" ht="15.75" customHeight="1">
      <c r="B284" s="3">
        <f>IFERROR(__xludf.DUMMYFUNCTION("""COMPUTED_VALUE"""),42055.64583333333)</f>
        <v>42055.64583</v>
      </c>
      <c r="C284" s="2">
        <f>IFERROR(__xludf.DUMMYFUNCTION("""COMPUTED_VALUE"""),224.75)</f>
        <v>224.75</v>
      </c>
    </row>
    <row r="285" ht="15.75" customHeight="1">
      <c r="B285" s="3">
        <f>IFERROR(__xludf.DUMMYFUNCTION("""COMPUTED_VALUE"""),42068.64583333333)</f>
        <v>42068.64583</v>
      </c>
      <c r="C285" s="2">
        <f>IFERROR(__xludf.DUMMYFUNCTION("""COMPUTED_VALUE"""),225.0)</f>
        <v>225</v>
      </c>
    </row>
    <row r="286" ht="15.75" customHeight="1">
      <c r="B286" s="3">
        <f>IFERROR(__xludf.DUMMYFUNCTION("""COMPUTED_VALUE"""),42076.64583333333)</f>
        <v>42076.64583</v>
      </c>
      <c r="C286" s="2">
        <f>IFERROR(__xludf.DUMMYFUNCTION("""COMPUTED_VALUE"""),208.5)</f>
        <v>208.5</v>
      </c>
    </row>
    <row r="287" ht="15.75" customHeight="1">
      <c r="B287" s="3">
        <f>IFERROR(__xludf.DUMMYFUNCTION("""COMPUTED_VALUE"""),42083.64583333333)</f>
        <v>42083.64583</v>
      </c>
      <c r="C287" s="2">
        <f>IFERROR(__xludf.DUMMYFUNCTION("""COMPUTED_VALUE"""),202.0)</f>
        <v>202</v>
      </c>
    </row>
    <row r="288" ht="15.75" customHeight="1">
      <c r="B288" s="3">
        <f>IFERROR(__xludf.DUMMYFUNCTION("""COMPUTED_VALUE"""),42090.64583333333)</f>
        <v>42090.64583</v>
      </c>
      <c r="C288" s="2">
        <f>IFERROR(__xludf.DUMMYFUNCTION("""COMPUTED_VALUE"""),197.5)</f>
        <v>197.5</v>
      </c>
    </row>
    <row r="289" ht="15.75" customHeight="1">
      <c r="B289" s="3">
        <f>IFERROR(__xludf.DUMMYFUNCTION("""COMPUTED_VALUE"""),42095.64583333333)</f>
        <v>42095.64583</v>
      </c>
      <c r="C289" s="2">
        <f>IFERROR(__xludf.DUMMYFUNCTION("""COMPUTED_VALUE"""),196.0)</f>
        <v>196</v>
      </c>
    </row>
    <row r="290" ht="15.75" customHeight="1">
      <c r="B290" s="3">
        <f>IFERROR(__xludf.DUMMYFUNCTION("""COMPUTED_VALUE"""),42104.64583333333)</f>
        <v>42104.64583</v>
      </c>
      <c r="C290" s="2">
        <f>IFERROR(__xludf.DUMMYFUNCTION("""COMPUTED_VALUE"""),203.5)</f>
        <v>203.5</v>
      </c>
    </row>
    <row r="291" ht="15.75" customHeight="1">
      <c r="B291" s="3">
        <f>IFERROR(__xludf.DUMMYFUNCTION("""COMPUTED_VALUE"""),42111.64583333333)</f>
        <v>42111.64583</v>
      </c>
      <c r="C291" s="2">
        <f>IFERROR(__xludf.DUMMYFUNCTION("""COMPUTED_VALUE"""),212.9)</f>
        <v>212.9</v>
      </c>
    </row>
    <row r="292" ht="15.75" customHeight="1">
      <c r="B292" s="3">
        <f>IFERROR(__xludf.DUMMYFUNCTION("""COMPUTED_VALUE"""),42118.64583333333)</f>
        <v>42118.64583</v>
      </c>
      <c r="C292" s="2">
        <f>IFERROR(__xludf.DUMMYFUNCTION("""COMPUTED_VALUE"""),217.0)</f>
        <v>217</v>
      </c>
    </row>
    <row r="293" ht="15.75" customHeight="1">
      <c r="B293" s="3">
        <f>IFERROR(__xludf.DUMMYFUNCTION("""COMPUTED_VALUE"""),42124.64583333333)</f>
        <v>42124.64583</v>
      </c>
      <c r="C293" s="2">
        <f>IFERROR(__xludf.DUMMYFUNCTION("""COMPUTED_VALUE"""),214.25)</f>
        <v>214.25</v>
      </c>
    </row>
    <row r="294" ht="15.75" customHeight="1">
      <c r="B294" s="3">
        <f>IFERROR(__xludf.DUMMYFUNCTION("""COMPUTED_VALUE"""),42132.64583333333)</f>
        <v>42132.64583</v>
      </c>
      <c r="C294" s="2">
        <f>IFERROR(__xludf.DUMMYFUNCTION("""COMPUTED_VALUE"""),229.4)</f>
        <v>229.4</v>
      </c>
    </row>
    <row r="295" ht="15.75" customHeight="1">
      <c r="B295" s="3">
        <f>IFERROR(__xludf.DUMMYFUNCTION("""COMPUTED_VALUE"""),42139.64583333333)</f>
        <v>42139.64583</v>
      </c>
      <c r="C295" s="2">
        <f>IFERROR(__xludf.DUMMYFUNCTION("""COMPUTED_VALUE"""),233.4)</f>
        <v>233.4</v>
      </c>
    </row>
    <row r="296" ht="15.75" customHeight="1">
      <c r="B296" s="3">
        <f>IFERROR(__xludf.DUMMYFUNCTION("""COMPUTED_VALUE"""),42146.64583333333)</f>
        <v>42146.64583</v>
      </c>
      <c r="C296" s="2">
        <f>IFERROR(__xludf.DUMMYFUNCTION("""COMPUTED_VALUE"""),219.85)</f>
        <v>219.85</v>
      </c>
    </row>
    <row r="297" ht="15.75" customHeight="1">
      <c r="B297" s="3">
        <f>IFERROR(__xludf.DUMMYFUNCTION("""COMPUTED_VALUE"""),42153.64583333333)</f>
        <v>42153.64583</v>
      </c>
      <c r="C297" s="2">
        <f>IFERROR(__xludf.DUMMYFUNCTION("""COMPUTED_VALUE"""),206.0)</f>
        <v>206</v>
      </c>
    </row>
    <row r="298" ht="15.75" customHeight="1">
      <c r="B298" s="3">
        <f>IFERROR(__xludf.DUMMYFUNCTION("""COMPUTED_VALUE"""),42160.64583333333)</f>
        <v>42160.64583</v>
      </c>
      <c r="C298" s="2">
        <f>IFERROR(__xludf.DUMMYFUNCTION("""COMPUTED_VALUE"""),201.65)</f>
        <v>201.65</v>
      </c>
    </row>
    <row r="299" ht="15.75" customHeight="1">
      <c r="B299" s="3">
        <f>IFERROR(__xludf.DUMMYFUNCTION("""COMPUTED_VALUE"""),42167.64583333333)</f>
        <v>42167.64583</v>
      </c>
      <c r="C299" s="2">
        <f>IFERROR(__xludf.DUMMYFUNCTION("""COMPUTED_VALUE"""),190.95)</f>
        <v>190.95</v>
      </c>
    </row>
    <row r="300" ht="15.75" customHeight="1">
      <c r="B300" s="3">
        <f>IFERROR(__xludf.DUMMYFUNCTION("""COMPUTED_VALUE"""),42174.64583333333)</f>
        <v>42174.64583</v>
      </c>
      <c r="C300" s="2">
        <f>IFERROR(__xludf.DUMMYFUNCTION("""COMPUTED_VALUE"""),188.8)</f>
        <v>188.8</v>
      </c>
    </row>
    <row r="301" ht="15.75" customHeight="1">
      <c r="B301" s="3">
        <f>IFERROR(__xludf.DUMMYFUNCTION("""COMPUTED_VALUE"""),42181.64583333333)</f>
        <v>42181.64583</v>
      </c>
      <c r="C301" s="2">
        <f>IFERROR(__xludf.DUMMYFUNCTION("""COMPUTED_VALUE"""),182.15)</f>
        <v>182.15</v>
      </c>
    </row>
    <row r="302" ht="15.75" customHeight="1">
      <c r="B302" s="3">
        <f>IFERROR(__xludf.DUMMYFUNCTION("""COMPUTED_VALUE"""),42188.64583333333)</f>
        <v>42188.64583</v>
      </c>
      <c r="C302" s="2">
        <f>IFERROR(__xludf.DUMMYFUNCTION("""COMPUTED_VALUE"""),177.5)</f>
        <v>177.5</v>
      </c>
    </row>
    <row r="303" ht="15.75" customHeight="1">
      <c r="B303" s="3">
        <f>IFERROR(__xludf.DUMMYFUNCTION("""COMPUTED_VALUE"""),42195.64583333333)</f>
        <v>42195.64583</v>
      </c>
      <c r="C303" s="2">
        <f>IFERROR(__xludf.DUMMYFUNCTION("""COMPUTED_VALUE"""),167.5)</f>
        <v>167.5</v>
      </c>
    </row>
    <row r="304" ht="15.75" customHeight="1">
      <c r="B304" s="3">
        <f>IFERROR(__xludf.DUMMYFUNCTION("""COMPUTED_VALUE"""),42202.64583333333)</f>
        <v>42202.64583</v>
      </c>
      <c r="C304" s="2">
        <f>IFERROR(__xludf.DUMMYFUNCTION("""COMPUTED_VALUE"""),148.85)</f>
        <v>148.85</v>
      </c>
    </row>
    <row r="305" ht="15.75" customHeight="1">
      <c r="B305" s="3">
        <f>IFERROR(__xludf.DUMMYFUNCTION("""COMPUTED_VALUE"""),42209.64583333333)</f>
        <v>42209.64583</v>
      </c>
      <c r="C305" s="2">
        <f>IFERROR(__xludf.DUMMYFUNCTION("""COMPUTED_VALUE"""),146.5)</f>
        <v>146.5</v>
      </c>
    </row>
    <row r="306" ht="15.75" customHeight="1">
      <c r="B306" s="3">
        <f>IFERROR(__xludf.DUMMYFUNCTION("""COMPUTED_VALUE"""),42216.64583333333)</f>
        <v>42216.64583</v>
      </c>
      <c r="C306" s="2">
        <f>IFERROR(__xludf.DUMMYFUNCTION("""COMPUTED_VALUE"""),133.4)</f>
        <v>133.4</v>
      </c>
    </row>
    <row r="307" ht="15.75" customHeight="1">
      <c r="B307" s="3">
        <f>IFERROR(__xludf.DUMMYFUNCTION("""COMPUTED_VALUE"""),42223.64583333333)</f>
        <v>42223.64583</v>
      </c>
      <c r="C307" s="2">
        <f>IFERROR(__xludf.DUMMYFUNCTION("""COMPUTED_VALUE"""),131.4)</f>
        <v>131.4</v>
      </c>
    </row>
    <row r="308" ht="15.75" customHeight="1">
      <c r="B308" s="3">
        <f>IFERROR(__xludf.DUMMYFUNCTION("""COMPUTED_VALUE"""),42230.64583333333)</f>
        <v>42230.64583</v>
      </c>
      <c r="C308" s="2">
        <f>IFERROR(__xludf.DUMMYFUNCTION("""COMPUTED_VALUE"""),131.1)</f>
        <v>131.1</v>
      </c>
    </row>
    <row r="309" ht="15.75" customHeight="1">
      <c r="B309" s="3">
        <f>IFERROR(__xludf.DUMMYFUNCTION("""COMPUTED_VALUE"""),42237.64583333333)</f>
        <v>42237.64583</v>
      </c>
      <c r="C309" s="2">
        <f>IFERROR(__xludf.DUMMYFUNCTION("""COMPUTED_VALUE"""),107.8)</f>
        <v>107.8</v>
      </c>
    </row>
    <row r="310" ht="15.75" customHeight="1">
      <c r="B310" s="3">
        <f>IFERROR(__xludf.DUMMYFUNCTION("""COMPUTED_VALUE"""),42244.64583333333)</f>
        <v>42244.64583</v>
      </c>
      <c r="C310" s="2">
        <f>IFERROR(__xludf.DUMMYFUNCTION("""COMPUTED_VALUE"""),98.9)</f>
        <v>98.9</v>
      </c>
    </row>
    <row r="311" ht="15.75" customHeight="1">
      <c r="B311" s="3">
        <f>IFERROR(__xludf.DUMMYFUNCTION("""COMPUTED_VALUE"""),42251.64583333333)</f>
        <v>42251.64583</v>
      </c>
      <c r="C311" s="2">
        <f>IFERROR(__xludf.DUMMYFUNCTION("""COMPUTED_VALUE"""),99.95)</f>
        <v>99.95</v>
      </c>
    </row>
    <row r="312" ht="15.75" customHeight="1">
      <c r="B312" s="3">
        <f>IFERROR(__xludf.DUMMYFUNCTION("""COMPUTED_VALUE"""),42258.64583333333)</f>
        <v>42258.64583</v>
      </c>
      <c r="C312" s="2">
        <f>IFERROR(__xludf.DUMMYFUNCTION("""COMPUTED_VALUE"""),102.5)</f>
        <v>102.5</v>
      </c>
    </row>
    <row r="313" ht="15.75" customHeight="1">
      <c r="B313" s="3">
        <f>IFERROR(__xludf.DUMMYFUNCTION("""COMPUTED_VALUE"""),42265.64583333333)</f>
        <v>42265.64583</v>
      </c>
      <c r="C313" s="2">
        <f>IFERROR(__xludf.DUMMYFUNCTION("""COMPUTED_VALUE"""),101.85)</f>
        <v>101.85</v>
      </c>
    </row>
    <row r="314" ht="15.75" customHeight="1">
      <c r="B314" s="3">
        <f>IFERROR(__xludf.DUMMYFUNCTION("""COMPUTED_VALUE"""),42271.64583333333)</f>
        <v>42271.64583</v>
      </c>
      <c r="C314" s="2">
        <f>IFERROR(__xludf.DUMMYFUNCTION("""COMPUTED_VALUE"""),99.85)</f>
        <v>99.85</v>
      </c>
    </row>
    <row r="315" ht="15.75" customHeight="1">
      <c r="B315" s="3">
        <f>IFERROR(__xludf.DUMMYFUNCTION("""COMPUTED_VALUE"""),42278.64583333333)</f>
        <v>42278.64583</v>
      </c>
      <c r="C315" s="2">
        <f>IFERROR(__xludf.DUMMYFUNCTION("""COMPUTED_VALUE"""),96.15)</f>
        <v>96.15</v>
      </c>
    </row>
    <row r="316" ht="15.75" customHeight="1">
      <c r="B316" s="3">
        <f>IFERROR(__xludf.DUMMYFUNCTION("""COMPUTED_VALUE"""),42286.64583333333)</f>
        <v>42286.64583</v>
      </c>
      <c r="C316" s="2">
        <f>IFERROR(__xludf.DUMMYFUNCTION("""COMPUTED_VALUE"""),104.75)</f>
        <v>104.75</v>
      </c>
    </row>
    <row r="317" ht="15.75" customHeight="1">
      <c r="B317" s="3">
        <f>IFERROR(__xludf.DUMMYFUNCTION("""COMPUTED_VALUE"""),42293.64583333333)</f>
        <v>42293.64583</v>
      </c>
      <c r="C317" s="2">
        <f>IFERROR(__xludf.DUMMYFUNCTION("""COMPUTED_VALUE"""),119.1)</f>
        <v>119.1</v>
      </c>
    </row>
    <row r="318" ht="15.75" customHeight="1">
      <c r="B318" s="3">
        <f>IFERROR(__xludf.DUMMYFUNCTION("""COMPUTED_VALUE"""),42300.64583333333)</f>
        <v>42300.64583</v>
      </c>
      <c r="C318" s="2">
        <f>IFERROR(__xludf.DUMMYFUNCTION("""COMPUTED_VALUE"""),112.25)</f>
        <v>112.25</v>
      </c>
    </row>
    <row r="319" ht="15.75" customHeight="1">
      <c r="B319" s="3">
        <f>IFERROR(__xludf.DUMMYFUNCTION("""COMPUTED_VALUE"""),42307.64583333333)</f>
        <v>42307.64583</v>
      </c>
      <c r="C319" s="2">
        <f>IFERROR(__xludf.DUMMYFUNCTION("""COMPUTED_VALUE"""),107.95)</f>
        <v>107.95</v>
      </c>
    </row>
    <row r="320" ht="15.75" customHeight="1">
      <c r="B320" s="3">
        <f>IFERROR(__xludf.DUMMYFUNCTION("""COMPUTED_VALUE"""),42314.64583333333)</f>
        <v>42314.64583</v>
      </c>
      <c r="C320" s="2">
        <f>IFERROR(__xludf.DUMMYFUNCTION("""COMPUTED_VALUE"""),100.9)</f>
        <v>100.9</v>
      </c>
    </row>
    <row r="321" ht="15.75" customHeight="1">
      <c r="B321" s="3">
        <f>IFERROR(__xludf.DUMMYFUNCTION("""COMPUTED_VALUE"""),42321.64583333333)</f>
        <v>42321.64583</v>
      </c>
      <c r="C321" s="2">
        <f>IFERROR(__xludf.DUMMYFUNCTION("""COMPUTED_VALUE"""),95.1)</f>
        <v>95.1</v>
      </c>
    </row>
    <row r="322" ht="15.75" customHeight="1">
      <c r="B322" s="3">
        <f>IFERROR(__xludf.DUMMYFUNCTION("""COMPUTED_VALUE"""),42328.64583333333)</f>
        <v>42328.64583</v>
      </c>
      <c r="C322" s="2">
        <f>IFERROR(__xludf.DUMMYFUNCTION("""COMPUTED_VALUE"""),94.5)</f>
        <v>94.5</v>
      </c>
    </row>
    <row r="323" ht="15.75" customHeight="1">
      <c r="B323" s="3">
        <f>IFERROR(__xludf.DUMMYFUNCTION("""COMPUTED_VALUE"""),42335.64583333333)</f>
        <v>42335.64583</v>
      </c>
      <c r="C323" s="2">
        <f>IFERROR(__xludf.DUMMYFUNCTION("""COMPUTED_VALUE"""),93.75)</f>
        <v>93.75</v>
      </c>
    </row>
    <row r="324" ht="15.75" customHeight="1">
      <c r="B324" s="3">
        <f>IFERROR(__xludf.DUMMYFUNCTION("""COMPUTED_VALUE"""),42342.64583333333)</f>
        <v>42342.64583</v>
      </c>
      <c r="C324" s="2">
        <f>IFERROR(__xludf.DUMMYFUNCTION("""COMPUTED_VALUE"""),96.4)</f>
        <v>96.4</v>
      </c>
    </row>
    <row r="325" ht="15.75" customHeight="1">
      <c r="B325" s="3">
        <f>IFERROR(__xludf.DUMMYFUNCTION("""COMPUTED_VALUE"""),42349.64583333333)</f>
        <v>42349.64583</v>
      </c>
      <c r="C325" s="2">
        <f>IFERROR(__xludf.DUMMYFUNCTION("""COMPUTED_VALUE"""),93.1)</f>
        <v>93.1</v>
      </c>
    </row>
    <row r="326" ht="15.75" customHeight="1">
      <c r="B326" s="3">
        <f>IFERROR(__xludf.DUMMYFUNCTION("""COMPUTED_VALUE"""),42356.64583333333)</f>
        <v>42356.64583</v>
      </c>
      <c r="C326" s="2">
        <f>IFERROR(__xludf.DUMMYFUNCTION("""COMPUTED_VALUE"""),87.45)</f>
        <v>87.45</v>
      </c>
    </row>
    <row r="327" ht="15.75" customHeight="1">
      <c r="B327" s="3">
        <f>IFERROR(__xludf.DUMMYFUNCTION("""COMPUTED_VALUE"""),42362.64583333333)</f>
        <v>42362.64583</v>
      </c>
      <c r="C327" s="2">
        <f>IFERROR(__xludf.DUMMYFUNCTION("""COMPUTED_VALUE"""),92.4)</f>
        <v>92.4</v>
      </c>
    </row>
    <row r="328" ht="15.75" customHeight="1">
      <c r="B328" s="3">
        <f>IFERROR(__xludf.DUMMYFUNCTION("""COMPUTED_VALUE"""),42370.64583333333)</f>
        <v>42370.64583</v>
      </c>
      <c r="C328" s="2">
        <f>IFERROR(__xludf.DUMMYFUNCTION("""COMPUTED_VALUE"""),93.5)</f>
        <v>93.5</v>
      </c>
    </row>
    <row r="329" ht="15.75" customHeight="1"/>
    <row r="330" ht="15.75" customHeight="1"/>
    <row r="331" ht="15.75" customHeight="1">
      <c r="B331" s="2" t="str">
        <f>IFERROR(__xludf.DUMMYFUNCTION("GOOGLEFINANCE(""NSE:VEDL"", ""high"",DATE(2016,1,1),DATE(2017,1,1),""weekly"")"),"Date")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IFERROR(__xludf.DUMMYFUNCTION("""COMPUTED_VALUE"""),42377.64583333333)</f>
        <v>42377.64583</v>
      </c>
      <c r="C332" s="2">
        <f>IFERROR(__xludf.DUMMYFUNCTION("""COMPUTED_VALUE"""),93.9)</f>
        <v>93.9</v>
      </c>
    </row>
    <row r="333" ht="15.75" customHeight="1">
      <c r="B333" s="3">
        <f>IFERROR(__xludf.DUMMYFUNCTION("""COMPUTED_VALUE"""),42384.64583333333)</f>
        <v>42384.64583</v>
      </c>
      <c r="C333" s="2">
        <f>IFERROR(__xludf.DUMMYFUNCTION("""COMPUTED_VALUE"""),86.8)</f>
        <v>86.8</v>
      </c>
    </row>
    <row r="334" ht="15.75" customHeight="1">
      <c r="B334" s="3">
        <f>IFERROR(__xludf.DUMMYFUNCTION("""COMPUTED_VALUE"""),42391.64583333333)</f>
        <v>42391.64583</v>
      </c>
      <c r="C334" s="2">
        <f>IFERROR(__xludf.DUMMYFUNCTION("""COMPUTED_VALUE"""),74.4)</f>
        <v>74.4</v>
      </c>
    </row>
    <row r="335" ht="15.75" customHeight="1">
      <c r="B335" s="3">
        <f>IFERROR(__xludf.DUMMYFUNCTION("""COMPUTED_VALUE"""),42398.64583333333)</f>
        <v>42398.64583</v>
      </c>
      <c r="C335" s="2">
        <f>IFERROR(__xludf.DUMMYFUNCTION("""COMPUTED_VALUE"""),72.85)</f>
        <v>72.85</v>
      </c>
    </row>
    <row r="336" ht="15.75" customHeight="1">
      <c r="B336" s="3">
        <f>IFERROR(__xludf.DUMMYFUNCTION("""COMPUTED_VALUE"""),42405.64583333333)</f>
        <v>42405.64583</v>
      </c>
      <c r="C336" s="2">
        <f>IFERROR(__xludf.DUMMYFUNCTION("""COMPUTED_VALUE"""),74.4)</f>
        <v>74.4</v>
      </c>
    </row>
    <row r="337" ht="15.75" customHeight="1">
      <c r="B337" s="3">
        <f>IFERROR(__xludf.DUMMYFUNCTION("""COMPUTED_VALUE"""),42412.64583333333)</f>
        <v>42412.64583</v>
      </c>
      <c r="C337" s="2">
        <f>IFERROR(__xludf.DUMMYFUNCTION("""COMPUTED_VALUE"""),75.6)</f>
        <v>75.6</v>
      </c>
    </row>
    <row r="338" ht="15.75" customHeight="1">
      <c r="B338" s="3">
        <f>IFERROR(__xludf.DUMMYFUNCTION("""COMPUTED_VALUE"""),42419.64583333333)</f>
        <v>42419.64583</v>
      </c>
      <c r="C338" s="2">
        <f>IFERROR(__xludf.DUMMYFUNCTION("""COMPUTED_VALUE"""),77.7)</f>
        <v>77.7</v>
      </c>
    </row>
    <row r="339" ht="15.75" customHeight="1">
      <c r="B339" s="3">
        <f>IFERROR(__xludf.DUMMYFUNCTION("""COMPUTED_VALUE"""),42426.64583333333)</f>
        <v>42426.64583</v>
      </c>
      <c r="C339" s="2">
        <f>IFERROR(__xludf.DUMMYFUNCTION("""COMPUTED_VALUE"""),75.75)</f>
        <v>75.75</v>
      </c>
    </row>
    <row r="340" ht="15.75" customHeight="1">
      <c r="B340" s="3">
        <f>IFERROR(__xludf.DUMMYFUNCTION("""COMPUTED_VALUE"""),42433.64583333333)</f>
        <v>42433.64583</v>
      </c>
      <c r="C340" s="2">
        <f>IFERROR(__xludf.DUMMYFUNCTION("""COMPUTED_VALUE"""),90.15)</f>
        <v>90.15</v>
      </c>
    </row>
    <row r="341" ht="15.75" customHeight="1">
      <c r="B341" s="3">
        <f>IFERROR(__xludf.DUMMYFUNCTION("""COMPUTED_VALUE"""),42440.64583333333)</f>
        <v>42440.64583</v>
      </c>
      <c r="C341" s="2">
        <f>IFERROR(__xludf.DUMMYFUNCTION("""COMPUTED_VALUE"""),92.6)</f>
        <v>92.6</v>
      </c>
    </row>
    <row r="342" ht="15.75" customHeight="1">
      <c r="B342" s="3">
        <f>IFERROR(__xludf.DUMMYFUNCTION("""COMPUTED_VALUE"""),42447.64583333333)</f>
        <v>42447.64583</v>
      </c>
      <c r="C342" s="2">
        <f>IFERROR(__xludf.DUMMYFUNCTION("""COMPUTED_VALUE"""),93.25)</f>
        <v>93.25</v>
      </c>
    </row>
    <row r="343" ht="15.75" customHeight="1">
      <c r="B343" s="3">
        <f>IFERROR(__xludf.DUMMYFUNCTION("""COMPUTED_VALUE"""),42452.64583333333)</f>
        <v>42452.64583</v>
      </c>
      <c r="C343" s="2">
        <f>IFERROR(__xludf.DUMMYFUNCTION("""COMPUTED_VALUE"""),98.2)</f>
        <v>98.2</v>
      </c>
    </row>
    <row r="344" ht="15.75" customHeight="1">
      <c r="B344" s="3">
        <f>IFERROR(__xludf.DUMMYFUNCTION("""COMPUTED_VALUE"""),42461.64583333333)</f>
        <v>42461.64583</v>
      </c>
      <c r="C344" s="2">
        <f>IFERROR(__xludf.DUMMYFUNCTION("""COMPUTED_VALUE"""),97.35)</f>
        <v>97.35</v>
      </c>
    </row>
    <row r="345" ht="15.75" customHeight="1">
      <c r="B345" s="3">
        <f>IFERROR(__xludf.DUMMYFUNCTION("""COMPUTED_VALUE"""),42468.64583333333)</f>
        <v>42468.64583</v>
      </c>
      <c r="C345" s="2">
        <f>IFERROR(__xludf.DUMMYFUNCTION("""COMPUTED_VALUE"""),91.9)</f>
        <v>91.9</v>
      </c>
    </row>
    <row r="346" ht="15.75" customHeight="1">
      <c r="B346" s="3">
        <f>IFERROR(__xludf.DUMMYFUNCTION("""COMPUTED_VALUE"""),42473.64583333333)</f>
        <v>42473.64583</v>
      </c>
      <c r="C346" s="2">
        <f>IFERROR(__xludf.DUMMYFUNCTION("""COMPUTED_VALUE"""),95.25)</f>
        <v>95.25</v>
      </c>
    </row>
    <row r="347" ht="15.75" customHeight="1">
      <c r="B347" s="3">
        <f>IFERROR(__xludf.DUMMYFUNCTION("""COMPUTED_VALUE"""),42482.64583333333)</f>
        <v>42482.64583</v>
      </c>
      <c r="C347" s="2">
        <f>IFERROR(__xludf.DUMMYFUNCTION("""COMPUTED_VALUE"""),108.9)</f>
        <v>108.9</v>
      </c>
    </row>
    <row r="348" ht="15.75" customHeight="1">
      <c r="B348" s="3">
        <f>IFERROR(__xludf.DUMMYFUNCTION("""COMPUTED_VALUE"""),42489.64583333333)</f>
        <v>42489.64583</v>
      </c>
      <c r="C348" s="2">
        <f>IFERROR(__xludf.DUMMYFUNCTION("""COMPUTED_VALUE"""),107.7)</f>
        <v>107.7</v>
      </c>
    </row>
    <row r="349" ht="15.75" customHeight="1">
      <c r="B349" s="3">
        <f>IFERROR(__xludf.DUMMYFUNCTION("""COMPUTED_VALUE"""),42496.64583333333)</f>
        <v>42496.64583</v>
      </c>
      <c r="C349" s="2">
        <f>IFERROR(__xludf.DUMMYFUNCTION("""COMPUTED_VALUE"""),113.95)</f>
        <v>113.95</v>
      </c>
    </row>
    <row r="350" ht="15.75" customHeight="1">
      <c r="B350" s="3">
        <f>IFERROR(__xludf.DUMMYFUNCTION("""COMPUTED_VALUE"""),42503.64583333333)</f>
        <v>42503.64583</v>
      </c>
      <c r="C350" s="2">
        <f>IFERROR(__xludf.DUMMYFUNCTION("""COMPUTED_VALUE"""),107.0)</f>
        <v>107</v>
      </c>
    </row>
    <row r="351" ht="15.75" customHeight="1">
      <c r="B351" s="3">
        <f>IFERROR(__xludf.DUMMYFUNCTION("""COMPUTED_VALUE"""),42510.64583333333)</f>
        <v>42510.64583</v>
      </c>
      <c r="C351" s="2">
        <f>IFERROR(__xludf.DUMMYFUNCTION("""COMPUTED_VALUE"""),102.25)</f>
        <v>102.25</v>
      </c>
    </row>
    <row r="352" ht="15.75" customHeight="1">
      <c r="B352" s="3">
        <f>IFERROR(__xludf.DUMMYFUNCTION("""COMPUTED_VALUE"""),42517.64583333333)</f>
        <v>42517.64583</v>
      </c>
      <c r="C352" s="2">
        <f>IFERROR(__xludf.DUMMYFUNCTION("""COMPUTED_VALUE"""),105.9)</f>
        <v>105.9</v>
      </c>
    </row>
    <row r="353" ht="15.75" customHeight="1">
      <c r="B353" s="3">
        <f>IFERROR(__xludf.DUMMYFUNCTION("""COMPUTED_VALUE"""),42524.64583333333)</f>
        <v>42524.64583</v>
      </c>
      <c r="C353" s="2">
        <f>IFERROR(__xludf.DUMMYFUNCTION("""COMPUTED_VALUE"""),109.7)</f>
        <v>109.7</v>
      </c>
    </row>
    <row r="354" ht="15.75" customHeight="1">
      <c r="B354" s="3">
        <f>IFERROR(__xludf.DUMMYFUNCTION("""COMPUTED_VALUE"""),42531.64583333333)</f>
        <v>42531.64583</v>
      </c>
      <c r="C354" s="2">
        <f>IFERROR(__xludf.DUMMYFUNCTION("""COMPUTED_VALUE"""),117.65)</f>
        <v>117.65</v>
      </c>
    </row>
    <row r="355" ht="15.75" customHeight="1">
      <c r="B355" s="3">
        <f>IFERROR(__xludf.DUMMYFUNCTION("""COMPUTED_VALUE"""),42538.64583333333)</f>
        <v>42538.64583</v>
      </c>
      <c r="C355" s="2">
        <f>IFERROR(__xludf.DUMMYFUNCTION("""COMPUTED_VALUE"""),123.8)</f>
        <v>123.8</v>
      </c>
    </row>
    <row r="356" ht="15.75" customHeight="1">
      <c r="B356" s="3">
        <f>IFERROR(__xludf.DUMMYFUNCTION("""COMPUTED_VALUE"""),42545.64583333333)</f>
        <v>42545.64583</v>
      </c>
      <c r="C356" s="2">
        <f>IFERROR(__xludf.DUMMYFUNCTION("""COMPUTED_VALUE"""),129.85)</f>
        <v>129.85</v>
      </c>
    </row>
    <row r="357" ht="15.75" customHeight="1">
      <c r="B357" s="3">
        <f>IFERROR(__xludf.DUMMYFUNCTION("""COMPUTED_VALUE"""),42552.64583333333)</f>
        <v>42552.64583</v>
      </c>
      <c r="C357" s="2">
        <f>IFERROR(__xludf.DUMMYFUNCTION("""COMPUTED_VALUE"""),136.85)</f>
        <v>136.85</v>
      </c>
    </row>
    <row r="358" ht="15.75" customHeight="1">
      <c r="B358" s="3">
        <f>IFERROR(__xludf.DUMMYFUNCTION("""COMPUTED_VALUE"""),42559.64583333333)</f>
        <v>42559.64583</v>
      </c>
      <c r="C358" s="2">
        <f>IFERROR(__xludf.DUMMYFUNCTION("""COMPUTED_VALUE"""),145.65)</f>
        <v>145.65</v>
      </c>
    </row>
    <row r="359" ht="15.75" customHeight="1">
      <c r="B359" s="3">
        <f>IFERROR(__xludf.DUMMYFUNCTION("""COMPUTED_VALUE"""),42566.64583333333)</f>
        <v>42566.64583</v>
      </c>
      <c r="C359" s="2">
        <f>IFERROR(__xludf.DUMMYFUNCTION("""COMPUTED_VALUE"""),174.9)</f>
        <v>174.9</v>
      </c>
    </row>
    <row r="360" ht="15.75" customHeight="1">
      <c r="B360" s="3">
        <f>IFERROR(__xludf.DUMMYFUNCTION("""COMPUTED_VALUE"""),42573.64583333333)</f>
        <v>42573.64583</v>
      </c>
      <c r="C360" s="2">
        <f>IFERROR(__xludf.DUMMYFUNCTION("""COMPUTED_VALUE"""),172.4)</f>
        <v>172.4</v>
      </c>
    </row>
    <row r="361" ht="15.75" customHeight="1">
      <c r="B361" s="3">
        <f>IFERROR(__xludf.DUMMYFUNCTION("""COMPUTED_VALUE"""),42580.64583333333)</f>
        <v>42580.64583</v>
      </c>
      <c r="C361" s="2">
        <f>IFERROR(__xludf.DUMMYFUNCTION("""COMPUTED_VALUE"""),175.5)</f>
        <v>175.5</v>
      </c>
    </row>
    <row r="362" ht="15.75" customHeight="1">
      <c r="B362" s="3">
        <f>IFERROR(__xludf.DUMMYFUNCTION("""COMPUTED_VALUE"""),42587.64583333333)</f>
        <v>42587.64583</v>
      </c>
      <c r="C362" s="2">
        <f>IFERROR(__xludf.DUMMYFUNCTION("""COMPUTED_VALUE"""),170.75)</f>
        <v>170.75</v>
      </c>
    </row>
    <row r="363" ht="15.75" customHeight="1">
      <c r="B363" s="3">
        <f>IFERROR(__xludf.DUMMYFUNCTION("""COMPUTED_VALUE"""),42594.64583333333)</f>
        <v>42594.64583</v>
      </c>
      <c r="C363" s="2">
        <f>IFERROR(__xludf.DUMMYFUNCTION("""COMPUTED_VALUE"""),173.35)</f>
        <v>173.35</v>
      </c>
    </row>
    <row r="364" ht="15.75" customHeight="1">
      <c r="B364" s="3">
        <f>IFERROR(__xludf.DUMMYFUNCTION("""COMPUTED_VALUE"""),42601.64583333333)</f>
        <v>42601.64583</v>
      </c>
      <c r="C364" s="2">
        <f>IFERROR(__xludf.DUMMYFUNCTION("""COMPUTED_VALUE"""),180.65)</f>
        <v>180.65</v>
      </c>
    </row>
    <row r="365" ht="15.75" customHeight="1">
      <c r="B365" s="3">
        <f>IFERROR(__xludf.DUMMYFUNCTION("""COMPUTED_VALUE"""),42608.64583333333)</f>
        <v>42608.64583</v>
      </c>
      <c r="C365" s="2">
        <f>IFERROR(__xludf.DUMMYFUNCTION("""COMPUTED_VALUE"""),179.1)</f>
        <v>179.1</v>
      </c>
    </row>
    <row r="366" ht="15.75" customHeight="1">
      <c r="B366" s="3">
        <f>IFERROR(__xludf.DUMMYFUNCTION("""COMPUTED_VALUE"""),42615.64583333333)</f>
        <v>42615.64583</v>
      </c>
      <c r="C366" s="2">
        <f>IFERROR(__xludf.DUMMYFUNCTION("""COMPUTED_VALUE"""),176.5)</f>
        <v>176.5</v>
      </c>
    </row>
    <row r="367" ht="15.75" customHeight="1">
      <c r="B367" s="3">
        <f>IFERROR(__xludf.DUMMYFUNCTION("""COMPUTED_VALUE"""),42622.64583333333)</f>
        <v>42622.64583</v>
      </c>
      <c r="C367" s="2">
        <f>IFERROR(__xludf.DUMMYFUNCTION("""COMPUTED_VALUE"""),180.8)</f>
        <v>180.8</v>
      </c>
    </row>
    <row r="368" ht="15.75" customHeight="1">
      <c r="B368" s="3">
        <f>IFERROR(__xludf.DUMMYFUNCTION("""COMPUTED_VALUE"""),42629.64583333333)</f>
        <v>42629.64583</v>
      </c>
      <c r="C368" s="2">
        <f>IFERROR(__xludf.DUMMYFUNCTION("""COMPUTED_VALUE"""),176.3)</f>
        <v>176.3</v>
      </c>
    </row>
    <row r="369" ht="15.75" customHeight="1">
      <c r="B369" s="3">
        <f>IFERROR(__xludf.DUMMYFUNCTION("""COMPUTED_VALUE"""),42636.64583333333)</f>
        <v>42636.64583</v>
      </c>
      <c r="C369" s="2">
        <f>IFERROR(__xludf.DUMMYFUNCTION("""COMPUTED_VALUE"""),172.8)</f>
        <v>172.8</v>
      </c>
    </row>
    <row r="370" ht="15.75" customHeight="1">
      <c r="B370" s="3">
        <f>IFERROR(__xludf.DUMMYFUNCTION("""COMPUTED_VALUE"""),42643.64583333333)</f>
        <v>42643.64583</v>
      </c>
      <c r="C370" s="2">
        <f>IFERROR(__xludf.DUMMYFUNCTION("""COMPUTED_VALUE"""),177.9)</f>
        <v>177.9</v>
      </c>
    </row>
    <row r="371" ht="15.75" customHeight="1">
      <c r="B371" s="3">
        <f>IFERROR(__xludf.DUMMYFUNCTION("""COMPUTED_VALUE"""),42650.64583333333)</f>
        <v>42650.64583</v>
      </c>
      <c r="C371" s="2">
        <f>IFERROR(__xludf.DUMMYFUNCTION("""COMPUTED_VALUE"""),201.4)</f>
        <v>201.4</v>
      </c>
    </row>
    <row r="372" ht="15.75" customHeight="1">
      <c r="B372" s="3">
        <f>IFERROR(__xludf.DUMMYFUNCTION("""COMPUTED_VALUE"""),42657.64583333333)</f>
        <v>42657.64583</v>
      </c>
      <c r="C372" s="2">
        <f>IFERROR(__xludf.DUMMYFUNCTION("""COMPUTED_VALUE"""),201.7)</f>
        <v>201.7</v>
      </c>
    </row>
    <row r="373" ht="15.75" customHeight="1">
      <c r="B373" s="3">
        <f>IFERROR(__xludf.DUMMYFUNCTION("""COMPUTED_VALUE"""),42664.64583333333)</f>
        <v>42664.64583</v>
      </c>
      <c r="C373" s="2">
        <f>IFERROR(__xludf.DUMMYFUNCTION("""COMPUTED_VALUE"""),208.55)</f>
        <v>208.55</v>
      </c>
    </row>
    <row r="374" ht="15.75" customHeight="1">
      <c r="B374" s="3">
        <f>IFERROR(__xludf.DUMMYFUNCTION("""COMPUTED_VALUE"""),42671.64583333333)</f>
        <v>42671.64583</v>
      </c>
      <c r="C374" s="2">
        <f>IFERROR(__xludf.DUMMYFUNCTION("""COMPUTED_VALUE"""),205.85)</f>
        <v>205.85</v>
      </c>
    </row>
    <row r="375" ht="15.75" customHeight="1">
      <c r="B375" s="3">
        <f>IFERROR(__xludf.DUMMYFUNCTION("""COMPUTED_VALUE"""),42678.64583333333)</f>
        <v>42678.64583</v>
      </c>
      <c r="C375" s="2">
        <f>IFERROR(__xludf.DUMMYFUNCTION("""COMPUTED_VALUE"""),225.9)</f>
        <v>225.9</v>
      </c>
    </row>
    <row r="376" ht="15.75" customHeight="1">
      <c r="B376" s="3">
        <f>IFERROR(__xludf.DUMMYFUNCTION("""COMPUTED_VALUE"""),42685.64583333333)</f>
        <v>42685.64583</v>
      </c>
      <c r="C376" s="2">
        <f>IFERROR(__xludf.DUMMYFUNCTION("""COMPUTED_VALUE"""),233.7)</f>
        <v>233.7</v>
      </c>
    </row>
    <row r="377" ht="15.75" customHeight="1">
      <c r="B377" s="3">
        <f>IFERROR(__xludf.DUMMYFUNCTION("""COMPUTED_VALUE"""),42692.64583333333)</f>
        <v>42692.64583</v>
      </c>
      <c r="C377" s="2">
        <f>IFERROR(__xludf.DUMMYFUNCTION("""COMPUTED_VALUE"""),229.8)</f>
        <v>229.8</v>
      </c>
    </row>
    <row r="378" ht="15.75" customHeight="1">
      <c r="B378" s="3">
        <f>IFERROR(__xludf.DUMMYFUNCTION("""COMPUTED_VALUE"""),42699.64583333333)</f>
        <v>42699.64583</v>
      </c>
      <c r="C378" s="2">
        <f>IFERROR(__xludf.DUMMYFUNCTION("""COMPUTED_VALUE"""),228.5)</f>
        <v>228.5</v>
      </c>
    </row>
    <row r="379" ht="15.75" customHeight="1">
      <c r="B379" s="3">
        <f>IFERROR(__xludf.DUMMYFUNCTION("""COMPUTED_VALUE"""),42706.64583333333)</f>
        <v>42706.64583</v>
      </c>
      <c r="C379" s="2">
        <f>IFERROR(__xludf.DUMMYFUNCTION("""COMPUTED_VALUE"""),233.4)</f>
        <v>233.4</v>
      </c>
    </row>
    <row r="380" ht="15.75" customHeight="1">
      <c r="B380" s="3">
        <f>IFERROR(__xludf.DUMMYFUNCTION("""COMPUTED_VALUE"""),42713.64583333333)</f>
        <v>42713.64583</v>
      </c>
      <c r="C380" s="2">
        <f>IFERROR(__xludf.DUMMYFUNCTION("""COMPUTED_VALUE"""),246.5)</f>
        <v>246.5</v>
      </c>
    </row>
    <row r="381" ht="15.75" customHeight="1">
      <c r="B381" s="3">
        <f>IFERROR(__xludf.DUMMYFUNCTION("""COMPUTED_VALUE"""),42720.64583333333)</f>
        <v>42720.64583</v>
      </c>
      <c r="C381" s="2">
        <f>IFERROR(__xludf.DUMMYFUNCTION("""COMPUTED_VALUE"""),248.65)</f>
        <v>248.65</v>
      </c>
    </row>
    <row r="382" ht="15.75" customHeight="1">
      <c r="B382" s="3">
        <f>IFERROR(__xludf.DUMMYFUNCTION("""COMPUTED_VALUE"""),42727.64583333333)</f>
        <v>42727.64583</v>
      </c>
      <c r="C382" s="2">
        <f>IFERROR(__xludf.DUMMYFUNCTION("""COMPUTED_VALUE"""),232.05)</f>
        <v>232.05</v>
      </c>
    </row>
    <row r="383" ht="15.75" customHeight="1">
      <c r="B383" s="3">
        <f>IFERROR(__xludf.DUMMYFUNCTION("""COMPUTED_VALUE"""),42734.64583333333)</f>
        <v>42734.64583</v>
      </c>
      <c r="C383" s="2">
        <f>IFERROR(__xludf.DUMMYFUNCTION("""COMPUTED_VALUE"""),219.8)</f>
        <v>219.8</v>
      </c>
    </row>
    <row r="384" ht="15.75" customHeight="1"/>
    <row r="385" ht="15.75" customHeight="1"/>
    <row r="386" ht="15.75" customHeight="1">
      <c r="B386" s="2" t="str">
        <f>IFERROR(__xludf.DUMMYFUNCTION("GOOGLEFINANCE(""NSE:VEDL"", ""high"",DATE(2017,1,1),DATE(2018,1,1),""weekly"")"),"Date")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IFERROR(__xludf.DUMMYFUNCTION("""COMPUTED_VALUE"""),42741.64583333333)</f>
        <v>42741.64583</v>
      </c>
      <c r="C387" s="2">
        <f>IFERROR(__xludf.DUMMYFUNCTION("""COMPUTED_VALUE"""),233.7)</f>
        <v>233.7</v>
      </c>
    </row>
    <row r="388" ht="15.75" customHeight="1">
      <c r="B388" s="3">
        <f>IFERROR(__xludf.DUMMYFUNCTION("""COMPUTED_VALUE"""),42748.64583333333)</f>
        <v>42748.64583</v>
      </c>
      <c r="C388" s="2">
        <f>IFERROR(__xludf.DUMMYFUNCTION("""COMPUTED_VALUE"""),243.4)</f>
        <v>243.4</v>
      </c>
    </row>
    <row r="389" ht="15.75" customHeight="1">
      <c r="B389" s="3">
        <f>IFERROR(__xludf.DUMMYFUNCTION("""COMPUTED_VALUE"""),42755.64583333333)</f>
        <v>42755.64583</v>
      </c>
      <c r="C389" s="2">
        <f>IFERROR(__xludf.DUMMYFUNCTION("""COMPUTED_VALUE"""),246.4)</f>
        <v>246.4</v>
      </c>
    </row>
    <row r="390" ht="15.75" customHeight="1">
      <c r="B390" s="3">
        <f>IFERROR(__xludf.DUMMYFUNCTION("""COMPUTED_VALUE"""),42762.64583333333)</f>
        <v>42762.64583</v>
      </c>
      <c r="C390" s="2">
        <f>IFERROR(__xludf.DUMMYFUNCTION("""COMPUTED_VALUE"""),259.4)</f>
        <v>259.4</v>
      </c>
    </row>
    <row r="391" ht="15.75" customHeight="1">
      <c r="B391" s="3">
        <f>IFERROR(__xludf.DUMMYFUNCTION("""COMPUTED_VALUE"""),42769.64583333333)</f>
        <v>42769.64583</v>
      </c>
      <c r="C391" s="2">
        <f>IFERROR(__xludf.DUMMYFUNCTION("""COMPUTED_VALUE"""),262.2)</f>
        <v>262.2</v>
      </c>
    </row>
    <row r="392" ht="15.75" customHeight="1">
      <c r="B392" s="3">
        <f>IFERROR(__xludf.DUMMYFUNCTION("""COMPUTED_VALUE"""),42776.64583333333)</f>
        <v>42776.64583</v>
      </c>
      <c r="C392" s="2">
        <f>IFERROR(__xludf.DUMMYFUNCTION("""COMPUTED_VALUE"""),256.0)</f>
        <v>256</v>
      </c>
    </row>
    <row r="393" ht="15.75" customHeight="1">
      <c r="B393" s="3">
        <f>IFERROR(__xludf.DUMMYFUNCTION("""COMPUTED_VALUE"""),42783.64583333333)</f>
        <v>42783.64583</v>
      </c>
      <c r="C393" s="2">
        <f>IFERROR(__xludf.DUMMYFUNCTION("""COMPUTED_VALUE"""),266.0)</f>
        <v>266</v>
      </c>
    </row>
    <row r="394" ht="15.75" customHeight="1">
      <c r="B394" s="3">
        <f>IFERROR(__xludf.DUMMYFUNCTION("""COMPUTED_VALUE"""),42789.64583333333)</f>
        <v>42789.64583</v>
      </c>
      <c r="C394" s="2">
        <f>IFERROR(__xludf.DUMMYFUNCTION("""COMPUTED_VALUE"""),274.6)</f>
        <v>274.6</v>
      </c>
    </row>
    <row r="395" ht="15.75" customHeight="1">
      <c r="B395" s="3">
        <f>IFERROR(__xludf.DUMMYFUNCTION("""COMPUTED_VALUE"""),42797.64583333333)</f>
        <v>42797.64583</v>
      </c>
      <c r="C395" s="2">
        <f>IFERROR(__xludf.DUMMYFUNCTION("""COMPUTED_VALUE"""),276.0)</f>
        <v>276</v>
      </c>
    </row>
    <row r="396" ht="15.75" customHeight="1">
      <c r="B396" s="3">
        <f>IFERROR(__xludf.DUMMYFUNCTION("""COMPUTED_VALUE"""),42804.64583333333)</f>
        <v>42804.64583</v>
      </c>
      <c r="C396" s="2">
        <f>IFERROR(__xludf.DUMMYFUNCTION("""COMPUTED_VALUE"""),270.0)</f>
        <v>270</v>
      </c>
    </row>
    <row r="397" ht="15.75" customHeight="1">
      <c r="B397" s="3">
        <f>IFERROR(__xludf.DUMMYFUNCTION("""COMPUTED_VALUE"""),42811.64583333333)</f>
        <v>42811.64583</v>
      </c>
      <c r="C397" s="2">
        <f>IFERROR(__xludf.DUMMYFUNCTION("""COMPUTED_VALUE"""),268.65)</f>
        <v>268.65</v>
      </c>
    </row>
    <row r="398" ht="15.75" customHeight="1">
      <c r="B398" s="3">
        <f>IFERROR(__xludf.DUMMYFUNCTION("""COMPUTED_VALUE"""),42818.64583333333)</f>
        <v>42818.64583</v>
      </c>
      <c r="C398" s="2">
        <f>IFERROR(__xludf.DUMMYFUNCTION("""COMPUTED_VALUE"""),270.35)</f>
        <v>270.35</v>
      </c>
    </row>
    <row r="399" ht="15.75" customHeight="1">
      <c r="B399" s="3">
        <f>IFERROR(__xludf.DUMMYFUNCTION("""COMPUTED_VALUE"""),42825.64583333333)</f>
        <v>42825.64583</v>
      </c>
      <c r="C399" s="2">
        <f>IFERROR(__xludf.DUMMYFUNCTION("""COMPUTED_VALUE"""),278.1)</f>
        <v>278.1</v>
      </c>
    </row>
    <row r="400" ht="15.75" customHeight="1">
      <c r="B400" s="3">
        <f>IFERROR(__xludf.DUMMYFUNCTION("""COMPUTED_VALUE"""),42832.64583333333)</f>
        <v>42832.64583</v>
      </c>
      <c r="C400" s="2">
        <f>IFERROR(__xludf.DUMMYFUNCTION("""COMPUTED_VALUE"""),277.5)</f>
        <v>277.5</v>
      </c>
    </row>
    <row r="401" ht="15.75" customHeight="1">
      <c r="B401" s="3">
        <f>IFERROR(__xludf.DUMMYFUNCTION("""COMPUTED_VALUE"""),42838.64583333333)</f>
        <v>42838.64583</v>
      </c>
      <c r="C401" s="2">
        <f>IFERROR(__xludf.DUMMYFUNCTION("""COMPUTED_VALUE"""),273.6)</f>
        <v>273.6</v>
      </c>
    </row>
    <row r="402" ht="15.75" customHeight="1">
      <c r="B402" s="3">
        <f>IFERROR(__xludf.DUMMYFUNCTION("""COMPUTED_VALUE"""),42846.64583333333)</f>
        <v>42846.64583</v>
      </c>
      <c r="C402" s="2">
        <f>IFERROR(__xludf.DUMMYFUNCTION("""COMPUTED_VALUE"""),246.9)</f>
        <v>246.9</v>
      </c>
    </row>
    <row r="403" ht="15.75" customHeight="1">
      <c r="B403" s="3">
        <f>IFERROR(__xludf.DUMMYFUNCTION("""COMPUTED_VALUE"""),42853.64583333333)</f>
        <v>42853.64583</v>
      </c>
      <c r="C403" s="2">
        <f>IFERROR(__xludf.DUMMYFUNCTION("""COMPUTED_VALUE"""),246.7)</f>
        <v>246.7</v>
      </c>
    </row>
    <row r="404" ht="15.75" customHeight="1">
      <c r="B404" s="3">
        <f>IFERROR(__xludf.DUMMYFUNCTION("""COMPUTED_VALUE"""),42860.64583333333)</f>
        <v>42860.64583</v>
      </c>
      <c r="C404" s="2">
        <f>IFERROR(__xludf.DUMMYFUNCTION("""COMPUTED_VALUE"""),248.45)</f>
        <v>248.45</v>
      </c>
    </row>
    <row r="405" ht="15.75" customHeight="1">
      <c r="B405" s="3">
        <f>IFERROR(__xludf.DUMMYFUNCTION("""COMPUTED_VALUE"""),42867.64583333333)</f>
        <v>42867.64583</v>
      </c>
      <c r="C405" s="2">
        <f>IFERROR(__xludf.DUMMYFUNCTION("""COMPUTED_VALUE"""),239.45)</f>
        <v>239.45</v>
      </c>
    </row>
    <row r="406" ht="15.75" customHeight="1">
      <c r="B406" s="3">
        <f>IFERROR(__xludf.DUMMYFUNCTION("""COMPUTED_VALUE"""),42874.64583333333)</f>
        <v>42874.64583</v>
      </c>
      <c r="C406" s="2">
        <f>IFERROR(__xludf.DUMMYFUNCTION("""COMPUTED_VALUE"""),246.0)</f>
        <v>246</v>
      </c>
    </row>
    <row r="407" ht="15.75" customHeight="1">
      <c r="B407" s="3">
        <f>IFERROR(__xludf.DUMMYFUNCTION("""COMPUTED_VALUE"""),42881.64583333333)</f>
        <v>42881.64583</v>
      </c>
      <c r="C407" s="2">
        <f>IFERROR(__xludf.DUMMYFUNCTION("""COMPUTED_VALUE"""),245.9)</f>
        <v>245.9</v>
      </c>
    </row>
    <row r="408" ht="15.75" customHeight="1">
      <c r="B408" s="3">
        <f>IFERROR(__xludf.DUMMYFUNCTION("""COMPUTED_VALUE"""),42888.64583333333)</f>
        <v>42888.64583</v>
      </c>
      <c r="C408" s="2">
        <f>IFERROR(__xludf.DUMMYFUNCTION("""COMPUTED_VALUE"""),247.7)</f>
        <v>247.7</v>
      </c>
    </row>
    <row r="409" ht="15.75" customHeight="1">
      <c r="B409" s="3">
        <f>IFERROR(__xludf.DUMMYFUNCTION("""COMPUTED_VALUE"""),42895.64583333333)</f>
        <v>42895.64583</v>
      </c>
      <c r="C409" s="2">
        <f>IFERROR(__xludf.DUMMYFUNCTION("""COMPUTED_VALUE"""),246.0)</f>
        <v>246</v>
      </c>
    </row>
    <row r="410" ht="15.75" customHeight="1">
      <c r="B410" s="3">
        <f>IFERROR(__xludf.DUMMYFUNCTION("""COMPUTED_VALUE"""),42902.64583333333)</f>
        <v>42902.64583</v>
      </c>
      <c r="C410" s="2">
        <f>IFERROR(__xludf.DUMMYFUNCTION("""COMPUTED_VALUE"""),248.9)</f>
        <v>248.9</v>
      </c>
    </row>
    <row r="411" ht="15.75" customHeight="1">
      <c r="B411" s="3">
        <f>IFERROR(__xludf.DUMMYFUNCTION("""COMPUTED_VALUE"""),42909.64583333333)</f>
        <v>42909.64583</v>
      </c>
      <c r="C411" s="2">
        <f>IFERROR(__xludf.DUMMYFUNCTION("""COMPUTED_VALUE"""),243.35)</f>
        <v>243.35</v>
      </c>
    </row>
    <row r="412" ht="15.75" customHeight="1">
      <c r="B412" s="3">
        <f>IFERROR(__xludf.DUMMYFUNCTION("""COMPUTED_VALUE"""),42916.64583333333)</f>
        <v>42916.64583</v>
      </c>
      <c r="C412" s="2">
        <f>IFERROR(__xludf.DUMMYFUNCTION("""COMPUTED_VALUE"""),252.65)</f>
        <v>252.65</v>
      </c>
    </row>
    <row r="413" ht="15.75" customHeight="1">
      <c r="B413" s="3">
        <f>IFERROR(__xludf.DUMMYFUNCTION("""COMPUTED_VALUE"""),42923.64583333333)</f>
        <v>42923.64583</v>
      </c>
      <c r="C413" s="2">
        <f>IFERROR(__xludf.DUMMYFUNCTION("""COMPUTED_VALUE"""),263.45)</f>
        <v>263.45</v>
      </c>
    </row>
    <row r="414" ht="15.75" customHeight="1">
      <c r="B414" s="3">
        <f>IFERROR(__xludf.DUMMYFUNCTION("""COMPUTED_VALUE"""),42930.64583333333)</f>
        <v>42930.64583</v>
      </c>
      <c r="C414" s="2">
        <f>IFERROR(__xludf.DUMMYFUNCTION("""COMPUTED_VALUE"""),264.6)</f>
        <v>264.6</v>
      </c>
    </row>
    <row r="415" ht="15.75" customHeight="1">
      <c r="B415" s="3">
        <f>IFERROR(__xludf.DUMMYFUNCTION("""COMPUTED_VALUE"""),42937.64583333333)</f>
        <v>42937.64583</v>
      </c>
      <c r="C415" s="2">
        <f>IFERROR(__xludf.DUMMYFUNCTION("""COMPUTED_VALUE"""),274.25)</f>
        <v>274.25</v>
      </c>
    </row>
    <row r="416" ht="15.75" customHeight="1">
      <c r="B416" s="3">
        <f>IFERROR(__xludf.DUMMYFUNCTION("""COMPUTED_VALUE"""),42944.64583333333)</f>
        <v>42944.64583</v>
      </c>
      <c r="C416" s="2">
        <f>IFERROR(__xludf.DUMMYFUNCTION("""COMPUTED_VALUE"""),283.7)</f>
        <v>283.7</v>
      </c>
    </row>
    <row r="417" ht="15.75" customHeight="1">
      <c r="B417" s="3">
        <f>IFERROR(__xludf.DUMMYFUNCTION("""COMPUTED_VALUE"""),42951.64583333333)</f>
        <v>42951.64583</v>
      </c>
      <c r="C417" s="2">
        <f>IFERROR(__xludf.DUMMYFUNCTION("""COMPUTED_VALUE"""),289.9)</f>
        <v>289.9</v>
      </c>
    </row>
    <row r="418" ht="15.75" customHeight="1">
      <c r="B418" s="3">
        <f>IFERROR(__xludf.DUMMYFUNCTION("""COMPUTED_VALUE"""),42958.64583333333)</f>
        <v>42958.64583</v>
      </c>
      <c r="C418" s="2">
        <f>IFERROR(__xludf.DUMMYFUNCTION("""COMPUTED_VALUE"""),306.7)</f>
        <v>306.7</v>
      </c>
    </row>
    <row r="419" ht="15.75" customHeight="1">
      <c r="B419" s="3">
        <f>IFERROR(__xludf.DUMMYFUNCTION("""COMPUTED_VALUE"""),42965.64583333333)</f>
        <v>42965.64583</v>
      </c>
      <c r="C419" s="2">
        <f>IFERROR(__xludf.DUMMYFUNCTION("""COMPUTED_VALUE"""),310.25)</f>
        <v>310.25</v>
      </c>
    </row>
    <row r="420" ht="15.75" customHeight="1">
      <c r="B420" s="3">
        <f>IFERROR(__xludf.DUMMYFUNCTION("""COMPUTED_VALUE"""),42971.64583333333)</f>
        <v>42971.64583</v>
      </c>
      <c r="C420" s="2">
        <f>IFERROR(__xludf.DUMMYFUNCTION("""COMPUTED_VALUE"""),306.35)</f>
        <v>306.35</v>
      </c>
    </row>
    <row r="421" ht="15.75" customHeight="1">
      <c r="B421" s="3">
        <f>IFERROR(__xludf.DUMMYFUNCTION("""COMPUTED_VALUE"""),42979.64583333333)</f>
        <v>42979.64583</v>
      </c>
      <c r="C421" s="2">
        <f>IFERROR(__xludf.DUMMYFUNCTION("""COMPUTED_VALUE"""),315.75)</f>
        <v>315.75</v>
      </c>
    </row>
    <row r="422" ht="15.75" customHeight="1">
      <c r="B422" s="3">
        <f>IFERROR(__xludf.DUMMYFUNCTION("""COMPUTED_VALUE"""),42986.64583333333)</f>
        <v>42986.64583</v>
      </c>
      <c r="C422" s="2">
        <f>IFERROR(__xludf.DUMMYFUNCTION("""COMPUTED_VALUE"""),333.7)</f>
        <v>333.7</v>
      </c>
    </row>
    <row r="423" ht="15.75" customHeight="1">
      <c r="B423" s="3">
        <f>IFERROR(__xludf.DUMMYFUNCTION("""COMPUTED_VALUE"""),42993.64583333333)</f>
        <v>42993.64583</v>
      </c>
      <c r="C423" s="2">
        <f>IFERROR(__xludf.DUMMYFUNCTION("""COMPUTED_VALUE"""),334.65)</f>
        <v>334.65</v>
      </c>
    </row>
    <row r="424" ht="15.75" customHeight="1">
      <c r="B424" s="3">
        <f>IFERROR(__xludf.DUMMYFUNCTION("""COMPUTED_VALUE"""),43000.64583333333)</f>
        <v>43000.64583</v>
      </c>
      <c r="C424" s="2">
        <f>IFERROR(__xludf.DUMMYFUNCTION("""COMPUTED_VALUE"""),327.9)</f>
        <v>327.9</v>
      </c>
    </row>
    <row r="425" ht="15.75" customHeight="1">
      <c r="B425" s="3">
        <f>IFERROR(__xludf.DUMMYFUNCTION("""COMPUTED_VALUE"""),43007.64583333333)</f>
        <v>43007.64583</v>
      </c>
      <c r="C425" s="2">
        <f>IFERROR(__xludf.DUMMYFUNCTION("""COMPUTED_VALUE"""),319.2)</f>
        <v>319.2</v>
      </c>
    </row>
    <row r="426" ht="15.75" customHeight="1">
      <c r="B426" s="3">
        <f>IFERROR(__xludf.DUMMYFUNCTION("""COMPUTED_VALUE"""),43014.64583333333)</f>
        <v>43014.64583</v>
      </c>
      <c r="C426" s="2">
        <f>IFERROR(__xludf.DUMMYFUNCTION("""COMPUTED_VALUE"""),327.8)</f>
        <v>327.8</v>
      </c>
    </row>
    <row r="427" ht="15.75" customHeight="1">
      <c r="B427" s="3">
        <f>IFERROR(__xludf.DUMMYFUNCTION("""COMPUTED_VALUE"""),43021.64583333333)</f>
        <v>43021.64583</v>
      </c>
      <c r="C427" s="2">
        <f>IFERROR(__xludf.DUMMYFUNCTION("""COMPUTED_VALUE"""),328.5)</f>
        <v>328.5</v>
      </c>
    </row>
    <row r="428" ht="15.75" customHeight="1">
      <c r="B428" s="3">
        <f>IFERROR(__xludf.DUMMYFUNCTION("""COMPUTED_VALUE"""),43027.83333333333)</f>
        <v>43027.83333</v>
      </c>
      <c r="C428" s="2">
        <f>IFERROR(__xludf.DUMMYFUNCTION("""COMPUTED_VALUE"""),336.25)</f>
        <v>336.25</v>
      </c>
    </row>
    <row r="429" ht="15.75" customHeight="1">
      <c r="B429" s="3">
        <f>IFERROR(__xludf.DUMMYFUNCTION("""COMPUTED_VALUE"""),43035.64583333333)</f>
        <v>43035.64583</v>
      </c>
      <c r="C429" s="2">
        <f>IFERROR(__xludf.DUMMYFUNCTION("""COMPUTED_VALUE"""),345.2)</f>
        <v>345.2</v>
      </c>
    </row>
    <row r="430" ht="15.75" customHeight="1">
      <c r="B430" s="3">
        <f>IFERROR(__xludf.DUMMYFUNCTION("""COMPUTED_VALUE"""),43042.64583333333)</f>
        <v>43042.64583</v>
      </c>
      <c r="C430" s="2">
        <f>IFERROR(__xludf.DUMMYFUNCTION("""COMPUTED_VALUE"""),346.4)</f>
        <v>346.4</v>
      </c>
    </row>
    <row r="431" ht="15.75" customHeight="1">
      <c r="B431" s="3">
        <f>IFERROR(__xludf.DUMMYFUNCTION("""COMPUTED_VALUE"""),43049.64583333333)</f>
        <v>43049.64583</v>
      </c>
      <c r="C431" s="2">
        <f>IFERROR(__xludf.DUMMYFUNCTION("""COMPUTED_VALUE"""),343.6)</f>
        <v>343.6</v>
      </c>
    </row>
    <row r="432" ht="15.75" customHeight="1">
      <c r="B432" s="3">
        <f>IFERROR(__xludf.DUMMYFUNCTION("""COMPUTED_VALUE"""),43056.64583333333)</f>
        <v>43056.64583</v>
      </c>
      <c r="C432" s="2">
        <f>IFERROR(__xludf.DUMMYFUNCTION("""COMPUTED_VALUE"""),324.8)</f>
        <v>324.8</v>
      </c>
    </row>
    <row r="433" ht="15.75" customHeight="1">
      <c r="B433" s="3">
        <f>IFERROR(__xludf.DUMMYFUNCTION("""COMPUTED_VALUE"""),43063.64583333333)</f>
        <v>43063.64583</v>
      </c>
      <c r="C433" s="2">
        <f>IFERROR(__xludf.DUMMYFUNCTION("""COMPUTED_VALUE"""),318.2)</f>
        <v>318.2</v>
      </c>
    </row>
    <row r="434" ht="15.75" customHeight="1">
      <c r="B434" s="3">
        <f>IFERROR(__xludf.DUMMYFUNCTION("""COMPUTED_VALUE"""),43070.64583333333)</f>
        <v>43070.64583</v>
      </c>
      <c r="C434" s="2">
        <f>IFERROR(__xludf.DUMMYFUNCTION("""COMPUTED_VALUE"""),308.85)</f>
        <v>308.85</v>
      </c>
    </row>
    <row r="435" ht="15.75" customHeight="1">
      <c r="B435" s="3">
        <f>IFERROR(__xludf.DUMMYFUNCTION("""COMPUTED_VALUE"""),43077.64583333333)</f>
        <v>43077.64583</v>
      </c>
      <c r="C435" s="2">
        <f>IFERROR(__xludf.DUMMYFUNCTION("""COMPUTED_VALUE"""),296.45)</f>
        <v>296.45</v>
      </c>
    </row>
    <row r="436" ht="15.75" customHeight="1">
      <c r="B436" s="3">
        <f>IFERROR(__xludf.DUMMYFUNCTION("""COMPUTED_VALUE"""),43084.64583333333)</f>
        <v>43084.64583</v>
      </c>
      <c r="C436" s="2">
        <f>IFERROR(__xludf.DUMMYFUNCTION("""COMPUTED_VALUE"""),299.9)</f>
        <v>299.9</v>
      </c>
    </row>
    <row r="437" ht="15.75" customHeight="1">
      <c r="B437" s="3">
        <f>IFERROR(__xludf.DUMMYFUNCTION("""COMPUTED_VALUE"""),43091.64583333333)</f>
        <v>43091.64583</v>
      </c>
      <c r="C437" s="2">
        <f>IFERROR(__xludf.DUMMYFUNCTION("""COMPUTED_VALUE"""),320.3)</f>
        <v>320.3</v>
      </c>
    </row>
    <row r="438" ht="15.75" customHeight="1">
      <c r="B438" s="3">
        <f>IFERROR(__xludf.DUMMYFUNCTION("""COMPUTED_VALUE"""),43098.64583333333)</f>
        <v>43098.64583</v>
      </c>
      <c r="C438" s="2">
        <f>IFERROR(__xludf.DUMMYFUNCTION("""COMPUTED_VALUE"""),335.5)</f>
        <v>335.5</v>
      </c>
    </row>
    <row r="439" ht="15.75" customHeight="1"/>
    <row r="440" ht="15.75" customHeight="1"/>
    <row r="441" ht="15.75" customHeight="1">
      <c r="B441" s="2" t="str">
        <f>IFERROR(__xludf.DUMMYFUNCTION("GOOGLEFINANCE(""NSE:VEDL"", ""high"",DATE(2017,1,1),DATE(2018,1,1),""weekly"")"),"Date")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IFERROR(__xludf.DUMMYFUNCTION("""COMPUTED_VALUE"""),42741.64583333333)</f>
        <v>42741.64583</v>
      </c>
      <c r="C442" s="2">
        <f>IFERROR(__xludf.DUMMYFUNCTION("""COMPUTED_VALUE"""),233.7)</f>
        <v>233.7</v>
      </c>
    </row>
    <row r="443" ht="15.75" customHeight="1">
      <c r="B443" s="3">
        <f>IFERROR(__xludf.DUMMYFUNCTION("""COMPUTED_VALUE"""),42748.64583333333)</f>
        <v>42748.64583</v>
      </c>
      <c r="C443" s="2">
        <f>IFERROR(__xludf.DUMMYFUNCTION("""COMPUTED_VALUE"""),243.4)</f>
        <v>243.4</v>
      </c>
    </row>
    <row r="444" ht="15.75" customHeight="1">
      <c r="B444" s="3">
        <f>IFERROR(__xludf.DUMMYFUNCTION("""COMPUTED_VALUE"""),42755.64583333333)</f>
        <v>42755.64583</v>
      </c>
      <c r="C444" s="2">
        <f>IFERROR(__xludf.DUMMYFUNCTION("""COMPUTED_VALUE"""),246.4)</f>
        <v>246.4</v>
      </c>
    </row>
    <row r="445" ht="15.75" customHeight="1">
      <c r="B445" s="3">
        <f>IFERROR(__xludf.DUMMYFUNCTION("""COMPUTED_VALUE"""),42762.64583333333)</f>
        <v>42762.64583</v>
      </c>
      <c r="C445" s="2">
        <f>IFERROR(__xludf.DUMMYFUNCTION("""COMPUTED_VALUE"""),259.4)</f>
        <v>259.4</v>
      </c>
    </row>
    <row r="446" ht="15.75" customHeight="1">
      <c r="B446" s="3">
        <f>IFERROR(__xludf.DUMMYFUNCTION("""COMPUTED_VALUE"""),42769.64583333333)</f>
        <v>42769.64583</v>
      </c>
      <c r="C446" s="2">
        <f>IFERROR(__xludf.DUMMYFUNCTION("""COMPUTED_VALUE"""),262.2)</f>
        <v>262.2</v>
      </c>
    </row>
    <row r="447" ht="15.75" customHeight="1">
      <c r="B447" s="3">
        <f>IFERROR(__xludf.DUMMYFUNCTION("""COMPUTED_VALUE"""),42776.64583333333)</f>
        <v>42776.64583</v>
      </c>
      <c r="C447" s="2">
        <f>IFERROR(__xludf.DUMMYFUNCTION("""COMPUTED_VALUE"""),256.0)</f>
        <v>256</v>
      </c>
    </row>
    <row r="448" ht="15.75" customHeight="1">
      <c r="B448" s="3">
        <f>IFERROR(__xludf.DUMMYFUNCTION("""COMPUTED_VALUE"""),42783.64583333333)</f>
        <v>42783.64583</v>
      </c>
      <c r="C448" s="2">
        <f>IFERROR(__xludf.DUMMYFUNCTION("""COMPUTED_VALUE"""),266.0)</f>
        <v>266</v>
      </c>
    </row>
    <row r="449" ht="15.75" customHeight="1">
      <c r="B449" s="3">
        <f>IFERROR(__xludf.DUMMYFUNCTION("""COMPUTED_VALUE"""),42789.64583333333)</f>
        <v>42789.64583</v>
      </c>
      <c r="C449" s="2">
        <f>IFERROR(__xludf.DUMMYFUNCTION("""COMPUTED_VALUE"""),274.6)</f>
        <v>274.6</v>
      </c>
    </row>
    <row r="450" ht="15.75" customHeight="1">
      <c r="B450" s="3">
        <f>IFERROR(__xludf.DUMMYFUNCTION("""COMPUTED_VALUE"""),42797.64583333333)</f>
        <v>42797.64583</v>
      </c>
      <c r="C450" s="2">
        <f>IFERROR(__xludf.DUMMYFUNCTION("""COMPUTED_VALUE"""),276.0)</f>
        <v>276</v>
      </c>
    </row>
    <row r="451" ht="15.75" customHeight="1">
      <c r="B451" s="3">
        <f>IFERROR(__xludf.DUMMYFUNCTION("""COMPUTED_VALUE"""),42804.64583333333)</f>
        <v>42804.64583</v>
      </c>
      <c r="C451" s="2">
        <f>IFERROR(__xludf.DUMMYFUNCTION("""COMPUTED_VALUE"""),270.0)</f>
        <v>270</v>
      </c>
    </row>
    <row r="452" ht="15.75" customHeight="1">
      <c r="B452" s="3">
        <f>IFERROR(__xludf.DUMMYFUNCTION("""COMPUTED_VALUE"""),42811.64583333333)</f>
        <v>42811.64583</v>
      </c>
      <c r="C452" s="2">
        <f>IFERROR(__xludf.DUMMYFUNCTION("""COMPUTED_VALUE"""),268.65)</f>
        <v>268.65</v>
      </c>
    </row>
    <row r="453" ht="15.75" customHeight="1">
      <c r="B453" s="3">
        <f>IFERROR(__xludf.DUMMYFUNCTION("""COMPUTED_VALUE"""),42818.64583333333)</f>
        <v>42818.64583</v>
      </c>
      <c r="C453" s="2">
        <f>IFERROR(__xludf.DUMMYFUNCTION("""COMPUTED_VALUE"""),270.35)</f>
        <v>270.35</v>
      </c>
    </row>
    <row r="454" ht="15.75" customHeight="1">
      <c r="B454" s="3">
        <f>IFERROR(__xludf.DUMMYFUNCTION("""COMPUTED_VALUE"""),42825.64583333333)</f>
        <v>42825.64583</v>
      </c>
      <c r="C454" s="2">
        <f>IFERROR(__xludf.DUMMYFUNCTION("""COMPUTED_VALUE"""),278.1)</f>
        <v>278.1</v>
      </c>
    </row>
    <row r="455" ht="15.75" customHeight="1">
      <c r="B455" s="3">
        <f>IFERROR(__xludf.DUMMYFUNCTION("""COMPUTED_VALUE"""),42832.64583333333)</f>
        <v>42832.64583</v>
      </c>
      <c r="C455" s="2">
        <f>IFERROR(__xludf.DUMMYFUNCTION("""COMPUTED_VALUE"""),277.5)</f>
        <v>277.5</v>
      </c>
    </row>
    <row r="456" ht="15.75" customHeight="1">
      <c r="B456" s="3">
        <f>IFERROR(__xludf.DUMMYFUNCTION("""COMPUTED_VALUE"""),42838.64583333333)</f>
        <v>42838.64583</v>
      </c>
      <c r="C456" s="2">
        <f>IFERROR(__xludf.DUMMYFUNCTION("""COMPUTED_VALUE"""),273.6)</f>
        <v>273.6</v>
      </c>
    </row>
    <row r="457" ht="15.75" customHeight="1">
      <c r="B457" s="3">
        <f>IFERROR(__xludf.DUMMYFUNCTION("""COMPUTED_VALUE"""),42846.64583333333)</f>
        <v>42846.64583</v>
      </c>
      <c r="C457" s="2">
        <f>IFERROR(__xludf.DUMMYFUNCTION("""COMPUTED_VALUE"""),246.9)</f>
        <v>246.9</v>
      </c>
    </row>
    <row r="458" ht="15.75" customHeight="1">
      <c r="B458" s="3">
        <f>IFERROR(__xludf.DUMMYFUNCTION("""COMPUTED_VALUE"""),42853.64583333333)</f>
        <v>42853.64583</v>
      </c>
      <c r="C458" s="2">
        <f>IFERROR(__xludf.DUMMYFUNCTION("""COMPUTED_VALUE"""),246.7)</f>
        <v>246.7</v>
      </c>
    </row>
    <row r="459" ht="15.75" customHeight="1">
      <c r="B459" s="3">
        <f>IFERROR(__xludf.DUMMYFUNCTION("""COMPUTED_VALUE"""),42860.64583333333)</f>
        <v>42860.64583</v>
      </c>
      <c r="C459" s="2">
        <f>IFERROR(__xludf.DUMMYFUNCTION("""COMPUTED_VALUE"""),248.45)</f>
        <v>248.45</v>
      </c>
    </row>
    <row r="460" ht="15.75" customHeight="1">
      <c r="B460" s="3">
        <f>IFERROR(__xludf.DUMMYFUNCTION("""COMPUTED_VALUE"""),42867.64583333333)</f>
        <v>42867.64583</v>
      </c>
      <c r="C460" s="2">
        <f>IFERROR(__xludf.DUMMYFUNCTION("""COMPUTED_VALUE"""),239.45)</f>
        <v>239.45</v>
      </c>
    </row>
    <row r="461" ht="15.75" customHeight="1">
      <c r="B461" s="3">
        <f>IFERROR(__xludf.DUMMYFUNCTION("""COMPUTED_VALUE"""),42874.64583333333)</f>
        <v>42874.64583</v>
      </c>
      <c r="C461" s="2">
        <f>IFERROR(__xludf.DUMMYFUNCTION("""COMPUTED_VALUE"""),246.0)</f>
        <v>246</v>
      </c>
    </row>
    <row r="462" ht="15.75" customHeight="1">
      <c r="B462" s="3">
        <f>IFERROR(__xludf.DUMMYFUNCTION("""COMPUTED_VALUE"""),42881.64583333333)</f>
        <v>42881.64583</v>
      </c>
      <c r="C462" s="2">
        <f>IFERROR(__xludf.DUMMYFUNCTION("""COMPUTED_VALUE"""),245.9)</f>
        <v>245.9</v>
      </c>
    </row>
    <row r="463" ht="15.75" customHeight="1">
      <c r="B463" s="3">
        <f>IFERROR(__xludf.DUMMYFUNCTION("""COMPUTED_VALUE"""),42888.64583333333)</f>
        <v>42888.64583</v>
      </c>
      <c r="C463" s="2">
        <f>IFERROR(__xludf.DUMMYFUNCTION("""COMPUTED_VALUE"""),247.7)</f>
        <v>247.7</v>
      </c>
    </row>
    <row r="464" ht="15.75" customHeight="1">
      <c r="B464" s="3">
        <f>IFERROR(__xludf.DUMMYFUNCTION("""COMPUTED_VALUE"""),42895.64583333333)</f>
        <v>42895.64583</v>
      </c>
      <c r="C464" s="2">
        <f>IFERROR(__xludf.DUMMYFUNCTION("""COMPUTED_VALUE"""),246.0)</f>
        <v>246</v>
      </c>
    </row>
    <row r="465" ht="15.75" customHeight="1">
      <c r="B465" s="3">
        <f>IFERROR(__xludf.DUMMYFUNCTION("""COMPUTED_VALUE"""),42902.64583333333)</f>
        <v>42902.64583</v>
      </c>
      <c r="C465" s="2">
        <f>IFERROR(__xludf.DUMMYFUNCTION("""COMPUTED_VALUE"""),248.9)</f>
        <v>248.9</v>
      </c>
    </row>
    <row r="466" ht="15.75" customHeight="1">
      <c r="B466" s="3">
        <f>IFERROR(__xludf.DUMMYFUNCTION("""COMPUTED_VALUE"""),42909.64583333333)</f>
        <v>42909.64583</v>
      </c>
      <c r="C466" s="2">
        <f>IFERROR(__xludf.DUMMYFUNCTION("""COMPUTED_VALUE"""),243.35)</f>
        <v>243.35</v>
      </c>
    </row>
    <row r="467" ht="15.75" customHeight="1">
      <c r="B467" s="3">
        <f>IFERROR(__xludf.DUMMYFUNCTION("""COMPUTED_VALUE"""),42916.64583333333)</f>
        <v>42916.64583</v>
      </c>
      <c r="C467" s="2">
        <f>IFERROR(__xludf.DUMMYFUNCTION("""COMPUTED_VALUE"""),252.65)</f>
        <v>252.65</v>
      </c>
    </row>
    <row r="468" ht="15.75" customHeight="1">
      <c r="B468" s="3">
        <f>IFERROR(__xludf.DUMMYFUNCTION("""COMPUTED_VALUE"""),42923.64583333333)</f>
        <v>42923.64583</v>
      </c>
      <c r="C468" s="2">
        <f>IFERROR(__xludf.DUMMYFUNCTION("""COMPUTED_VALUE"""),263.45)</f>
        <v>263.45</v>
      </c>
    </row>
    <row r="469" ht="15.75" customHeight="1">
      <c r="B469" s="3">
        <f>IFERROR(__xludf.DUMMYFUNCTION("""COMPUTED_VALUE"""),42930.64583333333)</f>
        <v>42930.64583</v>
      </c>
      <c r="C469" s="2">
        <f>IFERROR(__xludf.DUMMYFUNCTION("""COMPUTED_VALUE"""),264.6)</f>
        <v>264.6</v>
      </c>
    </row>
    <row r="470" ht="15.75" customHeight="1">
      <c r="B470" s="3">
        <f>IFERROR(__xludf.DUMMYFUNCTION("""COMPUTED_VALUE"""),42937.64583333333)</f>
        <v>42937.64583</v>
      </c>
      <c r="C470" s="2">
        <f>IFERROR(__xludf.DUMMYFUNCTION("""COMPUTED_VALUE"""),274.25)</f>
        <v>274.25</v>
      </c>
    </row>
    <row r="471" ht="15.75" customHeight="1">
      <c r="B471" s="3">
        <f>IFERROR(__xludf.DUMMYFUNCTION("""COMPUTED_VALUE"""),42944.64583333333)</f>
        <v>42944.64583</v>
      </c>
      <c r="C471" s="2">
        <f>IFERROR(__xludf.DUMMYFUNCTION("""COMPUTED_VALUE"""),283.7)</f>
        <v>283.7</v>
      </c>
    </row>
    <row r="472" ht="15.75" customHeight="1">
      <c r="B472" s="3">
        <f>IFERROR(__xludf.DUMMYFUNCTION("""COMPUTED_VALUE"""),42951.64583333333)</f>
        <v>42951.64583</v>
      </c>
      <c r="C472" s="2">
        <f>IFERROR(__xludf.DUMMYFUNCTION("""COMPUTED_VALUE"""),289.9)</f>
        <v>289.9</v>
      </c>
    </row>
    <row r="473" ht="15.75" customHeight="1">
      <c r="B473" s="3">
        <f>IFERROR(__xludf.DUMMYFUNCTION("""COMPUTED_VALUE"""),42958.64583333333)</f>
        <v>42958.64583</v>
      </c>
      <c r="C473" s="2">
        <f>IFERROR(__xludf.DUMMYFUNCTION("""COMPUTED_VALUE"""),306.7)</f>
        <v>306.7</v>
      </c>
    </row>
    <row r="474" ht="15.75" customHeight="1">
      <c r="B474" s="3">
        <f>IFERROR(__xludf.DUMMYFUNCTION("""COMPUTED_VALUE"""),42965.64583333333)</f>
        <v>42965.64583</v>
      </c>
      <c r="C474" s="2">
        <f>IFERROR(__xludf.DUMMYFUNCTION("""COMPUTED_VALUE"""),310.25)</f>
        <v>310.25</v>
      </c>
    </row>
    <row r="475" ht="15.75" customHeight="1">
      <c r="B475" s="3">
        <f>IFERROR(__xludf.DUMMYFUNCTION("""COMPUTED_VALUE"""),42971.64583333333)</f>
        <v>42971.64583</v>
      </c>
      <c r="C475" s="2">
        <f>IFERROR(__xludf.DUMMYFUNCTION("""COMPUTED_VALUE"""),306.35)</f>
        <v>306.35</v>
      </c>
    </row>
    <row r="476" ht="15.75" customHeight="1">
      <c r="B476" s="3">
        <f>IFERROR(__xludf.DUMMYFUNCTION("""COMPUTED_VALUE"""),42979.64583333333)</f>
        <v>42979.64583</v>
      </c>
      <c r="C476" s="2">
        <f>IFERROR(__xludf.DUMMYFUNCTION("""COMPUTED_VALUE"""),315.75)</f>
        <v>315.75</v>
      </c>
    </row>
    <row r="477" ht="15.75" customHeight="1">
      <c r="B477" s="3">
        <f>IFERROR(__xludf.DUMMYFUNCTION("""COMPUTED_VALUE"""),42986.64583333333)</f>
        <v>42986.64583</v>
      </c>
      <c r="C477" s="2">
        <f>IFERROR(__xludf.DUMMYFUNCTION("""COMPUTED_VALUE"""),333.7)</f>
        <v>333.7</v>
      </c>
    </row>
    <row r="478" ht="15.75" customHeight="1">
      <c r="B478" s="3">
        <f>IFERROR(__xludf.DUMMYFUNCTION("""COMPUTED_VALUE"""),42993.64583333333)</f>
        <v>42993.64583</v>
      </c>
      <c r="C478" s="2">
        <f>IFERROR(__xludf.DUMMYFUNCTION("""COMPUTED_VALUE"""),334.65)</f>
        <v>334.65</v>
      </c>
    </row>
    <row r="479" ht="15.75" customHeight="1">
      <c r="B479" s="3">
        <f>IFERROR(__xludf.DUMMYFUNCTION("""COMPUTED_VALUE"""),43000.64583333333)</f>
        <v>43000.64583</v>
      </c>
      <c r="C479" s="2">
        <f>IFERROR(__xludf.DUMMYFUNCTION("""COMPUTED_VALUE"""),327.9)</f>
        <v>327.9</v>
      </c>
    </row>
    <row r="480" ht="15.75" customHeight="1">
      <c r="B480" s="3">
        <f>IFERROR(__xludf.DUMMYFUNCTION("""COMPUTED_VALUE"""),43007.64583333333)</f>
        <v>43007.64583</v>
      </c>
      <c r="C480" s="2">
        <f>IFERROR(__xludf.DUMMYFUNCTION("""COMPUTED_VALUE"""),319.2)</f>
        <v>319.2</v>
      </c>
    </row>
    <row r="481" ht="15.75" customHeight="1">
      <c r="B481" s="3">
        <f>IFERROR(__xludf.DUMMYFUNCTION("""COMPUTED_VALUE"""),43014.64583333333)</f>
        <v>43014.64583</v>
      </c>
      <c r="C481" s="2">
        <f>IFERROR(__xludf.DUMMYFUNCTION("""COMPUTED_VALUE"""),327.8)</f>
        <v>327.8</v>
      </c>
    </row>
    <row r="482" ht="15.75" customHeight="1">
      <c r="B482" s="3">
        <f>IFERROR(__xludf.DUMMYFUNCTION("""COMPUTED_VALUE"""),43021.64583333333)</f>
        <v>43021.64583</v>
      </c>
      <c r="C482" s="2">
        <f>IFERROR(__xludf.DUMMYFUNCTION("""COMPUTED_VALUE"""),328.5)</f>
        <v>328.5</v>
      </c>
    </row>
    <row r="483" ht="15.75" customHeight="1">
      <c r="B483" s="3">
        <f>IFERROR(__xludf.DUMMYFUNCTION("""COMPUTED_VALUE"""),43027.83333333333)</f>
        <v>43027.83333</v>
      </c>
      <c r="C483" s="2">
        <f>IFERROR(__xludf.DUMMYFUNCTION("""COMPUTED_VALUE"""),336.25)</f>
        <v>336.25</v>
      </c>
    </row>
    <row r="484" ht="15.75" customHeight="1">
      <c r="B484" s="3">
        <f>IFERROR(__xludf.DUMMYFUNCTION("""COMPUTED_VALUE"""),43035.64583333333)</f>
        <v>43035.64583</v>
      </c>
      <c r="C484" s="2">
        <f>IFERROR(__xludf.DUMMYFUNCTION("""COMPUTED_VALUE"""),345.2)</f>
        <v>345.2</v>
      </c>
    </row>
    <row r="485" ht="15.75" customHeight="1">
      <c r="B485" s="3">
        <f>IFERROR(__xludf.DUMMYFUNCTION("""COMPUTED_VALUE"""),43042.64583333333)</f>
        <v>43042.64583</v>
      </c>
      <c r="C485" s="2">
        <f>IFERROR(__xludf.DUMMYFUNCTION("""COMPUTED_VALUE"""),346.4)</f>
        <v>346.4</v>
      </c>
    </row>
    <row r="486" ht="15.75" customHeight="1">
      <c r="B486" s="3">
        <f>IFERROR(__xludf.DUMMYFUNCTION("""COMPUTED_VALUE"""),43049.64583333333)</f>
        <v>43049.64583</v>
      </c>
      <c r="C486" s="2">
        <f>IFERROR(__xludf.DUMMYFUNCTION("""COMPUTED_VALUE"""),343.6)</f>
        <v>343.6</v>
      </c>
    </row>
    <row r="487" ht="15.75" customHeight="1">
      <c r="B487" s="3">
        <f>IFERROR(__xludf.DUMMYFUNCTION("""COMPUTED_VALUE"""),43056.64583333333)</f>
        <v>43056.64583</v>
      </c>
      <c r="C487" s="2">
        <f>IFERROR(__xludf.DUMMYFUNCTION("""COMPUTED_VALUE"""),324.8)</f>
        <v>324.8</v>
      </c>
    </row>
    <row r="488" ht="15.75" customHeight="1">
      <c r="B488" s="3">
        <f>IFERROR(__xludf.DUMMYFUNCTION("""COMPUTED_VALUE"""),43063.64583333333)</f>
        <v>43063.64583</v>
      </c>
      <c r="C488" s="2">
        <f>IFERROR(__xludf.DUMMYFUNCTION("""COMPUTED_VALUE"""),318.2)</f>
        <v>318.2</v>
      </c>
    </row>
    <row r="489" ht="15.75" customHeight="1">
      <c r="B489" s="3">
        <f>IFERROR(__xludf.DUMMYFUNCTION("""COMPUTED_VALUE"""),43070.64583333333)</f>
        <v>43070.64583</v>
      </c>
      <c r="C489" s="2">
        <f>IFERROR(__xludf.DUMMYFUNCTION("""COMPUTED_VALUE"""),308.85)</f>
        <v>308.85</v>
      </c>
    </row>
    <row r="490" ht="15.75" customHeight="1">
      <c r="B490" s="3">
        <f>IFERROR(__xludf.DUMMYFUNCTION("""COMPUTED_VALUE"""),43077.64583333333)</f>
        <v>43077.64583</v>
      </c>
      <c r="C490" s="2">
        <f>IFERROR(__xludf.DUMMYFUNCTION("""COMPUTED_VALUE"""),296.45)</f>
        <v>296.45</v>
      </c>
    </row>
    <row r="491" ht="15.75" customHeight="1">
      <c r="B491" s="3">
        <f>IFERROR(__xludf.DUMMYFUNCTION("""COMPUTED_VALUE"""),43084.64583333333)</f>
        <v>43084.64583</v>
      </c>
      <c r="C491" s="2">
        <f>IFERROR(__xludf.DUMMYFUNCTION("""COMPUTED_VALUE"""),299.9)</f>
        <v>299.9</v>
      </c>
    </row>
    <row r="492" ht="15.75" customHeight="1">
      <c r="B492" s="3">
        <f>IFERROR(__xludf.DUMMYFUNCTION("""COMPUTED_VALUE"""),43091.64583333333)</f>
        <v>43091.64583</v>
      </c>
      <c r="C492" s="2">
        <f>IFERROR(__xludf.DUMMYFUNCTION("""COMPUTED_VALUE"""),320.3)</f>
        <v>320.3</v>
      </c>
    </row>
    <row r="493" ht="15.75" customHeight="1">
      <c r="B493" s="3">
        <f>IFERROR(__xludf.DUMMYFUNCTION("""COMPUTED_VALUE"""),43098.64583333333)</f>
        <v>43098.64583</v>
      </c>
      <c r="C493" s="2">
        <f>IFERROR(__xludf.DUMMYFUNCTION("""COMPUTED_VALUE"""),335.5)</f>
        <v>335.5</v>
      </c>
    </row>
    <row r="494" ht="15.75" customHeight="1"/>
    <row r="495" ht="15.75" customHeight="1"/>
    <row r="496" ht="15.75" customHeight="1">
      <c r="B496" s="2" t="str">
        <f>IFERROR(__xludf.DUMMYFUNCTION("GOOGLEFINANCE(""NSE:VEDL"", ""high"",DATE(2018,1,1),DATE(2019,1,1),""weekly"")"),"Date")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IFERROR(__xludf.DUMMYFUNCTION("""COMPUTED_VALUE"""),43105.64583333333)</f>
        <v>43105.64583</v>
      </c>
      <c r="C497" s="2">
        <f>IFERROR(__xludf.DUMMYFUNCTION("""COMPUTED_VALUE"""),346.3)</f>
        <v>346.3</v>
      </c>
    </row>
    <row r="498" ht="15.75" customHeight="1">
      <c r="B498" s="3">
        <f>IFERROR(__xludf.DUMMYFUNCTION("""COMPUTED_VALUE"""),43112.64583333333)</f>
        <v>43112.64583</v>
      </c>
      <c r="C498" s="2">
        <f>IFERROR(__xludf.DUMMYFUNCTION("""COMPUTED_VALUE"""),343.5)</f>
        <v>343.5</v>
      </c>
    </row>
    <row r="499" ht="15.75" customHeight="1">
      <c r="B499" s="3">
        <f>IFERROR(__xludf.DUMMYFUNCTION("""COMPUTED_VALUE"""),43119.64583333333)</f>
        <v>43119.64583</v>
      </c>
      <c r="C499" s="2">
        <f>IFERROR(__xludf.DUMMYFUNCTION("""COMPUTED_VALUE"""),344.0)</f>
        <v>344</v>
      </c>
    </row>
    <row r="500" ht="15.75" customHeight="1">
      <c r="B500" s="3">
        <f>IFERROR(__xludf.DUMMYFUNCTION("""COMPUTED_VALUE"""),43125.64583333333)</f>
        <v>43125.64583</v>
      </c>
      <c r="C500" s="2">
        <f>IFERROR(__xludf.DUMMYFUNCTION("""COMPUTED_VALUE"""),352.05)</f>
        <v>352.05</v>
      </c>
    </row>
    <row r="501" ht="15.75" customHeight="1">
      <c r="B501" s="3">
        <f>IFERROR(__xludf.DUMMYFUNCTION("""COMPUTED_VALUE"""),43133.64583333333)</f>
        <v>43133.64583</v>
      </c>
      <c r="C501" s="2">
        <f>IFERROR(__xludf.DUMMYFUNCTION("""COMPUTED_VALUE"""),355.7)</f>
        <v>355.7</v>
      </c>
    </row>
    <row r="502" ht="15.75" customHeight="1">
      <c r="B502" s="3">
        <f>IFERROR(__xludf.DUMMYFUNCTION("""COMPUTED_VALUE"""),43140.64583333333)</f>
        <v>43140.64583</v>
      </c>
      <c r="C502" s="2">
        <f>IFERROR(__xludf.DUMMYFUNCTION("""COMPUTED_VALUE"""),332.9)</f>
        <v>332.9</v>
      </c>
    </row>
    <row r="503" ht="15.75" customHeight="1">
      <c r="B503" s="3">
        <f>IFERROR(__xludf.DUMMYFUNCTION("""COMPUTED_VALUE"""),43147.64583333333)</f>
        <v>43147.64583</v>
      </c>
      <c r="C503" s="2">
        <f>IFERROR(__xludf.DUMMYFUNCTION("""COMPUTED_VALUE"""),329.9)</f>
        <v>329.9</v>
      </c>
    </row>
    <row r="504" ht="15.75" customHeight="1">
      <c r="B504" s="3">
        <f>IFERROR(__xludf.DUMMYFUNCTION("""COMPUTED_VALUE"""),43154.64583333333)</f>
        <v>43154.64583</v>
      </c>
      <c r="C504" s="2">
        <f>IFERROR(__xludf.DUMMYFUNCTION("""COMPUTED_VALUE"""),340.75)</f>
        <v>340.75</v>
      </c>
    </row>
    <row r="505" ht="15.75" customHeight="1">
      <c r="B505" s="3">
        <f>IFERROR(__xludf.DUMMYFUNCTION("""COMPUTED_VALUE"""),43160.64583333333)</f>
        <v>43160.64583</v>
      </c>
      <c r="C505" s="2">
        <f>IFERROR(__xludf.DUMMYFUNCTION("""COMPUTED_VALUE"""),345.0)</f>
        <v>345</v>
      </c>
    </row>
    <row r="506" ht="15.75" customHeight="1">
      <c r="B506" s="3">
        <f>IFERROR(__xludf.DUMMYFUNCTION("""COMPUTED_VALUE"""),43168.64583333333)</f>
        <v>43168.64583</v>
      </c>
      <c r="C506" s="2">
        <f>IFERROR(__xludf.DUMMYFUNCTION("""COMPUTED_VALUE"""),327.45)</f>
        <v>327.45</v>
      </c>
    </row>
    <row r="507" ht="15.75" customHeight="1">
      <c r="B507" s="3">
        <f>IFERROR(__xludf.DUMMYFUNCTION("""COMPUTED_VALUE"""),43175.64583333333)</f>
        <v>43175.64583</v>
      </c>
      <c r="C507" s="2">
        <f>IFERROR(__xludf.DUMMYFUNCTION("""COMPUTED_VALUE"""),324.0)</f>
        <v>324</v>
      </c>
    </row>
    <row r="508" ht="15.75" customHeight="1">
      <c r="B508" s="3">
        <f>IFERROR(__xludf.DUMMYFUNCTION("""COMPUTED_VALUE"""),43182.64583333333)</f>
        <v>43182.64583</v>
      </c>
      <c r="C508" s="2">
        <f>IFERROR(__xludf.DUMMYFUNCTION("""COMPUTED_VALUE"""),313.6)</f>
        <v>313.6</v>
      </c>
    </row>
    <row r="509" ht="15.75" customHeight="1">
      <c r="B509" s="3">
        <f>IFERROR(__xludf.DUMMYFUNCTION("""COMPUTED_VALUE"""),43187.64583333333)</f>
        <v>43187.64583</v>
      </c>
      <c r="C509" s="2">
        <f>IFERROR(__xludf.DUMMYFUNCTION("""COMPUTED_VALUE"""),289.9)</f>
        <v>289.9</v>
      </c>
    </row>
    <row r="510" ht="15.75" customHeight="1">
      <c r="B510" s="3">
        <f>IFERROR(__xludf.DUMMYFUNCTION("""COMPUTED_VALUE"""),43196.64583333333)</f>
        <v>43196.64583</v>
      </c>
      <c r="C510" s="2">
        <f>IFERROR(__xludf.DUMMYFUNCTION("""COMPUTED_VALUE"""),291.75)</f>
        <v>291.75</v>
      </c>
    </row>
    <row r="511" ht="15.75" customHeight="1">
      <c r="B511" s="3">
        <f>IFERROR(__xludf.DUMMYFUNCTION("""COMPUTED_VALUE"""),43203.64583333333)</f>
        <v>43203.64583</v>
      </c>
      <c r="C511" s="2">
        <f>IFERROR(__xludf.DUMMYFUNCTION("""COMPUTED_VALUE"""),297.7)</f>
        <v>297.7</v>
      </c>
    </row>
    <row r="512" ht="15.75" customHeight="1">
      <c r="B512" s="3">
        <f>IFERROR(__xludf.DUMMYFUNCTION("""COMPUTED_VALUE"""),43210.64583333333)</f>
        <v>43210.64583</v>
      </c>
      <c r="C512" s="2">
        <f>IFERROR(__xludf.DUMMYFUNCTION("""COMPUTED_VALUE"""),313.5)</f>
        <v>313.5</v>
      </c>
    </row>
    <row r="513" ht="15.75" customHeight="1">
      <c r="B513" s="3">
        <f>IFERROR(__xludf.DUMMYFUNCTION("""COMPUTED_VALUE"""),43217.64583333333)</f>
        <v>43217.64583</v>
      </c>
      <c r="C513" s="2">
        <f>IFERROR(__xludf.DUMMYFUNCTION("""COMPUTED_VALUE"""),311.45)</f>
        <v>311.45</v>
      </c>
    </row>
    <row r="514" ht="15.75" customHeight="1">
      <c r="B514" s="3">
        <f>IFERROR(__xludf.DUMMYFUNCTION("""COMPUTED_VALUE"""),43224.64583333333)</f>
        <v>43224.64583</v>
      </c>
      <c r="C514" s="2">
        <f>IFERROR(__xludf.DUMMYFUNCTION("""COMPUTED_VALUE"""),302.25)</f>
        <v>302.25</v>
      </c>
    </row>
    <row r="515" ht="15.75" customHeight="1">
      <c r="B515" s="3">
        <f>IFERROR(__xludf.DUMMYFUNCTION("""COMPUTED_VALUE"""),43231.64583333333)</f>
        <v>43231.64583</v>
      </c>
      <c r="C515" s="2">
        <f>IFERROR(__xludf.DUMMYFUNCTION("""COMPUTED_VALUE"""),290.4)</f>
        <v>290.4</v>
      </c>
    </row>
    <row r="516" ht="15.75" customHeight="1">
      <c r="B516" s="3">
        <f>IFERROR(__xludf.DUMMYFUNCTION("""COMPUTED_VALUE"""),43238.64583333333)</f>
        <v>43238.64583</v>
      </c>
      <c r="C516" s="2">
        <f>IFERROR(__xludf.DUMMYFUNCTION("""COMPUTED_VALUE"""),288.35)</f>
        <v>288.35</v>
      </c>
    </row>
    <row r="517" ht="15.75" customHeight="1">
      <c r="B517" s="3">
        <f>IFERROR(__xludf.DUMMYFUNCTION("""COMPUTED_VALUE"""),43245.64583333333)</f>
        <v>43245.64583</v>
      </c>
      <c r="C517" s="2">
        <f>IFERROR(__xludf.DUMMYFUNCTION("""COMPUTED_VALUE"""),273.25)</f>
        <v>273.25</v>
      </c>
    </row>
    <row r="518" ht="15.75" customHeight="1">
      <c r="B518" s="3">
        <f>IFERROR(__xludf.DUMMYFUNCTION("""COMPUTED_VALUE"""),43252.64583333333)</f>
        <v>43252.64583</v>
      </c>
      <c r="C518" s="2">
        <f>IFERROR(__xludf.DUMMYFUNCTION("""COMPUTED_VALUE"""),258.4)</f>
        <v>258.4</v>
      </c>
    </row>
    <row r="519" ht="15.75" customHeight="1">
      <c r="B519" s="3">
        <f>IFERROR(__xludf.DUMMYFUNCTION("""COMPUTED_VALUE"""),43259.64583333333)</f>
        <v>43259.64583</v>
      </c>
      <c r="C519" s="2">
        <f>IFERROR(__xludf.DUMMYFUNCTION("""COMPUTED_VALUE"""),256.5)</f>
        <v>256.5</v>
      </c>
    </row>
    <row r="520" ht="15.75" customHeight="1">
      <c r="B520" s="3">
        <f>IFERROR(__xludf.DUMMYFUNCTION("""COMPUTED_VALUE"""),43266.64583333333)</f>
        <v>43266.64583</v>
      </c>
      <c r="C520" s="2">
        <f>IFERROR(__xludf.DUMMYFUNCTION("""COMPUTED_VALUE"""),248.0)</f>
        <v>248</v>
      </c>
    </row>
    <row r="521" ht="15.75" customHeight="1">
      <c r="B521" s="3">
        <f>IFERROR(__xludf.DUMMYFUNCTION("""COMPUTED_VALUE"""),43273.64583333333)</f>
        <v>43273.64583</v>
      </c>
      <c r="C521" s="2">
        <f>IFERROR(__xludf.DUMMYFUNCTION("""COMPUTED_VALUE"""),236.0)</f>
        <v>236</v>
      </c>
    </row>
    <row r="522" ht="15.75" customHeight="1">
      <c r="B522" s="3">
        <f>IFERROR(__xludf.DUMMYFUNCTION("""COMPUTED_VALUE"""),43280.64583333333)</f>
        <v>43280.64583</v>
      </c>
      <c r="C522" s="2">
        <f>IFERROR(__xludf.DUMMYFUNCTION("""COMPUTED_VALUE"""),239.5)</f>
        <v>239.5</v>
      </c>
    </row>
    <row r="523" ht="15.75" customHeight="1">
      <c r="B523" s="3">
        <f>IFERROR(__xludf.DUMMYFUNCTION("""COMPUTED_VALUE"""),43287.64583333333)</f>
        <v>43287.64583</v>
      </c>
      <c r="C523" s="2">
        <f>IFERROR(__xludf.DUMMYFUNCTION("""COMPUTED_VALUE"""),243.8)</f>
        <v>243.8</v>
      </c>
    </row>
    <row r="524" ht="15.75" customHeight="1">
      <c r="B524" s="3">
        <f>IFERROR(__xludf.DUMMYFUNCTION("""COMPUTED_VALUE"""),43294.64583333333)</f>
        <v>43294.64583</v>
      </c>
      <c r="C524" s="2">
        <f>IFERROR(__xludf.DUMMYFUNCTION("""COMPUTED_VALUE"""),228.0)</f>
        <v>228</v>
      </c>
    </row>
    <row r="525" ht="15.75" customHeight="1">
      <c r="B525" s="3">
        <f>IFERROR(__xludf.DUMMYFUNCTION("""COMPUTED_VALUE"""),43301.64583333333)</f>
        <v>43301.64583</v>
      </c>
      <c r="C525" s="2">
        <f>IFERROR(__xludf.DUMMYFUNCTION("""COMPUTED_VALUE"""),212.35)</f>
        <v>212.35</v>
      </c>
    </row>
    <row r="526" ht="15.75" customHeight="1">
      <c r="B526" s="3">
        <f>IFERROR(__xludf.DUMMYFUNCTION("""COMPUTED_VALUE"""),43308.64583333333)</f>
        <v>43308.64583</v>
      </c>
      <c r="C526" s="2">
        <f>IFERROR(__xludf.DUMMYFUNCTION("""COMPUTED_VALUE"""),221.75)</f>
        <v>221.75</v>
      </c>
    </row>
    <row r="527" ht="15.75" customHeight="1">
      <c r="B527" s="3">
        <f>IFERROR(__xludf.DUMMYFUNCTION("""COMPUTED_VALUE"""),43315.64583333333)</f>
        <v>43315.64583</v>
      </c>
      <c r="C527" s="2">
        <f>IFERROR(__xludf.DUMMYFUNCTION("""COMPUTED_VALUE"""),229.0)</f>
        <v>229</v>
      </c>
    </row>
    <row r="528" ht="15.75" customHeight="1">
      <c r="B528" s="3">
        <f>IFERROR(__xludf.DUMMYFUNCTION("""COMPUTED_VALUE"""),43322.64583333333)</f>
        <v>43322.64583</v>
      </c>
      <c r="C528" s="2">
        <f>IFERROR(__xludf.DUMMYFUNCTION("""COMPUTED_VALUE"""),233.7)</f>
        <v>233.7</v>
      </c>
    </row>
    <row r="529" ht="15.75" customHeight="1">
      <c r="B529" s="3">
        <f>IFERROR(__xludf.DUMMYFUNCTION("""COMPUTED_VALUE"""),43329.64583333333)</f>
        <v>43329.64583</v>
      </c>
      <c r="C529" s="2">
        <f>IFERROR(__xludf.DUMMYFUNCTION("""COMPUTED_VALUE"""),218.4)</f>
        <v>218.4</v>
      </c>
    </row>
    <row r="530" ht="15.75" customHeight="1">
      <c r="B530" s="3">
        <f>IFERROR(__xludf.DUMMYFUNCTION("""COMPUTED_VALUE"""),43336.64583333333)</f>
        <v>43336.64583</v>
      </c>
      <c r="C530" s="2">
        <f>IFERROR(__xludf.DUMMYFUNCTION("""COMPUTED_VALUE"""),225.0)</f>
        <v>225</v>
      </c>
    </row>
    <row r="531" ht="15.75" customHeight="1">
      <c r="B531" s="3">
        <f>IFERROR(__xludf.DUMMYFUNCTION("""COMPUTED_VALUE"""),43343.64583333333)</f>
        <v>43343.64583</v>
      </c>
      <c r="C531" s="2">
        <f>IFERROR(__xludf.DUMMYFUNCTION("""COMPUTED_VALUE"""),238.25)</f>
        <v>238.25</v>
      </c>
    </row>
    <row r="532" ht="15.75" customHeight="1">
      <c r="B532" s="3">
        <f>IFERROR(__xludf.DUMMYFUNCTION("""COMPUTED_VALUE"""),43350.64583333333)</f>
        <v>43350.64583</v>
      </c>
      <c r="C532" s="2">
        <f>IFERROR(__xludf.DUMMYFUNCTION("""COMPUTED_VALUE"""),233.7)</f>
        <v>233.7</v>
      </c>
    </row>
    <row r="533" ht="15.75" customHeight="1">
      <c r="B533" s="3">
        <f>IFERROR(__xludf.DUMMYFUNCTION("""COMPUTED_VALUE"""),43357.64583333333)</f>
        <v>43357.64583</v>
      </c>
      <c r="C533" s="2">
        <f>IFERROR(__xludf.DUMMYFUNCTION("""COMPUTED_VALUE"""),236.45)</f>
        <v>236.45</v>
      </c>
    </row>
    <row r="534" ht="15.75" customHeight="1">
      <c r="B534" s="3">
        <f>IFERROR(__xludf.DUMMYFUNCTION("""COMPUTED_VALUE"""),43364.64583333333)</f>
        <v>43364.64583</v>
      </c>
      <c r="C534" s="2">
        <f>IFERROR(__xludf.DUMMYFUNCTION("""COMPUTED_VALUE"""),237.75)</f>
        <v>237.75</v>
      </c>
    </row>
    <row r="535" ht="15.75" customHeight="1">
      <c r="B535" s="3">
        <f>IFERROR(__xludf.DUMMYFUNCTION("""COMPUTED_VALUE"""),43371.64583333333)</f>
        <v>43371.64583</v>
      </c>
      <c r="C535" s="2">
        <f>IFERROR(__xludf.DUMMYFUNCTION("""COMPUTED_VALUE"""),246.8)</f>
        <v>246.8</v>
      </c>
    </row>
    <row r="536" ht="15.75" customHeight="1">
      <c r="B536" s="3">
        <f>IFERROR(__xludf.DUMMYFUNCTION("""COMPUTED_VALUE"""),43378.64583333333)</f>
        <v>43378.64583</v>
      </c>
      <c r="C536" s="2">
        <f>IFERROR(__xludf.DUMMYFUNCTION("""COMPUTED_VALUE"""),246.9)</f>
        <v>246.9</v>
      </c>
    </row>
    <row r="537" ht="15.75" customHeight="1">
      <c r="B537" s="3">
        <f>IFERROR(__xludf.DUMMYFUNCTION("""COMPUTED_VALUE"""),43385.64583333333)</f>
        <v>43385.64583</v>
      </c>
      <c r="C537" s="2">
        <f>IFERROR(__xludf.DUMMYFUNCTION("""COMPUTED_VALUE"""),228.25)</f>
        <v>228.25</v>
      </c>
    </row>
    <row r="538" ht="15.75" customHeight="1">
      <c r="B538" s="3">
        <f>IFERROR(__xludf.DUMMYFUNCTION("""COMPUTED_VALUE"""),43392.64583333333)</f>
        <v>43392.64583</v>
      </c>
      <c r="C538" s="2">
        <f>IFERROR(__xludf.DUMMYFUNCTION("""COMPUTED_VALUE"""),216.9)</f>
        <v>216.9</v>
      </c>
    </row>
    <row r="539" ht="15.75" customHeight="1">
      <c r="B539" s="3">
        <f>IFERROR(__xludf.DUMMYFUNCTION("""COMPUTED_VALUE"""),43399.64583333333)</f>
        <v>43399.64583</v>
      </c>
      <c r="C539" s="2">
        <f>IFERROR(__xludf.DUMMYFUNCTION("""COMPUTED_VALUE"""),219.25)</f>
        <v>219.25</v>
      </c>
    </row>
    <row r="540" ht="15.75" customHeight="1">
      <c r="B540" s="3">
        <f>IFERROR(__xludf.DUMMYFUNCTION("""COMPUTED_VALUE"""),43406.64583333333)</f>
        <v>43406.64583</v>
      </c>
      <c r="C540" s="2">
        <f>IFERROR(__xludf.DUMMYFUNCTION("""COMPUTED_VALUE"""),227.35)</f>
        <v>227.35</v>
      </c>
    </row>
    <row r="541" ht="15.75" customHeight="1">
      <c r="B541" s="3">
        <f>IFERROR(__xludf.DUMMYFUNCTION("""COMPUTED_VALUE"""),43413.64583333333)</f>
        <v>43413.64583</v>
      </c>
      <c r="C541" s="2">
        <f>IFERROR(__xludf.DUMMYFUNCTION("""COMPUTED_VALUE"""),227.75)</f>
        <v>227.75</v>
      </c>
    </row>
    <row r="542" ht="15.75" customHeight="1">
      <c r="B542" s="3">
        <f>IFERROR(__xludf.DUMMYFUNCTION("""COMPUTED_VALUE"""),43420.64583333333)</f>
        <v>43420.64583</v>
      </c>
      <c r="C542" s="2">
        <f>IFERROR(__xludf.DUMMYFUNCTION("""COMPUTED_VALUE"""),210.9)</f>
        <v>210.9</v>
      </c>
    </row>
    <row r="543" ht="15.75" customHeight="1">
      <c r="B543" s="3">
        <f>IFERROR(__xludf.DUMMYFUNCTION("""COMPUTED_VALUE"""),43426.64583333333)</f>
        <v>43426.64583</v>
      </c>
      <c r="C543" s="2">
        <f>IFERROR(__xludf.DUMMYFUNCTION("""COMPUTED_VALUE"""),212.8)</f>
        <v>212.8</v>
      </c>
    </row>
    <row r="544" ht="15.75" customHeight="1">
      <c r="B544" s="3">
        <f>IFERROR(__xludf.DUMMYFUNCTION("""COMPUTED_VALUE"""),43434.64583333333)</f>
        <v>43434.64583</v>
      </c>
      <c r="C544" s="2">
        <f>IFERROR(__xludf.DUMMYFUNCTION("""COMPUTED_VALUE"""),201.9)</f>
        <v>201.9</v>
      </c>
    </row>
    <row r="545" ht="15.75" customHeight="1">
      <c r="B545" s="3">
        <f>IFERROR(__xludf.DUMMYFUNCTION("""COMPUTED_VALUE"""),43441.64583333333)</f>
        <v>43441.64583</v>
      </c>
      <c r="C545" s="2">
        <f>IFERROR(__xludf.DUMMYFUNCTION("""COMPUTED_VALUE"""),206.9)</f>
        <v>206.9</v>
      </c>
    </row>
    <row r="546" ht="15.75" customHeight="1">
      <c r="B546" s="3">
        <f>IFERROR(__xludf.DUMMYFUNCTION("""COMPUTED_VALUE"""),43448.64583333333)</f>
        <v>43448.64583</v>
      </c>
      <c r="C546" s="2">
        <f>IFERROR(__xludf.DUMMYFUNCTION("""COMPUTED_VALUE"""),203.2)</f>
        <v>203.2</v>
      </c>
    </row>
    <row r="547" ht="15.75" customHeight="1">
      <c r="B547" s="3">
        <f>IFERROR(__xludf.DUMMYFUNCTION("""COMPUTED_VALUE"""),43455.64583333333)</f>
        <v>43455.64583</v>
      </c>
      <c r="C547" s="2">
        <f>IFERROR(__xludf.DUMMYFUNCTION("""COMPUTED_VALUE"""),213.3)</f>
        <v>213.3</v>
      </c>
    </row>
    <row r="548" ht="15.75" customHeight="1">
      <c r="B548" s="3">
        <f>IFERROR(__xludf.DUMMYFUNCTION("""COMPUTED_VALUE"""),43462.64583333333)</f>
        <v>43462.64583</v>
      </c>
      <c r="C548" s="2">
        <f>IFERROR(__xludf.DUMMYFUNCTION("""COMPUTED_VALUE"""),202.25)</f>
        <v>202.25</v>
      </c>
    </row>
    <row r="549" ht="15.75" customHeight="1"/>
    <row r="550" ht="15.75" customHeight="1"/>
    <row r="551" ht="15.75" customHeight="1">
      <c r="B551" s="2" t="str">
        <f>IFERROR(__xludf.DUMMYFUNCTION("GOOGLEFINANCE(""NSE:VEDL"", ""high"",DATE(2018,1,1),DATE(2019,1,1),""weekly"")"),"Date")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IFERROR(__xludf.DUMMYFUNCTION("""COMPUTED_VALUE"""),43105.64583333333)</f>
        <v>43105.64583</v>
      </c>
      <c r="C552" s="2">
        <f>IFERROR(__xludf.DUMMYFUNCTION("""COMPUTED_VALUE"""),346.3)</f>
        <v>346.3</v>
      </c>
    </row>
    <row r="553" ht="15.75" customHeight="1">
      <c r="B553" s="3">
        <f>IFERROR(__xludf.DUMMYFUNCTION("""COMPUTED_VALUE"""),43112.64583333333)</f>
        <v>43112.64583</v>
      </c>
      <c r="C553" s="2">
        <f>IFERROR(__xludf.DUMMYFUNCTION("""COMPUTED_VALUE"""),343.5)</f>
        <v>343.5</v>
      </c>
    </row>
    <row r="554" ht="15.75" customHeight="1">
      <c r="B554" s="3">
        <f>IFERROR(__xludf.DUMMYFUNCTION("""COMPUTED_VALUE"""),43119.64583333333)</f>
        <v>43119.64583</v>
      </c>
      <c r="C554" s="2">
        <f>IFERROR(__xludf.DUMMYFUNCTION("""COMPUTED_VALUE"""),344.0)</f>
        <v>344</v>
      </c>
    </row>
    <row r="555" ht="15.75" customHeight="1">
      <c r="B555" s="3">
        <f>IFERROR(__xludf.DUMMYFUNCTION("""COMPUTED_VALUE"""),43125.64583333333)</f>
        <v>43125.64583</v>
      </c>
      <c r="C555" s="2">
        <f>IFERROR(__xludf.DUMMYFUNCTION("""COMPUTED_VALUE"""),352.05)</f>
        <v>352.05</v>
      </c>
    </row>
    <row r="556" ht="15.75" customHeight="1">
      <c r="B556" s="3">
        <f>IFERROR(__xludf.DUMMYFUNCTION("""COMPUTED_VALUE"""),43133.64583333333)</f>
        <v>43133.64583</v>
      </c>
      <c r="C556" s="2">
        <f>IFERROR(__xludf.DUMMYFUNCTION("""COMPUTED_VALUE"""),355.7)</f>
        <v>355.7</v>
      </c>
    </row>
    <row r="557" ht="15.75" customHeight="1">
      <c r="B557" s="3">
        <f>IFERROR(__xludf.DUMMYFUNCTION("""COMPUTED_VALUE"""),43140.64583333333)</f>
        <v>43140.64583</v>
      </c>
      <c r="C557" s="2">
        <f>IFERROR(__xludf.DUMMYFUNCTION("""COMPUTED_VALUE"""),332.9)</f>
        <v>332.9</v>
      </c>
    </row>
    <row r="558" ht="15.75" customHeight="1">
      <c r="B558" s="3">
        <f>IFERROR(__xludf.DUMMYFUNCTION("""COMPUTED_VALUE"""),43147.64583333333)</f>
        <v>43147.64583</v>
      </c>
      <c r="C558" s="2">
        <f>IFERROR(__xludf.DUMMYFUNCTION("""COMPUTED_VALUE"""),329.9)</f>
        <v>329.9</v>
      </c>
    </row>
    <row r="559" ht="15.75" customHeight="1">
      <c r="B559" s="3">
        <f>IFERROR(__xludf.DUMMYFUNCTION("""COMPUTED_VALUE"""),43154.64583333333)</f>
        <v>43154.64583</v>
      </c>
      <c r="C559" s="2">
        <f>IFERROR(__xludf.DUMMYFUNCTION("""COMPUTED_VALUE"""),340.75)</f>
        <v>340.75</v>
      </c>
    </row>
    <row r="560" ht="15.75" customHeight="1">
      <c r="B560" s="3">
        <f>IFERROR(__xludf.DUMMYFUNCTION("""COMPUTED_VALUE"""),43160.64583333333)</f>
        <v>43160.64583</v>
      </c>
      <c r="C560" s="2">
        <f>IFERROR(__xludf.DUMMYFUNCTION("""COMPUTED_VALUE"""),345.0)</f>
        <v>345</v>
      </c>
    </row>
    <row r="561" ht="15.75" customHeight="1">
      <c r="B561" s="3">
        <f>IFERROR(__xludf.DUMMYFUNCTION("""COMPUTED_VALUE"""),43168.64583333333)</f>
        <v>43168.64583</v>
      </c>
      <c r="C561" s="2">
        <f>IFERROR(__xludf.DUMMYFUNCTION("""COMPUTED_VALUE"""),327.45)</f>
        <v>327.45</v>
      </c>
    </row>
    <row r="562" ht="15.75" customHeight="1">
      <c r="B562" s="3">
        <f>IFERROR(__xludf.DUMMYFUNCTION("""COMPUTED_VALUE"""),43175.64583333333)</f>
        <v>43175.64583</v>
      </c>
      <c r="C562" s="2">
        <f>IFERROR(__xludf.DUMMYFUNCTION("""COMPUTED_VALUE"""),324.0)</f>
        <v>324</v>
      </c>
    </row>
    <row r="563" ht="15.75" customHeight="1">
      <c r="B563" s="3">
        <f>IFERROR(__xludf.DUMMYFUNCTION("""COMPUTED_VALUE"""),43182.64583333333)</f>
        <v>43182.64583</v>
      </c>
      <c r="C563" s="2">
        <f>IFERROR(__xludf.DUMMYFUNCTION("""COMPUTED_VALUE"""),313.6)</f>
        <v>313.6</v>
      </c>
    </row>
    <row r="564" ht="15.75" customHeight="1">
      <c r="B564" s="3">
        <f>IFERROR(__xludf.DUMMYFUNCTION("""COMPUTED_VALUE"""),43187.64583333333)</f>
        <v>43187.64583</v>
      </c>
      <c r="C564" s="2">
        <f>IFERROR(__xludf.DUMMYFUNCTION("""COMPUTED_VALUE"""),289.9)</f>
        <v>289.9</v>
      </c>
    </row>
    <row r="565" ht="15.75" customHeight="1">
      <c r="B565" s="3">
        <f>IFERROR(__xludf.DUMMYFUNCTION("""COMPUTED_VALUE"""),43196.64583333333)</f>
        <v>43196.64583</v>
      </c>
      <c r="C565" s="2">
        <f>IFERROR(__xludf.DUMMYFUNCTION("""COMPUTED_VALUE"""),291.75)</f>
        <v>291.75</v>
      </c>
    </row>
    <row r="566" ht="15.75" customHeight="1">
      <c r="B566" s="3">
        <f>IFERROR(__xludf.DUMMYFUNCTION("""COMPUTED_VALUE"""),43203.64583333333)</f>
        <v>43203.64583</v>
      </c>
      <c r="C566" s="2">
        <f>IFERROR(__xludf.DUMMYFUNCTION("""COMPUTED_VALUE"""),297.7)</f>
        <v>297.7</v>
      </c>
    </row>
    <row r="567" ht="15.75" customHeight="1">
      <c r="B567" s="3">
        <f>IFERROR(__xludf.DUMMYFUNCTION("""COMPUTED_VALUE"""),43210.64583333333)</f>
        <v>43210.64583</v>
      </c>
      <c r="C567" s="2">
        <f>IFERROR(__xludf.DUMMYFUNCTION("""COMPUTED_VALUE"""),313.5)</f>
        <v>313.5</v>
      </c>
    </row>
    <row r="568" ht="15.75" customHeight="1">
      <c r="B568" s="3">
        <f>IFERROR(__xludf.DUMMYFUNCTION("""COMPUTED_VALUE"""),43217.64583333333)</f>
        <v>43217.64583</v>
      </c>
      <c r="C568" s="2">
        <f>IFERROR(__xludf.DUMMYFUNCTION("""COMPUTED_VALUE"""),311.45)</f>
        <v>311.45</v>
      </c>
    </row>
    <row r="569" ht="15.75" customHeight="1">
      <c r="B569" s="3">
        <f>IFERROR(__xludf.DUMMYFUNCTION("""COMPUTED_VALUE"""),43224.64583333333)</f>
        <v>43224.64583</v>
      </c>
      <c r="C569" s="2">
        <f>IFERROR(__xludf.DUMMYFUNCTION("""COMPUTED_VALUE"""),302.25)</f>
        <v>302.25</v>
      </c>
    </row>
    <row r="570" ht="15.75" customHeight="1">
      <c r="B570" s="3">
        <f>IFERROR(__xludf.DUMMYFUNCTION("""COMPUTED_VALUE"""),43231.64583333333)</f>
        <v>43231.64583</v>
      </c>
      <c r="C570" s="2">
        <f>IFERROR(__xludf.DUMMYFUNCTION("""COMPUTED_VALUE"""),290.4)</f>
        <v>290.4</v>
      </c>
    </row>
    <row r="571" ht="15.75" customHeight="1">
      <c r="B571" s="3">
        <f>IFERROR(__xludf.DUMMYFUNCTION("""COMPUTED_VALUE"""),43238.64583333333)</f>
        <v>43238.64583</v>
      </c>
      <c r="C571" s="2">
        <f>IFERROR(__xludf.DUMMYFUNCTION("""COMPUTED_VALUE"""),288.35)</f>
        <v>288.35</v>
      </c>
    </row>
    <row r="572" ht="15.75" customHeight="1">
      <c r="B572" s="3">
        <f>IFERROR(__xludf.DUMMYFUNCTION("""COMPUTED_VALUE"""),43245.64583333333)</f>
        <v>43245.64583</v>
      </c>
      <c r="C572" s="2">
        <f>IFERROR(__xludf.DUMMYFUNCTION("""COMPUTED_VALUE"""),273.25)</f>
        <v>273.25</v>
      </c>
    </row>
    <row r="573" ht="15.75" customHeight="1">
      <c r="B573" s="3">
        <f>IFERROR(__xludf.DUMMYFUNCTION("""COMPUTED_VALUE"""),43252.64583333333)</f>
        <v>43252.64583</v>
      </c>
      <c r="C573" s="2">
        <f>IFERROR(__xludf.DUMMYFUNCTION("""COMPUTED_VALUE"""),258.4)</f>
        <v>258.4</v>
      </c>
    </row>
    <row r="574" ht="15.75" customHeight="1">
      <c r="B574" s="3">
        <f>IFERROR(__xludf.DUMMYFUNCTION("""COMPUTED_VALUE"""),43259.64583333333)</f>
        <v>43259.64583</v>
      </c>
      <c r="C574" s="2">
        <f>IFERROR(__xludf.DUMMYFUNCTION("""COMPUTED_VALUE"""),256.5)</f>
        <v>256.5</v>
      </c>
    </row>
    <row r="575" ht="15.75" customHeight="1">
      <c r="B575" s="3">
        <f>IFERROR(__xludf.DUMMYFUNCTION("""COMPUTED_VALUE"""),43266.64583333333)</f>
        <v>43266.64583</v>
      </c>
      <c r="C575" s="2">
        <f>IFERROR(__xludf.DUMMYFUNCTION("""COMPUTED_VALUE"""),248.0)</f>
        <v>248</v>
      </c>
    </row>
    <row r="576" ht="15.75" customHeight="1">
      <c r="B576" s="3">
        <f>IFERROR(__xludf.DUMMYFUNCTION("""COMPUTED_VALUE"""),43273.64583333333)</f>
        <v>43273.64583</v>
      </c>
      <c r="C576" s="2">
        <f>IFERROR(__xludf.DUMMYFUNCTION("""COMPUTED_VALUE"""),236.0)</f>
        <v>236</v>
      </c>
    </row>
    <row r="577" ht="15.75" customHeight="1">
      <c r="B577" s="3">
        <f>IFERROR(__xludf.DUMMYFUNCTION("""COMPUTED_VALUE"""),43280.64583333333)</f>
        <v>43280.64583</v>
      </c>
      <c r="C577" s="2">
        <f>IFERROR(__xludf.DUMMYFUNCTION("""COMPUTED_VALUE"""),239.5)</f>
        <v>239.5</v>
      </c>
    </row>
    <row r="578" ht="15.75" customHeight="1">
      <c r="B578" s="3">
        <f>IFERROR(__xludf.DUMMYFUNCTION("""COMPUTED_VALUE"""),43287.64583333333)</f>
        <v>43287.64583</v>
      </c>
      <c r="C578" s="2">
        <f>IFERROR(__xludf.DUMMYFUNCTION("""COMPUTED_VALUE"""),243.8)</f>
        <v>243.8</v>
      </c>
    </row>
    <row r="579" ht="15.75" customHeight="1">
      <c r="B579" s="3">
        <f>IFERROR(__xludf.DUMMYFUNCTION("""COMPUTED_VALUE"""),43294.64583333333)</f>
        <v>43294.64583</v>
      </c>
      <c r="C579" s="2">
        <f>IFERROR(__xludf.DUMMYFUNCTION("""COMPUTED_VALUE"""),228.0)</f>
        <v>228</v>
      </c>
    </row>
    <row r="580" ht="15.75" customHeight="1">
      <c r="B580" s="3">
        <f>IFERROR(__xludf.DUMMYFUNCTION("""COMPUTED_VALUE"""),43301.64583333333)</f>
        <v>43301.64583</v>
      </c>
      <c r="C580" s="2">
        <f>IFERROR(__xludf.DUMMYFUNCTION("""COMPUTED_VALUE"""),212.35)</f>
        <v>212.35</v>
      </c>
    </row>
    <row r="581" ht="15.75" customHeight="1">
      <c r="B581" s="3">
        <f>IFERROR(__xludf.DUMMYFUNCTION("""COMPUTED_VALUE"""),43308.64583333333)</f>
        <v>43308.64583</v>
      </c>
      <c r="C581" s="2">
        <f>IFERROR(__xludf.DUMMYFUNCTION("""COMPUTED_VALUE"""),221.75)</f>
        <v>221.75</v>
      </c>
    </row>
    <row r="582" ht="15.75" customHeight="1">
      <c r="B582" s="3">
        <f>IFERROR(__xludf.DUMMYFUNCTION("""COMPUTED_VALUE"""),43315.64583333333)</f>
        <v>43315.64583</v>
      </c>
      <c r="C582" s="2">
        <f>IFERROR(__xludf.DUMMYFUNCTION("""COMPUTED_VALUE"""),229.0)</f>
        <v>229</v>
      </c>
    </row>
    <row r="583" ht="15.75" customHeight="1">
      <c r="B583" s="3">
        <f>IFERROR(__xludf.DUMMYFUNCTION("""COMPUTED_VALUE"""),43322.64583333333)</f>
        <v>43322.64583</v>
      </c>
      <c r="C583" s="2">
        <f>IFERROR(__xludf.DUMMYFUNCTION("""COMPUTED_VALUE"""),233.7)</f>
        <v>233.7</v>
      </c>
    </row>
    <row r="584" ht="15.75" customHeight="1">
      <c r="B584" s="3">
        <f>IFERROR(__xludf.DUMMYFUNCTION("""COMPUTED_VALUE"""),43329.64583333333)</f>
        <v>43329.64583</v>
      </c>
      <c r="C584" s="2">
        <f>IFERROR(__xludf.DUMMYFUNCTION("""COMPUTED_VALUE"""),218.4)</f>
        <v>218.4</v>
      </c>
    </row>
    <row r="585" ht="15.75" customHeight="1">
      <c r="B585" s="3">
        <f>IFERROR(__xludf.DUMMYFUNCTION("""COMPUTED_VALUE"""),43336.64583333333)</f>
        <v>43336.64583</v>
      </c>
      <c r="C585" s="2">
        <f>IFERROR(__xludf.DUMMYFUNCTION("""COMPUTED_VALUE"""),225.0)</f>
        <v>225</v>
      </c>
    </row>
    <row r="586" ht="15.75" customHeight="1">
      <c r="B586" s="3">
        <f>IFERROR(__xludf.DUMMYFUNCTION("""COMPUTED_VALUE"""),43343.64583333333)</f>
        <v>43343.64583</v>
      </c>
      <c r="C586" s="2">
        <f>IFERROR(__xludf.DUMMYFUNCTION("""COMPUTED_VALUE"""),238.25)</f>
        <v>238.25</v>
      </c>
    </row>
    <row r="587" ht="15.75" customHeight="1">
      <c r="B587" s="3">
        <f>IFERROR(__xludf.DUMMYFUNCTION("""COMPUTED_VALUE"""),43350.64583333333)</f>
        <v>43350.64583</v>
      </c>
      <c r="C587" s="2">
        <f>IFERROR(__xludf.DUMMYFUNCTION("""COMPUTED_VALUE"""),233.7)</f>
        <v>233.7</v>
      </c>
    </row>
    <row r="588" ht="15.75" customHeight="1">
      <c r="B588" s="3">
        <f>IFERROR(__xludf.DUMMYFUNCTION("""COMPUTED_VALUE"""),43357.64583333333)</f>
        <v>43357.64583</v>
      </c>
      <c r="C588" s="2">
        <f>IFERROR(__xludf.DUMMYFUNCTION("""COMPUTED_VALUE"""),236.45)</f>
        <v>236.45</v>
      </c>
    </row>
    <row r="589" ht="15.75" customHeight="1">
      <c r="B589" s="3">
        <f>IFERROR(__xludf.DUMMYFUNCTION("""COMPUTED_VALUE"""),43364.64583333333)</f>
        <v>43364.64583</v>
      </c>
      <c r="C589" s="2">
        <f>IFERROR(__xludf.DUMMYFUNCTION("""COMPUTED_VALUE"""),237.75)</f>
        <v>237.75</v>
      </c>
    </row>
    <row r="590" ht="15.75" customHeight="1">
      <c r="B590" s="3">
        <f>IFERROR(__xludf.DUMMYFUNCTION("""COMPUTED_VALUE"""),43371.64583333333)</f>
        <v>43371.64583</v>
      </c>
      <c r="C590" s="2">
        <f>IFERROR(__xludf.DUMMYFUNCTION("""COMPUTED_VALUE"""),246.8)</f>
        <v>246.8</v>
      </c>
    </row>
    <row r="591" ht="15.75" customHeight="1">
      <c r="B591" s="3">
        <f>IFERROR(__xludf.DUMMYFUNCTION("""COMPUTED_VALUE"""),43378.64583333333)</f>
        <v>43378.64583</v>
      </c>
      <c r="C591" s="2">
        <f>IFERROR(__xludf.DUMMYFUNCTION("""COMPUTED_VALUE"""),246.9)</f>
        <v>246.9</v>
      </c>
    </row>
    <row r="592" ht="15.75" customHeight="1">
      <c r="B592" s="3">
        <f>IFERROR(__xludf.DUMMYFUNCTION("""COMPUTED_VALUE"""),43385.64583333333)</f>
        <v>43385.64583</v>
      </c>
      <c r="C592" s="2">
        <f>IFERROR(__xludf.DUMMYFUNCTION("""COMPUTED_VALUE"""),228.25)</f>
        <v>228.25</v>
      </c>
    </row>
    <row r="593" ht="15.75" customHeight="1">
      <c r="B593" s="3">
        <f>IFERROR(__xludf.DUMMYFUNCTION("""COMPUTED_VALUE"""),43392.64583333333)</f>
        <v>43392.64583</v>
      </c>
      <c r="C593" s="2">
        <f>IFERROR(__xludf.DUMMYFUNCTION("""COMPUTED_VALUE"""),216.9)</f>
        <v>216.9</v>
      </c>
    </row>
    <row r="594" ht="15.75" customHeight="1">
      <c r="B594" s="3">
        <f>IFERROR(__xludf.DUMMYFUNCTION("""COMPUTED_VALUE"""),43399.64583333333)</f>
        <v>43399.64583</v>
      </c>
      <c r="C594" s="2">
        <f>IFERROR(__xludf.DUMMYFUNCTION("""COMPUTED_VALUE"""),219.25)</f>
        <v>219.25</v>
      </c>
    </row>
    <row r="595" ht="15.75" customHeight="1">
      <c r="B595" s="3">
        <f>IFERROR(__xludf.DUMMYFUNCTION("""COMPUTED_VALUE"""),43406.64583333333)</f>
        <v>43406.64583</v>
      </c>
      <c r="C595" s="2">
        <f>IFERROR(__xludf.DUMMYFUNCTION("""COMPUTED_VALUE"""),227.35)</f>
        <v>227.35</v>
      </c>
    </row>
    <row r="596" ht="15.75" customHeight="1">
      <c r="B596" s="3">
        <f>IFERROR(__xludf.DUMMYFUNCTION("""COMPUTED_VALUE"""),43413.64583333333)</f>
        <v>43413.64583</v>
      </c>
      <c r="C596" s="2">
        <f>IFERROR(__xludf.DUMMYFUNCTION("""COMPUTED_VALUE"""),227.75)</f>
        <v>227.75</v>
      </c>
    </row>
    <row r="597" ht="15.75" customHeight="1">
      <c r="B597" s="3">
        <f>IFERROR(__xludf.DUMMYFUNCTION("""COMPUTED_VALUE"""),43420.64583333333)</f>
        <v>43420.64583</v>
      </c>
      <c r="C597" s="2">
        <f>IFERROR(__xludf.DUMMYFUNCTION("""COMPUTED_VALUE"""),210.9)</f>
        <v>210.9</v>
      </c>
    </row>
    <row r="598" ht="15.75" customHeight="1">
      <c r="B598" s="3">
        <f>IFERROR(__xludf.DUMMYFUNCTION("""COMPUTED_VALUE"""),43426.64583333333)</f>
        <v>43426.64583</v>
      </c>
      <c r="C598" s="2">
        <f>IFERROR(__xludf.DUMMYFUNCTION("""COMPUTED_VALUE"""),212.8)</f>
        <v>212.8</v>
      </c>
    </row>
    <row r="599" ht="15.75" customHeight="1">
      <c r="B599" s="3">
        <f>IFERROR(__xludf.DUMMYFUNCTION("""COMPUTED_VALUE"""),43434.64583333333)</f>
        <v>43434.64583</v>
      </c>
      <c r="C599" s="2">
        <f>IFERROR(__xludf.DUMMYFUNCTION("""COMPUTED_VALUE"""),201.9)</f>
        <v>201.9</v>
      </c>
    </row>
    <row r="600" ht="15.75" customHeight="1">
      <c r="B600" s="3">
        <f>IFERROR(__xludf.DUMMYFUNCTION("""COMPUTED_VALUE"""),43441.64583333333)</f>
        <v>43441.64583</v>
      </c>
      <c r="C600" s="2">
        <f>IFERROR(__xludf.DUMMYFUNCTION("""COMPUTED_VALUE"""),206.9)</f>
        <v>206.9</v>
      </c>
    </row>
    <row r="601" ht="15.75" customHeight="1">
      <c r="B601" s="3">
        <f>IFERROR(__xludf.DUMMYFUNCTION("""COMPUTED_VALUE"""),43448.64583333333)</f>
        <v>43448.64583</v>
      </c>
      <c r="C601" s="2">
        <f>IFERROR(__xludf.DUMMYFUNCTION("""COMPUTED_VALUE"""),203.2)</f>
        <v>203.2</v>
      </c>
    </row>
    <row r="602" ht="15.75" customHeight="1">
      <c r="B602" s="3">
        <f>IFERROR(__xludf.DUMMYFUNCTION("""COMPUTED_VALUE"""),43455.64583333333)</f>
        <v>43455.64583</v>
      </c>
      <c r="C602" s="2">
        <f>IFERROR(__xludf.DUMMYFUNCTION("""COMPUTED_VALUE"""),213.3)</f>
        <v>213.3</v>
      </c>
    </row>
    <row r="603" ht="15.75" customHeight="1">
      <c r="B603" s="3">
        <f>IFERROR(__xludf.DUMMYFUNCTION("""COMPUTED_VALUE"""),43462.64583333333)</f>
        <v>43462.64583</v>
      </c>
      <c r="C603" s="2">
        <f>IFERROR(__xludf.DUMMYFUNCTION("""COMPUTED_VALUE"""),202.25)</f>
        <v>202.25</v>
      </c>
    </row>
    <row r="604" ht="15.75" customHeight="1"/>
    <row r="605" ht="15.75" customHeight="1"/>
    <row r="606" ht="15.75" customHeight="1">
      <c r="B606" s="2" t="str">
        <f>IFERROR(__xludf.DUMMYFUNCTION("GOOGLEFINANCE(""NSE:VEDL"", ""high"",DATE(2019,1,1),DATE(2020,1,1),""weekly"")"),"Date")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IFERROR(__xludf.DUMMYFUNCTION("""COMPUTED_VALUE"""),43469.64583333333)</f>
        <v>43469.64583</v>
      </c>
      <c r="C607" s="2">
        <f>IFERROR(__xludf.DUMMYFUNCTION("""COMPUTED_VALUE"""),203.6)</f>
        <v>203.6</v>
      </c>
    </row>
    <row r="608" ht="15.75" customHeight="1">
      <c r="B608" s="3">
        <f>IFERROR(__xludf.DUMMYFUNCTION("""COMPUTED_VALUE"""),43476.64583333333)</f>
        <v>43476.64583</v>
      </c>
      <c r="C608" s="2">
        <f>IFERROR(__xludf.DUMMYFUNCTION("""COMPUTED_VALUE"""),198.65)</f>
        <v>198.65</v>
      </c>
    </row>
    <row r="609" ht="15.75" customHeight="1">
      <c r="B609" s="3">
        <f>IFERROR(__xludf.DUMMYFUNCTION("""COMPUTED_VALUE"""),43483.64583333333)</f>
        <v>43483.64583</v>
      </c>
      <c r="C609" s="2">
        <f>IFERROR(__xludf.DUMMYFUNCTION("""COMPUTED_VALUE"""),202.25)</f>
        <v>202.25</v>
      </c>
    </row>
    <row r="610" ht="15.75" customHeight="1">
      <c r="B610" s="3">
        <f>IFERROR(__xludf.DUMMYFUNCTION("""COMPUTED_VALUE"""),43490.64583333333)</f>
        <v>43490.64583</v>
      </c>
      <c r="C610" s="2">
        <f>IFERROR(__xludf.DUMMYFUNCTION("""COMPUTED_VALUE"""),200.5)</f>
        <v>200.5</v>
      </c>
    </row>
    <row r="611" ht="15.75" customHeight="1">
      <c r="B611" s="3">
        <f>IFERROR(__xludf.DUMMYFUNCTION("""COMPUTED_VALUE"""),43497.64583333333)</f>
        <v>43497.64583</v>
      </c>
      <c r="C611" s="2">
        <f>IFERROR(__xludf.DUMMYFUNCTION("""COMPUTED_VALUE"""),198.25)</f>
        <v>198.25</v>
      </c>
    </row>
    <row r="612" ht="15.75" customHeight="1">
      <c r="B612" s="3">
        <f>IFERROR(__xludf.DUMMYFUNCTION("""COMPUTED_VALUE"""),43504.64583333333)</f>
        <v>43504.64583</v>
      </c>
      <c r="C612" s="2">
        <f>IFERROR(__xludf.DUMMYFUNCTION("""COMPUTED_VALUE"""),165.65)</f>
        <v>165.65</v>
      </c>
    </row>
    <row r="613" ht="15.75" customHeight="1">
      <c r="B613" s="3">
        <f>IFERROR(__xludf.DUMMYFUNCTION("""COMPUTED_VALUE"""),43511.64583333333)</f>
        <v>43511.64583</v>
      </c>
      <c r="C613" s="2">
        <f>IFERROR(__xludf.DUMMYFUNCTION("""COMPUTED_VALUE"""),157.95)</f>
        <v>157.95</v>
      </c>
    </row>
    <row r="614" ht="15.75" customHeight="1">
      <c r="B614" s="3">
        <f>IFERROR(__xludf.DUMMYFUNCTION("""COMPUTED_VALUE"""),43518.64583333333)</f>
        <v>43518.64583</v>
      </c>
      <c r="C614" s="2">
        <f>IFERROR(__xludf.DUMMYFUNCTION("""COMPUTED_VALUE"""),170.0)</f>
        <v>170</v>
      </c>
    </row>
    <row r="615" ht="15.75" customHeight="1">
      <c r="B615" s="3">
        <f>IFERROR(__xludf.DUMMYFUNCTION("""COMPUTED_VALUE"""),43525.64583333333)</f>
        <v>43525.64583</v>
      </c>
      <c r="C615" s="2">
        <f>IFERROR(__xludf.DUMMYFUNCTION("""COMPUTED_VALUE"""),174.8)</f>
        <v>174.8</v>
      </c>
    </row>
    <row r="616" ht="15.75" customHeight="1">
      <c r="B616" s="3">
        <f>IFERROR(__xludf.DUMMYFUNCTION("""COMPUTED_VALUE"""),43532.64583333333)</f>
        <v>43532.64583</v>
      </c>
      <c r="C616" s="2">
        <f>IFERROR(__xludf.DUMMYFUNCTION("""COMPUTED_VALUE"""),180.0)</f>
        <v>180</v>
      </c>
    </row>
    <row r="617" ht="15.75" customHeight="1">
      <c r="B617" s="3">
        <f>IFERROR(__xludf.DUMMYFUNCTION("""COMPUTED_VALUE"""),43539.64583333333)</f>
        <v>43539.64583</v>
      </c>
      <c r="C617" s="2">
        <f>IFERROR(__xludf.DUMMYFUNCTION("""COMPUTED_VALUE"""),180.35)</f>
        <v>180.35</v>
      </c>
    </row>
    <row r="618" ht="15.75" customHeight="1">
      <c r="B618" s="3">
        <f>IFERROR(__xludf.DUMMYFUNCTION("""COMPUTED_VALUE"""),43546.64583333333)</f>
        <v>43546.64583</v>
      </c>
      <c r="C618" s="2">
        <f>IFERROR(__xludf.DUMMYFUNCTION("""COMPUTED_VALUE"""),176.6)</f>
        <v>176.6</v>
      </c>
    </row>
    <row r="619" ht="15.75" customHeight="1">
      <c r="B619" s="3">
        <f>IFERROR(__xludf.DUMMYFUNCTION("""COMPUTED_VALUE"""),43553.64583333333)</f>
        <v>43553.64583</v>
      </c>
      <c r="C619" s="2">
        <f>IFERROR(__xludf.DUMMYFUNCTION("""COMPUTED_VALUE"""),185.4)</f>
        <v>185.4</v>
      </c>
    </row>
    <row r="620" ht="15.75" customHeight="1">
      <c r="B620" s="3">
        <f>IFERROR(__xludf.DUMMYFUNCTION("""COMPUTED_VALUE"""),43560.64583333333)</f>
        <v>43560.64583</v>
      </c>
      <c r="C620" s="2">
        <f>IFERROR(__xludf.DUMMYFUNCTION("""COMPUTED_VALUE"""),193.4)</f>
        <v>193.4</v>
      </c>
    </row>
    <row r="621" ht="15.75" customHeight="1">
      <c r="B621" s="3">
        <f>IFERROR(__xludf.DUMMYFUNCTION("""COMPUTED_VALUE"""),43567.64583333333)</f>
        <v>43567.64583</v>
      </c>
      <c r="C621" s="2">
        <f>IFERROR(__xludf.DUMMYFUNCTION("""COMPUTED_VALUE"""),195.1)</f>
        <v>195.1</v>
      </c>
    </row>
    <row r="622" ht="15.75" customHeight="1">
      <c r="B622" s="3">
        <f>IFERROR(__xludf.DUMMYFUNCTION("""COMPUTED_VALUE"""),43573.64583333333)</f>
        <v>43573.64583</v>
      </c>
      <c r="C622" s="2">
        <f>IFERROR(__xludf.DUMMYFUNCTION("""COMPUTED_VALUE"""),189.75)</f>
        <v>189.75</v>
      </c>
    </row>
    <row r="623" ht="15.75" customHeight="1">
      <c r="B623" s="3">
        <f>IFERROR(__xludf.DUMMYFUNCTION("""COMPUTED_VALUE"""),43581.64583333333)</f>
        <v>43581.64583</v>
      </c>
      <c r="C623" s="2">
        <f>IFERROR(__xludf.DUMMYFUNCTION("""COMPUTED_VALUE"""),179.45)</f>
        <v>179.45</v>
      </c>
    </row>
    <row r="624" ht="15.75" customHeight="1">
      <c r="B624" s="3">
        <f>IFERROR(__xludf.DUMMYFUNCTION("""COMPUTED_VALUE"""),43588.64583333333)</f>
        <v>43588.64583</v>
      </c>
      <c r="C624" s="2">
        <f>IFERROR(__xludf.DUMMYFUNCTION("""COMPUTED_VALUE"""),170.35)</f>
        <v>170.35</v>
      </c>
    </row>
    <row r="625" ht="15.75" customHeight="1">
      <c r="B625" s="3">
        <f>IFERROR(__xludf.DUMMYFUNCTION("""COMPUTED_VALUE"""),43595.64583333333)</f>
        <v>43595.64583</v>
      </c>
      <c r="C625" s="2">
        <f>IFERROR(__xludf.DUMMYFUNCTION("""COMPUTED_VALUE"""),170.25)</f>
        <v>170.25</v>
      </c>
    </row>
    <row r="626" ht="15.75" customHeight="1">
      <c r="B626" s="3">
        <f>IFERROR(__xludf.DUMMYFUNCTION("""COMPUTED_VALUE"""),43602.64583333333)</f>
        <v>43602.64583</v>
      </c>
      <c r="C626" s="2">
        <f>IFERROR(__xludf.DUMMYFUNCTION("""COMPUTED_VALUE"""),164.3)</f>
        <v>164.3</v>
      </c>
    </row>
    <row r="627" ht="15.75" customHeight="1">
      <c r="B627" s="3">
        <f>IFERROR(__xludf.DUMMYFUNCTION("""COMPUTED_VALUE"""),43609.64583333333)</f>
        <v>43609.64583</v>
      </c>
      <c r="C627" s="2">
        <f>IFERROR(__xludf.DUMMYFUNCTION("""COMPUTED_VALUE"""),168.75)</f>
        <v>168.75</v>
      </c>
    </row>
    <row r="628" ht="15.75" customHeight="1">
      <c r="B628" s="3">
        <f>IFERROR(__xludf.DUMMYFUNCTION("""COMPUTED_VALUE"""),43616.64583333333)</f>
        <v>43616.64583</v>
      </c>
      <c r="C628" s="2">
        <f>IFERROR(__xludf.DUMMYFUNCTION("""COMPUTED_VALUE"""),171.7)</f>
        <v>171.7</v>
      </c>
    </row>
    <row r="629" ht="15.75" customHeight="1">
      <c r="B629" s="3">
        <f>IFERROR(__xludf.DUMMYFUNCTION("""COMPUTED_VALUE"""),43623.64583333333)</f>
        <v>43623.64583</v>
      </c>
      <c r="C629" s="2">
        <f>IFERROR(__xludf.DUMMYFUNCTION("""COMPUTED_VALUE"""),167.85)</f>
        <v>167.85</v>
      </c>
    </row>
    <row r="630" ht="15.75" customHeight="1">
      <c r="B630" s="3">
        <f>IFERROR(__xludf.DUMMYFUNCTION("""COMPUTED_VALUE"""),43630.64583333333)</f>
        <v>43630.64583</v>
      </c>
      <c r="C630" s="2">
        <f>IFERROR(__xludf.DUMMYFUNCTION("""COMPUTED_VALUE"""),173.3)</f>
        <v>173.3</v>
      </c>
    </row>
    <row r="631" ht="15.75" customHeight="1">
      <c r="B631" s="3">
        <f>IFERROR(__xludf.DUMMYFUNCTION("""COMPUTED_VALUE"""),43637.64583333333)</f>
        <v>43637.64583</v>
      </c>
      <c r="C631" s="2">
        <f>IFERROR(__xludf.DUMMYFUNCTION("""COMPUTED_VALUE"""),173.85)</f>
        <v>173.85</v>
      </c>
    </row>
    <row r="632" ht="15.75" customHeight="1">
      <c r="B632" s="3">
        <f>IFERROR(__xludf.DUMMYFUNCTION("""COMPUTED_VALUE"""),43644.64583333333)</f>
        <v>43644.64583</v>
      </c>
      <c r="C632" s="2">
        <f>IFERROR(__xludf.DUMMYFUNCTION("""COMPUTED_VALUE"""),180.0)</f>
        <v>180</v>
      </c>
    </row>
    <row r="633" ht="15.75" customHeight="1">
      <c r="B633" s="3">
        <f>IFERROR(__xludf.DUMMYFUNCTION("""COMPUTED_VALUE"""),43651.64583333333)</f>
        <v>43651.64583</v>
      </c>
      <c r="C633" s="2">
        <f>IFERROR(__xludf.DUMMYFUNCTION("""COMPUTED_VALUE"""),177.15)</f>
        <v>177.15</v>
      </c>
    </row>
    <row r="634" ht="15.75" customHeight="1">
      <c r="B634" s="3">
        <f>IFERROR(__xludf.DUMMYFUNCTION("""COMPUTED_VALUE"""),43658.64583333333)</f>
        <v>43658.64583</v>
      </c>
      <c r="C634" s="2">
        <f>IFERROR(__xludf.DUMMYFUNCTION("""COMPUTED_VALUE"""),168.65)</f>
        <v>168.65</v>
      </c>
    </row>
    <row r="635" ht="15.75" customHeight="1">
      <c r="B635" s="3">
        <f>IFERROR(__xludf.DUMMYFUNCTION("""COMPUTED_VALUE"""),43665.64583333333)</f>
        <v>43665.64583</v>
      </c>
      <c r="C635" s="2">
        <f>IFERROR(__xludf.DUMMYFUNCTION("""COMPUTED_VALUE"""),170.2)</f>
        <v>170.2</v>
      </c>
    </row>
    <row r="636" ht="15.75" customHeight="1">
      <c r="B636" s="3">
        <f>IFERROR(__xludf.DUMMYFUNCTION("""COMPUTED_VALUE"""),43672.64583333333)</f>
        <v>43672.64583</v>
      </c>
      <c r="C636" s="2">
        <f>IFERROR(__xludf.DUMMYFUNCTION("""COMPUTED_VALUE"""),175.9)</f>
        <v>175.9</v>
      </c>
    </row>
    <row r="637" ht="15.75" customHeight="1">
      <c r="B637" s="3">
        <f>IFERROR(__xludf.DUMMYFUNCTION("""COMPUTED_VALUE"""),43679.64583333333)</f>
        <v>43679.64583</v>
      </c>
      <c r="C637" s="2">
        <f>IFERROR(__xludf.DUMMYFUNCTION("""COMPUTED_VALUE"""),165.5)</f>
        <v>165.5</v>
      </c>
    </row>
    <row r="638" ht="15.75" customHeight="1">
      <c r="B638" s="3">
        <f>IFERROR(__xludf.DUMMYFUNCTION("""COMPUTED_VALUE"""),43686.64583333333)</f>
        <v>43686.64583</v>
      </c>
      <c r="C638" s="2">
        <f>IFERROR(__xludf.DUMMYFUNCTION("""COMPUTED_VALUE"""),144.8)</f>
        <v>144.8</v>
      </c>
    </row>
    <row r="639" ht="15.75" customHeight="1">
      <c r="B639" s="3">
        <f>IFERROR(__xludf.DUMMYFUNCTION("""COMPUTED_VALUE"""),43693.64583333333)</f>
        <v>43693.64583</v>
      </c>
      <c r="C639" s="2">
        <f>IFERROR(__xludf.DUMMYFUNCTION("""COMPUTED_VALUE"""),148.1)</f>
        <v>148.1</v>
      </c>
    </row>
    <row r="640" ht="15.75" customHeight="1">
      <c r="B640" s="3">
        <f>IFERROR(__xludf.DUMMYFUNCTION("""COMPUTED_VALUE"""),43700.64583333333)</f>
        <v>43700.64583</v>
      </c>
      <c r="C640" s="2">
        <f>IFERROR(__xludf.DUMMYFUNCTION("""COMPUTED_VALUE"""),146.15)</f>
        <v>146.15</v>
      </c>
    </row>
    <row r="641" ht="15.75" customHeight="1">
      <c r="B641" s="3">
        <f>IFERROR(__xludf.DUMMYFUNCTION("""COMPUTED_VALUE"""),43707.64583333333)</f>
        <v>43707.64583</v>
      </c>
      <c r="C641" s="2">
        <f>IFERROR(__xludf.DUMMYFUNCTION("""COMPUTED_VALUE"""),140.6)</f>
        <v>140.6</v>
      </c>
    </row>
    <row r="642" ht="15.75" customHeight="1">
      <c r="B642" s="3">
        <f>IFERROR(__xludf.DUMMYFUNCTION("""COMPUTED_VALUE"""),43714.64583333333)</f>
        <v>43714.64583</v>
      </c>
      <c r="C642" s="2">
        <f>IFERROR(__xludf.DUMMYFUNCTION("""COMPUTED_VALUE"""),143.0)</f>
        <v>143</v>
      </c>
    </row>
    <row r="643" ht="15.75" customHeight="1">
      <c r="B643" s="3">
        <f>IFERROR(__xludf.DUMMYFUNCTION("""COMPUTED_VALUE"""),43721.64583333333)</f>
        <v>43721.64583</v>
      </c>
      <c r="C643" s="2">
        <f>IFERROR(__xludf.DUMMYFUNCTION("""COMPUTED_VALUE"""),150.15)</f>
        <v>150.15</v>
      </c>
    </row>
    <row r="644" ht="15.75" customHeight="1">
      <c r="B644" s="3">
        <f>IFERROR(__xludf.DUMMYFUNCTION("""COMPUTED_VALUE"""),43728.64583333333)</f>
        <v>43728.64583</v>
      </c>
      <c r="C644" s="2">
        <f>IFERROR(__xludf.DUMMYFUNCTION("""COMPUTED_VALUE"""),161.4)</f>
        <v>161.4</v>
      </c>
    </row>
    <row r="645" ht="15.75" customHeight="1">
      <c r="B645" s="3">
        <f>IFERROR(__xludf.DUMMYFUNCTION("""COMPUTED_VALUE"""),43735.64583333333)</f>
        <v>43735.64583</v>
      </c>
      <c r="C645" s="2">
        <f>IFERROR(__xludf.DUMMYFUNCTION("""COMPUTED_VALUE"""),167.0)</f>
        <v>167</v>
      </c>
    </row>
    <row r="646" ht="15.75" customHeight="1">
      <c r="B646" s="3">
        <f>IFERROR(__xludf.DUMMYFUNCTION("""COMPUTED_VALUE"""),43742.64583333333)</f>
        <v>43742.64583</v>
      </c>
      <c r="C646" s="2">
        <f>IFERROR(__xludf.DUMMYFUNCTION("""COMPUTED_VALUE"""),156.1)</f>
        <v>156.1</v>
      </c>
    </row>
    <row r="647" ht="15.75" customHeight="1">
      <c r="B647" s="3">
        <f>IFERROR(__xludf.DUMMYFUNCTION("""COMPUTED_VALUE"""),43749.64583333333)</f>
        <v>43749.64583</v>
      </c>
      <c r="C647" s="2">
        <f>IFERROR(__xludf.DUMMYFUNCTION("""COMPUTED_VALUE"""),148.2)</f>
        <v>148.2</v>
      </c>
    </row>
    <row r="648" ht="15.75" customHeight="1">
      <c r="B648" s="3">
        <f>IFERROR(__xludf.DUMMYFUNCTION("""COMPUTED_VALUE"""),43756.64583333333)</f>
        <v>43756.64583</v>
      </c>
      <c r="C648" s="2">
        <f>IFERROR(__xludf.DUMMYFUNCTION("""COMPUTED_VALUE"""),155.9)</f>
        <v>155.9</v>
      </c>
    </row>
    <row r="649" ht="15.75" customHeight="1">
      <c r="B649" s="3">
        <f>IFERROR(__xludf.DUMMYFUNCTION("""COMPUTED_VALUE"""),43763.79166666667)</f>
        <v>43763.79167</v>
      </c>
      <c r="C649" s="2">
        <f>IFERROR(__xludf.DUMMYFUNCTION("""COMPUTED_VALUE"""),151.95)</f>
        <v>151.95</v>
      </c>
    </row>
    <row r="650" ht="15.75" customHeight="1">
      <c r="B650" s="3">
        <f>IFERROR(__xludf.DUMMYFUNCTION("""COMPUTED_VALUE"""),43770.64583333333)</f>
        <v>43770.64583</v>
      </c>
      <c r="C650" s="2">
        <f>IFERROR(__xludf.DUMMYFUNCTION("""COMPUTED_VALUE"""),155.0)</f>
        <v>155</v>
      </c>
    </row>
    <row r="651" ht="15.75" customHeight="1">
      <c r="B651" s="3">
        <f>IFERROR(__xludf.DUMMYFUNCTION("""COMPUTED_VALUE"""),43777.64583333333)</f>
        <v>43777.64583</v>
      </c>
      <c r="C651" s="2">
        <f>IFERROR(__xludf.DUMMYFUNCTION("""COMPUTED_VALUE"""),163.0)</f>
        <v>163</v>
      </c>
    </row>
    <row r="652" ht="15.75" customHeight="1">
      <c r="B652" s="3">
        <f>IFERROR(__xludf.DUMMYFUNCTION("""COMPUTED_VALUE"""),43784.64583333333)</f>
        <v>43784.64583</v>
      </c>
      <c r="C652" s="2">
        <f>IFERROR(__xludf.DUMMYFUNCTION("""COMPUTED_VALUE"""),156.25)</f>
        <v>156.25</v>
      </c>
    </row>
    <row r="653" ht="15.75" customHeight="1">
      <c r="B653" s="3">
        <f>IFERROR(__xludf.DUMMYFUNCTION("""COMPUTED_VALUE"""),43791.64583333333)</f>
        <v>43791.64583</v>
      </c>
      <c r="C653" s="2">
        <f>IFERROR(__xludf.DUMMYFUNCTION("""COMPUTED_VALUE"""),144.9)</f>
        <v>144.9</v>
      </c>
    </row>
    <row r="654" ht="15.75" customHeight="1">
      <c r="B654" s="3">
        <f>IFERROR(__xludf.DUMMYFUNCTION("""COMPUTED_VALUE"""),43798.64583333333)</f>
        <v>43798.64583</v>
      </c>
      <c r="C654" s="2">
        <f>IFERROR(__xludf.DUMMYFUNCTION("""COMPUTED_VALUE"""),148.8)</f>
        <v>148.8</v>
      </c>
    </row>
    <row r="655" ht="15.75" customHeight="1">
      <c r="B655" s="3">
        <f>IFERROR(__xludf.DUMMYFUNCTION("""COMPUTED_VALUE"""),43805.64583333333)</f>
        <v>43805.64583</v>
      </c>
      <c r="C655" s="2">
        <f>IFERROR(__xludf.DUMMYFUNCTION("""COMPUTED_VALUE"""),145.1)</f>
        <v>145.1</v>
      </c>
    </row>
    <row r="656" ht="15.75" customHeight="1">
      <c r="B656" s="3">
        <f>IFERROR(__xludf.DUMMYFUNCTION("""COMPUTED_VALUE"""),43812.64583333333)</f>
        <v>43812.64583</v>
      </c>
      <c r="C656" s="2">
        <f>IFERROR(__xludf.DUMMYFUNCTION("""COMPUTED_VALUE"""),150.7)</f>
        <v>150.7</v>
      </c>
    </row>
    <row r="657" ht="15.75" customHeight="1">
      <c r="B657" s="3">
        <f>IFERROR(__xludf.DUMMYFUNCTION("""COMPUTED_VALUE"""),43819.64583333333)</f>
        <v>43819.64583</v>
      </c>
      <c r="C657" s="2">
        <f>IFERROR(__xludf.DUMMYFUNCTION("""COMPUTED_VALUE"""),154.25)</f>
        <v>154.25</v>
      </c>
    </row>
    <row r="658" ht="15.75" customHeight="1">
      <c r="B658" s="3">
        <f>IFERROR(__xludf.DUMMYFUNCTION("""COMPUTED_VALUE"""),43826.64583333333)</f>
        <v>43826.64583</v>
      </c>
      <c r="C658" s="2">
        <f>IFERROR(__xludf.DUMMYFUNCTION("""COMPUTED_VALUE"""),152.9)</f>
        <v>152.9</v>
      </c>
    </row>
    <row r="659" ht="15.75" customHeight="1"/>
    <row r="660" ht="15.75" customHeight="1"/>
    <row r="661" ht="15.75" customHeight="1">
      <c r="B661" s="2" t="str">
        <f>IFERROR(__xludf.DUMMYFUNCTION("GOOGLEFINANCE(""NSE:VEDL"", ""high"",DATE(2019,1,1),DATE(2020,1,1),""weekly"")"),"Date")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IFERROR(__xludf.DUMMYFUNCTION("""COMPUTED_VALUE"""),43469.64583333333)</f>
        <v>43469.64583</v>
      </c>
      <c r="C662" s="2">
        <f>IFERROR(__xludf.DUMMYFUNCTION("""COMPUTED_VALUE"""),203.6)</f>
        <v>203.6</v>
      </c>
    </row>
    <row r="663" ht="15.75" customHeight="1">
      <c r="B663" s="3">
        <f>IFERROR(__xludf.DUMMYFUNCTION("""COMPUTED_VALUE"""),43476.64583333333)</f>
        <v>43476.64583</v>
      </c>
      <c r="C663" s="2">
        <f>IFERROR(__xludf.DUMMYFUNCTION("""COMPUTED_VALUE"""),198.65)</f>
        <v>198.65</v>
      </c>
    </row>
    <row r="664" ht="15.75" customHeight="1">
      <c r="B664" s="3">
        <f>IFERROR(__xludf.DUMMYFUNCTION("""COMPUTED_VALUE"""),43483.64583333333)</f>
        <v>43483.64583</v>
      </c>
      <c r="C664" s="2">
        <f>IFERROR(__xludf.DUMMYFUNCTION("""COMPUTED_VALUE"""),202.25)</f>
        <v>202.25</v>
      </c>
    </row>
    <row r="665" ht="15.75" customHeight="1">
      <c r="B665" s="3">
        <f>IFERROR(__xludf.DUMMYFUNCTION("""COMPUTED_VALUE"""),43490.64583333333)</f>
        <v>43490.64583</v>
      </c>
      <c r="C665" s="2">
        <f>IFERROR(__xludf.DUMMYFUNCTION("""COMPUTED_VALUE"""),200.5)</f>
        <v>200.5</v>
      </c>
    </row>
    <row r="666" ht="15.75" customHeight="1">
      <c r="B666" s="3">
        <f>IFERROR(__xludf.DUMMYFUNCTION("""COMPUTED_VALUE"""),43497.64583333333)</f>
        <v>43497.64583</v>
      </c>
      <c r="C666" s="2">
        <f>IFERROR(__xludf.DUMMYFUNCTION("""COMPUTED_VALUE"""),198.25)</f>
        <v>198.25</v>
      </c>
    </row>
    <row r="667" ht="15.75" customHeight="1">
      <c r="B667" s="3">
        <f>IFERROR(__xludf.DUMMYFUNCTION("""COMPUTED_VALUE"""),43504.64583333333)</f>
        <v>43504.64583</v>
      </c>
      <c r="C667" s="2">
        <f>IFERROR(__xludf.DUMMYFUNCTION("""COMPUTED_VALUE"""),165.65)</f>
        <v>165.65</v>
      </c>
    </row>
    <row r="668" ht="15.75" customHeight="1">
      <c r="B668" s="3">
        <f>IFERROR(__xludf.DUMMYFUNCTION("""COMPUTED_VALUE"""),43511.64583333333)</f>
        <v>43511.64583</v>
      </c>
      <c r="C668" s="2">
        <f>IFERROR(__xludf.DUMMYFUNCTION("""COMPUTED_VALUE"""),157.95)</f>
        <v>157.95</v>
      </c>
    </row>
    <row r="669" ht="15.75" customHeight="1">
      <c r="B669" s="3">
        <f>IFERROR(__xludf.DUMMYFUNCTION("""COMPUTED_VALUE"""),43518.64583333333)</f>
        <v>43518.64583</v>
      </c>
      <c r="C669" s="2">
        <f>IFERROR(__xludf.DUMMYFUNCTION("""COMPUTED_VALUE"""),170.0)</f>
        <v>170</v>
      </c>
    </row>
    <row r="670" ht="15.75" customHeight="1">
      <c r="B670" s="3">
        <f>IFERROR(__xludf.DUMMYFUNCTION("""COMPUTED_VALUE"""),43525.64583333333)</f>
        <v>43525.64583</v>
      </c>
      <c r="C670" s="2">
        <f>IFERROR(__xludf.DUMMYFUNCTION("""COMPUTED_VALUE"""),174.8)</f>
        <v>174.8</v>
      </c>
    </row>
    <row r="671" ht="15.75" customHeight="1">
      <c r="B671" s="3">
        <f>IFERROR(__xludf.DUMMYFUNCTION("""COMPUTED_VALUE"""),43532.64583333333)</f>
        <v>43532.64583</v>
      </c>
      <c r="C671" s="2">
        <f>IFERROR(__xludf.DUMMYFUNCTION("""COMPUTED_VALUE"""),180.0)</f>
        <v>180</v>
      </c>
    </row>
    <row r="672" ht="15.75" customHeight="1">
      <c r="B672" s="3">
        <f>IFERROR(__xludf.DUMMYFUNCTION("""COMPUTED_VALUE"""),43539.64583333333)</f>
        <v>43539.64583</v>
      </c>
      <c r="C672" s="2">
        <f>IFERROR(__xludf.DUMMYFUNCTION("""COMPUTED_VALUE"""),180.35)</f>
        <v>180.35</v>
      </c>
    </row>
    <row r="673" ht="15.75" customHeight="1">
      <c r="B673" s="3">
        <f>IFERROR(__xludf.DUMMYFUNCTION("""COMPUTED_VALUE"""),43546.64583333333)</f>
        <v>43546.64583</v>
      </c>
      <c r="C673" s="2">
        <f>IFERROR(__xludf.DUMMYFUNCTION("""COMPUTED_VALUE"""),176.6)</f>
        <v>176.6</v>
      </c>
    </row>
    <row r="674" ht="15.75" customHeight="1">
      <c r="B674" s="3">
        <f>IFERROR(__xludf.DUMMYFUNCTION("""COMPUTED_VALUE"""),43553.64583333333)</f>
        <v>43553.64583</v>
      </c>
      <c r="C674" s="2">
        <f>IFERROR(__xludf.DUMMYFUNCTION("""COMPUTED_VALUE"""),185.4)</f>
        <v>185.4</v>
      </c>
    </row>
    <row r="675" ht="15.75" customHeight="1">
      <c r="B675" s="3">
        <f>IFERROR(__xludf.DUMMYFUNCTION("""COMPUTED_VALUE"""),43560.64583333333)</f>
        <v>43560.64583</v>
      </c>
      <c r="C675" s="2">
        <f>IFERROR(__xludf.DUMMYFUNCTION("""COMPUTED_VALUE"""),193.4)</f>
        <v>193.4</v>
      </c>
    </row>
    <row r="676" ht="15.75" customHeight="1">
      <c r="B676" s="3">
        <f>IFERROR(__xludf.DUMMYFUNCTION("""COMPUTED_VALUE"""),43567.64583333333)</f>
        <v>43567.64583</v>
      </c>
      <c r="C676" s="2">
        <f>IFERROR(__xludf.DUMMYFUNCTION("""COMPUTED_VALUE"""),195.1)</f>
        <v>195.1</v>
      </c>
    </row>
    <row r="677" ht="15.75" customHeight="1">
      <c r="B677" s="3">
        <f>IFERROR(__xludf.DUMMYFUNCTION("""COMPUTED_VALUE"""),43573.64583333333)</f>
        <v>43573.64583</v>
      </c>
      <c r="C677" s="2">
        <f>IFERROR(__xludf.DUMMYFUNCTION("""COMPUTED_VALUE"""),189.75)</f>
        <v>189.75</v>
      </c>
    </row>
    <row r="678" ht="15.75" customHeight="1">
      <c r="B678" s="3">
        <f>IFERROR(__xludf.DUMMYFUNCTION("""COMPUTED_VALUE"""),43581.64583333333)</f>
        <v>43581.64583</v>
      </c>
      <c r="C678" s="2">
        <f>IFERROR(__xludf.DUMMYFUNCTION("""COMPUTED_VALUE"""),179.45)</f>
        <v>179.45</v>
      </c>
    </row>
    <row r="679" ht="15.75" customHeight="1">
      <c r="B679" s="3">
        <f>IFERROR(__xludf.DUMMYFUNCTION("""COMPUTED_VALUE"""),43588.64583333333)</f>
        <v>43588.64583</v>
      </c>
      <c r="C679" s="2">
        <f>IFERROR(__xludf.DUMMYFUNCTION("""COMPUTED_VALUE"""),170.35)</f>
        <v>170.35</v>
      </c>
    </row>
    <row r="680" ht="15.75" customHeight="1">
      <c r="B680" s="3">
        <f>IFERROR(__xludf.DUMMYFUNCTION("""COMPUTED_VALUE"""),43595.64583333333)</f>
        <v>43595.64583</v>
      </c>
      <c r="C680" s="2">
        <f>IFERROR(__xludf.DUMMYFUNCTION("""COMPUTED_VALUE"""),170.25)</f>
        <v>170.25</v>
      </c>
    </row>
    <row r="681" ht="15.75" customHeight="1">
      <c r="B681" s="3">
        <f>IFERROR(__xludf.DUMMYFUNCTION("""COMPUTED_VALUE"""),43602.64583333333)</f>
        <v>43602.64583</v>
      </c>
      <c r="C681" s="2">
        <f>IFERROR(__xludf.DUMMYFUNCTION("""COMPUTED_VALUE"""),164.3)</f>
        <v>164.3</v>
      </c>
    </row>
    <row r="682" ht="15.75" customHeight="1">
      <c r="B682" s="3">
        <f>IFERROR(__xludf.DUMMYFUNCTION("""COMPUTED_VALUE"""),43609.64583333333)</f>
        <v>43609.64583</v>
      </c>
      <c r="C682" s="2">
        <f>IFERROR(__xludf.DUMMYFUNCTION("""COMPUTED_VALUE"""),168.75)</f>
        <v>168.75</v>
      </c>
    </row>
    <row r="683" ht="15.75" customHeight="1">
      <c r="B683" s="3">
        <f>IFERROR(__xludf.DUMMYFUNCTION("""COMPUTED_VALUE"""),43616.64583333333)</f>
        <v>43616.64583</v>
      </c>
      <c r="C683" s="2">
        <f>IFERROR(__xludf.DUMMYFUNCTION("""COMPUTED_VALUE"""),171.7)</f>
        <v>171.7</v>
      </c>
    </row>
    <row r="684" ht="15.75" customHeight="1">
      <c r="B684" s="3">
        <f>IFERROR(__xludf.DUMMYFUNCTION("""COMPUTED_VALUE"""),43623.64583333333)</f>
        <v>43623.64583</v>
      </c>
      <c r="C684" s="2">
        <f>IFERROR(__xludf.DUMMYFUNCTION("""COMPUTED_VALUE"""),167.85)</f>
        <v>167.85</v>
      </c>
    </row>
    <row r="685" ht="15.75" customHeight="1">
      <c r="B685" s="3">
        <f>IFERROR(__xludf.DUMMYFUNCTION("""COMPUTED_VALUE"""),43630.64583333333)</f>
        <v>43630.64583</v>
      </c>
      <c r="C685" s="2">
        <f>IFERROR(__xludf.DUMMYFUNCTION("""COMPUTED_VALUE"""),173.3)</f>
        <v>173.3</v>
      </c>
    </row>
    <row r="686" ht="15.75" customHeight="1">
      <c r="B686" s="3">
        <f>IFERROR(__xludf.DUMMYFUNCTION("""COMPUTED_VALUE"""),43637.64583333333)</f>
        <v>43637.64583</v>
      </c>
      <c r="C686" s="2">
        <f>IFERROR(__xludf.DUMMYFUNCTION("""COMPUTED_VALUE"""),173.85)</f>
        <v>173.85</v>
      </c>
    </row>
    <row r="687" ht="15.75" customHeight="1">
      <c r="B687" s="3">
        <f>IFERROR(__xludf.DUMMYFUNCTION("""COMPUTED_VALUE"""),43644.64583333333)</f>
        <v>43644.64583</v>
      </c>
      <c r="C687" s="2">
        <f>IFERROR(__xludf.DUMMYFUNCTION("""COMPUTED_VALUE"""),180.0)</f>
        <v>180</v>
      </c>
    </row>
    <row r="688" ht="15.75" customHeight="1">
      <c r="B688" s="3">
        <f>IFERROR(__xludf.DUMMYFUNCTION("""COMPUTED_VALUE"""),43651.64583333333)</f>
        <v>43651.64583</v>
      </c>
      <c r="C688" s="2">
        <f>IFERROR(__xludf.DUMMYFUNCTION("""COMPUTED_VALUE"""),177.15)</f>
        <v>177.15</v>
      </c>
    </row>
    <row r="689" ht="15.75" customHeight="1">
      <c r="B689" s="3">
        <f>IFERROR(__xludf.DUMMYFUNCTION("""COMPUTED_VALUE"""),43658.64583333333)</f>
        <v>43658.64583</v>
      </c>
      <c r="C689" s="2">
        <f>IFERROR(__xludf.DUMMYFUNCTION("""COMPUTED_VALUE"""),168.65)</f>
        <v>168.65</v>
      </c>
    </row>
    <row r="690" ht="15.75" customHeight="1">
      <c r="B690" s="3">
        <f>IFERROR(__xludf.DUMMYFUNCTION("""COMPUTED_VALUE"""),43665.64583333333)</f>
        <v>43665.64583</v>
      </c>
      <c r="C690" s="2">
        <f>IFERROR(__xludf.DUMMYFUNCTION("""COMPUTED_VALUE"""),170.2)</f>
        <v>170.2</v>
      </c>
    </row>
    <row r="691" ht="15.75" customHeight="1">
      <c r="B691" s="3">
        <f>IFERROR(__xludf.DUMMYFUNCTION("""COMPUTED_VALUE"""),43672.64583333333)</f>
        <v>43672.64583</v>
      </c>
      <c r="C691" s="2">
        <f>IFERROR(__xludf.DUMMYFUNCTION("""COMPUTED_VALUE"""),175.9)</f>
        <v>175.9</v>
      </c>
    </row>
    <row r="692" ht="15.75" customHeight="1">
      <c r="B692" s="3">
        <f>IFERROR(__xludf.DUMMYFUNCTION("""COMPUTED_VALUE"""),43679.64583333333)</f>
        <v>43679.64583</v>
      </c>
      <c r="C692" s="2">
        <f>IFERROR(__xludf.DUMMYFUNCTION("""COMPUTED_VALUE"""),165.5)</f>
        <v>165.5</v>
      </c>
    </row>
    <row r="693" ht="15.75" customHeight="1">
      <c r="B693" s="3">
        <f>IFERROR(__xludf.DUMMYFUNCTION("""COMPUTED_VALUE"""),43686.64583333333)</f>
        <v>43686.64583</v>
      </c>
      <c r="C693" s="2">
        <f>IFERROR(__xludf.DUMMYFUNCTION("""COMPUTED_VALUE"""),144.8)</f>
        <v>144.8</v>
      </c>
    </row>
    <row r="694" ht="15.75" customHeight="1">
      <c r="B694" s="3">
        <f>IFERROR(__xludf.DUMMYFUNCTION("""COMPUTED_VALUE"""),43693.64583333333)</f>
        <v>43693.64583</v>
      </c>
      <c r="C694" s="2">
        <f>IFERROR(__xludf.DUMMYFUNCTION("""COMPUTED_VALUE"""),148.1)</f>
        <v>148.1</v>
      </c>
    </row>
    <row r="695" ht="15.75" customHeight="1">
      <c r="B695" s="3">
        <f>IFERROR(__xludf.DUMMYFUNCTION("""COMPUTED_VALUE"""),43700.64583333333)</f>
        <v>43700.64583</v>
      </c>
      <c r="C695" s="2">
        <f>IFERROR(__xludf.DUMMYFUNCTION("""COMPUTED_VALUE"""),146.15)</f>
        <v>146.15</v>
      </c>
    </row>
    <row r="696" ht="15.75" customHeight="1">
      <c r="B696" s="3">
        <f>IFERROR(__xludf.DUMMYFUNCTION("""COMPUTED_VALUE"""),43707.64583333333)</f>
        <v>43707.64583</v>
      </c>
      <c r="C696" s="2">
        <f>IFERROR(__xludf.DUMMYFUNCTION("""COMPUTED_VALUE"""),140.6)</f>
        <v>140.6</v>
      </c>
    </row>
    <row r="697" ht="15.75" customHeight="1">
      <c r="B697" s="3">
        <f>IFERROR(__xludf.DUMMYFUNCTION("""COMPUTED_VALUE"""),43714.64583333333)</f>
        <v>43714.64583</v>
      </c>
      <c r="C697" s="2">
        <f>IFERROR(__xludf.DUMMYFUNCTION("""COMPUTED_VALUE"""),143.0)</f>
        <v>143</v>
      </c>
    </row>
    <row r="698" ht="15.75" customHeight="1">
      <c r="B698" s="3">
        <f>IFERROR(__xludf.DUMMYFUNCTION("""COMPUTED_VALUE"""),43721.64583333333)</f>
        <v>43721.64583</v>
      </c>
      <c r="C698" s="2">
        <f>IFERROR(__xludf.DUMMYFUNCTION("""COMPUTED_VALUE"""),150.15)</f>
        <v>150.15</v>
      </c>
    </row>
    <row r="699" ht="15.75" customHeight="1">
      <c r="B699" s="3">
        <f>IFERROR(__xludf.DUMMYFUNCTION("""COMPUTED_VALUE"""),43728.64583333333)</f>
        <v>43728.64583</v>
      </c>
      <c r="C699" s="2">
        <f>IFERROR(__xludf.DUMMYFUNCTION("""COMPUTED_VALUE"""),161.4)</f>
        <v>161.4</v>
      </c>
    </row>
    <row r="700" ht="15.75" customHeight="1">
      <c r="B700" s="3">
        <f>IFERROR(__xludf.DUMMYFUNCTION("""COMPUTED_VALUE"""),43735.64583333333)</f>
        <v>43735.64583</v>
      </c>
      <c r="C700" s="2">
        <f>IFERROR(__xludf.DUMMYFUNCTION("""COMPUTED_VALUE"""),167.0)</f>
        <v>167</v>
      </c>
    </row>
    <row r="701" ht="15.75" customHeight="1">
      <c r="B701" s="3">
        <f>IFERROR(__xludf.DUMMYFUNCTION("""COMPUTED_VALUE"""),43742.64583333333)</f>
        <v>43742.64583</v>
      </c>
      <c r="C701" s="2">
        <f>IFERROR(__xludf.DUMMYFUNCTION("""COMPUTED_VALUE"""),156.1)</f>
        <v>156.1</v>
      </c>
    </row>
    <row r="702" ht="15.75" customHeight="1">
      <c r="B702" s="3">
        <f>IFERROR(__xludf.DUMMYFUNCTION("""COMPUTED_VALUE"""),43749.64583333333)</f>
        <v>43749.64583</v>
      </c>
      <c r="C702" s="2">
        <f>IFERROR(__xludf.DUMMYFUNCTION("""COMPUTED_VALUE"""),148.2)</f>
        <v>148.2</v>
      </c>
    </row>
    <row r="703" ht="15.75" customHeight="1">
      <c r="B703" s="3">
        <f>IFERROR(__xludf.DUMMYFUNCTION("""COMPUTED_VALUE"""),43756.64583333333)</f>
        <v>43756.64583</v>
      </c>
      <c r="C703" s="2">
        <f>IFERROR(__xludf.DUMMYFUNCTION("""COMPUTED_VALUE"""),155.9)</f>
        <v>155.9</v>
      </c>
    </row>
    <row r="704" ht="15.75" customHeight="1">
      <c r="B704" s="3">
        <f>IFERROR(__xludf.DUMMYFUNCTION("""COMPUTED_VALUE"""),43763.79166666667)</f>
        <v>43763.79167</v>
      </c>
      <c r="C704" s="2">
        <f>IFERROR(__xludf.DUMMYFUNCTION("""COMPUTED_VALUE"""),151.95)</f>
        <v>151.95</v>
      </c>
    </row>
    <row r="705" ht="15.75" customHeight="1">
      <c r="B705" s="3">
        <f>IFERROR(__xludf.DUMMYFUNCTION("""COMPUTED_VALUE"""),43770.64583333333)</f>
        <v>43770.64583</v>
      </c>
      <c r="C705" s="2">
        <f>IFERROR(__xludf.DUMMYFUNCTION("""COMPUTED_VALUE"""),155.0)</f>
        <v>155</v>
      </c>
    </row>
    <row r="706" ht="15.75" customHeight="1">
      <c r="B706" s="3">
        <f>IFERROR(__xludf.DUMMYFUNCTION("""COMPUTED_VALUE"""),43777.64583333333)</f>
        <v>43777.64583</v>
      </c>
      <c r="C706" s="2">
        <f>IFERROR(__xludf.DUMMYFUNCTION("""COMPUTED_VALUE"""),163.0)</f>
        <v>163</v>
      </c>
    </row>
    <row r="707" ht="15.75" customHeight="1">
      <c r="B707" s="3">
        <f>IFERROR(__xludf.DUMMYFUNCTION("""COMPUTED_VALUE"""),43784.64583333333)</f>
        <v>43784.64583</v>
      </c>
      <c r="C707" s="2">
        <f>IFERROR(__xludf.DUMMYFUNCTION("""COMPUTED_VALUE"""),156.25)</f>
        <v>156.25</v>
      </c>
    </row>
    <row r="708" ht="15.75" customHeight="1">
      <c r="B708" s="3">
        <f>IFERROR(__xludf.DUMMYFUNCTION("""COMPUTED_VALUE"""),43791.64583333333)</f>
        <v>43791.64583</v>
      </c>
      <c r="C708" s="2">
        <f>IFERROR(__xludf.DUMMYFUNCTION("""COMPUTED_VALUE"""),144.9)</f>
        <v>144.9</v>
      </c>
    </row>
    <row r="709" ht="15.75" customHeight="1">
      <c r="B709" s="3">
        <f>IFERROR(__xludf.DUMMYFUNCTION("""COMPUTED_VALUE"""),43798.64583333333)</f>
        <v>43798.64583</v>
      </c>
      <c r="C709" s="2">
        <f>IFERROR(__xludf.DUMMYFUNCTION("""COMPUTED_VALUE"""),148.8)</f>
        <v>148.8</v>
      </c>
    </row>
    <row r="710" ht="15.75" customHeight="1">
      <c r="B710" s="3">
        <f>IFERROR(__xludf.DUMMYFUNCTION("""COMPUTED_VALUE"""),43805.64583333333)</f>
        <v>43805.64583</v>
      </c>
      <c r="C710" s="2">
        <f>IFERROR(__xludf.DUMMYFUNCTION("""COMPUTED_VALUE"""),145.1)</f>
        <v>145.1</v>
      </c>
    </row>
    <row r="711" ht="15.75" customHeight="1">
      <c r="B711" s="3">
        <f>IFERROR(__xludf.DUMMYFUNCTION("""COMPUTED_VALUE"""),43812.64583333333)</f>
        <v>43812.64583</v>
      </c>
      <c r="C711" s="2">
        <f>IFERROR(__xludf.DUMMYFUNCTION("""COMPUTED_VALUE"""),150.7)</f>
        <v>150.7</v>
      </c>
    </row>
    <row r="712" ht="15.75" customHeight="1">
      <c r="B712" s="3">
        <f>IFERROR(__xludf.DUMMYFUNCTION("""COMPUTED_VALUE"""),43819.64583333333)</f>
        <v>43819.64583</v>
      </c>
      <c r="C712" s="2">
        <f>IFERROR(__xludf.DUMMYFUNCTION("""COMPUTED_VALUE"""),154.25)</f>
        <v>154.25</v>
      </c>
    </row>
    <row r="713" ht="15.75" customHeight="1">
      <c r="B713" s="3">
        <f>IFERROR(__xludf.DUMMYFUNCTION("""COMPUTED_VALUE"""),43826.64583333333)</f>
        <v>43826.64583</v>
      </c>
      <c r="C713" s="2">
        <f>IFERROR(__xludf.DUMMYFUNCTION("""COMPUTED_VALUE"""),152.9)</f>
        <v>152.9</v>
      </c>
    </row>
    <row r="714" ht="15.75" customHeight="1"/>
    <row r="715" ht="15.75" customHeight="1"/>
    <row r="716" ht="15.75" customHeight="1">
      <c r="B716" s="2" t="str">
        <f>IFERROR(__xludf.DUMMYFUNCTION("GOOGLEFINANCE(""NSE:VEDL"", ""high"",DATE(2020,1,1),DATE(2021,1,1),""weekly"")"),"Date")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IFERROR(__xludf.DUMMYFUNCTION("""COMPUTED_VALUE"""),43833.64583333333)</f>
        <v>43833.64583</v>
      </c>
      <c r="C717" s="2">
        <f>IFERROR(__xludf.DUMMYFUNCTION("""COMPUTED_VALUE"""),160.9)</f>
        <v>160.9</v>
      </c>
    </row>
    <row r="718" ht="15.75" customHeight="1">
      <c r="B718" s="3">
        <f>IFERROR(__xludf.DUMMYFUNCTION("""COMPUTED_VALUE"""),43840.64583333333)</f>
        <v>43840.64583</v>
      </c>
      <c r="C718" s="2">
        <f>IFERROR(__xludf.DUMMYFUNCTION("""COMPUTED_VALUE"""),163.3)</f>
        <v>163.3</v>
      </c>
    </row>
    <row r="719" ht="15.75" customHeight="1">
      <c r="B719" s="3">
        <f>IFERROR(__xludf.DUMMYFUNCTION("""COMPUTED_VALUE"""),43847.64583333333)</f>
        <v>43847.64583</v>
      </c>
      <c r="C719" s="2">
        <f>IFERROR(__xludf.DUMMYFUNCTION("""COMPUTED_VALUE"""),166.1)</f>
        <v>166.1</v>
      </c>
    </row>
    <row r="720" ht="15.75" customHeight="1">
      <c r="B720" s="3">
        <f>IFERROR(__xludf.DUMMYFUNCTION("""COMPUTED_VALUE"""),43854.64583333333)</f>
        <v>43854.64583</v>
      </c>
      <c r="C720" s="2">
        <f>IFERROR(__xludf.DUMMYFUNCTION("""COMPUTED_VALUE"""),159.9)</f>
        <v>159.9</v>
      </c>
    </row>
    <row r="721" ht="15.75" customHeight="1">
      <c r="B721" s="3">
        <f>IFERROR(__xludf.DUMMYFUNCTION("""COMPUTED_VALUE"""),43862.70833333333)</f>
        <v>43862.70833</v>
      </c>
      <c r="C721" s="2">
        <f>IFERROR(__xludf.DUMMYFUNCTION("""COMPUTED_VALUE"""),153.4)</f>
        <v>153.4</v>
      </c>
    </row>
    <row r="722" ht="15.75" customHeight="1">
      <c r="B722" s="3">
        <f>IFERROR(__xludf.DUMMYFUNCTION("""COMPUTED_VALUE"""),43868.64583333333)</f>
        <v>43868.64583</v>
      </c>
      <c r="C722" s="2">
        <f>IFERROR(__xludf.DUMMYFUNCTION("""COMPUTED_VALUE"""),146.8)</f>
        <v>146.8</v>
      </c>
    </row>
    <row r="723" ht="15.75" customHeight="1">
      <c r="B723" s="3">
        <f>IFERROR(__xludf.DUMMYFUNCTION("""COMPUTED_VALUE"""),43875.64583333333)</f>
        <v>43875.64583</v>
      </c>
      <c r="C723" s="2">
        <f>IFERROR(__xludf.DUMMYFUNCTION("""COMPUTED_VALUE"""),143.9)</f>
        <v>143.9</v>
      </c>
    </row>
    <row r="724" ht="15.75" customHeight="1">
      <c r="B724" s="3">
        <f>IFERROR(__xludf.DUMMYFUNCTION("""COMPUTED_VALUE"""),43881.64583333333)</f>
        <v>43881.64583</v>
      </c>
      <c r="C724" s="2">
        <f>IFERROR(__xludf.DUMMYFUNCTION("""COMPUTED_VALUE"""),144.75)</f>
        <v>144.75</v>
      </c>
    </row>
    <row r="725" ht="15.75" customHeight="1">
      <c r="B725" s="3">
        <f>IFERROR(__xludf.DUMMYFUNCTION("""COMPUTED_VALUE"""),43889.64583333333)</f>
        <v>43889.64583</v>
      </c>
      <c r="C725" s="2">
        <f>IFERROR(__xludf.DUMMYFUNCTION("""COMPUTED_VALUE"""),139.95)</f>
        <v>139.95</v>
      </c>
    </row>
    <row r="726" ht="15.75" customHeight="1">
      <c r="B726" s="3">
        <f>IFERROR(__xludf.DUMMYFUNCTION("""COMPUTED_VALUE"""),43896.64583333333)</f>
        <v>43896.64583</v>
      </c>
      <c r="C726" s="2">
        <f>IFERROR(__xludf.DUMMYFUNCTION("""COMPUTED_VALUE"""),122.2)</f>
        <v>122.2</v>
      </c>
    </row>
    <row r="727" ht="15.75" customHeight="1">
      <c r="B727" s="3">
        <f>IFERROR(__xludf.DUMMYFUNCTION("""COMPUTED_VALUE"""),43903.64583333333)</f>
        <v>43903.64583</v>
      </c>
      <c r="C727" s="2">
        <f>IFERROR(__xludf.DUMMYFUNCTION("""COMPUTED_VALUE"""),105.45)</f>
        <v>105.45</v>
      </c>
    </row>
    <row r="728" ht="15.75" customHeight="1">
      <c r="B728" s="3">
        <f>IFERROR(__xludf.DUMMYFUNCTION("""COMPUTED_VALUE"""),43910.64583333333)</f>
        <v>43910.64583</v>
      </c>
      <c r="C728" s="2">
        <f>IFERROR(__xludf.DUMMYFUNCTION("""COMPUTED_VALUE"""),80.7)</f>
        <v>80.7</v>
      </c>
    </row>
    <row r="729" ht="15.75" customHeight="1">
      <c r="B729" s="3">
        <f>IFERROR(__xludf.DUMMYFUNCTION("""COMPUTED_VALUE"""),43917.64583333333)</f>
        <v>43917.64583</v>
      </c>
      <c r="C729" s="2">
        <f>IFERROR(__xludf.DUMMYFUNCTION("""COMPUTED_VALUE"""),71.3)</f>
        <v>71.3</v>
      </c>
    </row>
    <row r="730" ht="15.75" customHeight="1">
      <c r="B730" s="3">
        <f>IFERROR(__xludf.DUMMYFUNCTION("""COMPUTED_VALUE"""),43924.64583333333)</f>
        <v>43924.64583</v>
      </c>
      <c r="C730" s="2">
        <f>IFERROR(__xludf.DUMMYFUNCTION("""COMPUTED_VALUE"""),67.0)</f>
        <v>67</v>
      </c>
    </row>
    <row r="731" ht="15.75" customHeight="1">
      <c r="B731" s="3">
        <f>IFERROR(__xludf.DUMMYFUNCTION("""COMPUTED_VALUE"""),43930.64583333333)</f>
        <v>43930.64583</v>
      </c>
      <c r="C731" s="2">
        <f>IFERROR(__xludf.DUMMYFUNCTION("""COMPUTED_VALUE"""),77.3)</f>
        <v>77.3</v>
      </c>
    </row>
    <row r="732" ht="15.75" customHeight="1">
      <c r="B732" s="3">
        <f>IFERROR(__xludf.DUMMYFUNCTION("""COMPUTED_VALUE"""),43938.64583333333)</f>
        <v>43938.64583</v>
      </c>
      <c r="C732" s="2">
        <f>IFERROR(__xludf.DUMMYFUNCTION("""COMPUTED_VALUE"""),87.0)</f>
        <v>87</v>
      </c>
    </row>
    <row r="733" ht="15.75" customHeight="1">
      <c r="B733" s="3">
        <f>IFERROR(__xludf.DUMMYFUNCTION("""COMPUTED_VALUE"""),43945.64583333333)</f>
        <v>43945.64583</v>
      </c>
      <c r="C733" s="2">
        <f>IFERROR(__xludf.DUMMYFUNCTION("""COMPUTED_VALUE"""),86.45)</f>
        <v>86.45</v>
      </c>
    </row>
    <row r="734" ht="15.75" customHeight="1">
      <c r="B734" s="3">
        <f>IFERROR(__xludf.DUMMYFUNCTION("""COMPUTED_VALUE"""),43951.64583333333)</f>
        <v>43951.64583</v>
      </c>
      <c r="C734" s="2">
        <f>IFERROR(__xludf.DUMMYFUNCTION("""COMPUTED_VALUE"""),91.0)</f>
        <v>91</v>
      </c>
    </row>
    <row r="735" ht="15.75" customHeight="1">
      <c r="B735" s="3">
        <f>IFERROR(__xludf.DUMMYFUNCTION("""COMPUTED_VALUE"""),43959.64583333333)</f>
        <v>43959.64583</v>
      </c>
      <c r="C735" s="2">
        <f>IFERROR(__xludf.DUMMYFUNCTION("""COMPUTED_VALUE"""),83.7)</f>
        <v>83.7</v>
      </c>
    </row>
    <row r="736" ht="15.75" customHeight="1">
      <c r="B736" s="3">
        <f>IFERROR(__xludf.DUMMYFUNCTION("""COMPUTED_VALUE"""),43966.64583333333)</f>
        <v>43966.64583</v>
      </c>
      <c r="C736" s="2">
        <f>IFERROR(__xludf.DUMMYFUNCTION("""COMPUTED_VALUE"""),97.95)</f>
        <v>97.95</v>
      </c>
    </row>
    <row r="737" ht="15.75" customHeight="1">
      <c r="B737" s="3">
        <f>IFERROR(__xludf.DUMMYFUNCTION("""COMPUTED_VALUE"""),43973.64583333333)</f>
        <v>43973.64583</v>
      </c>
      <c r="C737" s="2">
        <f>IFERROR(__xludf.DUMMYFUNCTION("""COMPUTED_VALUE"""),95.65)</f>
        <v>95.65</v>
      </c>
    </row>
    <row r="738" ht="15.75" customHeight="1">
      <c r="B738" s="3">
        <f>IFERROR(__xludf.DUMMYFUNCTION("""COMPUTED_VALUE"""),43980.64583333333)</f>
        <v>43980.64583</v>
      </c>
      <c r="C738" s="2">
        <f>IFERROR(__xludf.DUMMYFUNCTION("""COMPUTED_VALUE"""),92.7)</f>
        <v>92.7</v>
      </c>
    </row>
    <row r="739" ht="15.75" customHeight="1">
      <c r="B739" s="3">
        <f>IFERROR(__xludf.DUMMYFUNCTION("""COMPUTED_VALUE"""),43987.64583333333)</f>
        <v>43987.64583</v>
      </c>
      <c r="C739" s="2">
        <f>IFERROR(__xludf.DUMMYFUNCTION("""COMPUTED_VALUE"""),106.25)</f>
        <v>106.25</v>
      </c>
    </row>
    <row r="740" ht="15.75" customHeight="1">
      <c r="B740" s="3">
        <f>IFERROR(__xludf.DUMMYFUNCTION("""COMPUTED_VALUE"""),43994.64583333333)</f>
        <v>43994.64583</v>
      </c>
      <c r="C740" s="2">
        <f>IFERROR(__xludf.DUMMYFUNCTION("""COMPUTED_VALUE"""),111.15)</f>
        <v>111.15</v>
      </c>
    </row>
    <row r="741" ht="15.75" customHeight="1">
      <c r="B741" s="3">
        <f>IFERROR(__xludf.DUMMYFUNCTION("""COMPUTED_VALUE"""),44001.64583333333)</f>
        <v>44001.64583</v>
      </c>
      <c r="C741" s="2">
        <f>IFERROR(__xludf.DUMMYFUNCTION("""COMPUTED_VALUE"""),109.4)</f>
        <v>109.4</v>
      </c>
    </row>
    <row r="742" ht="15.75" customHeight="1">
      <c r="B742" s="3">
        <f>IFERROR(__xludf.DUMMYFUNCTION("""COMPUTED_VALUE"""),44008.64583333333)</f>
        <v>44008.64583</v>
      </c>
      <c r="C742" s="2">
        <f>IFERROR(__xludf.DUMMYFUNCTION("""COMPUTED_VALUE"""),113.5)</f>
        <v>113.5</v>
      </c>
    </row>
    <row r="743" ht="15.75" customHeight="1">
      <c r="B743" s="3">
        <f>IFERROR(__xludf.DUMMYFUNCTION("""COMPUTED_VALUE"""),44015.64583333333)</f>
        <v>44015.64583</v>
      </c>
      <c r="C743" s="2">
        <f>IFERROR(__xludf.DUMMYFUNCTION("""COMPUTED_VALUE"""),110.4)</f>
        <v>110.4</v>
      </c>
    </row>
    <row r="744" ht="15.75" customHeight="1">
      <c r="B744" s="3">
        <f>IFERROR(__xludf.DUMMYFUNCTION("""COMPUTED_VALUE"""),44022.64583333333)</f>
        <v>44022.64583</v>
      </c>
      <c r="C744" s="2">
        <f>IFERROR(__xludf.DUMMYFUNCTION("""COMPUTED_VALUE"""),114.45)</f>
        <v>114.45</v>
      </c>
    </row>
    <row r="745" ht="15.75" customHeight="1">
      <c r="B745" s="3">
        <f>IFERROR(__xludf.DUMMYFUNCTION("""COMPUTED_VALUE"""),44029.64583333333)</f>
        <v>44029.64583</v>
      </c>
      <c r="C745" s="2">
        <f>IFERROR(__xludf.DUMMYFUNCTION("""COMPUTED_VALUE"""),114.2)</f>
        <v>114.2</v>
      </c>
    </row>
    <row r="746" ht="15.75" customHeight="1">
      <c r="B746" s="3">
        <f>IFERROR(__xludf.DUMMYFUNCTION("""COMPUTED_VALUE"""),44036.64583333333)</f>
        <v>44036.64583</v>
      </c>
      <c r="C746" s="2">
        <f>IFERROR(__xludf.DUMMYFUNCTION("""COMPUTED_VALUE"""),117.9)</f>
        <v>117.9</v>
      </c>
    </row>
    <row r="747" ht="15.75" customHeight="1">
      <c r="B747" s="3">
        <f>IFERROR(__xludf.DUMMYFUNCTION("""COMPUTED_VALUE"""),44043.64583333333)</f>
        <v>44043.64583</v>
      </c>
      <c r="C747" s="2">
        <f>IFERROR(__xludf.DUMMYFUNCTION("""COMPUTED_VALUE"""),115.2)</f>
        <v>115.2</v>
      </c>
    </row>
    <row r="748" ht="15.75" customHeight="1">
      <c r="B748" s="3">
        <f>IFERROR(__xludf.DUMMYFUNCTION("""COMPUTED_VALUE"""),44050.64583333333)</f>
        <v>44050.64583</v>
      </c>
      <c r="C748" s="2">
        <f>IFERROR(__xludf.DUMMYFUNCTION("""COMPUTED_VALUE"""),126.65)</f>
        <v>126.65</v>
      </c>
    </row>
    <row r="749" ht="15.75" customHeight="1">
      <c r="B749" s="3">
        <f>IFERROR(__xludf.DUMMYFUNCTION("""COMPUTED_VALUE"""),44057.64583333333)</f>
        <v>44057.64583</v>
      </c>
      <c r="C749" s="2">
        <f>IFERROR(__xludf.DUMMYFUNCTION("""COMPUTED_VALUE"""),128.1)</f>
        <v>128.1</v>
      </c>
    </row>
    <row r="750" ht="15.75" customHeight="1">
      <c r="B750" s="3">
        <f>IFERROR(__xludf.DUMMYFUNCTION("""COMPUTED_VALUE"""),44064.64583333333)</f>
        <v>44064.64583</v>
      </c>
      <c r="C750" s="2">
        <f>IFERROR(__xludf.DUMMYFUNCTION("""COMPUTED_VALUE"""),132.35)</f>
        <v>132.35</v>
      </c>
    </row>
    <row r="751" ht="15.75" customHeight="1">
      <c r="B751" s="3">
        <f>IFERROR(__xludf.DUMMYFUNCTION("""COMPUTED_VALUE"""),44071.64583333333)</f>
        <v>44071.64583</v>
      </c>
      <c r="C751" s="2">
        <f>IFERROR(__xludf.DUMMYFUNCTION("""COMPUTED_VALUE"""),131.5)</f>
        <v>131.5</v>
      </c>
    </row>
    <row r="752" ht="15.75" customHeight="1">
      <c r="B752" s="3">
        <f>IFERROR(__xludf.DUMMYFUNCTION("""COMPUTED_VALUE"""),44078.64583333333)</f>
        <v>44078.64583</v>
      </c>
      <c r="C752" s="2">
        <f>IFERROR(__xludf.DUMMYFUNCTION("""COMPUTED_VALUE"""),134.65)</f>
        <v>134.65</v>
      </c>
    </row>
    <row r="753" ht="15.75" customHeight="1">
      <c r="B753" s="3">
        <f>IFERROR(__xludf.DUMMYFUNCTION("""COMPUTED_VALUE"""),44085.64583333333)</f>
        <v>44085.64583</v>
      </c>
      <c r="C753" s="2">
        <f>IFERROR(__xludf.DUMMYFUNCTION("""COMPUTED_VALUE"""),132.5)</f>
        <v>132.5</v>
      </c>
    </row>
    <row r="754" ht="15.75" customHeight="1">
      <c r="B754" s="3">
        <f>IFERROR(__xludf.DUMMYFUNCTION("""COMPUTED_VALUE"""),44092.64583333333)</f>
        <v>44092.64583</v>
      </c>
      <c r="C754" s="2">
        <f>IFERROR(__xludf.DUMMYFUNCTION("""COMPUTED_VALUE"""),136.0)</f>
        <v>136</v>
      </c>
    </row>
    <row r="755" ht="15.75" customHeight="1">
      <c r="B755" s="3">
        <f>IFERROR(__xludf.DUMMYFUNCTION("""COMPUTED_VALUE"""),44099.64583333333)</f>
        <v>44099.64583</v>
      </c>
      <c r="C755" s="2">
        <f>IFERROR(__xludf.DUMMYFUNCTION("""COMPUTED_VALUE"""),138.4)</f>
        <v>138.4</v>
      </c>
    </row>
    <row r="756" ht="15.75" customHeight="1">
      <c r="B756" s="3">
        <f>IFERROR(__xludf.DUMMYFUNCTION("""COMPUTED_VALUE"""),44105.64583333333)</f>
        <v>44105.64583</v>
      </c>
      <c r="C756" s="2">
        <f>IFERROR(__xludf.DUMMYFUNCTION("""COMPUTED_VALUE"""),141.5)</f>
        <v>141.5</v>
      </c>
    </row>
    <row r="757" ht="15.75" customHeight="1">
      <c r="B757" s="3">
        <f>IFERROR(__xludf.DUMMYFUNCTION("""COMPUTED_VALUE"""),44113.64583333333)</f>
        <v>44113.64583</v>
      </c>
      <c r="C757" s="2">
        <f>IFERROR(__xludf.DUMMYFUNCTION("""COMPUTED_VALUE"""),140.2)</f>
        <v>140.2</v>
      </c>
    </row>
    <row r="758" ht="15.75" customHeight="1">
      <c r="B758" s="3">
        <f>IFERROR(__xludf.DUMMYFUNCTION("""COMPUTED_VALUE"""),44120.64583333333)</f>
        <v>44120.64583</v>
      </c>
      <c r="C758" s="2">
        <f>IFERROR(__xludf.DUMMYFUNCTION("""COMPUTED_VALUE"""),109.7)</f>
        <v>109.7</v>
      </c>
    </row>
    <row r="759" ht="15.75" customHeight="1">
      <c r="B759" s="3">
        <f>IFERROR(__xludf.DUMMYFUNCTION("""COMPUTED_VALUE"""),44127.64583333333)</f>
        <v>44127.64583</v>
      </c>
      <c r="C759" s="2">
        <f>IFERROR(__xludf.DUMMYFUNCTION("""COMPUTED_VALUE"""),107.75)</f>
        <v>107.75</v>
      </c>
    </row>
    <row r="760" ht="15.75" customHeight="1">
      <c r="B760" s="3">
        <f>IFERROR(__xludf.DUMMYFUNCTION("""COMPUTED_VALUE"""),44134.64583333333)</f>
        <v>44134.64583</v>
      </c>
      <c r="C760" s="2">
        <f>IFERROR(__xludf.DUMMYFUNCTION("""COMPUTED_VALUE"""),106.9)</f>
        <v>106.9</v>
      </c>
    </row>
    <row r="761" ht="15.75" customHeight="1">
      <c r="B761" s="3">
        <f>IFERROR(__xludf.DUMMYFUNCTION("""COMPUTED_VALUE"""),44141.64583333333)</f>
        <v>44141.64583</v>
      </c>
      <c r="C761" s="2">
        <f>IFERROR(__xludf.DUMMYFUNCTION("""COMPUTED_VALUE"""),96.4)</f>
        <v>96.4</v>
      </c>
    </row>
    <row r="762" ht="15.75" customHeight="1">
      <c r="B762" s="3">
        <f>IFERROR(__xludf.DUMMYFUNCTION("""COMPUTED_VALUE"""),44155.64583333333)</f>
        <v>44155.64583</v>
      </c>
      <c r="C762" s="2">
        <f>IFERROR(__xludf.DUMMYFUNCTION("""COMPUTED_VALUE"""),116.85)</f>
        <v>116.85</v>
      </c>
    </row>
    <row r="763" ht="15.75" customHeight="1">
      <c r="B763" s="3">
        <f>IFERROR(__xludf.DUMMYFUNCTION("""COMPUTED_VALUE"""),44162.64583333333)</f>
        <v>44162.64583</v>
      </c>
      <c r="C763" s="2">
        <f>IFERROR(__xludf.DUMMYFUNCTION("""COMPUTED_VALUE"""),122.85)</f>
        <v>122.85</v>
      </c>
    </row>
    <row r="764" ht="15.75" customHeight="1">
      <c r="B764" s="3">
        <f>IFERROR(__xludf.DUMMYFUNCTION("""COMPUTED_VALUE"""),44169.64583333333)</f>
        <v>44169.64583</v>
      </c>
      <c r="C764" s="2">
        <f>IFERROR(__xludf.DUMMYFUNCTION("""COMPUTED_VALUE"""),129.7)</f>
        <v>129.7</v>
      </c>
    </row>
    <row r="765" ht="15.75" customHeight="1">
      <c r="B765" s="3">
        <f>IFERROR(__xludf.DUMMYFUNCTION("""COMPUTED_VALUE"""),44176.64583333333)</f>
        <v>44176.64583</v>
      </c>
      <c r="C765" s="2">
        <f>IFERROR(__xludf.DUMMYFUNCTION("""COMPUTED_VALUE"""),147.65)</f>
        <v>147.65</v>
      </c>
    </row>
    <row r="766" ht="15.75" customHeight="1">
      <c r="B766" s="3">
        <f>IFERROR(__xludf.DUMMYFUNCTION("""COMPUTED_VALUE"""),44183.64583333333)</f>
        <v>44183.64583</v>
      </c>
      <c r="C766" s="2">
        <f>IFERROR(__xludf.DUMMYFUNCTION("""COMPUTED_VALUE"""),153.5)</f>
        <v>153.5</v>
      </c>
    </row>
    <row r="767" ht="15.75" customHeight="1">
      <c r="B767" s="3">
        <f>IFERROR(__xludf.DUMMYFUNCTION("""COMPUTED_VALUE"""),44189.64583333333)</f>
        <v>44189.64583</v>
      </c>
      <c r="C767" s="2">
        <f>IFERROR(__xludf.DUMMYFUNCTION("""COMPUTED_VALUE"""),170.7)</f>
        <v>170.7</v>
      </c>
    </row>
    <row r="768" ht="15.75" customHeight="1">
      <c r="B768" s="3">
        <f>IFERROR(__xludf.DUMMYFUNCTION("""COMPUTED_VALUE"""),44197.64583333333)</f>
        <v>44197.64583</v>
      </c>
      <c r="C768" s="2">
        <f>IFERROR(__xludf.DUMMYFUNCTION("""COMPUTED_VALUE"""),165.35)</f>
        <v>165.35</v>
      </c>
    </row>
    <row r="769" ht="15.75" customHeight="1"/>
    <row r="770" ht="15.75" customHeight="1"/>
    <row r="771" ht="15.75" customHeight="1">
      <c r="B771" s="2" t="str">
        <f>IFERROR(__xludf.DUMMYFUNCTION("GOOGLEFINANCE(""NSE:VEDL"", ""high"",DATE(2020,1,1),DATE(2021,1,1),""weekly"")"),"Date")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IFERROR(__xludf.DUMMYFUNCTION("""COMPUTED_VALUE"""),43833.64583333333)</f>
        <v>43833.64583</v>
      </c>
      <c r="C772" s="2">
        <f>IFERROR(__xludf.DUMMYFUNCTION("""COMPUTED_VALUE"""),160.9)</f>
        <v>160.9</v>
      </c>
    </row>
    <row r="773" ht="15.75" customHeight="1">
      <c r="B773" s="3">
        <f>IFERROR(__xludf.DUMMYFUNCTION("""COMPUTED_VALUE"""),43840.64583333333)</f>
        <v>43840.64583</v>
      </c>
      <c r="C773" s="2">
        <f>IFERROR(__xludf.DUMMYFUNCTION("""COMPUTED_VALUE"""),163.3)</f>
        <v>163.3</v>
      </c>
    </row>
    <row r="774" ht="15.75" customHeight="1">
      <c r="B774" s="3">
        <f>IFERROR(__xludf.DUMMYFUNCTION("""COMPUTED_VALUE"""),43847.64583333333)</f>
        <v>43847.64583</v>
      </c>
      <c r="C774" s="2">
        <f>IFERROR(__xludf.DUMMYFUNCTION("""COMPUTED_VALUE"""),166.1)</f>
        <v>166.1</v>
      </c>
    </row>
    <row r="775" ht="15.75" customHeight="1">
      <c r="B775" s="3">
        <f>IFERROR(__xludf.DUMMYFUNCTION("""COMPUTED_VALUE"""),43854.64583333333)</f>
        <v>43854.64583</v>
      </c>
      <c r="C775" s="2">
        <f>IFERROR(__xludf.DUMMYFUNCTION("""COMPUTED_VALUE"""),159.9)</f>
        <v>159.9</v>
      </c>
    </row>
    <row r="776" ht="15.75" customHeight="1">
      <c r="B776" s="3">
        <f>IFERROR(__xludf.DUMMYFUNCTION("""COMPUTED_VALUE"""),43862.70833333333)</f>
        <v>43862.70833</v>
      </c>
      <c r="C776" s="2">
        <f>IFERROR(__xludf.DUMMYFUNCTION("""COMPUTED_VALUE"""),153.4)</f>
        <v>153.4</v>
      </c>
    </row>
    <row r="777" ht="15.75" customHeight="1">
      <c r="B777" s="3">
        <f>IFERROR(__xludf.DUMMYFUNCTION("""COMPUTED_VALUE"""),43868.64583333333)</f>
        <v>43868.64583</v>
      </c>
      <c r="C777" s="2">
        <f>IFERROR(__xludf.DUMMYFUNCTION("""COMPUTED_VALUE"""),146.8)</f>
        <v>146.8</v>
      </c>
    </row>
    <row r="778" ht="15.75" customHeight="1">
      <c r="B778" s="3">
        <f>IFERROR(__xludf.DUMMYFUNCTION("""COMPUTED_VALUE"""),43875.64583333333)</f>
        <v>43875.64583</v>
      </c>
      <c r="C778" s="2">
        <f>IFERROR(__xludf.DUMMYFUNCTION("""COMPUTED_VALUE"""),143.9)</f>
        <v>143.9</v>
      </c>
    </row>
    <row r="779" ht="15.75" customHeight="1">
      <c r="B779" s="3">
        <f>IFERROR(__xludf.DUMMYFUNCTION("""COMPUTED_VALUE"""),43881.64583333333)</f>
        <v>43881.64583</v>
      </c>
      <c r="C779" s="2">
        <f>IFERROR(__xludf.DUMMYFUNCTION("""COMPUTED_VALUE"""),144.75)</f>
        <v>144.75</v>
      </c>
    </row>
    <row r="780" ht="15.75" customHeight="1">
      <c r="B780" s="3">
        <f>IFERROR(__xludf.DUMMYFUNCTION("""COMPUTED_VALUE"""),43889.64583333333)</f>
        <v>43889.64583</v>
      </c>
      <c r="C780" s="2">
        <f>IFERROR(__xludf.DUMMYFUNCTION("""COMPUTED_VALUE"""),139.95)</f>
        <v>139.95</v>
      </c>
    </row>
    <row r="781" ht="15.75" customHeight="1">
      <c r="B781" s="3">
        <f>IFERROR(__xludf.DUMMYFUNCTION("""COMPUTED_VALUE"""),43896.64583333333)</f>
        <v>43896.64583</v>
      </c>
      <c r="C781" s="2">
        <f>IFERROR(__xludf.DUMMYFUNCTION("""COMPUTED_VALUE"""),122.2)</f>
        <v>122.2</v>
      </c>
    </row>
    <row r="782" ht="15.75" customHeight="1">
      <c r="B782" s="3">
        <f>IFERROR(__xludf.DUMMYFUNCTION("""COMPUTED_VALUE"""),43903.64583333333)</f>
        <v>43903.64583</v>
      </c>
      <c r="C782" s="2">
        <f>IFERROR(__xludf.DUMMYFUNCTION("""COMPUTED_VALUE"""),105.45)</f>
        <v>105.45</v>
      </c>
    </row>
    <row r="783" ht="15.75" customHeight="1">
      <c r="B783" s="3">
        <f>IFERROR(__xludf.DUMMYFUNCTION("""COMPUTED_VALUE"""),43910.64583333333)</f>
        <v>43910.64583</v>
      </c>
      <c r="C783" s="2">
        <f>IFERROR(__xludf.DUMMYFUNCTION("""COMPUTED_VALUE"""),80.7)</f>
        <v>80.7</v>
      </c>
    </row>
    <row r="784" ht="15.75" customHeight="1">
      <c r="B784" s="3">
        <f>IFERROR(__xludf.DUMMYFUNCTION("""COMPUTED_VALUE"""),43917.64583333333)</f>
        <v>43917.64583</v>
      </c>
      <c r="C784" s="2">
        <f>IFERROR(__xludf.DUMMYFUNCTION("""COMPUTED_VALUE"""),71.3)</f>
        <v>71.3</v>
      </c>
    </row>
    <row r="785" ht="15.75" customHeight="1">
      <c r="B785" s="3">
        <f>IFERROR(__xludf.DUMMYFUNCTION("""COMPUTED_VALUE"""),43924.64583333333)</f>
        <v>43924.64583</v>
      </c>
      <c r="C785" s="2">
        <f>IFERROR(__xludf.DUMMYFUNCTION("""COMPUTED_VALUE"""),67.0)</f>
        <v>67</v>
      </c>
    </row>
    <row r="786" ht="15.75" customHeight="1">
      <c r="B786" s="3">
        <f>IFERROR(__xludf.DUMMYFUNCTION("""COMPUTED_VALUE"""),43930.64583333333)</f>
        <v>43930.64583</v>
      </c>
      <c r="C786" s="2">
        <f>IFERROR(__xludf.DUMMYFUNCTION("""COMPUTED_VALUE"""),77.3)</f>
        <v>77.3</v>
      </c>
    </row>
    <row r="787" ht="15.75" customHeight="1">
      <c r="B787" s="3">
        <f>IFERROR(__xludf.DUMMYFUNCTION("""COMPUTED_VALUE"""),43938.64583333333)</f>
        <v>43938.64583</v>
      </c>
      <c r="C787" s="2">
        <f>IFERROR(__xludf.DUMMYFUNCTION("""COMPUTED_VALUE"""),87.0)</f>
        <v>87</v>
      </c>
    </row>
    <row r="788" ht="15.75" customHeight="1">
      <c r="B788" s="3">
        <f>IFERROR(__xludf.DUMMYFUNCTION("""COMPUTED_VALUE"""),43945.64583333333)</f>
        <v>43945.64583</v>
      </c>
      <c r="C788" s="2">
        <f>IFERROR(__xludf.DUMMYFUNCTION("""COMPUTED_VALUE"""),86.45)</f>
        <v>86.45</v>
      </c>
    </row>
    <row r="789" ht="15.75" customHeight="1">
      <c r="B789" s="3">
        <f>IFERROR(__xludf.DUMMYFUNCTION("""COMPUTED_VALUE"""),43951.64583333333)</f>
        <v>43951.64583</v>
      </c>
      <c r="C789" s="2">
        <f>IFERROR(__xludf.DUMMYFUNCTION("""COMPUTED_VALUE"""),91.0)</f>
        <v>91</v>
      </c>
    </row>
    <row r="790" ht="15.75" customHeight="1">
      <c r="B790" s="3">
        <f>IFERROR(__xludf.DUMMYFUNCTION("""COMPUTED_VALUE"""),43959.64583333333)</f>
        <v>43959.64583</v>
      </c>
      <c r="C790" s="2">
        <f>IFERROR(__xludf.DUMMYFUNCTION("""COMPUTED_VALUE"""),83.7)</f>
        <v>83.7</v>
      </c>
    </row>
    <row r="791" ht="15.75" customHeight="1">
      <c r="B791" s="3">
        <f>IFERROR(__xludf.DUMMYFUNCTION("""COMPUTED_VALUE"""),43966.64583333333)</f>
        <v>43966.64583</v>
      </c>
      <c r="C791" s="2">
        <f>IFERROR(__xludf.DUMMYFUNCTION("""COMPUTED_VALUE"""),97.95)</f>
        <v>97.95</v>
      </c>
    </row>
    <row r="792" ht="15.75" customHeight="1">
      <c r="B792" s="3">
        <f>IFERROR(__xludf.DUMMYFUNCTION("""COMPUTED_VALUE"""),43973.64583333333)</f>
        <v>43973.64583</v>
      </c>
      <c r="C792" s="2">
        <f>IFERROR(__xludf.DUMMYFUNCTION("""COMPUTED_VALUE"""),95.65)</f>
        <v>95.65</v>
      </c>
    </row>
    <row r="793" ht="15.75" customHeight="1">
      <c r="B793" s="3">
        <f>IFERROR(__xludf.DUMMYFUNCTION("""COMPUTED_VALUE"""),43980.64583333333)</f>
        <v>43980.64583</v>
      </c>
      <c r="C793" s="2">
        <f>IFERROR(__xludf.DUMMYFUNCTION("""COMPUTED_VALUE"""),92.7)</f>
        <v>92.7</v>
      </c>
    </row>
    <row r="794" ht="15.75" customHeight="1">
      <c r="B794" s="3">
        <f>IFERROR(__xludf.DUMMYFUNCTION("""COMPUTED_VALUE"""),43987.64583333333)</f>
        <v>43987.64583</v>
      </c>
      <c r="C794" s="2">
        <f>IFERROR(__xludf.DUMMYFUNCTION("""COMPUTED_VALUE"""),106.25)</f>
        <v>106.25</v>
      </c>
    </row>
    <row r="795" ht="15.75" customHeight="1">
      <c r="B795" s="3">
        <f>IFERROR(__xludf.DUMMYFUNCTION("""COMPUTED_VALUE"""),43994.64583333333)</f>
        <v>43994.64583</v>
      </c>
      <c r="C795" s="2">
        <f>IFERROR(__xludf.DUMMYFUNCTION("""COMPUTED_VALUE"""),111.15)</f>
        <v>111.15</v>
      </c>
    </row>
    <row r="796" ht="15.75" customHeight="1">
      <c r="B796" s="3">
        <f>IFERROR(__xludf.DUMMYFUNCTION("""COMPUTED_VALUE"""),44001.64583333333)</f>
        <v>44001.64583</v>
      </c>
      <c r="C796" s="2">
        <f>IFERROR(__xludf.DUMMYFUNCTION("""COMPUTED_VALUE"""),109.4)</f>
        <v>109.4</v>
      </c>
    </row>
    <row r="797" ht="15.75" customHeight="1">
      <c r="B797" s="3">
        <f>IFERROR(__xludf.DUMMYFUNCTION("""COMPUTED_VALUE"""),44008.64583333333)</f>
        <v>44008.64583</v>
      </c>
      <c r="C797" s="2">
        <f>IFERROR(__xludf.DUMMYFUNCTION("""COMPUTED_VALUE"""),113.5)</f>
        <v>113.5</v>
      </c>
    </row>
    <row r="798" ht="15.75" customHeight="1">
      <c r="B798" s="3">
        <f>IFERROR(__xludf.DUMMYFUNCTION("""COMPUTED_VALUE"""),44015.64583333333)</f>
        <v>44015.64583</v>
      </c>
      <c r="C798" s="2">
        <f>IFERROR(__xludf.DUMMYFUNCTION("""COMPUTED_VALUE"""),110.4)</f>
        <v>110.4</v>
      </c>
    </row>
    <row r="799" ht="15.75" customHeight="1">
      <c r="B799" s="3">
        <f>IFERROR(__xludf.DUMMYFUNCTION("""COMPUTED_VALUE"""),44022.64583333333)</f>
        <v>44022.64583</v>
      </c>
      <c r="C799" s="2">
        <f>IFERROR(__xludf.DUMMYFUNCTION("""COMPUTED_VALUE"""),114.45)</f>
        <v>114.45</v>
      </c>
    </row>
    <row r="800" ht="15.75" customHeight="1">
      <c r="B800" s="3">
        <f>IFERROR(__xludf.DUMMYFUNCTION("""COMPUTED_VALUE"""),44029.64583333333)</f>
        <v>44029.64583</v>
      </c>
      <c r="C800" s="2">
        <f>IFERROR(__xludf.DUMMYFUNCTION("""COMPUTED_VALUE"""),114.2)</f>
        <v>114.2</v>
      </c>
    </row>
    <row r="801" ht="15.75" customHeight="1">
      <c r="B801" s="3">
        <f>IFERROR(__xludf.DUMMYFUNCTION("""COMPUTED_VALUE"""),44036.64583333333)</f>
        <v>44036.64583</v>
      </c>
      <c r="C801" s="2">
        <f>IFERROR(__xludf.DUMMYFUNCTION("""COMPUTED_VALUE"""),117.9)</f>
        <v>117.9</v>
      </c>
    </row>
    <row r="802" ht="15.75" customHeight="1">
      <c r="B802" s="3">
        <f>IFERROR(__xludf.DUMMYFUNCTION("""COMPUTED_VALUE"""),44043.64583333333)</f>
        <v>44043.64583</v>
      </c>
      <c r="C802" s="2">
        <f>IFERROR(__xludf.DUMMYFUNCTION("""COMPUTED_VALUE"""),115.2)</f>
        <v>115.2</v>
      </c>
    </row>
    <row r="803" ht="15.75" customHeight="1">
      <c r="B803" s="3">
        <f>IFERROR(__xludf.DUMMYFUNCTION("""COMPUTED_VALUE"""),44050.64583333333)</f>
        <v>44050.64583</v>
      </c>
      <c r="C803" s="2">
        <f>IFERROR(__xludf.DUMMYFUNCTION("""COMPUTED_VALUE"""),126.65)</f>
        <v>126.65</v>
      </c>
    </row>
    <row r="804" ht="15.75" customHeight="1">
      <c r="B804" s="3">
        <f>IFERROR(__xludf.DUMMYFUNCTION("""COMPUTED_VALUE"""),44057.64583333333)</f>
        <v>44057.64583</v>
      </c>
      <c r="C804" s="2">
        <f>IFERROR(__xludf.DUMMYFUNCTION("""COMPUTED_VALUE"""),128.1)</f>
        <v>128.1</v>
      </c>
    </row>
    <row r="805" ht="15.75" customHeight="1">
      <c r="B805" s="3">
        <f>IFERROR(__xludf.DUMMYFUNCTION("""COMPUTED_VALUE"""),44064.64583333333)</f>
        <v>44064.64583</v>
      </c>
      <c r="C805" s="2">
        <f>IFERROR(__xludf.DUMMYFUNCTION("""COMPUTED_VALUE"""),132.35)</f>
        <v>132.35</v>
      </c>
    </row>
    <row r="806" ht="15.75" customHeight="1">
      <c r="B806" s="3">
        <f>IFERROR(__xludf.DUMMYFUNCTION("""COMPUTED_VALUE"""),44071.64583333333)</f>
        <v>44071.64583</v>
      </c>
      <c r="C806" s="2">
        <f>IFERROR(__xludf.DUMMYFUNCTION("""COMPUTED_VALUE"""),131.5)</f>
        <v>131.5</v>
      </c>
    </row>
    <row r="807" ht="15.75" customHeight="1">
      <c r="B807" s="3">
        <f>IFERROR(__xludf.DUMMYFUNCTION("""COMPUTED_VALUE"""),44078.64583333333)</f>
        <v>44078.64583</v>
      </c>
      <c r="C807" s="2">
        <f>IFERROR(__xludf.DUMMYFUNCTION("""COMPUTED_VALUE"""),134.65)</f>
        <v>134.65</v>
      </c>
    </row>
    <row r="808" ht="15.75" customHeight="1">
      <c r="B808" s="3">
        <f>IFERROR(__xludf.DUMMYFUNCTION("""COMPUTED_VALUE"""),44085.64583333333)</f>
        <v>44085.64583</v>
      </c>
      <c r="C808" s="2">
        <f>IFERROR(__xludf.DUMMYFUNCTION("""COMPUTED_VALUE"""),132.5)</f>
        <v>132.5</v>
      </c>
    </row>
    <row r="809" ht="15.75" customHeight="1">
      <c r="B809" s="3">
        <f>IFERROR(__xludf.DUMMYFUNCTION("""COMPUTED_VALUE"""),44092.64583333333)</f>
        <v>44092.64583</v>
      </c>
      <c r="C809" s="2">
        <f>IFERROR(__xludf.DUMMYFUNCTION("""COMPUTED_VALUE"""),136.0)</f>
        <v>136</v>
      </c>
    </row>
    <row r="810" ht="15.75" customHeight="1">
      <c r="B810" s="3">
        <f>IFERROR(__xludf.DUMMYFUNCTION("""COMPUTED_VALUE"""),44099.64583333333)</f>
        <v>44099.64583</v>
      </c>
      <c r="C810" s="2">
        <f>IFERROR(__xludf.DUMMYFUNCTION("""COMPUTED_VALUE"""),138.4)</f>
        <v>138.4</v>
      </c>
    </row>
    <row r="811" ht="15.75" customHeight="1">
      <c r="B811" s="3">
        <f>IFERROR(__xludf.DUMMYFUNCTION("""COMPUTED_VALUE"""),44105.64583333333)</f>
        <v>44105.64583</v>
      </c>
      <c r="C811" s="2">
        <f>IFERROR(__xludf.DUMMYFUNCTION("""COMPUTED_VALUE"""),141.5)</f>
        <v>141.5</v>
      </c>
    </row>
    <row r="812" ht="15.75" customHeight="1">
      <c r="B812" s="3">
        <f>IFERROR(__xludf.DUMMYFUNCTION("""COMPUTED_VALUE"""),44113.64583333333)</f>
        <v>44113.64583</v>
      </c>
      <c r="C812" s="2">
        <f>IFERROR(__xludf.DUMMYFUNCTION("""COMPUTED_VALUE"""),140.2)</f>
        <v>140.2</v>
      </c>
    </row>
    <row r="813" ht="15.75" customHeight="1">
      <c r="B813" s="3">
        <f>IFERROR(__xludf.DUMMYFUNCTION("""COMPUTED_VALUE"""),44120.64583333333)</f>
        <v>44120.64583</v>
      </c>
      <c r="C813" s="2">
        <f>IFERROR(__xludf.DUMMYFUNCTION("""COMPUTED_VALUE"""),109.7)</f>
        <v>109.7</v>
      </c>
    </row>
    <row r="814" ht="15.75" customHeight="1">
      <c r="B814" s="3">
        <f>IFERROR(__xludf.DUMMYFUNCTION("""COMPUTED_VALUE"""),44127.64583333333)</f>
        <v>44127.64583</v>
      </c>
      <c r="C814" s="2">
        <f>IFERROR(__xludf.DUMMYFUNCTION("""COMPUTED_VALUE"""),107.75)</f>
        <v>107.75</v>
      </c>
    </row>
    <row r="815" ht="15.75" customHeight="1">
      <c r="B815" s="3">
        <f>IFERROR(__xludf.DUMMYFUNCTION("""COMPUTED_VALUE"""),44134.64583333333)</f>
        <v>44134.64583</v>
      </c>
      <c r="C815" s="2">
        <f>IFERROR(__xludf.DUMMYFUNCTION("""COMPUTED_VALUE"""),106.9)</f>
        <v>106.9</v>
      </c>
    </row>
    <row r="816" ht="15.75" customHeight="1">
      <c r="B816" s="3">
        <f>IFERROR(__xludf.DUMMYFUNCTION("""COMPUTED_VALUE"""),44141.64583333333)</f>
        <v>44141.64583</v>
      </c>
      <c r="C816" s="2">
        <f>IFERROR(__xludf.DUMMYFUNCTION("""COMPUTED_VALUE"""),96.4)</f>
        <v>96.4</v>
      </c>
    </row>
    <row r="817" ht="15.75" customHeight="1">
      <c r="B817" s="3">
        <f>IFERROR(__xludf.DUMMYFUNCTION("""COMPUTED_VALUE"""),44155.64583333333)</f>
        <v>44155.64583</v>
      </c>
      <c r="C817" s="2">
        <f>IFERROR(__xludf.DUMMYFUNCTION("""COMPUTED_VALUE"""),116.85)</f>
        <v>116.85</v>
      </c>
    </row>
    <row r="818" ht="15.75" customHeight="1">
      <c r="B818" s="3">
        <f>IFERROR(__xludf.DUMMYFUNCTION("""COMPUTED_VALUE"""),44162.64583333333)</f>
        <v>44162.64583</v>
      </c>
      <c r="C818" s="2">
        <f>IFERROR(__xludf.DUMMYFUNCTION("""COMPUTED_VALUE"""),122.85)</f>
        <v>122.85</v>
      </c>
    </row>
    <row r="819" ht="15.75" customHeight="1">
      <c r="B819" s="3">
        <f>IFERROR(__xludf.DUMMYFUNCTION("""COMPUTED_VALUE"""),44169.64583333333)</f>
        <v>44169.64583</v>
      </c>
      <c r="C819" s="2">
        <f>IFERROR(__xludf.DUMMYFUNCTION("""COMPUTED_VALUE"""),129.7)</f>
        <v>129.7</v>
      </c>
    </row>
    <row r="820" ht="15.75" customHeight="1">
      <c r="B820" s="3">
        <f>IFERROR(__xludf.DUMMYFUNCTION("""COMPUTED_VALUE"""),44176.64583333333)</f>
        <v>44176.64583</v>
      </c>
      <c r="C820" s="2">
        <f>IFERROR(__xludf.DUMMYFUNCTION("""COMPUTED_VALUE"""),147.65)</f>
        <v>147.65</v>
      </c>
    </row>
    <row r="821" ht="15.75" customHeight="1">
      <c r="B821" s="3">
        <f>IFERROR(__xludf.DUMMYFUNCTION("""COMPUTED_VALUE"""),44183.64583333333)</f>
        <v>44183.64583</v>
      </c>
      <c r="C821" s="2">
        <f>IFERROR(__xludf.DUMMYFUNCTION("""COMPUTED_VALUE"""),153.5)</f>
        <v>153.5</v>
      </c>
    </row>
    <row r="822" ht="15.75" customHeight="1">
      <c r="B822" s="3">
        <f>IFERROR(__xludf.DUMMYFUNCTION("""COMPUTED_VALUE"""),44189.64583333333)</f>
        <v>44189.64583</v>
      </c>
      <c r="C822" s="2">
        <f>IFERROR(__xludf.DUMMYFUNCTION("""COMPUTED_VALUE"""),170.7)</f>
        <v>170.7</v>
      </c>
    </row>
    <row r="823" ht="15.75" customHeight="1">
      <c r="B823" s="3">
        <f>IFERROR(__xludf.DUMMYFUNCTION("""COMPUTED_VALUE"""),44197.64583333333)</f>
        <v>44197.64583</v>
      </c>
      <c r="C823" s="2">
        <f>IFERROR(__xludf.DUMMYFUNCTION("""COMPUTED_VALUE"""),165.35)</f>
        <v>165.35</v>
      </c>
    </row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IFERROR(__xludf.DUMMYFUNCTION("GOOGLEFINANCE(""NSE:COALINDIA"", ""high"",DATE(2011,1,1),DATE(2012,1,1),""weekly"")"),"Date")</f>
        <v>Date</v>
      </c>
      <c r="C1" s="2" t="str">
        <f>IFERROR(__xludf.DUMMYFUNCTION("""COMPUTED_VALUE"""),"High")</f>
        <v>High</v>
      </c>
    </row>
    <row r="2">
      <c r="A2" s="2" t="s">
        <v>10</v>
      </c>
      <c r="B2" s="3">
        <f>IFERROR(__xludf.DUMMYFUNCTION("""COMPUTED_VALUE"""),40550.645833333336)</f>
        <v>40550.64583</v>
      </c>
      <c r="C2" s="2">
        <f>IFERROR(__xludf.DUMMYFUNCTION("""COMPUTED_VALUE"""),320.0)</f>
        <v>320</v>
      </c>
    </row>
    <row r="3">
      <c r="A3" s="2" t="s">
        <v>11</v>
      </c>
      <c r="B3" s="3">
        <f>IFERROR(__xludf.DUMMYFUNCTION("""COMPUTED_VALUE"""),40557.645833333336)</f>
        <v>40557.64583</v>
      </c>
      <c r="C3" s="2">
        <f>IFERROR(__xludf.DUMMYFUNCTION("""COMPUTED_VALUE"""),315.5)</f>
        <v>315.5</v>
      </c>
    </row>
    <row r="4">
      <c r="A4" s="2" t="s">
        <v>12</v>
      </c>
      <c r="B4" s="3">
        <f>IFERROR(__xludf.DUMMYFUNCTION("""COMPUTED_VALUE"""),40564.645833333336)</f>
        <v>40564.64583</v>
      </c>
      <c r="C4" s="2">
        <f>IFERROR(__xludf.DUMMYFUNCTION("""COMPUTED_VALUE"""),319.2)</f>
        <v>319.2</v>
      </c>
    </row>
    <row r="5">
      <c r="A5" s="2" t="s">
        <v>13</v>
      </c>
      <c r="B5" s="3">
        <f>IFERROR(__xludf.DUMMYFUNCTION("""COMPUTED_VALUE"""),40571.645833333336)</f>
        <v>40571.64583</v>
      </c>
      <c r="C5" s="2">
        <f>IFERROR(__xludf.DUMMYFUNCTION("""COMPUTED_VALUE"""),315.7)</f>
        <v>315.7</v>
      </c>
    </row>
    <row r="6">
      <c r="A6" s="2" t="s">
        <v>14</v>
      </c>
      <c r="B6" s="3">
        <f>IFERROR(__xludf.DUMMYFUNCTION("""COMPUTED_VALUE"""),40578.645833333336)</f>
        <v>40578.64583</v>
      </c>
      <c r="C6" s="2">
        <f>IFERROR(__xludf.DUMMYFUNCTION("""COMPUTED_VALUE"""),320.0)</f>
        <v>320</v>
      </c>
    </row>
    <row r="7">
      <c r="A7" s="2" t="s">
        <v>15</v>
      </c>
      <c r="B7" s="3">
        <f>IFERROR(__xludf.DUMMYFUNCTION("""COMPUTED_VALUE"""),40585.645833333336)</f>
        <v>40585.64583</v>
      </c>
      <c r="C7" s="2">
        <f>IFERROR(__xludf.DUMMYFUNCTION("""COMPUTED_VALUE"""),310.45)</f>
        <v>310.45</v>
      </c>
    </row>
    <row r="8">
      <c r="A8" s="2" t="s">
        <v>16</v>
      </c>
      <c r="B8" s="3">
        <f>IFERROR(__xludf.DUMMYFUNCTION("""COMPUTED_VALUE"""),40592.645833333336)</f>
        <v>40592.64583</v>
      </c>
      <c r="C8" s="2">
        <f>IFERROR(__xludf.DUMMYFUNCTION("""COMPUTED_VALUE"""),307.85)</f>
        <v>307.85</v>
      </c>
    </row>
    <row r="9">
      <c r="A9" s="2" t="s">
        <v>17</v>
      </c>
      <c r="B9" s="3">
        <f>IFERROR(__xludf.DUMMYFUNCTION("""COMPUTED_VALUE"""),40599.645833333336)</f>
        <v>40599.64583</v>
      </c>
      <c r="C9" s="2">
        <f>IFERROR(__xludf.DUMMYFUNCTION("""COMPUTED_VALUE"""),303.9)</f>
        <v>303.9</v>
      </c>
    </row>
    <row r="10">
      <c r="A10" s="2" t="s">
        <v>18</v>
      </c>
      <c r="B10" s="3">
        <f>IFERROR(__xludf.DUMMYFUNCTION("""COMPUTED_VALUE"""),40606.645833333336)</f>
        <v>40606.64583</v>
      </c>
      <c r="C10" s="2">
        <f>IFERROR(__xludf.DUMMYFUNCTION("""COMPUTED_VALUE"""),339.9)</f>
        <v>339.9</v>
      </c>
    </row>
    <row r="11">
      <c r="A11" s="2" t="s">
        <v>19</v>
      </c>
      <c r="B11" s="3">
        <f>IFERROR(__xludf.DUMMYFUNCTION("""COMPUTED_VALUE"""),40613.645833333336)</f>
        <v>40613.64583</v>
      </c>
      <c r="C11" s="2">
        <f>IFERROR(__xludf.DUMMYFUNCTION("""COMPUTED_VALUE"""),344.5)</f>
        <v>344.5</v>
      </c>
    </row>
    <row r="12">
      <c r="B12" s="3">
        <f>IFERROR(__xludf.DUMMYFUNCTION("""COMPUTED_VALUE"""),40620.645833333336)</f>
        <v>40620.64583</v>
      </c>
      <c r="C12" s="2">
        <f>IFERROR(__xludf.DUMMYFUNCTION("""COMPUTED_VALUE"""),347.9)</f>
        <v>347.9</v>
      </c>
    </row>
    <row r="13">
      <c r="B13" s="3">
        <f>IFERROR(__xludf.DUMMYFUNCTION("""COMPUTED_VALUE"""),40627.645833333336)</f>
        <v>40627.64583</v>
      </c>
      <c r="C13" s="2">
        <f>IFERROR(__xludf.DUMMYFUNCTION("""COMPUTED_VALUE"""),371.4)</f>
        <v>371.4</v>
      </c>
    </row>
    <row r="14">
      <c r="B14" s="3">
        <f>IFERROR(__xludf.DUMMYFUNCTION("""COMPUTED_VALUE"""),40634.645833333336)</f>
        <v>40634.64583</v>
      </c>
      <c r="C14" s="2">
        <f>IFERROR(__xludf.DUMMYFUNCTION("""COMPUTED_VALUE"""),360.0)</f>
        <v>360</v>
      </c>
    </row>
    <row r="15">
      <c r="B15" s="3">
        <f>IFERROR(__xludf.DUMMYFUNCTION("""COMPUTED_VALUE"""),40641.645833333336)</f>
        <v>40641.64583</v>
      </c>
      <c r="C15" s="2">
        <f>IFERROR(__xludf.DUMMYFUNCTION("""COMPUTED_VALUE"""),370.8)</f>
        <v>370.8</v>
      </c>
    </row>
    <row r="16">
      <c r="B16" s="3">
        <f>IFERROR(__xludf.DUMMYFUNCTION("""COMPUTED_VALUE"""),40648.645833333336)</f>
        <v>40648.64583</v>
      </c>
      <c r="C16" s="2">
        <f>IFERROR(__xludf.DUMMYFUNCTION("""COMPUTED_VALUE"""),363.0)</f>
        <v>363</v>
      </c>
    </row>
    <row r="17">
      <c r="B17" s="3">
        <f>IFERROR(__xludf.DUMMYFUNCTION("""COMPUTED_VALUE"""),40654.645833333336)</f>
        <v>40654.64583</v>
      </c>
      <c r="C17" s="2">
        <f>IFERROR(__xludf.DUMMYFUNCTION("""COMPUTED_VALUE"""),369.75)</f>
        <v>369.75</v>
      </c>
    </row>
    <row r="18">
      <c r="B18" s="3">
        <f>IFERROR(__xludf.DUMMYFUNCTION("""COMPUTED_VALUE"""),40662.645833333336)</f>
        <v>40662.64583</v>
      </c>
      <c r="C18" s="2">
        <f>IFERROR(__xludf.DUMMYFUNCTION("""COMPUTED_VALUE"""),383.3)</f>
        <v>383.3</v>
      </c>
    </row>
    <row r="19">
      <c r="B19" s="3">
        <f>IFERROR(__xludf.DUMMYFUNCTION("""COMPUTED_VALUE"""),40669.645833333336)</f>
        <v>40669.64583</v>
      </c>
      <c r="C19" s="2">
        <f>IFERROR(__xludf.DUMMYFUNCTION("""COMPUTED_VALUE"""),384.5)</f>
        <v>384.5</v>
      </c>
    </row>
    <row r="20">
      <c r="B20" s="3">
        <f>IFERROR(__xludf.DUMMYFUNCTION("""COMPUTED_VALUE"""),40676.645833333336)</f>
        <v>40676.64583</v>
      </c>
      <c r="C20" s="2">
        <f>IFERROR(__xludf.DUMMYFUNCTION("""COMPUTED_VALUE"""),396.35)</f>
        <v>396.35</v>
      </c>
    </row>
    <row r="21" ht="15.75" customHeight="1">
      <c r="B21" s="3">
        <f>IFERROR(__xludf.DUMMYFUNCTION("""COMPUTED_VALUE"""),40683.645833333336)</f>
        <v>40683.64583</v>
      </c>
      <c r="C21" s="2">
        <f>IFERROR(__xludf.DUMMYFUNCTION("""COMPUTED_VALUE"""),401.4)</f>
        <v>401.4</v>
      </c>
    </row>
    <row r="22" ht="15.75" customHeight="1">
      <c r="B22" s="3">
        <f>IFERROR(__xludf.DUMMYFUNCTION("""COMPUTED_VALUE"""),40690.645833333336)</f>
        <v>40690.64583</v>
      </c>
      <c r="C22" s="2">
        <f>IFERROR(__xludf.DUMMYFUNCTION("""COMPUTED_VALUE"""),394.5)</f>
        <v>394.5</v>
      </c>
    </row>
    <row r="23" ht="15.75" customHeight="1">
      <c r="B23" s="3">
        <f>IFERROR(__xludf.DUMMYFUNCTION("""COMPUTED_VALUE"""),40697.645833333336)</f>
        <v>40697.64583</v>
      </c>
      <c r="C23" s="2">
        <f>IFERROR(__xludf.DUMMYFUNCTION("""COMPUTED_VALUE"""),422.35)</f>
        <v>422.35</v>
      </c>
    </row>
    <row r="24" ht="15.75" customHeight="1">
      <c r="B24" s="3">
        <f>IFERROR(__xludf.DUMMYFUNCTION("""COMPUTED_VALUE"""),40704.645833333336)</f>
        <v>40704.64583</v>
      </c>
      <c r="C24" s="2">
        <f>IFERROR(__xludf.DUMMYFUNCTION("""COMPUTED_VALUE"""),413.8)</f>
        <v>413.8</v>
      </c>
    </row>
    <row r="25" ht="15.75" customHeight="1">
      <c r="B25" s="3">
        <f>IFERROR(__xludf.DUMMYFUNCTION("""COMPUTED_VALUE"""),40711.645833333336)</f>
        <v>40711.64583</v>
      </c>
      <c r="C25" s="2">
        <f>IFERROR(__xludf.DUMMYFUNCTION("""COMPUTED_VALUE"""),405.05)</f>
        <v>405.05</v>
      </c>
    </row>
    <row r="26" ht="15.75" customHeight="1">
      <c r="B26" s="3">
        <f>IFERROR(__xludf.DUMMYFUNCTION("""COMPUTED_VALUE"""),40718.645833333336)</f>
        <v>40718.64583</v>
      </c>
      <c r="C26" s="2">
        <f>IFERROR(__xludf.DUMMYFUNCTION("""COMPUTED_VALUE"""),406.35)</f>
        <v>406.35</v>
      </c>
    </row>
    <row r="27" ht="15.75" customHeight="1">
      <c r="B27" s="3">
        <f>IFERROR(__xludf.DUMMYFUNCTION("""COMPUTED_VALUE"""),40725.645833333336)</f>
        <v>40725.64583</v>
      </c>
      <c r="C27" s="2">
        <f>IFERROR(__xludf.DUMMYFUNCTION("""COMPUTED_VALUE"""),408.6)</f>
        <v>408.6</v>
      </c>
    </row>
    <row r="28" ht="15.75" customHeight="1">
      <c r="B28" s="3">
        <f>IFERROR(__xludf.DUMMYFUNCTION("""COMPUTED_VALUE"""),40732.645833333336)</f>
        <v>40732.64583</v>
      </c>
      <c r="C28" s="2">
        <f>IFERROR(__xludf.DUMMYFUNCTION("""COMPUTED_VALUE"""),400.75)</f>
        <v>400.75</v>
      </c>
    </row>
    <row r="29" ht="15.75" customHeight="1">
      <c r="B29" s="3">
        <f>IFERROR(__xludf.DUMMYFUNCTION("""COMPUTED_VALUE"""),40739.645833333336)</f>
        <v>40739.64583</v>
      </c>
      <c r="C29" s="2">
        <f>IFERROR(__xludf.DUMMYFUNCTION("""COMPUTED_VALUE"""),375.5)</f>
        <v>375.5</v>
      </c>
    </row>
    <row r="30" ht="15.75" customHeight="1">
      <c r="B30" s="3">
        <f>IFERROR(__xludf.DUMMYFUNCTION("""COMPUTED_VALUE"""),40746.645833333336)</f>
        <v>40746.64583</v>
      </c>
      <c r="C30" s="2">
        <f>IFERROR(__xludf.DUMMYFUNCTION("""COMPUTED_VALUE"""),374.0)</f>
        <v>374</v>
      </c>
    </row>
    <row r="31" ht="15.75" customHeight="1">
      <c r="B31" s="3">
        <f>IFERROR(__xludf.DUMMYFUNCTION("""COMPUTED_VALUE"""),40753.645833333336)</f>
        <v>40753.64583</v>
      </c>
      <c r="C31" s="2">
        <f>IFERROR(__xludf.DUMMYFUNCTION("""COMPUTED_VALUE"""),408.7)</f>
        <v>408.7</v>
      </c>
    </row>
    <row r="32" ht="15.75" customHeight="1">
      <c r="B32" s="3">
        <f>IFERROR(__xludf.DUMMYFUNCTION("""COMPUTED_VALUE"""),40760.645833333336)</f>
        <v>40760.64583</v>
      </c>
      <c r="C32" s="2">
        <f>IFERROR(__xludf.DUMMYFUNCTION("""COMPUTED_VALUE"""),406.5)</f>
        <v>406.5</v>
      </c>
    </row>
    <row r="33" ht="15.75" customHeight="1">
      <c r="B33" s="3">
        <f>IFERROR(__xludf.DUMMYFUNCTION("""COMPUTED_VALUE"""),40767.645833333336)</f>
        <v>40767.64583</v>
      </c>
      <c r="C33" s="2">
        <f>IFERROR(__xludf.DUMMYFUNCTION("""COMPUTED_VALUE"""),399.65)</f>
        <v>399.65</v>
      </c>
    </row>
    <row r="34" ht="15.75" customHeight="1">
      <c r="B34" s="3">
        <f>IFERROR(__xludf.DUMMYFUNCTION("""COMPUTED_VALUE"""),40774.645833333336)</f>
        <v>40774.64583</v>
      </c>
      <c r="C34" s="2">
        <f>IFERROR(__xludf.DUMMYFUNCTION("""COMPUTED_VALUE"""),399.0)</f>
        <v>399</v>
      </c>
    </row>
    <row r="35" ht="15.75" customHeight="1">
      <c r="B35" s="3">
        <f>IFERROR(__xludf.DUMMYFUNCTION("""COMPUTED_VALUE"""),40781.645833333336)</f>
        <v>40781.64583</v>
      </c>
      <c r="C35" s="2">
        <f>IFERROR(__xludf.DUMMYFUNCTION("""COMPUTED_VALUE"""),397.95)</f>
        <v>397.95</v>
      </c>
    </row>
    <row r="36" ht="15.75" customHeight="1">
      <c r="B36" s="3">
        <f>IFERROR(__xludf.DUMMYFUNCTION("""COMPUTED_VALUE"""),40788.645833333336)</f>
        <v>40788.64583</v>
      </c>
      <c r="C36" s="2">
        <f>IFERROR(__xludf.DUMMYFUNCTION("""COMPUTED_VALUE"""),390.7)</f>
        <v>390.7</v>
      </c>
    </row>
    <row r="37" ht="15.75" customHeight="1">
      <c r="B37" s="3">
        <f>IFERROR(__xludf.DUMMYFUNCTION("""COMPUTED_VALUE"""),40795.645833333336)</f>
        <v>40795.64583</v>
      </c>
      <c r="C37" s="2">
        <f>IFERROR(__xludf.DUMMYFUNCTION("""COMPUTED_VALUE"""),393.45)</f>
        <v>393.45</v>
      </c>
    </row>
    <row r="38" ht="15.75" customHeight="1">
      <c r="B38" s="3">
        <f>IFERROR(__xludf.DUMMYFUNCTION("""COMPUTED_VALUE"""),40802.645833333336)</f>
        <v>40802.64583</v>
      </c>
      <c r="C38" s="2">
        <f>IFERROR(__xludf.DUMMYFUNCTION("""COMPUTED_VALUE"""),383.6)</f>
        <v>383.6</v>
      </c>
    </row>
    <row r="39" ht="15.75" customHeight="1">
      <c r="B39" s="3">
        <f>IFERROR(__xludf.DUMMYFUNCTION("""COMPUTED_VALUE"""),40809.645833333336)</f>
        <v>40809.64583</v>
      </c>
      <c r="C39" s="2">
        <f>IFERROR(__xludf.DUMMYFUNCTION("""COMPUTED_VALUE"""),387.45)</f>
        <v>387.45</v>
      </c>
    </row>
    <row r="40" ht="15.75" customHeight="1">
      <c r="B40" s="3">
        <f>IFERROR(__xludf.DUMMYFUNCTION("""COMPUTED_VALUE"""),40816.645833333336)</f>
        <v>40816.64583</v>
      </c>
      <c r="C40" s="2">
        <f>IFERROR(__xludf.DUMMYFUNCTION("""COMPUTED_VALUE"""),365.0)</f>
        <v>365</v>
      </c>
    </row>
    <row r="41" ht="15.75" customHeight="1">
      <c r="B41" s="3">
        <f>IFERROR(__xludf.DUMMYFUNCTION("""COMPUTED_VALUE"""),40823.645833333336)</f>
        <v>40823.64583</v>
      </c>
      <c r="C41" s="2">
        <f>IFERROR(__xludf.DUMMYFUNCTION("""COMPUTED_VALUE"""),339.9)</f>
        <v>339.9</v>
      </c>
    </row>
    <row r="42" ht="15.75" customHeight="1">
      <c r="B42" s="3">
        <f>IFERROR(__xludf.DUMMYFUNCTION("""COMPUTED_VALUE"""),40830.645833333336)</f>
        <v>40830.64583</v>
      </c>
      <c r="C42" s="2">
        <f>IFERROR(__xludf.DUMMYFUNCTION("""COMPUTED_VALUE"""),349.15)</f>
        <v>349.15</v>
      </c>
    </row>
    <row r="43" ht="15.75" customHeight="1">
      <c r="B43" s="3">
        <f>IFERROR(__xludf.DUMMYFUNCTION("""COMPUTED_VALUE"""),40837.645833333336)</f>
        <v>40837.64583</v>
      </c>
      <c r="C43" s="2">
        <f>IFERROR(__xludf.DUMMYFUNCTION("""COMPUTED_VALUE"""),338.5)</f>
        <v>338.5</v>
      </c>
    </row>
    <row r="44" ht="15.75" customHeight="1">
      <c r="B44" s="3">
        <f>IFERROR(__xludf.DUMMYFUNCTION("""COMPUTED_VALUE"""),40844.645833333336)</f>
        <v>40844.64583</v>
      </c>
      <c r="C44" s="2">
        <f>IFERROR(__xludf.DUMMYFUNCTION("""COMPUTED_VALUE"""),342.8)</f>
        <v>342.8</v>
      </c>
    </row>
    <row r="45" ht="15.75" customHeight="1">
      <c r="B45" s="3">
        <f>IFERROR(__xludf.DUMMYFUNCTION("""COMPUTED_VALUE"""),40851.645833333336)</f>
        <v>40851.64583</v>
      </c>
      <c r="C45" s="2">
        <f>IFERROR(__xludf.DUMMYFUNCTION("""COMPUTED_VALUE"""),339.75)</f>
        <v>339.75</v>
      </c>
    </row>
    <row r="46" ht="15.75" customHeight="1">
      <c r="B46" s="3">
        <f>IFERROR(__xludf.DUMMYFUNCTION("""COMPUTED_VALUE"""),40858.645833333336)</f>
        <v>40858.64583</v>
      </c>
      <c r="C46" s="2">
        <f>IFERROR(__xludf.DUMMYFUNCTION("""COMPUTED_VALUE"""),330.3)</f>
        <v>330.3</v>
      </c>
    </row>
    <row r="47" ht="15.75" customHeight="1">
      <c r="B47" s="3">
        <f>IFERROR(__xludf.DUMMYFUNCTION("""COMPUTED_VALUE"""),40865.645833333336)</f>
        <v>40865.64583</v>
      </c>
      <c r="C47" s="2">
        <f>IFERROR(__xludf.DUMMYFUNCTION("""COMPUTED_VALUE"""),326.9)</f>
        <v>326.9</v>
      </c>
    </row>
    <row r="48" ht="15.75" customHeight="1">
      <c r="B48" s="3">
        <f>IFERROR(__xludf.DUMMYFUNCTION("""COMPUTED_VALUE"""),40872.645833333336)</f>
        <v>40872.64583</v>
      </c>
      <c r="C48" s="2">
        <f>IFERROR(__xludf.DUMMYFUNCTION("""COMPUTED_VALUE"""),314.3)</f>
        <v>314.3</v>
      </c>
    </row>
    <row r="49" ht="15.75" customHeight="1">
      <c r="B49" s="3">
        <f>IFERROR(__xludf.DUMMYFUNCTION("""COMPUTED_VALUE"""),40879.645833333336)</f>
        <v>40879.64583</v>
      </c>
      <c r="C49" s="2">
        <f>IFERROR(__xludf.DUMMYFUNCTION("""COMPUTED_VALUE"""),336.0)</f>
        <v>336</v>
      </c>
    </row>
    <row r="50" ht="15.75" customHeight="1">
      <c r="B50" s="3">
        <f>IFERROR(__xludf.DUMMYFUNCTION("""COMPUTED_VALUE"""),40886.645833333336)</f>
        <v>40886.64583</v>
      </c>
      <c r="C50" s="2">
        <f>IFERROR(__xludf.DUMMYFUNCTION("""COMPUTED_VALUE"""),338.35)</f>
        <v>338.35</v>
      </c>
    </row>
    <row r="51" ht="15.75" customHeight="1">
      <c r="B51" s="3">
        <f>IFERROR(__xludf.DUMMYFUNCTION("""COMPUTED_VALUE"""),40893.645833333336)</f>
        <v>40893.64583</v>
      </c>
      <c r="C51" s="2">
        <f>IFERROR(__xludf.DUMMYFUNCTION("""COMPUTED_VALUE"""),319.75)</f>
        <v>319.75</v>
      </c>
    </row>
    <row r="52" ht="15.75" customHeight="1">
      <c r="B52" s="3">
        <f>IFERROR(__xludf.DUMMYFUNCTION("""COMPUTED_VALUE"""),40900.645833333336)</f>
        <v>40900.64583</v>
      </c>
      <c r="C52" s="2">
        <f>IFERROR(__xludf.DUMMYFUNCTION("""COMPUTED_VALUE"""),310.1)</f>
        <v>310.1</v>
      </c>
    </row>
    <row r="53" ht="15.75" customHeight="1">
      <c r="B53" s="3">
        <f>IFERROR(__xludf.DUMMYFUNCTION("""COMPUTED_VALUE"""),40907.645833333336)</f>
        <v>40907.64583</v>
      </c>
      <c r="C53" s="2">
        <f>IFERROR(__xludf.DUMMYFUNCTION("""COMPUTED_VALUE"""),307.6)</f>
        <v>307.6</v>
      </c>
    </row>
    <row r="54" ht="15.75" customHeight="1"/>
    <row r="55" ht="15.75" customHeight="1"/>
    <row r="56" ht="15.75" customHeight="1">
      <c r="B56" s="2" t="str">
        <f>IFERROR(__xludf.DUMMYFUNCTION("GOOGLEFINANCE(""NSE:COALINDIA"", ""high"",DATE(2012,1,1),DATE(2013,1,1),""weekly"")"),"Date")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IFERROR(__xludf.DUMMYFUNCTION("""COMPUTED_VALUE"""),40921.645833333336)</f>
        <v>40921.64583</v>
      </c>
      <c r="C57" s="2">
        <f>IFERROR(__xludf.DUMMYFUNCTION("""COMPUTED_VALUE"""),345.9)</f>
        <v>345.9</v>
      </c>
    </row>
    <row r="58" ht="15.75" customHeight="1">
      <c r="B58" s="3">
        <f>IFERROR(__xludf.DUMMYFUNCTION("""COMPUTED_VALUE"""),40928.645833333336)</f>
        <v>40928.64583</v>
      </c>
      <c r="C58" s="2">
        <f>IFERROR(__xludf.DUMMYFUNCTION("""COMPUTED_VALUE"""),358.3)</f>
        <v>358.3</v>
      </c>
    </row>
    <row r="59" ht="15.75" customHeight="1">
      <c r="B59" s="3">
        <f>IFERROR(__xludf.DUMMYFUNCTION("""COMPUTED_VALUE"""),40935.645833333336)</f>
        <v>40935.64583</v>
      </c>
      <c r="C59" s="2">
        <f>IFERROR(__xludf.DUMMYFUNCTION("""COMPUTED_VALUE"""),348.0)</f>
        <v>348</v>
      </c>
    </row>
    <row r="60" ht="15.75" customHeight="1">
      <c r="B60" s="3">
        <f>IFERROR(__xludf.DUMMYFUNCTION("""COMPUTED_VALUE"""),40942.645833333336)</f>
        <v>40942.64583</v>
      </c>
      <c r="C60" s="2">
        <f>IFERROR(__xludf.DUMMYFUNCTION("""COMPUTED_VALUE"""),341.0)</f>
        <v>341</v>
      </c>
    </row>
    <row r="61" ht="15.75" customHeight="1">
      <c r="B61" s="3">
        <f>IFERROR(__xludf.DUMMYFUNCTION("""COMPUTED_VALUE"""),40949.645833333336)</f>
        <v>40949.64583</v>
      </c>
      <c r="C61" s="2">
        <f>IFERROR(__xludf.DUMMYFUNCTION("""COMPUTED_VALUE"""),336.35)</f>
        <v>336.35</v>
      </c>
    </row>
    <row r="62" ht="15.75" customHeight="1">
      <c r="B62" s="3">
        <f>IFERROR(__xludf.DUMMYFUNCTION("""COMPUTED_VALUE"""),40956.645833333336)</f>
        <v>40956.64583</v>
      </c>
      <c r="C62" s="2">
        <f>IFERROR(__xludf.DUMMYFUNCTION("""COMPUTED_VALUE"""),343.95)</f>
        <v>343.95</v>
      </c>
    </row>
    <row r="63" ht="15.75" customHeight="1">
      <c r="B63" s="3">
        <f>IFERROR(__xludf.DUMMYFUNCTION("""COMPUTED_VALUE"""),40963.645833333336)</f>
        <v>40963.64583</v>
      </c>
      <c r="C63" s="2">
        <f>IFERROR(__xludf.DUMMYFUNCTION("""COMPUTED_VALUE"""),330.6)</f>
        <v>330.6</v>
      </c>
    </row>
    <row r="64" ht="15.75" customHeight="1">
      <c r="B64" s="3">
        <f>IFERROR(__xludf.DUMMYFUNCTION("""COMPUTED_VALUE"""),40977.645833333336)</f>
        <v>40977.64583</v>
      </c>
      <c r="C64" s="2">
        <f>IFERROR(__xludf.DUMMYFUNCTION("""COMPUTED_VALUE"""),337.75)</f>
        <v>337.75</v>
      </c>
    </row>
    <row r="65" ht="15.75" customHeight="1">
      <c r="B65" s="3">
        <f>IFERROR(__xludf.DUMMYFUNCTION("""COMPUTED_VALUE"""),40984.645833333336)</f>
        <v>40984.64583</v>
      </c>
      <c r="C65" s="2">
        <f>IFERROR(__xludf.DUMMYFUNCTION("""COMPUTED_VALUE"""),349.7)</f>
        <v>349.7</v>
      </c>
    </row>
    <row r="66" ht="15.75" customHeight="1">
      <c r="B66" s="3">
        <f>IFERROR(__xludf.DUMMYFUNCTION("""COMPUTED_VALUE"""),40991.645833333336)</f>
        <v>40991.64583</v>
      </c>
      <c r="C66" s="2">
        <f>IFERROR(__xludf.DUMMYFUNCTION("""COMPUTED_VALUE"""),344.55)</f>
        <v>344.55</v>
      </c>
    </row>
    <row r="67" ht="15.75" customHeight="1">
      <c r="B67" s="3">
        <f>IFERROR(__xludf.DUMMYFUNCTION("""COMPUTED_VALUE"""),40998.645833333336)</f>
        <v>40998.64583</v>
      </c>
      <c r="C67" s="2">
        <f>IFERROR(__xludf.DUMMYFUNCTION("""COMPUTED_VALUE"""),349.0)</f>
        <v>349</v>
      </c>
    </row>
    <row r="68" ht="15.75" customHeight="1">
      <c r="B68" s="3">
        <f>IFERROR(__xludf.DUMMYFUNCTION("""COMPUTED_VALUE"""),41003.645833333336)</f>
        <v>41003.64583</v>
      </c>
      <c r="C68" s="2">
        <f>IFERROR(__xludf.DUMMYFUNCTION("""COMPUTED_VALUE"""),347.3)</f>
        <v>347.3</v>
      </c>
    </row>
    <row r="69" ht="15.75" customHeight="1">
      <c r="B69" s="3">
        <f>IFERROR(__xludf.DUMMYFUNCTION("""COMPUTED_VALUE"""),41012.645833333336)</f>
        <v>41012.64583</v>
      </c>
      <c r="C69" s="2">
        <f>IFERROR(__xludf.DUMMYFUNCTION("""COMPUTED_VALUE"""),344.6)</f>
        <v>344.6</v>
      </c>
    </row>
    <row r="70" ht="15.75" customHeight="1">
      <c r="B70" s="3">
        <f>IFERROR(__xludf.DUMMYFUNCTION("""COMPUTED_VALUE"""),41019.645833333336)</f>
        <v>41019.64583</v>
      </c>
      <c r="C70" s="2">
        <f>IFERROR(__xludf.DUMMYFUNCTION("""COMPUTED_VALUE"""),364.6)</f>
        <v>364.6</v>
      </c>
    </row>
    <row r="71" ht="15.75" customHeight="1">
      <c r="B71" s="3">
        <f>IFERROR(__xludf.DUMMYFUNCTION("""COMPUTED_VALUE"""),41033.645833333336)</f>
        <v>41033.64583</v>
      </c>
      <c r="C71" s="2">
        <f>IFERROR(__xludf.DUMMYFUNCTION("""COMPUTED_VALUE"""),355.45)</f>
        <v>355.45</v>
      </c>
    </row>
    <row r="72" ht="15.75" customHeight="1">
      <c r="B72" s="3">
        <f>IFERROR(__xludf.DUMMYFUNCTION("""COMPUTED_VALUE"""),41040.645833333336)</f>
        <v>41040.64583</v>
      </c>
      <c r="C72" s="2">
        <f>IFERROR(__xludf.DUMMYFUNCTION("""COMPUTED_VALUE"""),338.7)</f>
        <v>338.7</v>
      </c>
    </row>
    <row r="73" ht="15.75" customHeight="1">
      <c r="B73" s="3">
        <f>IFERROR(__xludf.DUMMYFUNCTION("""COMPUTED_VALUE"""),41047.645833333336)</f>
        <v>41047.64583</v>
      </c>
      <c r="C73" s="2">
        <f>IFERROR(__xludf.DUMMYFUNCTION("""COMPUTED_VALUE"""),320.25)</f>
        <v>320.25</v>
      </c>
    </row>
    <row r="74" ht="15.75" customHeight="1">
      <c r="B74" s="3">
        <f>IFERROR(__xludf.DUMMYFUNCTION("""COMPUTED_VALUE"""),41054.645833333336)</f>
        <v>41054.64583</v>
      </c>
      <c r="C74" s="2">
        <f>IFERROR(__xludf.DUMMYFUNCTION("""COMPUTED_VALUE"""),314.9)</f>
        <v>314.9</v>
      </c>
    </row>
    <row r="75" ht="15.75" customHeight="1">
      <c r="B75" s="3">
        <f>IFERROR(__xludf.DUMMYFUNCTION("""COMPUTED_VALUE"""),41061.645833333336)</f>
        <v>41061.64583</v>
      </c>
      <c r="C75" s="2">
        <f>IFERROR(__xludf.DUMMYFUNCTION("""COMPUTED_VALUE"""),325.75)</f>
        <v>325.75</v>
      </c>
    </row>
    <row r="76" ht="15.75" customHeight="1">
      <c r="B76" s="3">
        <f>IFERROR(__xludf.DUMMYFUNCTION("""COMPUTED_VALUE"""),41068.645833333336)</f>
        <v>41068.64583</v>
      </c>
      <c r="C76" s="2">
        <f>IFERROR(__xludf.DUMMYFUNCTION("""COMPUTED_VALUE"""),329.5)</f>
        <v>329.5</v>
      </c>
    </row>
    <row r="77" ht="15.75" customHeight="1">
      <c r="B77" s="3">
        <f>IFERROR(__xludf.DUMMYFUNCTION("""COMPUTED_VALUE"""),41075.645833333336)</f>
        <v>41075.64583</v>
      </c>
      <c r="C77" s="2">
        <f>IFERROR(__xludf.DUMMYFUNCTION("""COMPUTED_VALUE"""),340.9)</f>
        <v>340.9</v>
      </c>
    </row>
    <row r="78" ht="15.75" customHeight="1">
      <c r="B78" s="3">
        <f>IFERROR(__xludf.DUMMYFUNCTION("""COMPUTED_VALUE"""),41082.645833333336)</f>
        <v>41082.64583</v>
      </c>
      <c r="C78" s="2">
        <f>IFERROR(__xludf.DUMMYFUNCTION("""COMPUTED_VALUE"""),346.25)</f>
        <v>346.25</v>
      </c>
    </row>
    <row r="79" ht="15.75" customHeight="1">
      <c r="B79" s="3">
        <f>IFERROR(__xludf.DUMMYFUNCTION("""COMPUTED_VALUE"""),41089.645833333336)</f>
        <v>41089.64583</v>
      </c>
      <c r="C79" s="2">
        <f>IFERROR(__xludf.DUMMYFUNCTION("""COMPUTED_VALUE"""),354.0)</f>
        <v>354</v>
      </c>
    </row>
    <row r="80" ht="15.75" customHeight="1">
      <c r="B80" s="3">
        <f>IFERROR(__xludf.DUMMYFUNCTION("""COMPUTED_VALUE"""),41096.645833333336)</f>
        <v>41096.64583</v>
      </c>
      <c r="C80" s="2">
        <f>IFERROR(__xludf.DUMMYFUNCTION("""COMPUTED_VALUE"""),358.65)</f>
        <v>358.65</v>
      </c>
    </row>
    <row r="81" ht="15.75" customHeight="1">
      <c r="B81" s="3">
        <f>IFERROR(__xludf.DUMMYFUNCTION("""COMPUTED_VALUE"""),41103.645833333336)</f>
        <v>41103.64583</v>
      </c>
      <c r="C81" s="2">
        <f>IFERROR(__xludf.DUMMYFUNCTION("""COMPUTED_VALUE"""),360.0)</f>
        <v>360</v>
      </c>
    </row>
    <row r="82" ht="15.75" customHeight="1">
      <c r="B82" s="3">
        <f>IFERROR(__xludf.DUMMYFUNCTION("""COMPUTED_VALUE"""),41110.645833333336)</f>
        <v>41110.64583</v>
      </c>
      <c r="C82" s="2">
        <f>IFERROR(__xludf.DUMMYFUNCTION("""COMPUTED_VALUE"""),363.6)</f>
        <v>363.6</v>
      </c>
    </row>
    <row r="83" ht="15.75" customHeight="1">
      <c r="B83" s="3">
        <f>IFERROR(__xludf.DUMMYFUNCTION("""COMPUTED_VALUE"""),41117.645833333336)</f>
        <v>41117.64583</v>
      </c>
      <c r="C83" s="2">
        <f>IFERROR(__xludf.DUMMYFUNCTION("""COMPUTED_VALUE"""),359.7)</f>
        <v>359.7</v>
      </c>
    </row>
    <row r="84" ht="15.75" customHeight="1">
      <c r="B84" s="3">
        <f>IFERROR(__xludf.DUMMYFUNCTION("""COMPUTED_VALUE"""),41124.645833333336)</f>
        <v>41124.64583</v>
      </c>
      <c r="C84" s="2">
        <f>IFERROR(__xludf.DUMMYFUNCTION("""COMPUTED_VALUE"""),361.4)</f>
        <v>361.4</v>
      </c>
    </row>
    <row r="85" ht="15.75" customHeight="1">
      <c r="B85" s="3">
        <f>IFERROR(__xludf.DUMMYFUNCTION("""COMPUTED_VALUE"""),41131.645833333336)</f>
        <v>41131.64583</v>
      </c>
      <c r="C85" s="2">
        <f>IFERROR(__xludf.DUMMYFUNCTION("""COMPUTED_VALUE"""),354.75)</f>
        <v>354.75</v>
      </c>
    </row>
    <row r="86" ht="15.75" customHeight="1">
      <c r="B86" s="3">
        <f>IFERROR(__xludf.DUMMYFUNCTION("""COMPUTED_VALUE"""),41138.645833333336)</f>
        <v>41138.64583</v>
      </c>
      <c r="C86" s="2">
        <f>IFERROR(__xludf.DUMMYFUNCTION("""COMPUTED_VALUE"""),356.45)</f>
        <v>356.45</v>
      </c>
    </row>
    <row r="87" ht="15.75" customHeight="1">
      <c r="B87" s="3">
        <f>IFERROR(__xludf.DUMMYFUNCTION("""COMPUTED_VALUE"""),41145.645833333336)</f>
        <v>41145.64583</v>
      </c>
      <c r="C87" s="2">
        <f>IFERROR(__xludf.DUMMYFUNCTION("""COMPUTED_VALUE"""),371.75)</f>
        <v>371.75</v>
      </c>
    </row>
    <row r="88" ht="15.75" customHeight="1">
      <c r="B88" s="3">
        <f>IFERROR(__xludf.DUMMYFUNCTION("""COMPUTED_VALUE"""),41152.645833333336)</f>
        <v>41152.64583</v>
      </c>
      <c r="C88" s="2">
        <f>IFERROR(__xludf.DUMMYFUNCTION("""COMPUTED_VALUE"""),369.85)</f>
        <v>369.85</v>
      </c>
    </row>
    <row r="89" ht="15.75" customHeight="1">
      <c r="B89" s="3">
        <f>IFERROR(__xludf.DUMMYFUNCTION("""COMPUTED_VALUE"""),41166.645833333336)</f>
        <v>41166.64583</v>
      </c>
      <c r="C89" s="2">
        <f>IFERROR(__xludf.DUMMYFUNCTION("""COMPUTED_VALUE"""),385.25)</f>
        <v>385.25</v>
      </c>
    </row>
    <row r="90" ht="15.75" customHeight="1">
      <c r="B90" s="3">
        <f>IFERROR(__xludf.DUMMYFUNCTION("""COMPUTED_VALUE"""),41173.645833333336)</f>
        <v>41173.64583</v>
      </c>
      <c r="C90" s="2">
        <f>IFERROR(__xludf.DUMMYFUNCTION("""COMPUTED_VALUE"""),386.25)</f>
        <v>386.25</v>
      </c>
    </row>
    <row r="91" ht="15.75" customHeight="1">
      <c r="B91" s="3">
        <f>IFERROR(__xludf.DUMMYFUNCTION("""COMPUTED_VALUE"""),41180.645833333336)</f>
        <v>41180.64583</v>
      </c>
      <c r="C91" s="2">
        <f>IFERROR(__xludf.DUMMYFUNCTION("""COMPUTED_VALUE"""),372.95)</f>
        <v>372.95</v>
      </c>
    </row>
    <row r="92" ht="15.75" customHeight="1">
      <c r="B92" s="3">
        <f>IFERROR(__xludf.DUMMYFUNCTION("""COMPUTED_VALUE"""),41187.645833333336)</f>
        <v>41187.64583</v>
      </c>
      <c r="C92" s="2">
        <f>IFERROR(__xludf.DUMMYFUNCTION("""COMPUTED_VALUE"""),370.2)</f>
        <v>370.2</v>
      </c>
    </row>
    <row r="93" ht="15.75" customHeight="1">
      <c r="B93" s="3">
        <f>IFERROR(__xludf.DUMMYFUNCTION("""COMPUTED_VALUE"""),41194.645833333336)</f>
        <v>41194.64583</v>
      </c>
      <c r="C93" s="2">
        <f>IFERROR(__xludf.DUMMYFUNCTION("""COMPUTED_VALUE"""),365.0)</f>
        <v>365</v>
      </c>
    </row>
    <row r="94" ht="15.75" customHeight="1">
      <c r="B94" s="3">
        <f>IFERROR(__xludf.DUMMYFUNCTION("""COMPUTED_VALUE"""),41201.645833333336)</f>
        <v>41201.64583</v>
      </c>
      <c r="C94" s="2">
        <f>IFERROR(__xludf.DUMMYFUNCTION("""COMPUTED_VALUE"""),361.65)</f>
        <v>361.65</v>
      </c>
    </row>
    <row r="95" ht="15.75" customHeight="1">
      <c r="B95" s="3">
        <f>IFERROR(__xludf.DUMMYFUNCTION("""COMPUTED_VALUE"""),41208.645833333336)</f>
        <v>41208.64583</v>
      </c>
      <c r="C95" s="2">
        <f>IFERROR(__xludf.DUMMYFUNCTION("""COMPUTED_VALUE"""),361.8)</f>
        <v>361.8</v>
      </c>
    </row>
    <row r="96" ht="15.75" customHeight="1">
      <c r="B96" s="3">
        <f>IFERROR(__xludf.DUMMYFUNCTION("""COMPUTED_VALUE"""),41215.645833333336)</f>
        <v>41215.64583</v>
      </c>
      <c r="C96" s="2">
        <f>IFERROR(__xludf.DUMMYFUNCTION("""COMPUTED_VALUE"""),357.05)</f>
        <v>357.05</v>
      </c>
    </row>
    <row r="97" ht="15.75" customHeight="1">
      <c r="B97" s="3">
        <f>IFERROR(__xludf.DUMMYFUNCTION("""COMPUTED_VALUE"""),41222.645833333336)</f>
        <v>41222.64583</v>
      </c>
      <c r="C97" s="2">
        <f>IFERROR(__xludf.DUMMYFUNCTION("""COMPUTED_VALUE"""),355.8)</f>
        <v>355.8</v>
      </c>
    </row>
    <row r="98" ht="15.75" customHeight="1">
      <c r="B98" s="3">
        <f>IFERROR(__xludf.DUMMYFUNCTION("""COMPUTED_VALUE"""),41229.645833333336)</f>
        <v>41229.64583</v>
      </c>
      <c r="C98" s="2">
        <f>IFERROR(__xludf.DUMMYFUNCTION("""COMPUTED_VALUE"""),354.2)</f>
        <v>354.2</v>
      </c>
    </row>
    <row r="99" ht="15.75" customHeight="1">
      <c r="B99" s="3">
        <f>IFERROR(__xludf.DUMMYFUNCTION("""COMPUTED_VALUE"""),41236.645833333336)</f>
        <v>41236.64583</v>
      </c>
      <c r="C99" s="2">
        <f>IFERROR(__xludf.DUMMYFUNCTION("""COMPUTED_VALUE"""),359.0)</f>
        <v>359</v>
      </c>
    </row>
    <row r="100" ht="15.75" customHeight="1">
      <c r="B100" s="3">
        <f>IFERROR(__xludf.DUMMYFUNCTION("""COMPUTED_VALUE"""),41243.645833333336)</f>
        <v>41243.64583</v>
      </c>
      <c r="C100" s="2">
        <f>IFERROR(__xludf.DUMMYFUNCTION("""COMPUTED_VALUE"""),373.5)</f>
        <v>373.5</v>
      </c>
    </row>
    <row r="101" ht="15.75" customHeight="1">
      <c r="B101" s="3">
        <f>IFERROR(__xludf.DUMMYFUNCTION("""COMPUTED_VALUE"""),41250.645833333336)</f>
        <v>41250.64583</v>
      </c>
      <c r="C101" s="2">
        <f>IFERROR(__xludf.DUMMYFUNCTION("""COMPUTED_VALUE"""),374.85)</f>
        <v>374.85</v>
      </c>
    </row>
    <row r="102" ht="15.75" customHeight="1">
      <c r="B102" s="3">
        <f>IFERROR(__xludf.DUMMYFUNCTION("""COMPUTED_VALUE"""),41257.645833333336)</f>
        <v>41257.64583</v>
      </c>
      <c r="C102" s="2">
        <f>IFERROR(__xludf.DUMMYFUNCTION("""COMPUTED_VALUE"""),367.8)</f>
        <v>367.8</v>
      </c>
    </row>
    <row r="103" ht="15.75" customHeight="1">
      <c r="B103" s="3">
        <f>IFERROR(__xludf.DUMMYFUNCTION("""COMPUTED_VALUE"""),41264.645833333336)</f>
        <v>41264.64583</v>
      </c>
      <c r="C103" s="2">
        <f>IFERROR(__xludf.DUMMYFUNCTION("""COMPUTED_VALUE"""),360.45)</f>
        <v>360.45</v>
      </c>
    </row>
    <row r="104" ht="15.75" customHeight="1">
      <c r="B104" s="3">
        <f>IFERROR(__xludf.DUMMYFUNCTION("""COMPUTED_VALUE"""),41271.645833333336)</f>
        <v>41271.64583</v>
      </c>
      <c r="C104" s="2">
        <f>IFERROR(__xludf.DUMMYFUNCTION("""COMPUTED_VALUE"""),355.85)</f>
        <v>355.85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IFERROR(__xludf.DUMMYFUNCTION("GOOGLEFINANCE(""NSE:COALINDIA"", ""high"",DATE(2013,1,1),DATE(2014,1,1),""weekly"")"),"Date")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IFERROR(__xludf.DUMMYFUNCTION("""COMPUTED_VALUE"""),41278.645833333336)</f>
        <v>41278.64583</v>
      </c>
      <c r="C112" s="2">
        <f>IFERROR(__xludf.DUMMYFUNCTION("""COMPUTED_VALUE"""),364.7)</f>
        <v>364.7</v>
      </c>
    </row>
    <row r="113" ht="15.75" customHeight="1">
      <c r="B113" s="3">
        <f>IFERROR(__xludf.DUMMYFUNCTION("""COMPUTED_VALUE"""),41285.645833333336)</f>
        <v>41285.64583</v>
      </c>
      <c r="C113" s="2">
        <f>IFERROR(__xludf.DUMMYFUNCTION("""COMPUTED_VALUE"""),372.4)</f>
        <v>372.4</v>
      </c>
    </row>
    <row r="114" ht="15.75" customHeight="1">
      <c r="B114" s="3">
        <f>IFERROR(__xludf.DUMMYFUNCTION("""COMPUTED_VALUE"""),41292.645833333336)</f>
        <v>41292.64583</v>
      </c>
      <c r="C114" s="2">
        <f>IFERROR(__xludf.DUMMYFUNCTION("""COMPUTED_VALUE"""),362.2)</f>
        <v>362.2</v>
      </c>
    </row>
    <row r="115" ht="15.75" customHeight="1">
      <c r="B115" s="3">
        <f>IFERROR(__xludf.DUMMYFUNCTION("""COMPUTED_VALUE"""),41299.645833333336)</f>
        <v>41299.64583</v>
      </c>
      <c r="C115" s="2">
        <f>IFERROR(__xludf.DUMMYFUNCTION("""COMPUTED_VALUE"""),355.7)</f>
        <v>355.7</v>
      </c>
    </row>
    <row r="116" ht="15.75" customHeight="1">
      <c r="B116" s="3">
        <f>IFERROR(__xludf.DUMMYFUNCTION("""COMPUTED_VALUE"""),41306.645833333336)</f>
        <v>41306.64583</v>
      </c>
      <c r="C116" s="2">
        <f>IFERROR(__xludf.DUMMYFUNCTION("""COMPUTED_VALUE"""),359.1)</f>
        <v>359.1</v>
      </c>
    </row>
    <row r="117" ht="15.75" customHeight="1">
      <c r="B117" s="3">
        <f>IFERROR(__xludf.DUMMYFUNCTION("""COMPUTED_VALUE"""),41313.645833333336)</f>
        <v>41313.64583</v>
      </c>
      <c r="C117" s="2">
        <f>IFERROR(__xludf.DUMMYFUNCTION("""COMPUTED_VALUE"""),357.35)</f>
        <v>357.35</v>
      </c>
    </row>
    <row r="118" ht="15.75" customHeight="1">
      <c r="B118" s="3">
        <f>IFERROR(__xludf.DUMMYFUNCTION("""COMPUTED_VALUE"""),41320.645833333336)</f>
        <v>41320.64583</v>
      </c>
      <c r="C118" s="2">
        <f>IFERROR(__xludf.DUMMYFUNCTION("""COMPUTED_VALUE"""),353.55)</f>
        <v>353.55</v>
      </c>
    </row>
    <row r="119" ht="15.75" customHeight="1">
      <c r="B119" s="3">
        <f>IFERROR(__xludf.DUMMYFUNCTION("""COMPUTED_VALUE"""),41327.645833333336)</f>
        <v>41327.64583</v>
      </c>
      <c r="C119" s="2">
        <f>IFERROR(__xludf.DUMMYFUNCTION("""COMPUTED_VALUE"""),350.1)</f>
        <v>350.1</v>
      </c>
    </row>
    <row r="120" ht="15.75" customHeight="1">
      <c r="B120" s="3">
        <f>IFERROR(__xludf.DUMMYFUNCTION("""COMPUTED_VALUE"""),41334.645833333336)</f>
        <v>41334.64583</v>
      </c>
      <c r="C120" s="2">
        <f>IFERROR(__xludf.DUMMYFUNCTION("""COMPUTED_VALUE"""),333.95)</f>
        <v>333.95</v>
      </c>
    </row>
    <row r="121" ht="15.75" customHeight="1">
      <c r="B121" s="3">
        <f>IFERROR(__xludf.DUMMYFUNCTION("""COMPUTED_VALUE"""),41341.645833333336)</f>
        <v>41341.64583</v>
      </c>
      <c r="C121" s="2">
        <f>IFERROR(__xludf.DUMMYFUNCTION("""COMPUTED_VALUE"""),322.8)</f>
        <v>322.8</v>
      </c>
    </row>
    <row r="122" ht="15.75" customHeight="1">
      <c r="B122" s="3">
        <f>IFERROR(__xludf.DUMMYFUNCTION("""COMPUTED_VALUE"""),41348.645833333336)</f>
        <v>41348.64583</v>
      </c>
      <c r="C122" s="2">
        <f>IFERROR(__xludf.DUMMYFUNCTION("""COMPUTED_VALUE"""),327.5)</f>
        <v>327.5</v>
      </c>
    </row>
    <row r="123" ht="15.75" customHeight="1">
      <c r="B123" s="3">
        <f>IFERROR(__xludf.DUMMYFUNCTION("""COMPUTED_VALUE"""),41355.645833333336)</f>
        <v>41355.64583</v>
      </c>
      <c r="C123" s="2">
        <f>IFERROR(__xludf.DUMMYFUNCTION("""COMPUTED_VALUE"""),309.25)</f>
        <v>309.25</v>
      </c>
    </row>
    <row r="124" ht="15.75" customHeight="1">
      <c r="B124" s="3">
        <f>IFERROR(__xludf.DUMMYFUNCTION("""COMPUTED_VALUE"""),41361.645833333336)</f>
        <v>41361.64583</v>
      </c>
      <c r="C124" s="2">
        <f>IFERROR(__xludf.DUMMYFUNCTION("""COMPUTED_VALUE"""),310.0)</f>
        <v>310</v>
      </c>
    </row>
    <row r="125" ht="15.75" customHeight="1">
      <c r="B125" s="3">
        <f>IFERROR(__xludf.DUMMYFUNCTION("""COMPUTED_VALUE"""),41369.645833333336)</f>
        <v>41369.64583</v>
      </c>
      <c r="C125" s="2">
        <f>IFERROR(__xludf.DUMMYFUNCTION("""COMPUTED_VALUE"""),314.55)</f>
        <v>314.55</v>
      </c>
    </row>
    <row r="126" ht="15.75" customHeight="1">
      <c r="B126" s="3">
        <f>IFERROR(__xludf.DUMMYFUNCTION("""COMPUTED_VALUE"""),41376.645833333336)</f>
        <v>41376.64583</v>
      </c>
      <c r="C126" s="2">
        <f>IFERROR(__xludf.DUMMYFUNCTION("""COMPUTED_VALUE"""),313.5)</f>
        <v>313.5</v>
      </c>
    </row>
    <row r="127" ht="15.75" customHeight="1">
      <c r="B127" s="3">
        <f>IFERROR(__xludf.DUMMYFUNCTION("""COMPUTED_VALUE"""),41382.645833333336)</f>
        <v>41382.64583</v>
      </c>
      <c r="C127" s="2">
        <f>IFERROR(__xludf.DUMMYFUNCTION("""COMPUTED_VALUE"""),301.65)</f>
        <v>301.65</v>
      </c>
    </row>
    <row r="128" ht="15.75" customHeight="1">
      <c r="B128" s="3">
        <f>IFERROR(__xludf.DUMMYFUNCTION("""COMPUTED_VALUE"""),41390.645833333336)</f>
        <v>41390.64583</v>
      </c>
      <c r="C128" s="2">
        <f>IFERROR(__xludf.DUMMYFUNCTION("""COMPUTED_VALUE"""),324.3)</f>
        <v>324.3</v>
      </c>
    </row>
    <row r="129" ht="15.75" customHeight="1">
      <c r="B129" s="3">
        <f>IFERROR(__xludf.DUMMYFUNCTION("""COMPUTED_VALUE"""),41397.645833333336)</f>
        <v>41397.64583</v>
      </c>
      <c r="C129" s="2">
        <f>IFERROR(__xludf.DUMMYFUNCTION("""COMPUTED_VALUE"""),322.7)</f>
        <v>322.7</v>
      </c>
    </row>
    <row r="130" ht="15.75" customHeight="1">
      <c r="B130" s="3">
        <f>IFERROR(__xludf.DUMMYFUNCTION("""COMPUTED_VALUE"""),41411.645833333336)</f>
        <v>41411.64583</v>
      </c>
      <c r="C130" s="2">
        <f>IFERROR(__xludf.DUMMYFUNCTION("""COMPUTED_VALUE"""),304.25)</f>
        <v>304.25</v>
      </c>
    </row>
    <row r="131" ht="15.75" customHeight="1">
      <c r="B131" s="3">
        <f>IFERROR(__xludf.DUMMYFUNCTION("""COMPUTED_VALUE"""),41418.645833333336)</f>
        <v>41418.64583</v>
      </c>
      <c r="C131" s="2">
        <f>IFERROR(__xludf.DUMMYFUNCTION("""COMPUTED_VALUE"""),314.55)</f>
        <v>314.55</v>
      </c>
    </row>
    <row r="132" ht="15.75" customHeight="1">
      <c r="B132" s="3">
        <f>IFERROR(__xludf.DUMMYFUNCTION("""COMPUTED_VALUE"""),41425.645833333336)</f>
        <v>41425.64583</v>
      </c>
      <c r="C132" s="2">
        <f>IFERROR(__xludf.DUMMYFUNCTION("""COMPUTED_VALUE"""),329.5)</f>
        <v>329.5</v>
      </c>
    </row>
    <row r="133" ht="15.75" customHeight="1">
      <c r="B133" s="3">
        <f>IFERROR(__xludf.DUMMYFUNCTION("""COMPUTED_VALUE"""),41432.645833333336)</f>
        <v>41432.64583</v>
      </c>
      <c r="C133" s="2">
        <f>IFERROR(__xludf.DUMMYFUNCTION("""COMPUTED_VALUE"""),330.7)</f>
        <v>330.7</v>
      </c>
    </row>
    <row r="134" ht="15.75" customHeight="1">
      <c r="B134" s="3">
        <f>IFERROR(__xludf.DUMMYFUNCTION("""COMPUTED_VALUE"""),41439.645833333336)</f>
        <v>41439.64583</v>
      </c>
      <c r="C134" s="2">
        <f>IFERROR(__xludf.DUMMYFUNCTION("""COMPUTED_VALUE"""),323.6)</f>
        <v>323.6</v>
      </c>
    </row>
    <row r="135" ht="15.75" customHeight="1">
      <c r="B135" s="3">
        <f>IFERROR(__xludf.DUMMYFUNCTION("""COMPUTED_VALUE"""),41446.645833333336)</f>
        <v>41446.64583</v>
      </c>
      <c r="C135" s="2">
        <f>IFERROR(__xludf.DUMMYFUNCTION("""COMPUTED_VALUE"""),304.65)</f>
        <v>304.65</v>
      </c>
    </row>
    <row r="136" ht="15.75" customHeight="1">
      <c r="B136" s="3">
        <f>IFERROR(__xludf.DUMMYFUNCTION("""COMPUTED_VALUE"""),41453.645833333336)</f>
        <v>41453.64583</v>
      </c>
      <c r="C136" s="2">
        <f>IFERROR(__xludf.DUMMYFUNCTION("""COMPUTED_VALUE"""),309.9)</f>
        <v>309.9</v>
      </c>
    </row>
    <row r="137" ht="15.75" customHeight="1">
      <c r="B137" s="3">
        <f>IFERROR(__xludf.DUMMYFUNCTION("""COMPUTED_VALUE"""),41460.645833333336)</f>
        <v>41460.64583</v>
      </c>
      <c r="C137" s="2">
        <f>IFERROR(__xludf.DUMMYFUNCTION("""COMPUTED_VALUE"""),308.0)</f>
        <v>308</v>
      </c>
    </row>
    <row r="138" ht="15.75" customHeight="1">
      <c r="B138" s="3">
        <f>IFERROR(__xludf.DUMMYFUNCTION("""COMPUTED_VALUE"""),41467.645833333336)</f>
        <v>41467.64583</v>
      </c>
      <c r="C138" s="2">
        <f>IFERROR(__xludf.DUMMYFUNCTION("""COMPUTED_VALUE"""),302.85)</f>
        <v>302.85</v>
      </c>
    </row>
    <row r="139" ht="15.75" customHeight="1">
      <c r="B139" s="3">
        <f>IFERROR(__xludf.DUMMYFUNCTION("""COMPUTED_VALUE"""),41474.645833333336)</f>
        <v>41474.64583</v>
      </c>
      <c r="C139" s="2">
        <f>IFERROR(__xludf.DUMMYFUNCTION("""COMPUTED_VALUE"""),297.9)</f>
        <v>297.9</v>
      </c>
    </row>
    <row r="140" ht="15.75" customHeight="1">
      <c r="B140" s="3">
        <f>IFERROR(__xludf.DUMMYFUNCTION("""COMPUTED_VALUE"""),41481.645833333336)</f>
        <v>41481.64583</v>
      </c>
      <c r="C140" s="2">
        <f>IFERROR(__xludf.DUMMYFUNCTION("""COMPUTED_VALUE"""),303.45)</f>
        <v>303.45</v>
      </c>
    </row>
    <row r="141" ht="15.75" customHeight="1">
      <c r="B141" s="3">
        <f>IFERROR(__xludf.DUMMYFUNCTION("""COMPUTED_VALUE"""),41488.645833333336)</f>
        <v>41488.64583</v>
      </c>
      <c r="C141" s="2">
        <f>IFERROR(__xludf.DUMMYFUNCTION("""COMPUTED_VALUE"""),286.0)</f>
        <v>286</v>
      </c>
    </row>
    <row r="142" ht="15.75" customHeight="1">
      <c r="B142" s="3">
        <f>IFERROR(__xludf.DUMMYFUNCTION("""COMPUTED_VALUE"""),41494.645833333336)</f>
        <v>41494.64583</v>
      </c>
      <c r="C142" s="2">
        <f>IFERROR(__xludf.DUMMYFUNCTION("""COMPUTED_VALUE"""),270.9)</f>
        <v>270.9</v>
      </c>
    </row>
    <row r="143" ht="15.75" customHeight="1">
      <c r="B143" s="3">
        <f>IFERROR(__xludf.DUMMYFUNCTION("""COMPUTED_VALUE"""),41502.645833333336)</f>
        <v>41502.64583</v>
      </c>
      <c r="C143" s="2">
        <f>IFERROR(__xludf.DUMMYFUNCTION("""COMPUTED_VALUE"""),278.2)</f>
        <v>278.2</v>
      </c>
    </row>
    <row r="144" ht="15.75" customHeight="1">
      <c r="B144" s="3">
        <f>IFERROR(__xludf.DUMMYFUNCTION("""COMPUTED_VALUE"""),41509.645833333336)</f>
        <v>41509.64583</v>
      </c>
      <c r="C144" s="2">
        <f>IFERROR(__xludf.DUMMYFUNCTION("""COMPUTED_VALUE"""),272.85)</f>
        <v>272.85</v>
      </c>
    </row>
    <row r="145" ht="15.75" customHeight="1">
      <c r="B145" s="3">
        <f>IFERROR(__xludf.DUMMYFUNCTION("""COMPUTED_VALUE"""),41516.645833333336)</f>
        <v>41516.64583</v>
      </c>
      <c r="C145" s="2">
        <f>IFERROR(__xludf.DUMMYFUNCTION("""COMPUTED_VALUE"""),279.05)</f>
        <v>279.05</v>
      </c>
    </row>
    <row r="146" ht="15.75" customHeight="1">
      <c r="B146" s="3">
        <f>IFERROR(__xludf.DUMMYFUNCTION("""COMPUTED_VALUE"""),41523.645833333336)</f>
        <v>41523.64583</v>
      </c>
      <c r="C146" s="2">
        <f>IFERROR(__xludf.DUMMYFUNCTION("""COMPUTED_VALUE"""),299.3)</f>
        <v>299.3</v>
      </c>
    </row>
    <row r="147" ht="15.75" customHeight="1">
      <c r="B147" s="3">
        <f>IFERROR(__xludf.DUMMYFUNCTION("""COMPUTED_VALUE"""),41530.645833333336)</f>
        <v>41530.64583</v>
      </c>
      <c r="C147" s="2">
        <f>IFERROR(__xludf.DUMMYFUNCTION("""COMPUTED_VALUE"""),299.6)</f>
        <v>299.6</v>
      </c>
    </row>
    <row r="148" ht="15.75" customHeight="1">
      <c r="B148" s="3">
        <f>IFERROR(__xludf.DUMMYFUNCTION("""COMPUTED_VALUE"""),41537.645833333336)</f>
        <v>41537.64583</v>
      </c>
      <c r="C148" s="2">
        <f>IFERROR(__xludf.DUMMYFUNCTION("""COMPUTED_VALUE"""),305.0)</f>
        <v>305</v>
      </c>
    </row>
    <row r="149" ht="15.75" customHeight="1">
      <c r="B149" s="3">
        <f>IFERROR(__xludf.DUMMYFUNCTION("""COMPUTED_VALUE"""),41544.645833333336)</f>
        <v>41544.64583</v>
      </c>
      <c r="C149" s="2">
        <f>IFERROR(__xludf.DUMMYFUNCTION("""COMPUTED_VALUE"""),309.0)</f>
        <v>309</v>
      </c>
    </row>
    <row r="150" ht="15.75" customHeight="1">
      <c r="B150" s="3">
        <f>IFERROR(__xludf.DUMMYFUNCTION("""COMPUTED_VALUE"""),41551.645833333336)</f>
        <v>41551.64583</v>
      </c>
      <c r="C150" s="2">
        <f>IFERROR(__xludf.DUMMYFUNCTION("""COMPUTED_VALUE"""),314.8)</f>
        <v>314.8</v>
      </c>
    </row>
    <row r="151" ht="15.75" customHeight="1">
      <c r="B151" s="3">
        <f>IFERROR(__xludf.DUMMYFUNCTION("""COMPUTED_VALUE"""),41558.645833333336)</f>
        <v>41558.64583</v>
      </c>
      <c r="C151" s="2">
        <f>IFERROR(__xludf.DUMMYFUNCTION("""COMPUTED_VALUE"""),306.6)</f>
        <v>306.6</v>
      </c>
    </row>
    <row r="152" ht="15.75" customHeight="1">
      <c r="B152" s="3">
        <f>IFERROR(__xludf.DUMMYFUNCTION("""COMPUTED_VALUE"""),41565.645833333336)</f>
        <v>41565.64583</v>
      </c>
      <c r="C152" s="2">
        <f>IFERROR(__xludf.DUMMYFUNCTION("""COMPUTED_VALUE"""),287.9)</f>
        <v>287.9</v>
      </c>
    </row>
    <row r="153" ht="15.75" customHeight="1">
      <c r="B153" s="3">
        <f>IFERROR(__xludf.DUMMYFUNCTION("""COMPUTED_VALUE"""),41572.645833333336)</f>
        <v>41572.64583</v>
      </c>
      <c r="C153" s="2">
        <f>IFERROR(__xludf.DUMMYFUNCTION("""COMPUTED_VALUE"""),293.95)</f>
        <v>293.95</v>
      </c>
    </row>
    <row r="154" ht="15.75" customHeight="1">
      <c r="B154" s="3">
        <f>IFERROR(__xludf.DUMMYFUNCTION("""COMPUTED_VALUE"""),41579.645833333336)</f>
        <v>41579.64583</v>
      </c>
      <c r="C154" s="2">
        <f>IFERROR(__xludf.DUMMYFUNCTION("""COMPUTED_VALUE"""),295.4)</f>
        <v>295.4</v>
      </c>
    </row>
    <row r="155" ht="15.75" customHeight="1">
      <c r="B155" s="3">
        <f>IFERROR(__xludf.DUMMYFUNCTION("""COMPUTED_VALUE"""),41586.645833333336)</f>
        <v>41586.64583</v>
      </c>
      <c r="C155" s="2">
        <f>IFERROR(__xludf.DUMMYFUNCTION("""COMPUTED_VALUE"""),301.5)</f>
        <v>301.5</v>
      </c>
    </row>
    <row r="156" ht="15.75" customHeight="1">
      <c r="B156" s="3">
        <f>IFERROR(__xludf.DUMMYFUNCTION("""COMPUTED_VALUE"""),41592.645833333336)</f>
        <v>41592.64583</v>
      </c>
      <c r="C156" s="2">
        <f>IFERROR(__xludf.DUMMYFUNCTION("""COMPUTED_VALUE"""),293.9)</f>
        <v>293.9</v>
      </c>
    </row>
    <row r="157" ht="15.75" customHeight="1">
      <c r="B157" s="3">
        <f>IFERROR(__xludf.DUMMYFUNCTION("""COMPUTED_VALUE"""),41600.645833333336)</f>
        <v>41600.64583</v>
      </c>
      <c r="C157" s="2">
        <f>IFERROR(__xludf.DUMMYFUNCTION("""COMPUTED_VALUE"""),277.6)</f>
        <v>277.6</v>
      </c>
    </row>
    <row r="158" ht="15.75" customHeight="1">
      <c r="B158" s="3">
        <f>IFERROR(__xludf.DUMMYFUNCTION("""COMPUTED_VALUE"""),41607.645833333336)</f>
        <v>41607.64583</v>
      </c>
      <c r="C158" s="2">
        <f>IFERROR(__xludf.DUMMYFUNCTION("""COMPUTED_VALUE"""),274.55)</f>
        <v>274.55</v>
      </c>
    </row>
    <row r="159" ht="15.75" customHeight="1">
      <c r="B159" s="3">
        <f>IFERROR(__xludf.DUMMYFUNCTION("""COMPUTED_VALUE"""),41614.645833333336)</f>
        <v>41614.64583</v>
      </c>
      <c r="C159" s="2">
        <f>IFERROR(__xludf.DUMMYFUNCTION("""COMPUTED_VALUE"""),293.0)</f>
        <v>293</v>
      </c>
    </row>
    <row r="160" ht="15.75" customHeight="1">
      <c r="B160" s="3">
        <f>IFERROR(__xludf.DUMMYFUNCTION("""COMPUTED_VALUE"""),41621.645833333336)</f>
        <v>41621.64583</v>
      </c>
      <c r="C160" s="2">
        <f>IFERROR(__xludf.DUMMYFUNCTION("""COMPUTED_VALUE"""),298.9)</f>
        <v>298.9</v>
      </c>
    </row>
    <row r="161" ht="15.75" customHeight="1">
      <c r="B161" s="3">
        <f>IFERROR(__xludf.DUMMYFUNCTION("""COMPUTED_VALUE"""),41628.645833333336)</f>
        <v>41628.64583</v>
      </c>
      <c r="C161" s="2">
        <f>IFERROR(__xludf.DUMMYFUNCTION("""COMPUTED_VALUE"""),290.35)</f>
        <v>290.35</v>
      </c>
    </row>
    <row r="162" ht="15.75" customHeight="1">
      <c r="B162" s="3">
        <f>IFERROR(__xludf.DUMMYFUNCTION("""COMPUTED_VALUE"""),41635.645833333336)</f>
        <v>41635.64583</v>
      </c>
      <c r="C162" s="2">
        <f>IFERROR(__xludf.DUMMYFUNCTION("""COMPUTED_VALUE"""),286.8)</f>
        <v>286.8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IFERROR(__xludf.DUMMYFUNCTION("GOOGLEFINANCE(""NSE:COALINDIA"", ""high"",DATE(2014,1,1),DATE(2015,1,1),""weekly"")"),"Date")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IFERROR(__xludf.DUMMYFUNCTION("""COMPUTED_VALUE"""),41642.645833333336)</f>
        <v>41642.64583</v>
      </c>
      <c r="C167" s="2">
        <f>IFERROR(__xludf.DUMMYFUNCTION("""COMPUTED_VALUE"""),295.0)</f>
        <v>295</v>
      </c>
    </row>
    <row r="168" ht="15.75" customHeight="1">
      <c r="B168" s="3">
        <f>IFERROR(__xludf.DUMMYFUNCTION("""COMPUTED_VALUE"""),41649.645833333336)</f>
        <v>41649.64583</v>
      </c>
      <c r="C168" s="2">
        <f>IFERROR(__xludf.DUMMYFUNCTION("""COMPUTED_VALUE"""),297.0)</f>
        <v>297</v>
      </c>
    </row>
    <row r="169" ht="15.75" customHeight="1">
      <c r="B169" s="3">
        <f>IFERROR(__xludf.DUMMYFUNCTION("""COMPUTED_VALUE"""),41656.645833333336)</f>
        <v>41656.64583</v>
      </c>
      <c r="C169" s="2">
        <f>IFERROR(__xludf.DUMMYFUNCTION("""COMPUTED_VALUE"""),307.85)</f>
        <v>307.85</v>
      </c>
    </row>
    <row r="170" ht="15.75" customHeight="1">
      <c r="B170" s="3">
        <f>IFERROR(__xludf.DUMMYFUNCTION("""COMPUTED_VALUE"""),41663.645833333336)</f>
        <v>41663.64583</v>
      </c>
      <c r="C170" s="2">
        <f>IFERROR(__xludf.DUMMYFUNCTION("""COMPUTED_VALUE"""),274.6)</f>
        <v>274.6</v>
      </c>
    </row>
    <row r="171" ht="15.75" customHeight="1">
      <c r="B171" s="3">
        <f>IFERROR(__xludf.DUMMYFUNCTION("""COMPUTED_VALUE"""),41670.645833333336)</f>
        <v>41670.64583</v>
      </c>
      <c r="C171" s="2">
        <f>IFERROR(__xludf.DUMMYFUNCTION("""COMPUTED_VALUE"""),256.4)</f>
        <v>256.4</v>
      </c>
    </row>
    <row r="172" ht="15.75" customHeight="1">
      <c r="B172" s="3">
        <f>IFERROR(__xludf.DUMMYFUNCTION("""COMPUTED_VALUE"""),41677.645833333336)</f>
        <v>41677.64583</v>
      </c>
      <c r="C172" s="2">
        <f>IFERROR(__xludf.DUMMYFUNCTION("""COMPUTED_VALUE"""),270.3)</f>
        <v>270.3</v>
      </c>
    </row>
    <row r="173" ht="15.75" customHeight="1">
      <c r="B173" s="3">
        <f>IFERROR(__xludf.DUMMYFUNCTION("""COMPUTED_VALUE"""),41684.645833333336)</f>
        <v>41684.64583</v>
      </c>
      <c r="C173" s="2">
        <f>IFERROR(__xludf.DUMMYFUNCTION("""COMPUTED_VALUE"""),271.2)</f>
        <v>271.2</v>
      </c>
    </row>
    <row r="174" ht="15.75" customHeight="1">
      <c r="B174" s="3">
        <f>IFERROR(__xludf.DUMMYFUNCTION("""COMPUTED_VALUE"""),41691.645833333336)</f>
        <v>41691.64583</v>
      </c>
      <c r="C174" s="2">
        <f>IFERROR(__xludf.DUMMYFUNCTION("""COMPUTED_VALUE"""),261.0)</f>
        <v>261</v>
      </c>
    </row>
    <row r="175" ht="15.75" customHeight="1">
      <c r="B175" s="3">
        <f>IFERROR(__xludf.DUMMYFUNCTION("""COMPUTED_VALUE"""),41698.645833333336)</f>
        <v>41698.64583</v>
      </c>
      <c r="C175" s="2">
        <f>IFERROR(__xludf.DUMMYFUNCTION("""COMPUTED_VALUE"""),255.1)</f>
        <v>255.1</v>
      </c>
    </row>
    <row r="176" ht="15.75" customHeight="1">
      <c r="B176" s="3">
        <f>IFERROR(__xludf.DUMMYFUNCTION("""COMPUTED_VALUE"""),41705.645833333336)</f>
        <v>41705.64583</v>
      </c>
      <c r="C176" s="2">
        <f>IFERROR(__xludf.DUMMYFUNCTION("""COMPUTED_VALUE"""),266.0)</f>
        <v>266</v>
      </c>
    </row>
    <row r="177" ht="15.75" customHeight="1">
      <c r="B177" s="3">
        <f>IFERROR(__xludf.DUMMYFUNCTION("""COMPUTED_VALUE"""),41712.645833333336)</f>
        <v>41712.64583</v>
      </c>
      <c r="C177" s="2">
        <f>IFERROR(__xludf.DUMMYFUNCTION("""COMPUTED_VALUE"""),267.8)</f>
        <v>267.8</v>
      </c>
    </row>
    <row r="178" ht="15.75" customHeight="1">
      <c r="B178" s="3">
        <f>IFERROR(__xludf.DUMMYFUNCTION("""COMPUTED_VALUE"""),41726.645833333336)</f>
        <v>41726.64583</v>
      </c>
      <c r="C178" s="2">
        <f>IFERROR(__xludf.DUMMYFUNCTION("""COMPUTED_VALUE"""),287.9)</f>
        <v>287.9</v>
      </c>
    </row>
    <row r="179" ht="15.75" customHeight="1">
      <c r="B179" s="3">
        <f>IFERROR(__xludf.DUMMYFUNCTION("""COMPUTED_VALUE"""),41733.645833333336)</f>
        <v>41733.64583</v>
      </c>
      <c r="C179" s="2">
        <f>IFERROR(__xludf.DUMMYFUNCTION("""COMPUTED_VALUE"""),292.0)</f>
        <v>292</v>
      </c>
    </row>
    <row r="180" ht="15.75" customHeight="1">
      <c r="B180" s="3">
        <f>IFERROR(__xludf.DUMMYFUNCTION("""COMPUTED_VALUE"""),41740.645833333336)</f>
        <v>41740.64583</v>
      </c>
      <c r="C180" s="2">
        <f>IFERROR(__xludf.DUMMYFUNCTION("""COMPUTED_VALUE"""),294.0)</f>
        <v>294</v>
      </c>
    </row>
    <row r="181" ht="15.75" customHeight="1">
      <c r="B181" s="3">
        <f>IFERROR(__xludf.DUMMYFUNCTION("""COMPUTED_VALUE"""),41746.645833333336)</f>
        <v>41746.64583</v>
      </c>
      <c r="C181" s="2">
        <f>IFERROR(__xludf.DUMMYFUNCTION("""COMPUTED_VALUE"""),295.5)</f>
        <v>295.5</v>
      </c>
    </row>
    <row r="182" ht="15.75" customHeight="1">
      <c r="B182" s="3">
        <f>IFERROR(__xludf.DUMMYFUNCTION("""COMPUTED_VALUE"""),41754.645833333336)</f>
        <v>41754.64583</v>
      </c>
      <c r="C182" s="2">
        <f>IFERROR(__xludf.DUMMYFUNCTION("""COMPUTED_VALUE"""),304.35)</f>
        <v>304.35</v>
      </c>
    </row>
    <row r="183" ht="15.75" customHeight="1">
      <c r="B183" s="3">
        <f>IFERROR(__xludf.DUMMYFUNCTION("""COMPUTED_VALUE"""),41761.645833333336)</f>
        <v>41761.64583</v>
      </c>
      <c r="C183" s="2">
        <f>IFERROR(__xludf.DUMMYFUNCTION("""COMPUTED_VALUE"""),299.75)</f>
        <v>299.75</v>
      </c>
    </row>
    <row r="184" ht="15.75" customHeight="1">
      <c r="B184" s="3">
        <f>IFERROR(__xludf.DUMMYFUNCTION("""COMPUTED_VALUE"""),41768.645833333336)</f>
        <v>41768.64583</v>
      </c>
      <c r="C184" s="2">
        <f>IFERROR(__xludf.DUMMYFUNCTION("""COMPUTED_VALUE"""),310.0)</f>
        <v>310</v>
      </c>
    </row>
    <row r="185" ht="15.75" customHeight="1">
      <c r="B185" s="3">
        <f>IFERROR(__xludf.DUMMYFUNCTION("""COMPUTED_VALUE"""),41775.645833333336)</f>
        <v>41775.64583</v>
      </c>
      <c r="C185" s="2">
        <f>IFERROR(__xludf.DUMMYFUNCTION("""COMPUTED_VALUE"""),365.4)</f>
        <v>365.4</v>
      </c>
    </row>
    <row r="186" ht="15.75" customHeight="1">
      <c r="B186" s="3">
        <f>IFERROR(__xludf.DUMMYFUNCTION("""COMPUTED_VALUE"""),41782.645833333336)</f>
        <v>41782.64583</v>
      </c>
      <c r="C186" s="2">
        <f>IFERROR(__xludf.DUMMYFUNCTION("""COMPUTED_VALUE"""),401.4)</f>
        <v>401.4</v>
      </c>
    </row>
    <row r="187" ht="15.75" customHeight="1">
      <c r="B187" s="3">
        <f>IFERROR(__xludf.DUMMYFUNCTION("""COMPUTED_VALUE"""),41789.645833333336)</f>
        <v>41789.64583</v>
      </c>
      <c r="C187" s="2">
        <f>IFERROR(__xludf.DUMMYFUNCTION("""COMPUTED_VALUE"""),416.8)</f>
        <v>416.8</v>
      </c>
    </row>
    <row r="188" ht="15.75" customHeight="1">
      <c r="B188" s="3">
        <f>IFERROR(__xludf.DUMMYFUNCTION("""COMPUTED_VALUE"""),41796.645833333336)</f>
        <v>41796.64583</v>
      </c>
      <c r="C188" s="2">
        <f>IFERROR(__xludf.DUMMYFUNCTION("""COMPUTED_VALUE"""),397.5)</f>
        <v>397.5</v>
      </c>
    </row>
    <row r="189" ht="15.75" customHeight="1">
      <c r="B189" s="3">
        <f>IFERROR(__xludf.DUMMYFUNCTION("""COMPUTED_VALUE"""),41803.645833333336)</f>
        <v>41803.64583</v>
      </c>
      <c r="C189" s="2">
        <f>IFERROR(__xludf.DUMMYFUNCTION("""COMPUTED_VALUE"""),423.7)</f>
        <v>423.7</v>
      </c>
    </row>
    <row r="190" ht="15.75" customHeight="1">
      <c r="B190" s="3">
        <f>IFERROR(__xludf.DUMMYFUNCTION("""COMPUTED_VALUE"""),41810.645833333336)</f>
        <v>41810.64583</v>
      </c>
      <c r="C190" s="2">
        <f>IFERROR(__xludf.DUMMYFUNCTION("""COMPUTED_VALUE"""),403.5)</f>
        <v>403.5</v>
      </c>
    </row>
    <row r="191" ht="15.75" customHeight="1">
      <c r="B191" s="3">
        <f>IFERROR(__xludf.DUMMYFUNCTION("""COMPUTED_VALUE"""),41817.645833333336)</f>
        <v>41817.64583</v>
      </c>
      <c r="C191" s="2">
        <f>IFERROR(__xludf.DUMMYFUNCTION("""COMPUTED_VALUE"""),403.05)</f>
        <v>403.05</v>
      </c>
    </row>
    <row r="192" ht="15.75" customHeight="1">
      <c r="B192" s="3">
        <f>IFERROR(__xludf.DUMMYFUNCTION("""COMPUTED_VALUE"""),41824.645833333336)</f>
        <v>41824.64583</v>
      </c>
      <c r="C192" s="2">
        <f>IFERROR(__xludf.DUMMYFUNCTION("""COMPUTED_VALUE"""),401.7)</f>
        <v>401.7</v>
      </c>
    </row>
    <row r="193" ht="15.75" customHeight="1">
      <c r="B193" s="3">
        <f>IFERROR(__xludf.DUMMYFUNCTION("""COMPUTED_VALUE"""),41831.645833333336)</f>
        <v>41831.64583</v>
      </c>
      <c r="C193" s="2">
        <f>IFERROR(__xludf.DUMMYFUNCTION("""COMPUTED_VALUE"""),399.8)</f>
        <v>399.8</v>
      </c>
    </row>
    <row r="194" ht="15.75" customHeight="1">
      <c r="B194" s="3">
        <f>IFERROR(__xludf.DUMMYFUNCTION("""COMPUTED_VALUE"""),41838.645833333336)</f>
        <v>41838.64583</v>
      </c>
      <c r="C194" s="2">
        <f>IFERROR(__xludf.DUMMYFUNCTION("""COMPUTED_VALUE"""),377.7)</f>
        <v>377.7</v>
      </c>
    </row>
    <row r="195" ht="15.75" customHeight="1">
      <c r="B195" s="3">
        <f>IFERROR(__xludf.DUMMYFUNCTION("""COMPUTED_VALUE"""),41845.645833333336)</f>
        <v>41845.64583</v>
      </c>
      <c r="C195" s="2">
        <f>IFERROR(__xludf.DUMMYFUNCTION("""COMPUTED_VALUE"""),393.5)</f>
        <v>393.5</v>
      </c>
    </row>
    <row r="196" ht="15.75" customHeight="1">
      <c r="B196" s="3">
        <f>IFERROR(__xludf.DUMMYFUNCTION("""COMPUTED_VALUE"""),41852.645833333336)</f>
        <v>41852.64583</v>
      </c>
      <c r="C196" s="2">
        <f>IFERROR(__xludf.DUMMYFUNCTION("""COMPUTED_VALUE"""),377.3)</f>
        <v>377.3</v>
      </c>
    </row>
    <row r="197" ht="15.75" customHeight="1">
      <c r="B197" s="3">
        <f>IFERROR(__xludf.DUMMYFUNCTION("""COMPUTED_VALUE"""),41859.645833333336)</f>
        <v>41859.64583</v>
      </c>
      <c r="C197" s="2">
        <f>IFERROR(__xludf.DUMMYFUNCTION("""COMPUTED_VALUE"""),367.55)</f>
        <v>367.55</v>
      </c>
    </row>
    <row r="198" ht="15.75" customHeight="1">
      <c r="B198" s="3">
        <f>IFERROR(__xludf.DUMMYFUNCTION("""COMPUTED_VALUE"""),41865.645833333336)</f>
        <v>41865.64583</v>
      </c>
      <c r="C198" s="2">
        <f>IFERROR(__xludf.DUMMYFUNCTION("""COMPUTED_VALUE"""),368.35)</f>
        <v>368.35</v>
      </c>
    </row>
    <row r="199" ht="15.75" customHeight="1">
      <c r="B199" s="3">
        <f>IFERROR(__xludf.DUMMYFUNCTION("""COMPUTED_VALUE"""),41873.645833333336)</f>
        <v>41873.64583</v>
      </c>
      <c r="C199" s="2">
        <f>IFERROR(__xludf.DUMMYFUNCTION("""COMPUTED_VALUE"""),372.0)</f>
        <v>372</v>
      </c>
    </row>
    <row r="200" ht="15.75" customHeight="1">
      <c r="B200" s="3">
        <f>IFERROR(__xludf.DUMMYFUNCTION("""COMPUTED_VALUE"""),41879.645833333336)</f>
        <v>41879.64583</v>
      </c>
      <c r="C200" s="2">
        <f>IFERROR(__xludf.DUMMYFUNCTION("""COMPUTED_VALUE"""),365.0)</f>
        <v>365</v>
      </c>
    </row>
    <row r="201" ht="15.75" customHeight="1">
      <c r="B201" s="3">
        <f>IFERROR(__xludf.DUMMYFUNCTION("""COMPUTED_VALUE"""),41887.645833333336)</f>
        <v>41887.64583</v>
      </c>
      <c r="C201" s="2">
        <f>IFERROR(__xludf.DUMMYFUNCTION("""COMPUTED_VALUE"""),382.3)</f>
        <v>382.3</v>
      </c>
    </row>
    <row r="202" ht="15.75" customHeight="1">
      <c r="B202" s="3">
        <f>IFERROR(__xludf.DUMMYFUNCTION("""COMPUTED_VALUE"""),41894.645833333336)</f>
        <v>41894.64583</v>
      </c>
      <c r="C202" s="2">
        <f>IFERROR(__xludf.DUMMYFUNCTION("""COMPUTED_VALUE"""),384.9)</f>
        <v>384.9</v>
      </c>
    </row>
    <row r="203" ht="15.75" customHeight="1">
      <c r="B203" s="3">
        <f>IFERROR(__xludf.DUMMYFUNCTION("""COMPUTED_VALUE"""),41901.645833333336)</f>
        <v>41901.64583</v>
      </c>
      <c r="C203" s="2">
        <f>IFERROR(__xludf.DUMMYFUNCTION("""COMPUTED_VALUE"""),357.5)</f>
        <v>357.5</v>
      </c>
    </row>
    <row r="204" ht="15.75" customHeight="1">
      <c r="B204" s="3">
        <f>IFERROR(__xludf.DUMMYFUNCTION("""COMPUTED_VALUE"""),41908.645833333336)</f>
        <v>41908.64583</v>
      </c>
      <c r="C204" s="2">
        <f>IFERROR(__xludf.DUMMYFUNCTION("""COMPUTED_VALUE"""),360.2)</f>
        <v>360.2</v>
      </c>
    </row>
    <row r="205" ht="15.75" customHeight="1">
      <c r="B205" s="3">
        <f>IFERROR(__xludf.DUMMYFUNCTION("""COMPUTED_VALUE"""),41913.645833333336)</f>
        <v>41913.64583</v>
      </c>
      <c r="C205" s="2">
        <f>IFERROR(__xludf.DUMMYFUNCTION("""COMPUTED_VALUE"""),349.75)</f>
        <v>349.75</v>
      </c>
    </row>
    <row r="206" ht="15.75" customHeight="1">
      <c r="B206" s="3">
        <f>IFERROR(__xludf.DUMMYFUNCTION("""COMPUTED_VALUE"""),41922.645833333336)</f>
        <v>41922.64583</v>
      </c>
      <c r="C206" s="2">
        <f>IFERROR(__xludf.DUMMYFUNCTION("""COMPUTED_VALUE"""),347.9)</f>
        <v>347.9</v>
      </c>
    </row>
    <row r="207" ht="15.75" customHeight="1">
      <c r="B207" s="3">
        <f>IFERROR(__xludf.DUMMYFUNCTION("""COMPUTED_VALUE"""),41929.645833333336)</f>
        <v>41929.64583</v>
      </c>
      <c r="C207" s="2">
        <f>IFERROR(__xludf.DUMMYFUNCTION("""COMPUTED_VALUE"""),354.65)</f>
        <v>354.65</v>
      </c>
    </row>
    <row r="208" ht="15.75" customHeight="1">
      <c r="B208" s="3">
        <f>IFERROR(__xludf.DUMMYFUNCTION("""COMPUTED_VALUE"""),41935.645833333336)</f>
        <v>41935.64583</v>
      </c>
      <c r="C208" s="2">
        <f>IFERROR(__xludf.DUMMYFUNCTION("""COMPUTED_VALUE"""),366.2)</f>
        <v>366.2</v>
      </c>
    </row>
    <row r="209" ht="15.75" customHeight="1">
      <c r="B209" s="3">
        <f>IFERROR(__xludf.DUMMYFUNCTION("""COMPUTED_VALUE"""),41943.645833333336)</f>
        <v>41943.64583</v>
      </c>
      <c r="C209" s="2">
        <f>IFERROR(__xludf.DUMMYFUNCTION("""COMPUTED_VALUE"""),371.95)</f>
        <v>371.95</v>
      </c>
    </row>
    <row r="210" ht="15.75" customHeight="1">
      <c r="B210" s="3">
        <f>IFERROR(__xludf.DUMMYFUNCTION("""COMPUTED_VALUE"""),41950.645833333336)</f>
        <v>41950.64583</v>
      </c>
      <c r="C210" s="2">
        <f>IFERROR(__xludf.DUMMYFUNCTION("""COMPUTED_VALUE"""),375.0)</f>
        <v>375</v>
      </c>
    </row>
    <row r="211" ht="15.75" customHeight="1">
      <c r="B211" s="3">
        <f>IFERROR(__xludf.DUMMYFUNCTION("""COMPUTED_VALUE"""),41957.64583333333)</f>
        <v>41957.64583</v>
      </c>
      <c r="C211" s="2">
        <f>IFERROR(__xludf.DUMMYFUNCTION("""COMPUTED_VALUE"""),358.3)</f>
        <v>358.3</v>
      </c>
    </row>
    <row r="212" ht="15.75" customHeight="1">
      <c r="B212" s="3">
        <f>IFERROR(__xludf.DUMMYFUNCTION("""COMPUTED_VALUE"""),41964.64583333333)</f>
        <v>41964.64583</v>
      </c>
      <c r="C212" s="2">
        <f>IFERROR(__xludf.DUMMYFUNCTION("""COMPUTED_VALUE"""),359.2)</f>
        <v>359.2</v>
      </c>
    </row>
    <row r="213" ht="15.75" customHeight="1">
      <c r="B213" s="3">
        <f>IFERROR(__xludf.DUMMYFUNCTION("""COMPUTED_VALUE"""),41971.64583333333)</f>
        <v>41971.64583</v>
      </c>
      <c r="C213" s="2">
        <f>IFERROR(__xludf.DUMMYFUNCTION("""COMPUTED_VALUE"""),357.7)</f>
        <v>357.7</v>
      </c>
    </row>
    <row r="214" ht="15.75" customHeight="1">
      <c r="B214" s="3">
        <f>IFERROR(__xludf.DUMMYFUNCTION("""COMPUTED_VALUE"""),41978.64583333333)</f>
        <v>41978.64583</v>
      </c>
      <c r="C214" s="2">
        <f>IFERROR(__xludf.DUMMYFUNCTION("""COMPUTED_VALUE"""),359.5)</f>
        <v>359.5</v>
      </c>
    </row>
    <row r="215" ht="15.75" customHeight="1">
      <c r="B215" s="3">
        <f>IFERROR(__xludf.DUMMYFUNCTION("""COMPUTED_VALUE"""),41985.64583333333)</f>
        <v>41985.64583</v>
      </c>
      <c r="C215" s="2">
        <f>IFERROR(__xludf.DUMMYFUNCTION("""COMPUTED_VALUE"""),368.8)</f>
        <v>368.8</v>
      </c>
    </row>
    <row r="216" ht="15.75" customHeight="1">
      <c r="B216" s="3">
        <f>IFERROR(__xludf.DUMMYFUNCTION("""COMPUTED_VALUE"""),41992.64583333333)</f>
        <v>41992.64583</v>
      </c>
      <c r="C216" s="2">
        <f>IFERROR(__xludf.DUMMYFUNCTION("""COMPUTED_VALUE"""),380.9)</f>
        <v>380.9</v>
      </c>
    </row>
    <row r="217" ht="15.75" customHeight="1">
      <c r="B217" s="3">
        <f>IFERROR(__xludf.DUMMYFUNCTION("""COMPUTED_VALUE"""),41999.64583333333)</f>
        <v>41999.64583</v>
      </c>
      <c r="C217" s="2">
        <f>IFERROR(__xludf.DUMMYFUNCTION("""COMPUTED_VALUE"""),393.35)</f>
        <v>393.35</v>
      </c>
    </row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IFERROR(__xludf.DUMMYFUNCTION("GOOGLEFINANCE(""NSE:COALINDIA"", ""high"",DATE(2015,1,1),DATE(2016,1,1),""weekly"")"),"Date")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IFERROR(__xludf.DUMMYFUNCTION("""COMPUTED_VALUE"""),42006.64583333333)</f>
        <v>42006.64583</v>
      </c>
      <c r="C222" s="2">
        <f>IFERROR(__xludf.DUMMYFUNCTION("""COMPUTED_VALUE"""),389.0)</f>
        <v>389</v>
      </c>
    </row>
    <row r="223" ht="15.75" customHeight="1">
      <c r="B223" s="3">
        <f>IFERROR(__xludf.DUMMYFUNCTION("""COMPUTED_VALUE"""),42013.64583333333)</f>
        <v>42013.64583</v>
      </c>
      <c r="C223" s="2">
        <f>IFERROR(__xludf.DUMMYFUNCTION("""COMPUTED_VALUE"""),386.0)</f>
        <v>386</v>
      </c>
    </row>
    <row r="224" ht="15.75" customHeight="1">
      <c r="B224" s="3">
        <f>IFERROR(__xludf.DUMMYFUNCTION("""COMPUTED_VALUE"""),42020.64583333333)</f>
        <v>42020.64583</v>
      </c>
      <c r="C224" s="2">
        <f>IFERROR(__xludf.DUMMYFUNCTION("""COMPUTED_VALUE"""),380.6)</f>
        <v>380.6</v>
      </c>
    </row>
    <row r="225" ht="15.75" customHeight="1">
      <c r="B225" s="3">
        <f>IFERROR(__xludf.DUMMYFUNCTION("""COMPUTED_VALUE"""),42027.64583333333)</f>
        <v>42027.64583</v>
      </c>
      <c r="C225" s="2">
        <f>IFERROR(__xludf.DUMMYFUNCTION("""COMPUTED_VALUE"""),400.0)</f>
        <v>400</v>
      </c>
    </row>
    <row r="226" ht="15.75" customHeight="1">
      <c r="B226" s="3">
        <f>IFERROR(__xludf.DUMMYFUNCTION("""COMPUTED_VALUE"""),42034.64583333333)</f>
        <v>42034.64583</v>
      </c>
      <c r="C226" s="2">
        <f>IFERROR(__xludf.DUMMYFUNCTION("""COMPUTED_VALUE"""),394.7)</f>
        <v>394.7</v>
      </c>
    </row>
    <row r="227" ht="15.75" customHeight="1">
      <c r="B227" s="3">
        <f>IFERROR(__xludf.DUMMYFUNCTION("""COMPUTED_VALUE"""),42041.64583333333)</f>
        <v>42041.64583</v>
      </c>
      <c r="C227" s="2">
        <f>IFERROR(__xludf.DUMMYFUNCTION("""COMPUTED_VALUE"""),374.95)</f>
        <v>374.95</v>
      </c>
    </row>
    <row r="228" ht="15.75" customHeight="1">
      <c r="B228" s="3">
        <f>IFERROR(__xludf.DUMMYFUNCTION("""COMPUTED_VALUE"""),42048.64583333333)</f>
        <v>42048.64583</v>
      </c>
      <c r="C228" s="2">
        <f>IFERROR(__xludf.DUMMYFUNCTION("""COMPUTED_VALUE"""),379.9)</f>
        <v>379.9</v>
      </c>
    </row>
    <row r="229" ht="15.75" customHeight="1">
      <c r="B229" s="3">
        <f>IFERROR(__xludf.DUMMYFUNCTION("""COMPUTED_VALUE"""),42055.64583333333)</f>
        <v>42055.64583</v>
      </c>
      <c r="C229" s="2">
        <f>IFERROR(__xludf.DUMMYFUNCTION("""COMPUTED_VALUE"""),390.0)</f>
        <v>390</v>
      </c>
    </row>
    <row r="230" ht="15.75" customHeight="1">
      <c r="B230" s="3">
        <f>IFERROR(__xludf.DUMMYFUNCTION("""COMPUTED_VALUE"""),42068.64583333333)</f>
        <v>42068.64583</v>
      </c>
      <c r="C230" s="2">
        <f>IFERROR(__xludf.DUMMYFUNCTION("""COMPUTED_VALUE"""),398.2)</f>
        <v>398.2</v>
      </c>
    </row>
    <row r="231" ht="15.75" customHeight="1">
      <c r="B231" s="3">
        <f>IFERROR(__xludf.DUMMYFUNCTION("""COMPUTED_VALUE"""),42076.64583333333)</f>
        <v>42076.64583</v>
      </c>
      <c r="C231" s="2">
        <f>IFERROR(__xludf.DUMMYFUNCTION("""COMPUTED_VALUE"""),372.25)</f>
        <v>372.25</v>
      </c>
    </row>
    <row r="232" ht="15.75" customHeight="1">
      <c r="B232" s="3">
        <f>IFERROR(__xludf.DUMMYFUNCTION("""COMPUTED_VALUE"""),42083.64583333333)</f>
        <v>42083.64583</v>
      </c>
      <c r="C232" s="2">
        <f>IFERROR(__xludf.DUMMYFUNCTION("""COMPUTED_VALUE"""),371.0)</f>
        <v>371</v>
      </c>
    </row>
    <row r="233" ht="15.75" customHeight="1">
      <c r="B233" s="3">
        <f>IFERROR(__xludf.DUMMYFUNCTION("""COMPUTED_VALUE"""),42090.64583333333)</f>
        <v>42090.64583</v>
      </c>
      <c r="C233" s="2">
        <f>IFERROR(__xludf.DUMMYFUNCTION("""COMPUTED_VALUE"""),373.0)</f>
        <v>373</v>
      </c>
    </row>
    <row r="234" ht="15.75" customHeight="1">
      <c r="B234" s="3">
        <f>IFERROR(__xludf.DUMMYFUNCTION("""COMPUTED_VALUE"""),42095.64583333333)</f>
        <v>42095.64583</v>
      </c>
      <c r="C234" s="2">
        <f>IFERROR(__xludf.DUMMYFUNCTION("""COMPUTED_VALUE"""),365.95)</f>
        <v>365.95</v>
      </c>
    </row>
    <row r="235" ht="15.75" customHeight="1">
      <c r="B235" s="3">
        <f>IFERROR(__xludf.DUMMYFUNCTION("""COMPUTED_VALUE"""),42104.64583333333)</f>
        <v>42104.64583</v>
      </c>
      <c r="C235" s="2">
        <f>IFERROR(__xludf.DUMMYFUNCTION("""COMPUTED_VALUE"""),390.2)</f>
        <v>390.2</v>
      </c>
    </row>
    <row r="236" ht="15.75" customHeight="1">
      <c r="B236" s="3">
        <f>IFERROR(__xludf.DUMMYFUNCTION("""COMPUTED_VALUE"""),42111.64583333333)</f>
        <v>42111.64583</v>
      </c>
      <c r="C236" s="2">
        <f>IFERROR(__xludf.DUMMYFUNCTION("""COMPUTED_VALUE"""),395.7)</f>
        <v>395.7</v>
      </c>
    </row>
    <row r="237" ht="15.75" customHeight="1">
      <c r="B237" s="3">
        <f>IFERROR(__xludf.DUMMYFUNCTION("""COMPUTED_VALUE"""),42118.64583333333)</f>
        <v>42118.64583</v>
      </c>
      <c r="C237" s="2">
        <f>IFERROR(__xludf.DUMMYFUNCTION("""COMPUTED_VALUE"""),385.9)</f>
        <v>385.9</v>
      </c>
    </row>
    <row r="238" ht="15.75" customHeight="1">
      <c r="B238" s="3">
        <f>IFERROR(__xludf.DUMMYFUNCTION("""COMPUTED_VALUE"""),42124.64583333333)</f>
        <v>42124.64583</v>
      </c>
      <c r="C238" s="2">
        <f>IFERROR(__xludf.DUMMYFUNCTION("""COMPUTED_VALUE"""),380.0)</f>
        <v>380</v>
      </c>
    </row>
    <row r="239" ht="15.75" customHeight="1">
      <c r="B239" s="3">
        <f>IFERROR(__xludf.DUMMYFUNCTION("""COMPUTED_VALUE"""),42132.64583333333)</f>
        <v>42132.64583</v>
      </c>
      <c r="C239" s="2">
        <f>IFERROR(__xludf.DUMMYFUNCTION("""COMPUTED_VALUE"""),371.4)</f>
        <v>371.4</v>
      </c>
    </row>
    <row r="240" ht="15.75" customHeight="1">
      <c r="B240" s="3">
        <f>IFERROR(__xludf.DUMMYFUNCTION("""COMPUTED_VALUE"""),42139.64583333333)</f>
        <v>42139.64583</v>
      </c>
      <c r="C240" s="2">
        <f>IFERROR(__xludf.DUMMYFUNCTION("""COMPUTED_VALUE"""),376.6)</f>
        <v>376.6</v>
      </c>
    </row>
    <row r="241" ht="15.75" customHeight="1">
      <c r="B241" s="3">
        <f>IFERROR(__xludf.DUMMYFUNCTION("""COMPUTED_VALUE"""),42146.64583333333)</f>
        <v>42146.64583</v>
      </c>
      <c r="C241" s="2">
        <f>IFERROR(__xludf.DUMMYFUNCTION("""COMPUTED_VALUE"""),376.55)</f>
        <v>376.55</v>
      </c>
    </row>
    <row r="242" ht="15.75" customHeight="1">
      <c r="B242" s="3">
        <f>IFERROR(__xludf.DUMMYFUNCTION("""COMPUTED_VALUE"""),42153.64583333333)</f>
        <v>42153.64583</v>
      </c>
      <c r="C242" s="2">
        <f>IFERROR(__xludf.DUMMYFUNCTION("""COMPUTED_VALUE"""),393.75)</f>
        <v>393.75</v>
      </c>
    </row>
    <row r="243" ht="15.75" customHeight="1">
      <c r="B243" s="3">
        <f>IFERROR(__xludf.DUMMYFUNCTION("""COMPUTED_VALUE"""),42160.64583333333)</f>
        <v>42160.64583</v>
      </c>
      <c r="C243" s="2">
        <f>IFERROR(__xludf.DUMMYFUNCTION("""COMPUTED_VALUE"""),409.75)</f>
        <v>409.75</v>
      </c>
    </row>
    <row r="244" ht="15.75" customHeight="1">
      <c r="B244" s="3">
        <f>IFERROR(__xludf.DUMMYFUNCTION("""COMPUTED_VALUE"""),42167.64583333333)</f>
        <v>42167.64583</v>
      </c>
      <c r="C244" s="2">
        <f>IFERROR(__xludf.DUMMYFUNCTION("""COMPUTED_VALUE"""),413.95)</f>
        <v>413.95</v>
      </c>
    </row>
    <row r="245" ht="15.75" customHeight="1">
      <c r="B245" s="3">
        <f>IFERROR(__xludf.DUMMYFUNCTION("""COMPUTED_VALUE"""),42174.64583333333)</f>
        <v>42174.64583</v>
      </c>
      <c r="C245" s="2">
        <f>IFERROR(__xludf.DUMMYFUNCTION("""COMPUTED_VALUE"""),402.7)</f>
        <v>402.7</v>
      </c>
    </row>
    <row r="246" ht="15.75" customHeight="1">
      <c r="B246" s="3">
        <f>IFERROR(__xludf.DUMMYFUNCTION("""COMPUTED_VALUE"""),42181.64583333333)</f>
        <v>42181.64583</v>
      </c>
      <c r="C246" s="2">
        <f>IFERROR(__xludf.DUMMYFUNCTION("""COMPUTED_VALUE"""),421.5)</f>
        <v>421.5</v>
      </c>
    </row>
    <row r="247" ht="15.75" customHeight="1">
      <c r="B247" s="3">
        <f>IFERROR(__xludf.DUMMYFUNCTION("""COMPUTED_VALUE"""),42188.64583333333)</f>
        <v>42188.64583</v>
      </c>
      <c r="C247" s="2">
        <f>IFERROR(__xludf.DUMMYFUNCTION("""COMPUTED_VALUE"""),429.3)</f>
        <v>429.3</v>
      </c>
    </row>
    <row r="248" ht="15.75" customHeight="1">
      <c r="B248" s="3">
        <f>IFERROR(__xludf.DUMMYFUNCTION("""COMPUTED_VALUE"""),42195.64583333333)</f>
        <v>42195.64583</v>
      </c>
      <c r="C248" s="2">
        <f>IFERROR(__xludf.DUMMYFUNCTION("""COMPUTED_VALUE"""),430.7)</f>
        <v>430.7</v>
      </c>
    </row>
    <row r="249" ht="15.75" customHeight="1">
      <c r="B249" s="3">
        <f>IFERROR(__xludf.DUMMYFUNCTION("""COMPUTED_VALUE"""),42202.64583333333)</f>
        <v>42202.64583</v>
      </c>
      <c r="C249" s="2">
        <f>IFERROR(__xludf.DUMMYFUNCTION("""COMPUTED_VALUE"""),441.2)</f>
        <v>441.2</v>
      </c>
    </row>
    <row r="250" ht="15.75" customHeight="1">
      <c r="B250" s="3">
        <f>IFERROR(__xludf.DUMMYFUNCTION("""COMPUTED_VALUE"""),42209.64583333333)</f>
        <v>42209.64583</v>
      </c>
      <c r="C250" s="2">
        <f>IFERROR(__xludf.DUMMYFUNCTION("""COMPUTED_VALUE"""),437.0)</f>
        <v>437</v>
      </c>
    </row>
    <row r="251" ht="15.75" customHeight="1">
      <c r="B251" s="3">
        <f>IFERROR(__xludf.DUMMYFUNCTION("""COMPUTED_VALUE"""),42216.64583333333)</f>
        <v>42216.64583</v>
      </c>
      <c r="C251" s="2">
        <f>IFERROR(__xludf.DUMMYFUNCTION("""COMPUTED_VALUE"""),442.8)</f>
        <v>442.8</v>
      </c>
    </row>
    <row r="252" ht="15.75" customHeight="1">
      <c r="B252" s="3">
        <f>IFERROR(__xludf.DUMMYFUNCTION("""COMPUTED_VALUE"""),42223.64583333333)</f>
        <v>42223.64583</v>
      </c>
      <c r="C252" s="2">
        <f>IFERROR(__xludf.DUMMYFUNCTION("""COMPUTED_VALUE"""),447.1)</f>
        <v>447.1</v>
      </c>
    </row>
    <row r="253" ht="15.75" customHeight="1">
      <c r="B253" s="3">
        <f>IFERROR(__xludf.DUMMYFUNCTION("""COMPUTED_VALUE"""),42230.64583333333)</f>
        <v>42230.64583</v>
      </c>
      <c r="C253" s="2">
        <f>IFERROR(__xludf.DUMMYFUNCTION("""COMPUTED_VALUE"""),418.05)</f>
        <v>418.05</v>
      </c>
    </row>
    <row r="254" ht="15.75" customHeight="1">
      <c r="B254" s="3">
        <f>IFERROR(__xludf.DUMMYFUNCTION("""COMPUTED_VALUE"""),42237.64583333333)</f>
        <v>42237.64583</v>
      </c>
      <c r="C254" s="2">
        <f>IFERROR(__xludf.DUMMYFUNCTION("""COMPUTED_VALUE"""),383.6)</f>
        <v>383.6</v>
      </c>
    </row>
    <row r="255" ht="15.75" customHeight="1">
      <c r="B255" s="3">
        <f>IFERROR(__xludf.DUMMYFUNCTION("""COMPUTED_VALUE"""),42244.64583333333)</f>
        <v>42244.64583</v>
      </c>
      <c r="C255" s="2">
        <f>IFERROR(__xludf.DUMMYFUNCTION("""COMPUTED_VALUE"""),367.0)</f>
        <v>367</v>
      </c>
    </row>
    <row r="256" ht="15.75" customHeight="1">
      <c r="B256" s="3">
        <f>IFERROR(__xludf.DUMMYFUNCTION("""COMPUTED_VALUE"""),42251.64583333333)</f>
        <v>42251.64583</v>
      </c>
      <c r="C256" s="2">
        <f>IFERROR(__xludf.DUMMYFUNCTION("""COMPUTED_VALUE"""),367.95)</f>
        <v>367.95</v>
      </c>
    </row>
    <row r="257" ht="15.75" customHeight="1">
      <c r="B257" s="3">
        <f>IFERROR(__xludf.DUMMYFUNCTION("""COMPUTED_VALUE"""),42258.64583333333)</f>
        <v>42258.64583</v>
      </c>
      <c r="C257" s="2">
        <f>IFERROR(__xludf.DUMMYFUNCTION("""COMPUTED_VALUE"""),351.9)</f>
        <v>351.9</v>
      </c>
    </row>
    <row r="258" ht="15.75" customHeight="1">
      <c r="B258" s="3">
        <f>IFERROR(__xludf.DUMMYFUNCTION("""COMPUTED_VALUE"""),42265.64583333333)</f>
        <v>42265.64583</v>
      </c>
      <c r="C258" s="2">
        <f>IFERROR(__xludf.DUMMYFUNCTION("""COMPUTED_VALUE"""),345.0)</f>
        <v>345</v>
      </c>
    </row>
    <row r="259" ht="15.75" customHeight="1">
      <c r="B259" s="3">
        <f>IFERROR(__xludf.DUMMYFUNCTION("""COMPUTED_VALUE"""),42271.64583333333)</f>
        <v>42271.64583</v>
      </c>
      <c r="C259" s="2">
        <f>IFERROR(__xludf.DUMMYFUNCTION("""COMPUTED_VALUE"""),344.75)</f>
        <v>344.75</v>
      </c>
    </row>
    <row r="260" ht="15.75" customHeight="1">
      <c r="B260" s="3">
        <f>IFERROR(__xludf.DUMMYFUNCTION("""COMPUTED_VALUE"""),42278.64583333333)</f>
        <v>42278.64583</v>
      </c>
      <c r="C260" s="2">
        <f>IFERROR(__xludf.DUMMYFUNCTION("""COMPUTED_VALUE"""),330.35)</f>
        <v>330.35</v>
      </c>
    </row>
    <row r="261" ht="15.75" customHeight="1">
      <c r="B261" s="3">
        <f>IFERROR(__xludf.DUMMYFUNCTION("""COMPUTED_VALUE"""),42286.64583333333)</f>
        <v>42286.64583</v>
      </c>
      <c r="C261" s="2">
        <f>IFERROR(__xludf.DUMMYFUNCTION("""COMPUTED_VALUE"""),348.9)</f>
        <v>348.9</v>
      </c>
    </row>
    <row r="262" ht="15.75" customHeight="1">
      <c r="B262" s="3">
        <f>IFERROR(__xludf.DUMMYFUNCTION("""COMPUTED_VALUE"""),42300.64583333333)</f>
        <v>42300.64583</v>
      </c>
      <c r="C262" s="2">
        <f>IFERROR(__xludf.DUMMYFUNCTION("""COMPUTED_VALUE"""),343.8)</f>
        <v>343.8</v>
      </c>
    </row>
    <row r="263" ht="15.75" customHeight="1">
      <c r="B263" s="3">
        <f>IFERROR(__xludf.DUMMYFUNCTION("""COMPUTED_VALUE"""),42307.64583333333)</f>
        <v>42307.64583</v>
      </c>
      <c r="C263" s="2">
        <f>IFERROR(__xludf.DUMMYFUNCTION("""COMPUTED_VALUE"""),344.7)</f>
        <v>344.7</v>
      </c>
    </row>
    <row r="264" ht="15.75" customHeight="1">
      <c r="B264" s="3">
        <f>IFERROR(__xludf.DUMMYFUNCTION("""COMPUTED_VALUE"""),42314.64583333333)</f>
        <v>42314.64583</v>
      </c>
      <c r="C264" s="2">
        <f>IFERROR(__xludf.DUMMYFUNCTION("""COMPUTED_VALUE"""),345.0)</f>
        <v>345</v>
      </c>
    </row>
    <row r="265" ht="15.75" customHeight="1">
      <c r="B265" s="3">
        <f>IFERROR(__xludf.DUMMYFUNCTION("""COMPUTED_VALUE"""),42321.64583333333)</f>
        <v>42321.64583</v>
      </c>
      <c r="C265" s="2">
        <f>IFERROR(__xludf.DUMMYFUNCTION("""COMPUTED_VALUE"""),341.5)</f>
        <v>341.5</v>
      </c>
    </row>
    <row r="266" ht="15.75" customHeight="1">
      <c r="B266" s="3">
        <f>IFERROR(__xludf.DUMMYFUNCTION("""COMPUTED_VALUE"""),42328.64583333333)</f>
        <v>42328.64583</v>
      </c>
      <c r="C266" s="2">
        <f>IFERROR(__xludf.DUMMYFUNCTION("""COMPUTED_VALUE"""),339.6)</f>
        <v>339.6</v>
      </c>
    </row>
    <row r="267" ht="15.75" customHeight="1">
      <c r="B267" s="3">
        <f>IFERROR(__xludf.DUMMYFUNCTION("""COMPUTED_VALUE"""),42335.64583333333)</f>
        <v>42335.64583</v>
      </c>
      <c r="C267" s="2">
        <f>IFERROR(__xludf.DUMMYFUNCTION("""COMPUTED_VALUE"""),341.55)</f>
        <v>341.55</v>
      </c>
    </row>
    <row r="268" ht="15.75" customHeight="1">
      <c r="B268" s="3">
        <f>IFERROR(__xludf.DUMMYFUNCTION("""COMPUTED_VALUE"""),42342.64583333333)</f>
        <v>42342.64583</v>
      </c>
      <c r="C268" s="2">
        <f>IFERROR(__xludf.DUMMYFUNCTION("""COMPUTED_VALUE"""),346.55)</f>
        <v>346.55</v>
      </c>
    </row>
    <row r="269" ht="15.75" customHeight="1">
      <c r="B269" s="3">
        <f>IFERROR(__xludf.DUMMYFUNCTION("""COMPUTED_VALUE"""),42349.64583333333)</f>
        <v>42349.64583</v>
      </c>
      <c r="C269" s="2">
        <f>IFERROR(__xludf.DUMMYFUNCTION("""COMPUTED_VALUE"""),338.0)</f>
        <v>338</v>
      </c>
    </row>
    <row r="270" ht="15.75" customHeight="1">
      <c r="B270" s="3">
        <f>IFERROR(__xludf.DUMMYFUNCTION("""COMPUTED_VALUE"""),42356.64583333333)</f>
        <v>42356.64583</v>
      </c>
      <c r="C270" s="2">
        <f>IFERROR(__xludf.DUMMYFUNCTION("""COMPUTED_VALUE"""),319.4)</f>
        <v>319.4</v>
      </c>
    </row>
    <row r="271" ht="15.75" customHeight="1">
      <c r="B271" s="3">
        <f>IFERROR(__xludf.DUMMYFUNCTION("""COMPUTED_VALUE"""),42362.64583333333)</f>
        <v>42362.64583</v>
      </c>
      <c r="C271" s="2">
        <f>IFERROR(__xludf.DUMMYFUNCTION("""COMPUTED_VALUE"""),328.4)</f>
        <v>328.4</v>
      </c>
    </row>
    <row r="272" ht="15.75" customHeight="1">
      <c r="B272" s="3">
        <f>IFERROR(__xludf.DUMMYFUNCTION("""COMPUTED_VALUE"""),42370.64583333333)</f>
        <v>42370.64583</v>
      </c>
      <c r="C272" s="2">
        <f>IFERROR(__xludf.DUMMYFUNCTION("""COMPUTED_VALUE"""),335.0)</f>
        <v>335</v>
      </c>
    </row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IFERROR(__xludf.DUMMYFUNCTION("GOOGLEFINANCE(""NSE:COALINDIA"", ""high"",DATE(2016,1,1),DATE(2017,1,1),""weekly"")"),"Date")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IFERROR(__xludf.DUMMYFUNCTION("""COMPUTED_VALUE"""),42377.64583333333)</f>
        <v>42377.64583</v>
      </c>
      <c r="C277" s="2">
        <f>IFERROR(__xludf.DUMMYFUNCTION("""COMPUTED_VALUE"""),337.1)</f>
        <v>337.1</v>
      </c>
    </row>
    <row r="278" ht="15.75" customHeight="1">
      <c r="B278" s="3">
        <f>IFERROR(__xludf.DUMMYFUNCTION("""COMPUTED_VALUE"""),42384.64583333333)</f>
        <v>42384.64583</v>
      </c>
      <c r="C278" s="2">
        <f>IFERROR(__xludf.DUMMYFUNCTION("""COMPUTED_VALUE"""),321.85)</f>
        <v>321.85</v>
      </c>
    </row>
    <row r="279" ht="15.75" customHeight="1">
      <c r="B279" s="3">
        <f>IFERROR(__xludf.DUMMYFUNCTION("""COMPUTED_VALUE"""),42391.64583333333)</f>
        <v>42391.64583</v>
      </c>
      <c r="C279" s="2">
        <f>IFERROR(__xludf.DUMMYFUNCTION("""COMPUTED_VALUE"""),323.1)</f>
        <v>323.1</v>
      </c>
    </row>
    <row r="280" ht="15.75" customHeight="1">
      <c r="B280" s="3">
        <f>IFERROR(__xludf.DUMMYFUNCTION("""COMPUTED_VALUE"""),42398.64583333333)</f>
        <v>42398.64583</v>
      </c>
      <c r="C280" s="2">
        <f>IFERROR(__xludf.DUMMYFUNCTION("""COMPUTED_VALUE"""),324.5)</f>
        <v>324.5</v>
      </c>
    </row>
    <row r="281" ht="15.75" customHeight="1">
      <c r="B281" s="3">
        <f>IFERROR(__xludf.DUMMYFUNCTION("""COMPUTED_VALUE"""),42405.64583333333)</f>
        <v>42405.64583</v>
      </c>
      <c r="C281" s="2">
        <f>IFERROR(__xludf.DUMMYFUNCTION("""COMPUTED_VALUE"""),337.2)</f>
        <v>337.2</v>
      </c>
    </row>
    <row r="282" ht="15.75" customHeight="1">
      <c r="B282" s="3">
        <f>IFERROR(__xludf.DUMMYFUNCTION("""COMPUTED_VALUE"""),42419.64583333333)</f>
        <v>42419.64583</v>
      </c>
      <c r="C282" s="2">
        <f>IFERROR(__xludf.DUMMYFUNCTION("""COMPUTED_VALUE"""),330.75)</f>
        <v>330.75</v>
      </c>
    </row>
    <row r="283" ht="15.75" customHeight="1">
      <c r="B283" s="3">
        <f>IFERROR(__xludf.DUMMYFUNCTION("""COMPUTED_VALUE"""),42426.64583333333)</f>
        <v>42426.64583</v>
      </c>
      <c r="C283" s="2">
        <f>IFERROR(__xludf.DUMMYFUNCTION("""COMPUTED_VALUE"""),316.0)</f>
        <v>316</v>
      </c>
    </row>
    <row r="284" ht="15.75" customHeight="1">
      <c r="B284" s="3">
        <f>IFERROR(__xludf.DUMMYFUNCTION("""COMPUTED_VALUE"""),42433.64583333333)</f>
        <v>42433.64583</v>
      </c>
      <c r="C284" s="2">
        <f>IFERROR(__xludf.DUMMYFUNCTION("""COMPUTED_VALUE"""),327.5)</f>
        <v>327.5</v>
      </c>
    </row>
    <row r="285" ht="15.75" customHeight="1">
      <c r="B285" s="3">
        <f>IFERROR(__xludf.DUMMYFUNCTION("""COMPUTED_VALUE"""),42440.64583333333)</f>
        <v>42440.64583</v>
      </c>
      <c r="C285" s="2">
        <f>IFERROR(__xludf.DUMMYFUNCTION("""COMPUTED_VALUE"""),333.0)</f>
        <v>333</v>
      </c>
    </row>
    <row r="286" ht="15.75" customHeight="1">
      <c r="B286" s="3">
        <f>IFERROR(__xludf.DUMMYFUNCTION("""COMPUTED_VALUE"""),42447.64583333333)</f>
        <v>42447.64583</v>
      </c>
      <c r="C286" s="2">
        <f>IFERROR(__xludf.DUMMYFUNCTION("""COMPUTED_VALUE"""),299.0)</f>
        <v>299</v>
      </c>
    </row>
    <row r="287" ht="15.75" customHeight="1">
      <c r="B287" s="3">
        <f>IFERROR(__xludf.DUMMYFUNCTION("""COMPUTED_VALUE"""),42452.64583333333)</f>
        <v>42452.64583</v>
      </c>
      <c r="C287" s="2">
        <f>IFERROR(__xludf.DUMMYFUNCTION("""COMPUTED_VALUE"""),299.7)</f>
        <v>299.7</v>
      </c>
    </row>
    <row r="288" ht="15.75" customHeight="1">
      <c r="B288" s="3">
        <f>IFERROR(__xludf.DUMMYFUNCTION("""COMPUTED_VALUE"""),42461.64583333333)</f>
        <v>42461.64583</v>
      </c>
      <c r="C288" s="2">
        <f>IFERROR(__xludf.DUMMYFUNCTION("""COMPUTED_VALUE"""),298.5)</f>
        <v>298.5</v>
      </c>
    </row>
    <row r="289" ht="15.75" customHeight="1">
      <c r="B289" s="3">
        <f>IFERROR(__xludf.DUMMYFUNCTION("""COMPUTED_VALUE"""),42468.64583333333)</f>
        <v>42468.64583</v>
      </c>
      <c r="C289" s="2">
        <f>IFERROR(__xludf.DUMMYFUNCTION("""COMPUTED_VALUE"""),288.95)</f>
        <v>288.95</v>
      </c>
    </row>
    <row r="290" ht="15.75" customHeight="1">
      <c r="B290" s="3">
        <f>IFERROR(__xludf.DUMMYFUNCTION("""COMPUTED_VALUE"""),42473.64583333333)</f>
        <v>42473.64583</v>
      </c>
      <c r="C290" s="2">
        <f>IFERROR(__xludf.DUMMYFUNCTION("""COMPUTED_VALUE"""),282.6)</f>
        <v>282.6</v>
      </c>
    </row>
    <row r="291" ht="15.75" customHeight="1">
      <c r="B291" s="3">
        <f>IFERROR(__xludf.DUMMYFUNCTION("""COMPUTED_VALUE"""),42482.64583333333)</f>
        <v>42482.64583</v>
      </c>
      <c r="C291" s="2">
        <f>IFERROR(__xludf.DUMMYFUNCTION("""COMPUTED_VALUE"""),288.75)</f>
        <v>288.75</v>
      </c>
    </row>
    <row r="292" ht="15.75" customHeight="1">
      <c r="B292" s="3">
        <f>IFERROR(__xludf.DUMMYFUNCTION("""COMPUTED_VALUE"""),42489.64583333333)</f>
        <v>42489.64583</v>
      </c>
      <c r="C292" s="2">
        <f>IFERROR(__xludf.DUMMYFUNCTION("""COMPUTED_VALUE"""),293.65)</f>
        <v>293.65</v>
      </c>
    </row>
    <row r="293" ht="15.75" customHeight="1">
      <c r="B293" s="3">
        <f>IFERROR(__xludf.DUMMYFUNCTION("""COMPUTED_VALUE"""),42496.64583333333)</f>
        <v>42496.64583</v>
      </c>
      <c r="C293" s="2">
        <f>IFERROR(__xludf.DUMMYFUNCTION("""COMPUTED_VALUE"""),289.25)</f>
        <v>289.25</v>
      </c>
    </row>
    <row r="294" ht="15.75" customHeight="1">
      <c r="B294" s="3">
        <f>IFERROR(__xludf.DUMMYFUNCTION("""COMPUTED_VALUE"""),42503.64583333333)</f>
        <v>42503.64583</v>
      </c>
      <c r="C294" s="2">
        <f>IFERROR(__xludf.DUMMYFUNCTION("""COMPUTED_VALUE"""),286.7)</f>
        <v>286.7</v>
      </c>
    </row>
    <row r="295" ht="15.75" customHeight="1">
      <c r="B295" s="3">
        <f>IFERROR(__xludf.DUMMYFUNCTION("""COMPUTED_VALUE"""),42510.64583333333)</f>
        <v>42510.64583</v>
      </c>
      <c r="C295" s="2">
        <f>IFERROR(__xludf.DUMMYFUNCTION("""COMPUTED_VALUE"""),285.3)</f>
        <v>285.3</v>
      </c>
    </row>
    <row r="296" ht="15.75" customHeight="1">
      <c r="B296" s="3">
        <f>IFERROR(__xludf.DUMMYFUNCTION("""COMPUTED_VALUE"""),42517.64583333333)</f>
        <v>42517.64583</v>
      </c>
      <c r="C296" s="2">
        <f>IFERROR(__xludf.DUMMYFUNCTION("""COMPUTED_VALUE"""),284.5)</f>
        <v>284.5</v>
      </c>
    </row>
    <row r="297" ht="15.75" customHeight="1">
      <c r="B297" s="3">
        <f>IFERROR(__xludf.DUMMYFUNCTION("""COMPUTED_VALUE"""),42524.64583333333)</f>
        <v>42524.64583</v>
      </c>
      <c r="C297" s="2">
        <f>IFERROR(__xludf.DUMMYFUNCTION("""COMPUTED_VALUE"""),311.9)</f>
        <v>311.9</v>
      </c>
    </row>
    <row r="298" ht="15.75" customHeight="1">
      <c r="B298" s="3">
        <f>IFERROR(__xludf.DUMMYFUNCTION("""COMPUTED_VALUE"""),42531.64583333333)</f>
        <v>42531.64583</v>
      </c>
      <c r="C298" s="2">
        <f>IFERROR(__xludf.DUMMYFUNCTION("""COMPUTED_VALUE"""),315.9)</f>
        <v>315.9</v>
      </c>
    </row>
    <row r="299" ht="15.75" customHeight="1">
      <c r="B299" s="3">
        <f>IFERROR(__xludf.DUMMYFUNCTION("""COMPUTED_VALUE"""),42538.64583333333)</f>
        <v>42538.64583</v>
      </c>
      <c r="C299" s="2">
        <f>IFERROR(__xludf.DUMMYFUNCTION("""COMPUTED_VALUE"""),314.5)</f>
        <v>314.5</v>
      </c>
    </row>
    <row r="300" ht="15.75" customHeight="1">
      <c r="B300" s="3">
        <f>IFERROR(__xludf.DUMMYFUNCTION("""COMPUTED_VALUE"""),42545.64583333333)</f>
        <v>42545.64583</v>
      </c>
      <c r="C300" s="2">
        <f>IFERROR(__xludf.DUMMYFUNCTION("""COMPUTED_VALUE"""),318.9)</f>
        <v>318.9</v>
      </c>
    </row>
    <row r="301" ht="15.75" customHeight="1">
      <c r="B301" s="3">
        <f>IFERROR(__xludf.DUMMYFUNCTION("""COMPUTED_VALUE"""),42552.64583333333)</f>
        <v>42552.64583</v>
      </c>
      <c r="C301" s="2">
        <f>IFERROR(__xludf.DUMMYFUNCTION("""COMPUTED_VALUE"""),314.65)</f>
        <v>314.65</v>
      </c>
    </row>
    <row r="302" ht="15.75" customHeight="1">
      <c r="B302" s="3">
        <f>IFERROR(__xludf.DUMMYFUNCTION("""COMPUTED_VALUE"""),42559.64583333333)</f>
        <v>42559.64583</v>
      </c>
      <c r="C302" s="2">
        <f>IFERROR(__xludf.DUMMYFUNCTION("""COMPUTED_VALUE"""),325.85)</f>
        <v>325.85</v>
      </c>
    </row>
    <row r="303" ht="15.75" customHeight="1">
      <c r="B303" s="3">
        <f>IFERROR(__xludf.DUMMYFUNCTION("""COMPUTED_VALUE"""),42566.64583333333)</f>
        <v>42566.64583</v>
      </c>
      <c r="C303" s="2">
        <f>IFERROR(__xludf.DUMMYFUNCTION("""COMPUTED_VALUE"""),327.6)</f>
        <v>327.6</v>
      </c>
    </row>
    <row r="304" ht="15.75" customHeight="1">
      <c r="B304" s="3">
        <f>IFERROR(__xludf.DUMMYFUNCTION("""COMPUTED_VALUE"""),42573.64583333333)</f>
        <v>42573.64583</v>
      </c>
      <c r="C304" s="2">
        <f>IFERROR(__xludf.DUMMYFUNCTION("""COMPUTED_VALUE"""),335.8)</f>
        <v>335.8</v>
      </c>
    </row>
    <row r="305" ht="15.75" customHeight="1">
      <c r="B305" s="3">
        <f>IFERROR(__xludf.DUMMYFUNCTION("""COMPUTED_VALUE"""),42580.64583333333)</f>
        <v>42580.64583</v>
      </c>
      <c r="C305" s="2">
        <f>IFERROR(__xludf.DUMMYFUNCTION("""COMPUTED_VALUE"""),334.4)</f>
        <v>334.4</v>
      </c>
    </row>
    <row r="306" ht="15.75" customHeight="1">
      <c r="B306" s="3">
        <f>IFERROR(__xludf.DUMMYFUNCTION("""COMPUTED_VALUE"""),42587.64583333333)</f>
        <v>42587.64583</v>
      </c>
      <c r="C306" s="2">
        <f>IFERROR(__xludf.DUMMYFUNCTION("""COMPUTED_VALUE"""),331.5)</f>
        <v>331.5</v>
      </c>
    </row>
    <row r="307" ht="15.75" customHeight="1">
      <c r="B307" s="3">
        <f>IFERROR(__xludf.DUMMYFUNCTION("""COMPUTED_VALUE"""),42594.64583333333)</f>
        <v>42594.64583</v>
      </c>
      <c r="C307" s="2">
        <f>IFERROR(__xludf.DUMMYFUNCTION("""COMPUTED_VALUE"""),340.0)</f>
        <v>340</v>
      </c>
    </row>
    <row r="308" ht="15.75" customHeight="1">
      <c r="B308" s="3">
        <f>IFERROR(__xludf.DUMMYFUNCTION("""COMPUTED_VALUE"""),42601.64583333333)</f>
        <v>42601.64583</v>
      </c>
      <c r="C308" s="2">
        <f>IFERROR(__xludf.DUMMYFUNCTION("""COMPUTED_VALUE"""),349.95)</f>
        <v>349.95</v>
      </c>
    </row>
    <row r="309" ht="15.75" customHeight="1">
      <c r="B309" s="3">
        <f>IFERROR(__xludf.DUMMYFUNCTION("""COMPUTED_VALUE"""),42608.64583333333)</f>
        <v>42608.64583</v>
      </c>
      <c r="C309" s="2">
        <f>IFERROR(__xludf.DUMMYFUNCTION("""COMPUTED_VALUE"""),337.5)</f>
        <v>337.5</v>
      </c>
    </row>
    <row r="310" ht="15.75" customHeight="1">
      <c r="B310" s="3">
        <f>IFERROR(__xludf.DUMMYFUNCTION("""COMPUTED_VALUE"""),42615.64583333333)</f>
        <v>42615.64583</v>
      </c>
      <c r="C310" s="2">
        <f>IFERROR(__xludf.DUMMYFUNCTION("""COMPUTED_VALUE"""),339.0)</f>
        <v>339</v>
      </c>
    </row>
    <row r="311" ht="15.75" customHeight="1">
      <c r="B311" s="3">
        <f>IFERROR(__xludf.DUMMYFUNCTION("""COMPUTED_VALUE"""),42622.64583333333)</f>
        <v>42622.64583</v>
      </c>
      <c r="C311" s="2">
        <f>IFERROR(__xludf.DUMMYFUNCTION("""COMPUTED_VALUE"""),333.75)</f>
        <v>333.75</v>
      </c>
    </row>
    <row r="312" ht="15.75" customHeight="1">
      <c r="B312" s="3">
        <f>IFERROR(__xludf.DUMMYFUNCTION("""COMPUTED_VALUE"""),42629.64583333333)</f>
        <v>42629.64583</v>
      </c>
      <c r="C312" s="2">
        <f>IFERROR(__xludf.DUMMYFUNCTION("""COMPUTED_VALUE"""),333.0)</f>
        <v>333</v>
      </c>
    </row>
    <row r="313" ht="15.75" customHeight="1">
      <c r="B313" s="3">
        <f>IFERROR(__xludf.DUMMYFUNCTION("""COMPUTED_VALUE"""),42636.64583333333)</f>
        <v>42636.64583</v>
      </c>
      <c r="C313" s="2">
        <f>IFERROR(__xludf.DUMMYFUNCTION("""COMPUTED_VALUE"""),333.55)</f>
        <v>333.55</v>
      </c>
    </row>
    <row r="314" ht="15.75" customHeight="1">
      <c r="B314" s="3">
        <f>IFERROR(__xludf.DUMMYFUNCTION("""COMPUTED_VALUE"""),42643.64583333333)</f>
        <v>42643.64583</v>
      </c>
      <c r="C314" s="2">
        <f>IFERROR(__xludf.DUMMYFUNCTION("""COMPUTED_VALUE"""),337.2)</f>
        <v>337.2</v>
      </c>
    </row>
    <row r="315" ht="15.75" customHeight="1">
      <c r="B315" s="3">
        <f>IFERROR(__xludf.DUMMYFUNCTION("""COMPUTED_VALUE"""),42650.64583333333)</f>
        <v>42650.64583</v>
      </c>
      <c r="C315" s="2">
        <f>IFERROR(__xludf.DUMMYFUNCTION("""COMPUTED_VALUE"""),329.0)</f>
        <v>329</v>
      </c>
    </row>
    <row r="316" ht="15.75" customHeight="1">
      <c r="B316" s="3">
        <f>IFERROR(__xludf.DUMMYFUNCTION("""COMPUTED_VALUE"""),42657.64583333333)</f>
        <v>42657.64583</v>
      </c>
      <c r="C316" s="2">
        <f>IFERROR(__xludf.DUMMYFUNCTION("""COMPUTED_VALUE"""),321.75)</f>
        <v>321.75</v>
      </c>
    </row>
    <row r="317" ht="15.75" customHeight="1">
      <c r="B317" s="3">
        <f>IFERROR(__xludf.DUMMYFUNCTION("""COMPUTED_VALUE"""),42664.64583333333)</f>
        <v>42664.64583</v>
      </c>
      <c r="C317" s="2">
        <f>IFERROR(__xludf.DUMMYFUNCTION("""COMPUTED_VALUE"""),316.4)</f>
        <v>316.4</v>
      </c>
    </row>
    <row r="318" ht="15.75" customHeight="1">
      <c r="B318" s="3">
        <f>IFERROR(__xludf.DUMMYFUNCTION("""COMPUTED_VALUE"""),42671.64583333333)</f>
        <v>42671.64583</v>
      </c>
      <c r="C318" s="2">
        <f>IFERROR(__xludf.DUMMYFUNCTION("""COMPUTED_VALUE"""),327.0)</f>
        <v>327</v>
      </c>
    </row>
    <row r="319" ht="15.75" customHeight="1">
      <c r="B319" s="3">
        <f>IFERROR(__xludf.DUMMYFUNCTION("""COMPUTED_VALUE"""),42678.64583333333)</f>
        <v>42678.64583</v>
      </c>
      <c r="C319" s="2">
        <f>IFERROR(__xludf.DUMMYFUNCTION("""COMPUTED_VALUE"""),331.3)</f>
        <v>331.3</v>
      </c>
    </row>
    <row r="320" ht="15.75" customHeight="1">
      <c r="B320" s="3">
        <f>IFERROR(__xludf.DUMMYFUNCTION("""COMPUTED_VALUE"""),42685.64583333333)</f>
        <v>42685.64583</v>
      </c>
      <c r="C320" s="2">
        <f>IFERROR(__xludf.DUMMYFUNCTION("""COMPUTED_VALUE"""),337.3)</f>
        <v>337.3</v>
      </c>
    </row>
    <row r="321" ht="15.75" customHeight="1">
      <c r="B321" s="3">
        <f>IFERROR(__xludf.DUMMYFUNCTION("""COMPUTED_VALUE"""),42692.64583333333)</f>
        <v>42692.64583</v>
      </c>
      <c r="C321" s="2">
        <f>IFERROR(__xludf.DUMMYFUNCTION("""COMPUTED_VALUE"""),328.95)</f>
        <v>328.95</v>
      </c>
    </row>
    <row r="322" ht="15.75" customHeight="1">
      <c r="B322" s="3">
        <f>IFERROR(__xludf.DUMMYFUNCTION("""COMPUTED_VALUE"""),42699.64583333333)</f>
        <v>42699.64583</v>
      </c>
      <c r="C322" s="2">
        <f>IFERROR(__xludf.DUMMYFUNCTION("""COMPUTED_VALUE"""),310.35)</f>
        <v>310.35</v>
      </c>
    </row>
    <row r="323" ht="15.75" customHeight="1">
      <c r="B323" s="3">
        <f>IFERROR(__xludf.DUMMYFUNCTION("""COMPUTED_VALUE"""),42706.64583333333)</f>
        <v>42706.64583</v>
      </c>
      <c r="C323" s="2">
        <f>IFERROR(__xludf.DUMMYFUNCTION("""COMPUTED_VALUE"""),314.0)</f>
        <v>314</v>
      </c>
    </row>
    <row r="324" ht="15.75" customHeight="1">
      <c r="B324" s="3">
        <f>IFERROR(__xludf.DUMMYFUNCTION("""COMPUTED_VALUE"""),42713.64583333333)</f>
        <v>42713.64583</v>
      </c>
      <c r="C324" s="2">
        <f>IFERROR(__xludf.DUMMYFUNCTION("""COMPUTED_VALUE"""),313.65)</f>
        <v>313.65</v>
      </c>
    </row>
    <row r="325" ht="15.75" customHeight="1">
      <c r="B325" s="3">
        <f>IFERROR(__xludf.DUMMYFUNCTION("""COMPUTED_VALUE"""),42720.64583333333)</f>
        <v>42720.64583</v>
      </c>
      <c r="C325" s="2">
        <f>IFERROR(__xludf.DUMMYFUNCTION("""COMPUTED_VALUE"""),309.7)</f>
        <v>309.7</v>
      </c>
    </row>
    <row r="326" ht="15.75" customHeight="1">
      <c r="B326" s="3">
        <f>IFERROR(__xludf.DUMMYFUNCTION("""COMPUTED_VALUE"""),42727.64583333333)</f>
        <v>42727.64583</v>
      </c>
      <c r="C326" s="2">
        <f>IFERROR(__xludf.DUMMYFUNCTION("""COMPUTED_VALUE"""),294.5)</f>
        <v>294.5</v>
      </c>
    </row>
    <row r="327" ht="15.75" customHeight="1">
      <c r="B327" s="3">
        <f>IFERROR(__xludf.DUMMYFUNCTION("""COMPUTED_VALUE"""),42734.64583333333)</f>
        <v>42734.64583</v>
      </c>
      <c r="C327" s="2">
        <f>IFERROR(__xludf.DUMMYFUNCTION("""COMPUTED_VALUE"""),301.7)</f>
        <v>301.7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IFERROR(__xludf.DUMMYFUNCTION("GOOGLEFINANCE(""NSE:COALINDIA"", ""high"",DATE(2017,1,1),DATE(2018,1,1),""weekly"")"),"Date")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IFERROR(__xludf.DUMMYFUNCTION("""COMPUTED_VALUE"""),42741.64583333333)</f>
        <v>42741.64583</v>
      </c>
      <c r="C332" s="2">
        <f>IFERROR(__xludf.DUMMYFUNCTION("""COMPUTED_VALUE"""),311.4)</f>
        <v>311.4</v>
      </c>
    </row>
    <row r="333" ht="15.75" customHeight="1">
      <c r="B333" s="3">
        <f>IFERROR(__xludf.DUMMYFUNCTION("""COMPUTED_VALUE"""),42748.64583333333)</f>
        <v>42748.64583</v>
      </c>
      <c r="C333" s="2">
        <f>IFERROR(__xludf.DUMMYFUNCTION("""COMPUTED_VALUE"""),319.3)</f>
        <v>319.3</v>
      </c>
    </row>
    <row r="334" ht="15.75" customHeight="1">
      <c r="B334" s="3">
        <f>IFERROR(__xludf.DUMMYFUNCTION("""COMPUTED_VALUE"""),42755.64583333333)</f>
        <v>42755.64583</v>
      </c>
      <c r="C334" s="2">
        <f>IFERROR(__xludf.DUMMYFUNCTION("""COMPUTED_VALUE"""),319.0)</f>
        <v>319</v>
      </c>
    </row>
    <row r="335" ht="15.75" customHeight="1">
      <c r="B335" s="3">
        <f>IFERROR(__xludf.DUMMYFUNCTION("""COMPUTED_VALUE"""),42762.64583333333)</f>
        <v>42762.64583</v>
      </c>
      <c r="C335" s="2">
        <f>IFERROR(__xludf.DUMMYFUNCTION("""COMPUTED_VALUE"""),320.4)</f>
        <v>320.4</v>
      </c>
    </row>
    <row r="336" ht="15.75" customHeight="1">
      <c r="B336" s="3">
        <f>IFERROR(__xludf.DUMMYFUNCTION("""COMPUTED_VALUE"""),42769.64583333333)</f>
        <v>42769.64583</v>
      </c>
      <c r="C336" s="2">
        <f>IFERROR(__xludf.DUMMYFUNCTION("""COMPUTED_VALUE"""),326.9)</f>
        <v>326.9</v>
      </c>
    </row>
    <row r="337" ht="15.75" customHeight="1">
      <c r="B337" s="3">
        <f>IFERROR(__xludf.DUMMYFUNCTION("""COMPUTED_VALUE"""),42776.64583333333)</f>
        <v>42776.64583</v>
      </c>
      <c r="C337" s="2">
        <f>IFERROR(__xludf.DUMMYFUNCTION("""COMPUTED_VALUE"""),329.0)</f>
        <v>329</v>
      </c>
    </row>
    <row r="338" ht="15.75" customHeight="1">
      <c r="B338" s="3">
        <f>IFERROR(__xludf.DUMMYFUNCTION("""COMPUTED_VALUE"""),42783.64583333333)</f>
        <v>42783.64583</v>
      </c>
      <c r="C338" s="2">
        <f>IFERROR(__xludf.DUMMYFUNCTION("""COMPUTED_VALUE"""),322.8)</f>
        <v>322.8</v>
      </c>
    </row>
    <row r="339" ht="15.75" customHeight="1">
      <c r="B339" s="3">
        <f>IFERROR(__xludf.DUMMYFUNCTION("""COMPUTED_VALUE"""),42789.64583333333)</f>
        <v>42789.64583</v>
      </c>
      <c r="C339" s="2">
        <f>IFERROR(__xludf.DUMMYFUNCTION("""COMPUTED_VALUE"""),332.0)</f>
        <v>332</v>
      </c>
    </row>
    <row r="340" ht="15.75" customHeight="1">
      <c r="B340" s="3">
        <f>IFERROR(__xludf.DUMMYFUNCTION("""COMPUTED_VALUE"""),42797.64583333333)</f>
        <v>42797.64583</v>
      </c>
      <c r="C340" s="2">
        <f>IFERROR(__xludf.DUMMYFUNCTION("""COMPUTED_VALUE"""),332.3)</f>
        <v>332.3</v>
      </c>
    </row>
    <row r="341" ht="15.75" customHeight="1">
      <c r="B341" s="3">
        <f>IFERROR(__xludf.DUMMYFUNCTION("""COMPUTED_VALUE"""),42804.64583333333)</f>
        <v>42804.64583</v>
      </c>
      <c r="C341" s="2">
        <f>IFERROR(__xludf.DUMMYFUNCTION("""COMPUTED_VALUE"""),327.9)</f>
        <v>327.9</v>
      </c>
    </row>
    <row r="342" ht="15.75" customHeight="1">
      <c r="B342" s="3">
        <f>IFERROR(__xludf.DUMMYFUNCTION("""COMPUTED_VALUE"""),42811.64583333333)</f>
        <v>42811.64583</v>
      </c>
      <c r="C342" s="2">
        <f>IFERROR(__xludf.DUMMYFUNCTION("""COMPUTED_VALUE"""),302.0)</f>
        <v>302</v>
      </c>
    </row>
    <row r="343" ht="15.75" customHeight="1">
      <c r="B343" s="3">
        <f>IFERROR(__xludf.DUMMYFUNCTION("""COMPUTED_VALUE"""),42818.64583333333)</f>
        <v>42818.64583</v>
      </c>
      <c r="C343" s="2">
        <f>IFERROR(__xludf.DUMMYFUNCTION("""COMPUTED_VALUE"""),300.0)</f>
        <v>300</v>
      </c>
    </row>
    <row r="344" ht="15.75" customHeight="1">
      <c r="B344" s="3">
        <f>IFERROR(__xludf.DUMMYFUNCTION("""COMPUTED_VALUE"""),42825.64583333333)</f>
        <v>42825.64583</v>
      </c>
      <c r="C344" s="2">
        <f>IFERROR(__xludf.DUMMYFUNCTION("""COMPUTED_VALUE"""),295.5)</f>
        <v>295.5</v>
      </c>
    </row>
    <row r="345" ht="15.75" customHeight="1">
      <c r="B345" s="3">
        <f>IFERROR(__xludf.DUMMYFUNCTION("""COMPUTED_VALUE"""),42832.64583333333)</f>
        <v>42832.64583</v>
      </c>
      <c r="C345" s="2">
        <f>IFERROR(__xludf.DUMMYFUNCTION("""COMPUTED_VALUE"""),296.8)</f>
        <v>296.8</v>
      </c>
    </row>
    <row r="346" ht="15.75" customHeight="1">
      <c r="B346" s="3">
        <f>IFERROR(__xludf.DUMMYFUNCTION("""COMPUTED_VALUE"""),42838.64583333333)</f>
        <v>42838.64583</v>
      </c>
      <c r="C346" s="2">
        <f>IFERROR(__xludf.DUMMYFUNCTION("""COMPUTED_VALUE"""),291.85)</f>
        <v>291.85</v>
      </c>
    </row>
    <row r="347" ht="15.75" customHeight="1">
      <c r="B347" s="3">
        <f>IFERROR(__xludf.DUMMYFUNCTION("""COMPUTED_VALUE"""),42846.64583333333)</f>
        <v>42846.64583</v>
      </c>
      <c r="C347" s="2">
        <f>IFERROR(__xludf.DUMMYFUNCTION("""COMPUTED_VALUE"""),291.0)</f>
        <v>291</v>
      </c>
    </row>
    <row r="348" ht="15.75" customHeight="1">
      <c r="B348" s="3">
        <f>IFERROR(__xludf.DUMMYFUNCTION("""COMPUTED_VALUE"""),42853.64583333333)</f>
        <v>42853.64583</v>
      </c>
      <c r="C348" s="2">
        <f>IFERROR(__xludf.DUMMYFUNCTION("""COMPUTED_VALUE"""),280.7)</f>
        <v>280.7</v>
      </c>
    </row>
    <row r="349" ht="15.75" customHeight="1">
      <c r="B349" s="3">
        <f>IFERROR(__xludf.DUMMYFUNCTION("""COMPUTED_VALUE"""),42860.64583333333)</f>
        <v>42860.64583</v>
      </c>
      <c r="C349" s="2">
        <f>IFERROR(__xludf.DUMMYFUNCTION("""COMPUTED_VALUE"""),284.45)</f>
        <v>284.45</v>
      </c>
    </row>
    <row r="350" ht="15.75" customHeight="1">
      <c r="B350" s="3">
        <f>IFERROR(__xludf.DUMMYFUNCTION("""COMPUTED_VALUE"""),42867.64583333333)</f>
        <v>42867.64583</v>
      </c>
      <c r="C350" s="2">
        <f>IFERROR(__xludf.DUMMYFUNCTION("""COMPUTED_VALUE"""),281.0)</f>
        <v>281</v>
      </c>
    </row>
    <row r="351" ht="15.75" customHeight="1">
      <c r="B351" s="3">
        <f>IFERROR(__xludf.DUMMYFUNCTION("""COMPUTED_VALUE"""),42874.64583333333)</f>
        <v>42874.64583</v>
      </c>
      <c r="C351" s="2">
        <f>IFERROR(__xludf.DUMMYFUNCTION("""COMPUTED_VALUE"""),283.65)</f>
        <v>283.65</v>
      </c>
    </row>
    <row r="352" ht="15.75" customHeight="1">
      <c r="B352" s="3">
        <f>IFERROR(__xludf.DUMMYFUNCTION("""COMPUTED_VALUE"""),42881.64583333333)</f>
        <v>42881.64583</v>
      </c>
      <c r="C352" s="2">
        <f>IFERROR(__xludf.DUMMYFUNCTION("""COMPUTED_VALUE"""),277.75)</f>
        <v>277.75</v>
      </c>
    </row>
    <row r="353" ht="15.75" customHeight="1">
      <c r="B353" s="3">
        <f>IFERROR(__xludf.DUMMYFUNCTION("""COMPUTED_VALUE"""),42888.64583333333)</f>
        <v>42888.64583</v>
      </c>
      <c r="C353" s="2">
        <f>IFERROR(__xludf.DUMMYFUNCTION("""COMPUTED_VALUE"""),271.0)</f>
        <v>271</v>
      </c>
    </row>
    <row r="354" ht="15.75" customHeight="1">
      <c r="B354" s="3">
        <f>IFERROR(__xludf.DUMMYFUNCTION("""COMPUTED_VALUE"""),42895.64583333333)</f>
        <v>42895.64583</v>
      </c>
      <c r="C354" s="2">
        <f>IFERROR(__xludf.DUMMYFUNCTION("""COMPUTED_VALUE"""),267.9)</f>
        <v>267.9</v>
      </c>
    </row>
    <row r="355" ht="15.75" customHeight="1">
      <c r="B355" s="3">
        <f>IFERROR(__xludf.DUMMYFUNCTION("""COMPUTED_VALUE"""),42902.64583333333)</f>
        <v>42902.64583</v>
      </c>
      <c r="C355" s="2">
        <f>IFERROR(__xludf.DUMMYFUNCTION("""COMPUTED_VALUE"""),262.5)</f>
        <v>262.5</v>
      </c>
    </row>
    <row r="356" ht="15.75" customHeight="1">
      <c r="B356" s="3">
        <f>IFERROR(__xludf.DUMMYFUNCTION("""COMPUTED_VALUE"""),42909.64583333333)</f>
        <v>42909.64583</v>
      </c>
      <c r="C356" s="2">
        <f>IFERROR(__xludf.DUMMYFUNCTION("""COMPUTED_VALUE"""),256.95)</f>
        <v>256.95</v>
      </c>
    </row>
    <row r="357" ht="15.75" customHeight="1">
      <c r="B357" s="3">
        <f>IFERROR(__xludf.DUMMYFUNCTION("""COMPUTED_VALUE"""),42916.64583333333)</f>
        <v>42916.64583</v>
      </c>
      <c r="C357" s="2">
        <f>IFERROR(__xludf.DUMMYFUNCTION("""COMPUTED_VALUE"""),247.8)</f>
        <v>247.8</v>
      </c>
    </row>
    <row r="358" ht="15.75" customHeight="1">
      <c r="B358" s="3">
        <f>IFERROR(__xludf.DUMMYFUNCTION("""COMPUTED_VALUE"""),42923.64583333333)</f>
        <v>42923.64583</v>
      </c>
      <c r="C358" s="2">
        <f>IFERROR(__xludf.DUMMYFUNCTION("""COMPUTED_VALUE"""),252.95)</f>
        <v>252.95</v>
      </c>
    </row>
    <row r="359" ht="15.75" customHeight="1">
      <c r="B359" s="3">
        <f>IFERROR(__xludf.DUMMYFUNCTION("""COMPUTED_VALUE"""),42930.64583333333)</f>
        <v>42930.64583</v>
      </c>
      <c r="C359" s="2">
        <f>IFERROR(__xludf.DUMMYFUNCTION("""COMPUTED_VALUE"""),259.9)</f>
        <v>259.9</v>
      </c>
    </row>
    <row r="360" ht="15.75" customHeight="1">
      <c r="B360" s="3">
        <f>IFERROR(__xludf.DUMMYFUNCTION("""COMPUTED_VALUE"""),42937.64583333333)</f>
        <v>42937.64583</v>
      </c>
      <c r="C360" s="2">
        <f>IFERROR(__xludf.DUMMYFUNCTION("""COMPUTED_VALUE"""),262.95)</f>
        <v>262.95</v>
      </c>
    </row>
    <row r="361" ht="15.75" customHeight="1">
      <c r="B361" s="3">
        <f>IFERROR(__xludf.DUMMYFUNCTION("""COMPUTED_VALUE"""),42944.64583333333)</f>
        <v>42944.64583</v>
      </c>
      <c r="C361" s="2">
        <f>IFERROR(__xludf.DUMMYFUNCTION("""COMPUTED_VALUE"""),265.25)</f>
        <v>265.25</v>
      </c>
    </row>
    <row r="362" ht="15.75" customHeight="1">
      <c r="B362" s="3">
        <f>IFERROR(__xludf.DUMMYFUNCTION("""COMPUTED_VALUE"""),42951.64583333333)</f>
        <v>42951.64583</v>
      </c>
      <c r="C362" s="2">
        <f>IFERROR(__xludf.DUMMYFUNCTION("""COMPUTED_VALUE"""),253.5)</f>
        <v>253.5</v>
      </c>
    </row>
    <row r="363" ht="15.75" customHeight="1">
      <c r="B363" s="3">
        <f>IFERROR(__xludf.DUMMYFUNCTION("""COMPUTED_VALUE"""),42958.64583333333)</f>
        <v>42958.64583</v>
      </c>
      <c r="C363" s="2">
        <f>IFERROR(__xludf.DUMMYFUNCTION("""COMPUTED_VALUE"""),253.2)</f>
        <v>253.2</v>
      </c>
    </row>
    <row r="364" ht="15.75" customHeight="1">
      <c r="B364" s="3">
        <f>IFERROR(__xludf.DUMMYFUNCTION("""COMPUTED_VALUE"""),42965.64583333333)</f>
        <v>42965.64583</v>
      </c>
      <c r="C364" s="2">
        <f>IFERROR(__xludf.DUMMYFUNCTION("""COMPUTED_VALUE"""),249.35)</f>
        <v>249.35</v>
      </c>
    </row>
    <row r="365" ht="15.75" customHeight="1">
      <c r="B365" s="3">
        <f>IFERROR(__xludf.DUMMYFUNCTION("""COMPUTED_VALUE"""),42971.64583333333)</f>
        <v>42971.64583</v>
      </c>
      <c r="C365" s="2">
        <f>IFERROR(__xludf.DUMMYFUNCTION("""COMPUTED_VALUE"""),249.4)</f>
        <v>249.4</v>
      </c>
    </row>
    <row r="366" ht="15.75" customHeight="1">
      <c r="B366" s="3">
        <f>IFERROR(__xludf.DUMMYFUNCTION("""COMPUTED_VALUE"""),42979.64583333333)</f>
        <v>42979.64583</v>
      </c>
      <c r="C366" s="2">
        <f>IFERROR(__xludf.DUMMYFUNCTION("""COMPUTED_VALUE"""),244.3)</f>
        <v>244.3</v>
      </c>
    </row>
    <row r="367" ht="15.75" customHeight="1">
      <c r="B367" s="3">
        <f>IFERROR(__xludf.DUMMYFUNCTION("""COMPUTED_VALUE"""),42986.64583333333)</f>
        <v>42986.64583</v>
      </c>
      <c r="C367" s="2">
        <f>IFERROR(__xludf.DUMMYFUNCTION("""COMPUTED_VALUE"""),258.9)</f>
        <v>258.9</v>
      </c>
    </row>
    <row r="368" ht="15.75" customHeight="1">
      <c r="B368" s="3">
        <f>IFERROR(__xludf.DUMMYFUNCTION("""COMPUTED_VALUE"""),42993.64583333333)</f>
        <v>42993.64583</v>
      </c>
      <c r="C368" s="2">
        <f>IFERROR(__xludf.DUMMYFUNCTION("""COMPUTED_VALUE"""),262.2)</f>
        <v>262.2</v>
      </c>
    </row>
    <row r="369" ht="15.75" customHeight="1">
      <c r="B369" s="3">
        <f>IFERROR(__xludf.DUMMYFUNCTION("""COMPUTED_VALUE"""),43000.64583333333)</f>
        <v>43000.64583</v>
      </c>
      <c r="C369" s="2">
        <f>IFERROR(__xludf.DUMMYFUNCTION("""COMPUTED_VALUE"""),265.0)</f>
        <v>265</v>
      </c>
    </row>
    <row r="370" ht="15.75" customHeight="1">
      <c r="B370" s="3">
        <f>IFERROR(__xludf.DUMMYFUNCTION("""COMPUTED_VALUE"""),43007.64583333333)</f>
        <v>43007.64583</v>
      </c>
      <c r="C370" s="2">
        <f>IFERROR(__xludf.DUMMYFUNCTION("""COMPUTED_VALUE"""),272.4)</f>
        <v>272.4</v>
      </c>
    </row>
    <row r="371" ht="15.75" customHeight="1">
      <c r="B371" s="3">
        <f>IFERROR(__xludf.DUMMYFUNCTION("""COMPUTED_VALUE"""),43014.64583333333)</f>
        <v>43014.64583</v>
      </c>
      <c r="C371" s="2">
        <f>IFERROR(__xludf.DUMMYFUNCTION("""COMPUTED_VALUE"""),278.5)</f>
        <v>278.5</v>
      </c>
    </row>
    <row r="372" ht="15.75" customHeight="1">
      <c r="B372" s="3">
        <f>IFERROR(__xludf.DUMMYFUNCTION("""COMPUTED_VALUE"""),43021.64583333333)</f>
        <v>43021.64583</v>
      </c>
      <c r="C372" s="2">
        <f>IFERROR(__xludf.DUMMYFUNCTION("""COMPUTED_VALUE"""),289.0)</f>
        <v>289</v>
      </c>
    </row>
    <row r="373" ht="15.75" customHeight="1">
      <c r="B373" s="3">
        <f>IFERROR(__xludf.DUMMYFUNCTION("""COMPUTED_VALUE"""),43027.83333333333)</f>
        <v>43027.83333</v>
      </c>
      <c r="C373" s="2">
        <f>IFERROR(__xludf.DUMMYFUNCTION("""COMPUTED_VALUE"""),291.5)</f>
        <v>291.5</v>
      </c>
    </row>
    <row r="374" ht="15.75" customHeight="1">
      <c r="B374" s="3">
        <f>IFERROR(__xludf.DUMMYFUNCTION("""COMPUTED_VALUE"""),43035.64583333333)</f>
        <v>43035.64583</v>
      </c>
      <c r="C374" s="2">
        <f>IFERROR(__xludf.DUMMYFUNCTION("""COMPUTED_VALUE"""),295.0)</f>
        <v>295</v>
      </c>
    </row>
    <row r="375" ht="15.75" customHeight="1">
      <c r="B375" s="3">
        <f>IFERROR(__xludf.DUMMYFUNCTION("""COMPUTED_VALUE"""),43042.64583333333)</f>
        <v>43042.64583</v>
      </c>
      <c r="C375" s="2">
        <f>IFERROR(__xludf.DUMMYFUNCTION("""COMPUTED_VALUE"""),292.35)</f>
        <v>292.35</v>
      </c>
    </row>
    <row r="376" ht="15.75" customHeight="1">
      <c r="B376" s="3">
        <f>IFERROR(__xludf.DUMMYFUNCTION("""COMPUTED_VALUE"""),43049.64583333333)</f>
        <v>43049.64583</v>
      </c>
      <c r="C376" s="2">
        <f>IFERROR(__xludf.DUMMYFUNCTION("""COMPUTED_VALUE"""),289.45)</f>
        <v>289.45</v>
      </c>
    </row>
    <row r="377" ht="15.75" customHeight="1">
      <c r="B377" s="3">
        <f>IFERROR(__xludf.DUMMYFUNCTION("""COMPUTED_VALUE"""),43056.64583333333)</f>
        <v>43056.64583</v>
      </c>
      <c r="C377" s="2">
        <f>IFERROR(__xludf.DUMMYFUNCTION("""COMPUTED_VALUE"""),280.3)</f>
        <v>280.3</v>
      </c>
    </row>
    <row r="378" ht="15.75" customHeight="1">
      <c r="B378" s="3">
        <f>IFERROR(__xludf.DUMMYFUNCTION("""COMPUTED_VALUE"""),43063.64583333333)</f>
        <v>43063.64583</v>
      </c>
      <c r="C378" s="2">
        <f>IFERROR(__xludf.DUMMYFUNCTION("""COMPUTED_VALUE"""),282.0)</f>
        <v>282</v>
      </c>
    </row>
    <row r="379" ht="15.75" customHeight="1">
      <c r="B379" s="3">
        <f>IFERROR(__xludf.DUMMYFUNCTION("""COMPUTED_VALUE"""),43070.64583333333)</f>
        <v>43070.64583</v>
      </c>
      <c r="C379" s="2">
        <f>IFERROR(__xludf.DUMMYFUNCTION("""COMPUTED_VALUE"""),282.1)</f>
        <v>282.1</v>
      </c>
    </row>
    <row r="380" ht="15.75" customHeight="1">
      <c r="B380" s="3">
        <f>IFERROR(__xludf.DUMMYFUNCTION("""COMPUTED_VALUE"""),43077.64583333333)</f>
        <v>43077.64583</v>
      </c>
      <c r="C380" s="2">
        <f>IFERROR(__xludf.DUMMYFUNCTION("""COMPUTED_VALUE"""),273.6)</f>
        <v>273.6</v>
      </c>
    </row>
    <row r="381" ht="15.75" customHeight="1">
      <c r="B381" s="3">
        <f>IFERROR(__xludf.DUMMYFUNCTION("""COMPUTED_VALUE"""),43084.64583333333)</f>
        <v>43084.64583</v>
      </c>
      <c r="C381" s="2">
        <f>IFERROR(__xludf.DUMMYFUNCTION("""COMPUTED_VALUE"""),271.55)</f>
        <v>271.55</v>
      </c>
    </row>
    <row r="382" ht="15.75" customHeight="1">
      <c r="B382" s="3">
        <f>IFERROR(__xludf.DUMMYFUNCTION("""COMPUTED_VALUE"""),43091.64583333333)</f>
        <v>43091.64583</v>
      </c>
      <c r="C382" s="2">
        <f>IFERROR(__xludf.DUMMYFUNCTION("""COMPUTED_VALUE"""),274.65)</f>
        <v>274.65</v>
      </c>
    </row>
    <row r="383" ht="15.75" customHeight="1">
      <c r="B383" s="3">
        <f>IFERROR(__xludf.DUMMYFUNCTION("""COMPUTED_VALUE"""),43098.64583333333)</f>
        <v>43098.64583</v>
      </c>
      <c r="C383" s="2">
        <f>IFERROR(__xludf.DUMMYFUNCTION("""COMPUTED_VALUE"""),267.7)</f>
        <v>267.7</v>
      </c>
    </row>
    <row r="384" ht="15.75" customHeight="1"/>
    <row r="385" ht="15.75" customHeight="1"/>
    <row r="386" ht="15.75" customHeight="1">
      <c r="B386" s="2" t="str">
        <f>IFERROR(__xludf.DUMMYFUNCTION("GOOGLEFINANCE(""NSE:COALINDIA"", ""high"",DATE(2018,1,1),DATE(2019,1,1),""weekly"")"),"Date")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IFERROR(__xludf.DUMMYFUNCTION("""COMPUTED_VALUE"""),43105.64583333333)</f>
        <v>43105.64583</v>
      </c>
      <c r="C387" s="2">
        <f>IFERROR(__xludf.DUMMYFUNCTION("""COMPUTED_VALUE"""),280.65)</f>
        <v>280.65</v>
      </c>
    </row>
    <row r="388" ht="15.75" customHeight="1">
      <c r="B388" s="3">
        <f>IFERROR(__xludf.DUMMYFUNCTION("""COMPUTED_VALUE"""),43112.64583333333)</f>
        <v>43112.64583</v>
      </c>
      <c r="C388" s="2">
        <f>IFERROR(__xludf.DUMMYFUNCTION("""COMPUTED_VALUE"""),311.0)</f>
        <v>311</v>
      </c>
    </row>
    <row r="389" ht="15.75" customHeight="1">
      <c r="B389" s="3">
        <f>IFERROR(__xludf.DUMMYFUNCTION("""COMPUTED_VALUE"""),43119.64583333333)</f>
        <v>43119.64583</v>
      </c>
      <c r="C389" s="2">
        <f>IFERROR(__xludf.DUMMYFUNCTION("""COMPUTED_VALUE"""),310.45)</f>
        <v>310.45</v>
      </c>
    </row>
    <row r="390" ht="15.75" customHeight="1">
      <c r="B390" s="3">
        <f>IFERROR(__xludf.DUMMYFUNCTION("""COMPUTED_VALUE"""),43125.64583333333)</f>
        <v>43125.64583</v>
      </c>
      <c r="C390" s="2">
        <f>IFERROR(__xludf.DUMMYFUNCTION("""COMPUTED_VALUE"""),302.65)</f>
        <v>302.65</v>
      </c>
    </row>
    <row r="391" ht="15.75" customHeight="1">
      <c r="B391" s="3">
        <f>IFERROR(__xludf.DUMMYFUNCTION("""COMPUTED_VALUE"""),43133.64583333333)</f>
        <v>43133.64583</v>
      </c>
      <c r="C391" s="2">
        <f>IFERROR(__xludf.DUMMYFUNCTION("""COMPUTED_VALUE"""),307.5)</f>
        <v>307.5</v>
      </c>
    </row>
    <row r="392" ht="15.75" customHeight="1">
      <c r="B392" s="3">
        <f>IFERROR(__xludf.DUMMYFUNCTION("""COMPUTED_VALUE"""),43140.64583333333)</f>
        <v>43140.64583</v>
      </c>
      <c r="C392" s="2">
        <f>IFERROR(__xludf.DUMMYFUNCTION("""COMPUTED_VALUE"""),304.45)</f>
        <v>304.45</v>
      </c>
    </row>
    <row r="393" ht="15.75" customHeight="1">
      <c r="B393" s="3">
        <f>IFERROR(__xludf.DUMMYFUNCTION("""COMPUTED_VALUE"""),43147.64583333333)</f>
        <v>43147.64583</v>
      </c>
      <c r="C393" s="2">
        <f>IFERROR(__xludf.DUMMYFUNCTION("""COMPUTED_VALUE"""),311.8)</f>
        <v>311.8</v>
      </c>
    </row>
    <row r="394" ht="15.75" customHeight="1">
      <c r="B394" s="3">
        <f>IFERROR(__xludf.DUMMYFUNCTION("""COMPUTED_VALUE"""),43154.64583333333)</f>
        <v>43154.64583</v>
      </c>
      <c r="C394" s="2">
        <f>IFERROR(__xludf.DUMMYFUNCTION("""COMPUTED_VALUE"""),315.0)</f>
        <v>315</v>
      </c>
    </row>
    <row r="395" ht="15.75" customHeight="1">
      <c r="B395" s="3">
        <f>IFERROR(__xludf.DUMMYFUNCTION("""COMPUTED_VALUE"""),43160.64583333333)</f>
        <v>43160.64583</v>
      </c>
      <c r="C395" s="2">
        <f>IFERROR(__xludf.DUMMYFUNCTION("""COMPUTED_VALUE"""),316.95)</f>
        <v>316.95</v>
      </c>
    </row>
    <row r="396" ht="15.75" customHeight="1">
      <c r="B396" s="3">
        <f>IFERROR(__xludf.DUMMYFUNCTION("""COMPUTED_VALUE"""),43168.64583333333)</f>
        <v>43168.64583</v>
      </c>
      <c r="C396" s="2">
        <f>IFERROR(__xludf.DUMMYFUNCTION("""COMPUTED_VALUE"""),311.45)</f>
        <v>311.45</v>
      </c>
    </row>
    <row r="397" ht="15.75" customHeight="1">
      <c r="B397" s="3">
        <f>IFERROR(__xludf.DUMMYFUNCTION("""COMPUTED_VALUE"""),43175.64583333333)</f>
        <v>43175.64583</v>
      </c>
      <c r="C397" s="2">
        <f>IFERROR(__xludf.DUMMYFUNCTION("""COMPUTED_VALUE"""),306.9)</f>
        <v>306.9</v>
      </c>
    </row>
    <row r="398" ht="15.75" customHeight="1">
      <c r="B398" s="3">
        <f>IFERROR(__xludf.DUMMYFUNCTION("""COMPUTED_VALUE"""),43182.64583333333)</f>
        <v>43182.64583</v>
      </c>
      <c r="C398" s="2">
        <f>IFERROR(__xludf.DUMMYFUNCTION("""COMPUTED_VALUE"""),279.5)</f>
        <v>279.5</v>
      </c>
    </row>
    <row r="399" ht="15.75" customHeight="1">
      <c r="B399" s="3">
        <f>IFERROR(__xludf.DUMMYFUNCTION("""COMPUTED_VALUE"""),43187.64583333333)</f>
        <v>43187.64583</v>
      </c>
      <c r="C399" s="2">
        <f>IFERROR(__xludf.DUMMYFUNCTION("""COMPUTED_VALUE"""),285.75)</f>
        <v>285.75</v>
      </c>
    </row>
    <row r="400" ht="15.75" customHeight="1">
      <c r="B400" s="3">
        <f>IFERROR(__xludf.DUMMYFUNCTION("""COMPUTED_VALUE"""),43196.64583333333)</f>
        <v>43196.64583</v>
      </c>
      <c r="C400" s="2">
        <f>IFERROR(__xludf.DUMMYFUNCTION("""COMPUTED_VALUE"""),283.5)</f>
        <v>283.5</v>
      </c>
    </row>
    <row r="401" ht="15.75" customHeight="1">
      <c r="B401" s="3">
        <f>IFERROR(__xludf.DUMMYFUNCTION("""COMPUTED_VALUE"""),43203.64583333333)</f>
        <v>43203.64583</v>
      </c>
      <c r="C401" s="2">
        <f>IFERROR(__xludf.DUMMYFUNCTION("""COMPUTED_VALUE"""),285.5)</f>
        <v>285.5</v>
      </c>
    </row>
    <row r="402" ht="15.75" customHeight="1">
      <c r="B402" s="3">
        <f>IFERROR(__xludf.DUMMYFUNCTION("""COMPUTED_VALUE"""),43210.64583333333)</f>
        <v>43210.64583</v>
      </c>
      <c r="C402" s="2">
        <f>IFERROR(__xludf.DUMMYFUNCTION("""COMPUTED_VALUE"""),294.95)</f>
        <v>294.95</v>
      </c>
    </row>
    <row r="403" ht="15.75" customHeight="1">
      <c r="B403" s="3">
        <f>IFERROR(__xludf.DUMMYFUNCTION("""COMPUTED_VALUE"""),43217.64583333333)</f>
        <v>43217.64583</v>
      </c>
      <c r="C403" s="2">
        <f>IFERROR(__xludf.DUMMYFUNCTION("""COMPUTED_VALUE"""),293.95)</f>
        <v>293.95</v>
      </c>
    </row>
    <row r="404" ht="15.75" customHeight="1">
      <c r="B404" s="3">
        <f>IFERROR(__xludf.DUMMYFUNCTION("""COMPUTED_VALUE"""),43224.64583333333)</f>
        <v>43224.64583</v>
      </c>
      <c r="C404" s="2">
        <f>IFERROR(__xludf.DUMMYFUNCTION("""COMPUTED_VALUE"""),288.0)</f>
        <v>288</v>
      </c>
    </row>
    <row r="405" ht="15.75" customHeight="1">
      <c r="B405" s="3">
        <f>IFERROR(__xludf.DUMMYFUNCTION("""COMPUTED_VALUE"""),43231.64583333333)</f>
        <v>43231.64583</v>
      </c>
      <c r="C405" s="2">
        <f>IFERROR(__xludf.DUMMYFUNCTION("""COMPUTED_VALUE"""),273.8)</f>
        <v>273.8</v>
      </c>
    </row>
    <row r="406" ht="15.75" customHeight="1">
      <c r="B406" s="3">
        <f>IFERROR(__xludf.DUMMYFUNCTION("""COMPUTED_VALUE"""),43238.64583333333)</f>
        <v>43238.64583</v>
      </c>
      <c r="C406" s="2">
        <f>IFERROR(__xludf.DUMMYFUNCTION("""COMPUTED_VALUE"""),274.55)</f>
        <v>274.55</v>
      </c>
    </row>
    <row r="407" ht="15.75" customHeight="1">
      <c r="B407" s="3">
        <f>IFERROR(__xludf.DUMMYFUNCTION("""COMPUTED_VALUE"""),43245.64583333333)</f>
        <v>43245.64583</v>
      </c>
      <c r="C407" s="2">
        <f>IFERROR(__xludf.DUMMYFUNCTION("""COMPUTED_VALUE"""),283.3)</f>
        <v>283.3</v>
      </c>
    </row>
    <row r="408" ht="15.75" customHeight="1">
      <c r="B408" s="3">
        <f>IFERROR(__xludf.DUMMYFUNCTION("""COMPUTED_VALUE"""),43252.64583333333)</f>
        <v>43252.64583</v>
      </c>
      <c r="C408" s="2">
        <f>IFERROR(__xludf.DUMMYFUNCTION("""COMPUTED_VALUE"""),303.45)</f>
        <v>303.45</v>
      </c>
    </row>
    <row r="409" ht="15.75" customHeight="1">
      <c r="B409" s="3">
        <f>IFERROR(__xludf.DUMMYFUNCTION("""COMPUTED_VALUE"""),43259.64583333333)</f>
        <v>43259.64583</v>
      </c>
      <c r="C409" s="2">
        <f>IFERROR(__xludf.DUMMYFUNCTION("""COMPUTED_VALUE"""),297.85)</f>
        <v>297.85</v>
      </c>
    </row>
    <row r="410" ht="15.75" customHeight="1">
      <c r="B410" s="3">
        <f>IFERROR(__xludf.DUMMYFUNCTION("""COMPUTED_VALUE"""),43266.64583333333)</f>
        <v>43266.64583</v>
      </c>
      <c r="C410" s="2">
        <f>IFERROR(__xludf.DUMMYFUNCTION("""COMPUTED_VALUE"""),294.45)</f>
        <v>294.45</v>
      </c>
    </row>
    <row r="411" ht="15.75" customHeight="1">
      <c r="B411" s="3">
        <f>IFERROR(__xludf.DUMMYFUNCTION("""COMPUTED_VALUE"""),43273.64583333333)</f>
        <v>43273.64583</v>
      </c>
      <c r="C411" s="2">
        <f>IFERROR(__xludf.DUMMYFUNCTION("""COMPUTED_VALUE"""),279.05)</f>
        <v>279.05</v>
      </c>
    </row>
    <row r="412" ht="15.75" customHeight="1">
      <c r="B412" s="3">
        <f>IFERROR(__xludf.DUMMYFUNCTION("""COMPUTED_VALUE"""),43280.64583333333)</f>
        <v>43280.64583</v>
      </c>
      <c r="C412" s="2">
        <f>IFERROR(__xludf.DUMMYFUNCTION("""COMPUTED_VALUE"""),270.2)</f>
        <v>270.2</v>
      </c>
    </row>
    <row r="413" ht="15.75" customHeight="1">
      <c r="B413" s="3">
        <f>IFERROR(__xludf.DUMMYFUNCTION("""COMPUTED_VALUE"""),43287.64583333333)</f>
        <v>43287.64583</v>
      </c>
      <c r="C413" s="2">
        <f>IFERROR(__xludf.DUMMYFUNCTION("""COMPUTED_VALUE"""),271.95)</f>
        <v>271.95</v>
      </c>
    </row>
    <row r="414" ht="15.75" customHeight="1">
      <c r="B414" s="3">
        <f>IFERROR(__xludf.DUMMYFUNCTION("""COMPUTED_VALUE"""),43294.64583333333)</f>
        <v>43294.64583</v>
      </c>
      <c r="C414" s="2">
        <f>IFERROR(__xludf.DUMMYFUNCTION("""COMPUTED_VALUE"""),279.7)</f>
        <v>279.7</v>
      </c>
    </row>
    <row r="415" ht="15.75" customHeight="1">
      <c r="B415" s="3">
        <f>IFERROR(__xludf.DUMMYFUNCTION("""COMPUTED_VALUE"""),43301.64583333333)</f>
        <v>43301.64583</v>
      </c>
      <c r="C415" s="2">
        <f>IFERROR(__xludf.DUMMYFUNCTION("""COMPUTED_VALUE"""),268.5)</f>
        <v>268.5</v>
      </c>
    </row>
    <row r="416" ht="15.75" customHeight="1">
      <c r="B416" s="3">
        <f>IFERROR(__xludf.DUMMYFUNCTION("""COMPUTED_VALUE"""),43308.64583333333)</f>
        <v>43308.64583</v>
      </c>
      <c r="C416" s="2">
        <f>IFERROR(__xludf.DUMMYFUNCTION("""COMPUTED_VALUE"""),267.4)</f>
        <v>267.4</v>
      </c>
    </row>
    <row r="417" ht="15.75" customHeight="1">
      <c r="B417" s="3">
        <f>IFERROR(__xludf.DUMMYFUNCTION("""COMPUTED_VALUE"""),43315.64583333333)</f>
        <v>43315.64583</v>
      </c>
      <c r="C417" s="2">
        <f>IFERROR(__xludf.DUMMYFUNCTION("""COMPUTED_VALUE"""),282.35)</f>
        <v>282.35</v>
      </c>
    </row>
    <row r="418" ht="15.75" customHeight="1">
      <c r="B418" s="3">
        <f>IFERROR(__xludf.DUMMYFUNCTION("""COMPUTED_VALUE"""),43322.64583333333)</f>
        <v>43322.64583</v>
      </c>
      <c r="C418" s="2">
        <f>IFERROR(__xludf.DUMMYFUNCTION("""COMPUTED_VALUE"""),288.75)</f>
        <v>288.75</v>
      </c>
    </row>
    <row r="419" ht="15.75" customHeight="1">
      <c r="B419" s="3">
        <f>IFERROR(__xludf.DUMMYFUNCTION("""COMPUTED_VALUE"""),43329.64583333333)</f>
        <v>43329.64583</v>
      </c>
      <c r="C419" s="2">
        <f>IFERROR(__xludf.DUMMYFUNCTION("""COMPUTED_VALUE"""),286.6)</f>
        <v>286.6</v>
      </c>
    </row>
    <row r="420" ht="15.75" customHeight="1">
      <c r="B420" s="3">
        <f>IFERROR(__xludf.DUMMYFUNCTION("""COMPUTED_VALUE"""),43336.64583333333)</f>
        <v>43336.64583</v>
      </c>
      <c r="C420" s="2">
        <f>IFERROR(__xludf.DUMMYFUNCTION("""COMPUTED_VALUE"""),293.75)</f>
        <v>293.75</v>
      </c>
    </row>
    <row r="421" ht="15.75" customHeight="1">
      <c r="B421" s="3">
        <f>IFERROR(__xludf.DUMMYFUNCTION("""COMPUTED_VALUE"""),43343.64583333333)</f>
        <v>43343.64583</v>
      </c>
      <c r="C421" s="2">
        <f>IFERROR(__xludf.DUMMYFUNCTION("""COMPUTED_VALUE"""),299.75)</f>
        <v>299.75</v>
      </c>
    </row>
    <row r="422" ht="15.75" customHeight="1">
      <c r="B422" s="3">
        <f>IFERROR(__xludf.DUMMYFUNCTION("""COMPUTED_VALUE"""),43350.64583333333)</f>
        <v>43350.64583</v>
      </c>
      <c r="C422" s="2">
        <f>IFERROR(__xludf.DUMMYFUNCTION("""COMPUTED_VALUE"""),289.8)</f>
        <v>289.8</v>
      </c>
    </row>
    <row r="423" ht="15.75" customHeight="1">
      <c r="B423" s="3">
        <f>IFERROR(__xludf.DUMMYFUNCTION("""COMPUTED_VALUE"""),43357.64583333333)</f>
        <v>43357.64583</v>
      </c>
      <c r="C423" s="2">
        <f>IFERROR(__xludf.DUMMYFUNCTION("""COMPUTED_VALUE"""),288.0)</f>
        <v>288</v>
      </c>
    </row>
    <row r="424" ht="15.75" customHeight="1">
      <c r="B424" s="3">
        <f>IFERROR(__xludf.DUMMYFUNCTION("""COMPUTED_VALUE"""),43364.64583333333)</f>
        <v>43364.64583</v>
      </c>
      <c r="C424" s="2">
        <f>IFERROR(__xludf.DUMMYFUNCTION("""COMPUTED_VALUE"""),286.25)</f>
        <v>286.25</v>
      </c>
    </row>
    <row r="425" ht="15.75" customHeight="1">
      <c r="B425" s="3">
        <f>IFERROR(__xludf.DUMMYFUNCTION("""COMPUTED_VALUE"""),43371.64583333333)</f>
        <v>43371.64583</v>
      </c>
      <c r="C425" s="2">
        <f>IFERROR(__xludf.DUMMYFUNCTION("""COMPUTED_VALUE"""),285.95)</f>
        <v>285.95</v>
      </c>
    </row>
    <row r="426" ht="15.75" customHeight="1">
      <c r="B426" s="3">
        <f>IFERROR(__xludf.DUMMYFUNCTION("""COMPUTED_VALUE"""),43378.64583333333)</f>
        <v>43378.64583</v>
      </c>
      <c r="C426" s="2">
        <f>IFERROR(__xludf.DUMMYFUNCTION("""COMPUTED_VALUE"""),281.0)</f>
        <v>281</v>
      </c>
    </row>
    <row r="427" ht="15.75" customHeight="1">
      <c r="B427" s="3">
        <f>IFERROR(__xludf.DUMMYFUNCTION("""COMPUTED_VALUE"""),43385.64583333333)</f>
        <v>43385.64583</v>
      </c>
      <c r="C427" s="2">
        <f>IFERROR(__xludf.DUMMYFUNCTION("""COMPUTED_VALUE"""),279.9)</f>
        <v>279.9</v>
      </c>
    </row>
    <row r="428" ht="15.75" customHeight="1">
      <c r="B428" s="3">
        <f>IFERROR(__xludf.DUMMYFUNCTION("""COMPUTED_VALUE"""),43392.64583333333)</f>
        <v>43392.64583</v>
      </c>
      <c r="C428" s="2">
        <f>IFERROR(__xludf.DUMMYFUNCTION("""COMPUTED_VALUE"""),283.85)</f>
        <v>283.85</v>
      </c>
    </row>
    <row r="429" ht="15.75" customHeight="1">
      <c r="B429" s="3">
        <f>IFERROR(__xludf.DUMMYFUNCTION("""COMPUTED_VALUE"""),43399.64583333333)</f>
        <v>43399.64583</v>
      </c>
      <c r="C429" s="2">
        <f>IFERROR(__xludf.DUMMYFUNCTION("""COMPUTED_VALUE"""),283.95)</f>
        <v>283.95</v>
      </c>
    </row>
    <row r="430" ht="15.75" customHeight="1">
      <c r="B430" s="3">
        <f>IFERROR(__xludf.DUMMYFUNCTION("""COMPUTED_VALUE"""),43406.64583333333)</f>
        <v>43406.64583</v>
      </c>
      <c r="C430" s="2">
        <f>IFERROR(__xludf.DUMMYFUNCTION("""COMPUTED_VALUE"""),289.2)</f>
        <v>289.2</v>
      </c>
    </row>
    <row r="431" ht="15.75" customHeight="1">
      <c r="B431" s="3">
        <f>IFERROR(__xludf.DUMMYFUNCTION("""COMPUTED_VALUE"""),43413.64583333333)</f>
        <v>43413.64583</v>
      </c>
      <c r="C431" s="2">
        <f>IFERROR(__xludf.DUMMYFUNCTION("""COMPUTED_VALUE"""),271.85)</f>
        <v>271.85</v>
      </c>
    </row>
    <row r="432" ht="15.75" customHeight="1">
      <c r="B432" s="3">
        <f>IFERROR(__xludf.DUMMYFUNCTION("""COMPUTED_VALUE"""),43420.64583333333)</f>
        <v>43420.64583</v>
      </c>
      <c r="C432" s="2">
        <f>IFERROR(__xludf.DUMMYFUNCTION("""COMPUTED_VALUE"""),271.4)</f>
        <v>271.4</v>
      </c>
    </row>
    <row r="433" ht="15.75" customHeight="1">
      <c r="B433" s="3">
        <f>IFERROR(__xludf.DUMMYFUNCTION("""COMPUTED_VALUE"""),43426.64583333333)</f>
        <v>43426.64583</v>
      </c>
      <c r="C433" s="2">
        <f>IFERROR(__xludf.DUMMYFUNCTION("""COMPUTED_VALUE"""),265.6)</f>
        <v>265.6</v>
      </c>
    </row>
    <row r="434" ht="15.75" customHeight="1">
      <c r="B434" s="3">
        <f>IFERROR(__xludf.DUMMYFUNCTION("""COMPUTED_VALUE"""),43434.64583333333)</f>
        <v>43434.64583</v>
      </c>
      <c r="C434" s="2">
        <f>IFERROR(__xludf.DUMMYFUNCTION("""COMPUTED_VALUE"""),258.5)</f>
        <v>258.5</v>
      </c>
    </row>
    <row r="435" ht="15.75" customHeight="1">
      <c r="B435" s="3">
        <f>IFERROR(__xludf.DUMMYFUNCTION("""COMPUTED_VALUE"""),43441.64583333333)</f>
        <v>43441.64583</v>
      </c>
      <c r="C435" s="2">
        <f>IFERROR(__xludf.DUMMYFUNCTION("""COMPUTED_VALUE"""),254.0)</f>
        <v>254</v>
      </c>
    </row>
    <row r="436" ht="15.75" customHeight="1">
      <c r="B436" s="3">
        <f>IFERROR(__xludf.DUMMYFUNCTION("""COMPUTED_VALUE"""),43448.64583333333)</f>
        <v>43448.64583</v>
      </c>
      <c r="C436" s="2">
        <f>IFERROR(__xludf.DUMMYFUNCTION("""COMPUTED_VALUE"""),250.4)</f>
        <v>250.4</v>
      </c>
    </row>
    <row r="437" ht="15.75" customHeight="1">
      <c r="B437" s="3">
        <f>IFERROR(__xludf.DUMMYFUNCTION("""COMPUTED_VALUE"""),43455.64583333333)</f>
        <v>43455.64583</v>
      </c>
      <c r="C437" s="2">
        <f>IFERROR(__xludf.DUMMYFUNCTION("""COMPUTED_VALUE"""),254.5)</f>
        <v>254.5</v>
      </c>
    </row>
    <row r="438" ht="15.75" customHeight="1">
      <c r="B438" s="3">
        <f>IFERROR(__xludf.DUMMYFUNCTION("""COMPUTED_VALUE"""),43462.64583333333)</f>
        <v>43462.64583</v>
      </c>
      <c r="C438" s="2">
        <f>IFERROR(__xludf.DUMMYFUNCTION("""COMPUTED_VALUE"""),254.0)</f>
        <v>254</v>
      </c>
    </row>
    <row r="439" ht="15.75" customHeight="1"/>
    <row r="440" ht="15.75" customHeight="1"/>
    <row r="441" ht="15.75" customHeight="1">
      <c r="B441" s="2" t="str">
        <f>IFERROR(__xludf.DUMMYFUNCTION("GOOGLEFINANCE(""NSE:COALINDIA"", ""high"",DATE(2019,1,1),DATE(2020,1,1),""weekly"")"),"Date")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IFERROR(__xludf.DUMMYFUNCTION("""COMPUTED_VALUE"""),43469.64583333333)</f>
        <v>43469.64583</v>
      </c>
      <c r="C442" s="2">
        <f>IFERROR(__xludf.DUMMYFUNCTION("""COMPUTED_VALUE"""),244.4)</f>
        <v>244.4</v>
      </c>
    </row>
    <row r="443" ht="15.75" customHeight="1">
      <c r="B443" s="3">
        <f>IFERROR(__xludf.DUMMYFUNCTION("""COMPUTED_VALUE"""),43476.64583333333)</f>
        <v>43476.64583</v>
      </c>
      <c r="C443" s="2">
        <f>IFERROR(__xludf.DUMMYFUNCTION("""COMPUTED_VALUE"""),238.0)</f>
        <v>238</v>
      </c>
    </row>
    <row r="444" ht="15.75" customHeight="1">
      <c r="B444" s="3">
        <f>IFERROR(__xludf.DUMMYFUNCTION("""COMPUTED_VALUE"""),43483.64583333333)</f>
        <v>43483.64583</v>
      </c>
      <c r="C444" s="2">
        <f>IFERROR(__xludf.DUMMYFUNCTION("""COMPUTED_VALUE"""),233.6)</f>
        <v>233.6</v>
      </c>
    </row>
    <row r="445" ht="15.75" customHeight="1">
      <c r="B445" s="3">
        <f>IFERROR(__xludf.DUMMYFUNCTION("""COMPUTED_VALUE"""),43490.64583333333)</f>
        <v>43490.64583</v>
      </c>
      <c r="C445" s="2">
        <f>IFERROR(__xludf.DUMMYFUNCTION("""COMPUTED_VALUE"""),231.25)</f>
        <v>231.25</v>
      </c>
    </row>
    <row r="446" ht="15.75" customHeight="1">
      <c r="B446" s="3">
        <f>IFERROR(__xludf.DUMMYFUNCTION("""COMPUTED_VALUE"""),43497.64583333333)</f>
        <v>43497.64583</v>
      </c>
      <c r="C446" s="2">
        <f>IFERROR(__xludf.DUMMYFUNCTION("""COMPUTED_VALUE"""),228.0)</f>
        <v>228</v>
      </c>
    </row>
    <row r="447" ht="15.75" customHeight="1">
      <c r="B447" s="3">
        <f>IFERROR(__xludf.DUMMYFUNCTION("""COMPUTED_VALUE"""),43504.64583333333)</f>
        <v>43504.64583</v>
      </c>
      <c r="C447" s="2">
        <f>IFERROR(__xludf.DUMMYFUNCTION("""COMPUTED_VALUE"""),225.65)</f>
        <v>225.65</v>
      </c>
    </row>
    <row r="448" ht="15.75" customHeight="1">
      <c r="B448" s="3">
        <f>IFERROR(__xludf.DUMMYFUNCTION("""COMPUTED_VALUE"""),43511.64583333333)</f>
        <v>43511.64583</v>
      </c>
      <c r="C448" s="2">
        <f>IFERROR(__xludf.DUMMYFUNCTION("""COMPUTED_VALUE"""),228.0)</f>
        <v>228</v>
      </c>
    </row>
    <row r="449" ht="15.75" customHeight="1">
      <c r="B449" s="3">
        <f>IFERROR(__xludf.DUMMYFUNCTION("""COMPUTED_VALUE"""),43518.64583333333)</f>
        <v>43518.64583</v>
      </c>
      <c r="C449" s="2">
        <f>IFERROR(__xludf.DUMMYFUNCTION("""COMPUTED_VALUE"""),218.95)</f>
        <v>218.95</v>
      </c>
    </row>
    <row r="450" ht="15.75" customHeight="1">
      <c r="B450" s="3">
        <f>IFERROR(__xludf.DUMMYFUNCTION("""COMPUTED_VALUE"""),43525.64583333333)</f>
        <v>43525.64583</v>
      </c>
      <c r="C450" s="2">
        <f>IFERROR(__xludf.DUMMYFUNCTION("""COMPUTED_VALUE"""),233.0)</f>
        <v>233</v>
      </c>
    </row>
    <row r="451" ht="15.75" customHeight="1">
      <c r="B451" s="3">
        <f>IFERROR(__xludf.DUMMYFUNCTION("""COMPUTED_VALUE"""),43532.64583333333)</f>
        <v>43532.64583</v>
      </c>
      <c r="C451" s="2">
        <f>IFERROR(__xludf.DUMMYFUNCTION("""COMPUTED_VALUE"""),246.2)</f>
        <v>246.2</v>
      </c>
    </row>
    <row r="452" ht="15.75" customHeight="1">
      <c r="B452" s="3">
        <f>IFERROR(__xludf.DUMMYFUNCTION("""COMPUTED_VALUE"""),43539.64583333333)</f>
        <v>43539.64583</v>
      </c>
      <c r="C452" s="2">
        <f>IFERROR(__xludf.DUMMYFUNCTION("""COMPUTED_VALUE"""),246.9)</f>
        <v>246.9</v>
      </c>
    </row>
    <row r="453" ht="15.75" customHeight="1">
      <c r="B453" s="3">
        <f>IFERROR(__xludf.DUMMYFUNCTION("""COMPUTED_VALUE"""),43546.64583333333)</f>
        <v>43546.64583</v>
      </c>
      <c r="C453" s="2">
        <f>IFERROR(__xludf.DUMMYFUNCTION("""COMPUTED_VALUE"""),247.9)</f>
        <v>247.9</v>
      </c>
    </row>
    <row r="454" ht="15.75" customHeight="1">
      <c r="B454" s="3">
        <f>IFERROR(__xludf.DUMMYFUNCTION("""COMPUTED_VALUE"""),43553.64583333333)</f>
        <v>43553.64583</v>
      </c>
      <c r="C454" s="2">
        <f>IFERROR(__xludf.DUMMYFUNCTION("""COMPUTED_VALUE"""),242.75)</f>
        <v>242.75</v>
      </c>
    </row>
    <row r="455" ht="15.75" customHeight="1">
      <c r="B455" s="3">
        <f>IFERROR(__xludf.DUMMYFUNCTION("""COMPUTED_VALUE"""),43560.64583333333)</f>
        <v>43560.64583</v>
      </c>
      <c r="C455" s="2">
        <f>IFERROR(__xludf.DUMMYFUNCTION("""COMPUTED_VALUE"""),239.5)</f>
        <v>239.5</v>
      </c>
    </row>
    <row r="456" ht="15.75" customHeight="1">
      <c r="B456" s="3">
        <f>IFERROR(__xludf.DUMMYFUNCTION("""COMPUTED_VALUE"""),43567.64583333333)</f>
        <v>43567.64583</v>
      </c>
      <c r="C456" s="2">
        <f>IFERROR(__xludf.DUMMYFUNCTION("""COMPUTED_VALUE"""),242.9)</f>
        <v>242.9</v>
      </c>
    </row>
    <row r="457" ht="15.75" customHeight="1">
      <c r="B457" s="3">
        <f>IFERROR(__xludf.DUMMYFUNCTION("""COMPUTED_VALUE"""),43573.64583333333)</f>
        <v>43573.64583</v>
      </c>
      <c r="C457" s="2">
        <f>IFERROR(__xludf.DUMMYFUNCTION("""COMPUTED_VALUE"""),256.7)</f>
        <v>256.7</v>
      </c>
    </row>
    <row r="458" ht="15.75" customHeight="1">
      <c r="B458" s="3">
        <f>IFERROR(__xludf.DUMMYFUNCTION("""COMPUTED_VALUE"""),43581.64583333333)</f>
        <v>43581.64583</v>
      </c>
      <c r="C458" s="2">
        <f>IFERROR(__xludf.DUMMYFUNCTION("""COMPUTED_VALUE"""),258.3)</f>
        <v>258.3</v>
      </c>
    </row>
    <row r="459" ht="15.75" customHeight="1">
      <c r="B459" s="3">
        <f>IFERROR(__xludf.DUMMYFUNCTION("""COMPUTED_VALUE"""),43588.64583333333)</f>
        <v>43588.64583</v>
      </c>
      <c r="C459" s="2">
        <f>IFERROR(__xludf.DUMMYFUNCTION("""COMPUTED_VALUE"""),256.0)</f>
        <v>256</v>
      </c>
    </row>
    <row r="460" ht="15.75" customHeight="1">
      <c r="B460" s="3">
        <f>IFERROR(__xludf.DUMMYFUNCTION("""COMPUTED_VALUE"""),43595.64583333333)</f>
        <v>43595.64583</v>
      </c>
      <c r="C460" s="2">
        <f>IFERROR(__xludf.DUMMYFUNCTION("""COMPUTED_VALUE"""),255.25)</f>
        <v>255.25</v>
      </c>
    </row>
    <row r="461" ht="15.75" customHeight="1">
      <c r="B461" s="3">
        <f>IFERROR(__xludf.DUMMYFUNCTION("""COMPUTED_VALUE"""),43602.64583333333)</f>
        <v>43602.64583</v>
      </c>
      <c r="C461" s="2">
        <f>IFERROR(__xludf.DUMMYFUNCTION("""COMPUTED_VALUE"""),243.0)</f>
        <v>243</v>
      </c>
    </row>
    <row r="462" ht="15.75" customHeight="1">
      <c r="B462" s="3">
        <f>IFERROR(__xludf.DUMMYFUNCTION("""COMPUTED_VALUE"""),43609.64583333333)</f>
        <v>43609.64583</v>
      </c>
      <c r="C462" s="2">
        <f>IFERROR(__xludf.DUMMYFUNCTION("""COMPUTED_VALUE"""),245.95)</f>
        <v>245.95</v>
      </c>
    </row>
    <row r="463" ht="15.75" customHeight="1">
      <c r="B463" s="3">
        <f>IFERROR(__xludf.DUMMYFUNCTION("""COMPUTED_VALUE"""),43616.64583333333)</f>
        <v>43616.64583</v>
      </c>
      <c r="C463" s="2">
        <f>IFERROR(__xludf.DUMMYFUNCTION("""COMPUTED_VALUE"""),262.95)</f>
        <v>262.95</v>
      </c>
    </row>
    <row r="464" ht="15.75" customHeight="1">
      <c r="B464" s="3">
        <f>IFERROR(__xludf.DUMMYFUNCTION("""COMPUTED_VALUE"""),43623.64583333333)</f>
        <v>43623.64583</v>
      </c>
      <c r="C464" s="2">
        <f>IFERROR(__xludf.DUMMYFUNCTION("""COMPUTED_VALUE"""),271.45)</f>
        <v>271.45</v>
      </c>
    </row>
    <row r="465" ht="15.75" customHeight="1">
      <c r="B465" s="3">
        <f>IFERROR(__xludf.DUMMYFUNCTION("""COMPUTED_VALUE"""),43630.64583333333)</f>
        <v>43630.64583</v>
      </c>
      <c r="C465" s="2">
        <f>IFERROR(__xludf.DUMMYFUNCTION("""COMPUTED_VALUE"""),268.0)</f>
        <v>268</v>
      </c>
    </row>
    <row r="466" ht="15.75" customHeight="1">
      <c r="B466" s="3">
        <f>IFERROR(__xludf.DUMMYFUNCTION("""COMPUTED_VALUE"""),43637.64583333333)</f>
        <v>43637.64583</v>
      </c>
      <c r="C466" s="2">
        <f>IFERROR(__xludf.DUMMYFUNCTION("""COMPUTED_VALUE"""),265.35)</f>
        <v>265.35</v>
      </c>
    </row>
    <row r="467" ht="15.75" customHeight="1">
      <c r="B467" s="3">
        <f>IFERROR(__xludf.DUMMYFUNCTION("""COMPUTED_VALUE"""),43644.64583333333)</f>
        <v>43644.64583</v>
      </c>
      <c r="C467" s="2">
        <f>IFERROR(__xludf.DUMMYFUNCTION("""COMPUTED_VALUE"""),263.25)</f>
        <v>263.25</v>
      </c>
    </row>
    <row r="468" ht="15.75" customHeight="1">
      <c r="B468" s="3">
        <f>IFERROR(__xludf.DUMMYFUNCTION("""COMPUTED_VALUE"""),43651.64583333333)</f>
        <v>43651.64583</v>
      </c>
      <c r="C468" s="2">
        <f>IFERROR(__xludf.DUMMYFUNCTION("""COMPUTED_VALUE"""),256.4)</f>
        <v>256.4</v>
      </c>
    </row>
    <row r="469" ht="15.75" customHeight="1">
      <c r="B469" s="3">
        <f>IFERROR(__xludf.DUMMYFUNCTION("""COMPUTED_VALUE"""),43658.64583333333)</f>
        <v>43658.64583</v>
      </c>
      <c r="C469" s="2">
        <f>IFERROR(__xludf.DUMMYFUNCTION("""COMPUTED_VALUE"""),241.45)</f>
        <v>241.45</v>
      </c>
    </row>
    <row r="470" ht="15.75" customHeight="1">
      <c r="B470" s="3">
        <f>IFERROR(__xludf.DUMMYFUNCTION("""COMPUTED_VALUE"""),43665.64583333333)</f>
        <v>43665.64583</v>
      </c>
      <c r="C470" s="2">
        <f>IFERROR(__xludf.DUMMYFUNCTION("""COMPUTED_VALUE"""),234.15)</f>
        <v>234.15</v>
      </c>
    </row>
    <row r="471" ht="15.75" customHeight="1">
      <c r="B471" s="3">
        <f>IFERROR(__xludf.DUMMYFUNCTION("""COMPUTED_VALUE"""),43672.64583333333)</f>
        <v>43672.64583</v>
      </c>
      <c r="C471" s="2">
        <f>IFERROR(__xludf.DUMMYFUNCTION("""COMPUTED_VALUE"""),223.15)</f>
        <v>223.15</v>
      </c>
    </row>
    <row r="472" ht="15.75" customHeight="1">
      <c r="B472" s="3">
        <f>IFERROR(__xludf.DUMMYFUNCTION("""COMPUTED_VALUE"""),43679.64583333333)</f>
        <v>43679.64583</v>
      </c>
      <c r="C472" s="2">
        <f>IFERROR(__xludf.DUMMYFUNCTION("""COMPUTED_VALUE"""),212.6)</f>
        <v>212.6</v>
      </c>
    </row>
    <row r="473" ht="15.75" customHeight="1">
      <c r="B473" s="3">
        <f>IFERROR(__xludf.DUMMYFUNCTION("""COMPUTED_VALUE"""),43686.64583333333)</f>
        <v>43686.64583</v>
      </c>
      <c r="C473" s="2">
        <f>IFERROR(__xludf.DUMMYFUNCTION("""COMPUTED_VALUE"""),214.0)</f>
        <v>214</v>
      </c>
    </row>
    <row r="474" ht="15.75" customHeight="1">
      <c r="B474" s="3">
        <f>IFERROR(__xludf.DUMMYFUNCTION("""COMPUTED_VALUE"""),43693.64583333333)</f>
        <v>43693.64583</v>
      </c>
      <c r="C474" s="2">
        <f>IFERROR(__xludf.DUMMYFUNCTION("""COMPUTED_VALUE"""),211.45)</f>
        <v>211.45</v>
      </c>
    </row>
    <row r="475" ht="15.75" customHeight="1">
      <c r="B475" s="3">
        <f>IFERROR(__xludf.DUMMYFUNCTION("""COMPUTED_VALUE"""),43700.64583333333)</f>
        <v>43700.64583</v>
      </c>
      <c r="C475" s="2">
        <f>IFERROR(__xludf.DUMMYFUNCTION("""COMPUTED_VALUE"""),203.1)</f>
        <v>203.1</v>
      </c>
    </row>
    <row r="476" ht="15.75" customHeight="1">
      <c r="B476" s="3">
        <f>IFERROR(__xludf.DUMMYFUNCTION("""COMPUTED_VALUE"""),43707.64583333333)</f>
        <v>43707.64583</v>
      </c>
      <c r="C476" s="2">
        <f>IFERROR(__xludf.DUMMYFUNCTION("""COMPUTED_VALUE"""),194.25)</f>
        <v>194.25</v>
      </c>
    </row>
    <row r="477" ht="15.75" customHeight="1">
      <c r="B477" s="3">
        <f>IFERROR(__xludf.DUMMYFUNCTION("""COMPUTED_VALUE"""),43714.64583333333)</f>
        <v>43714.64583</v>
      </c>
      <c r="C477" s="2">
        <f>IFERROR(__xludf.DUMMYFUNCTION("""COMPUTED_VALUE"""),199.5)</f>
        <v>199.5</v>
      </c>
    </row>
    <row r="478" ht="15.75" customHeight="1">
      <c r="B478" s="3">
        <f>IFERROR(__xludf.DUMMYFUNCTION("""COMPUTED_VALUE"""),43721.64583333333)</f>
        <v>43721.64583</v>
      </c>
      <c r="C478" s="2">
        <f>IFERROR(__xludf.DUMMYFUNCTION("""COMPUTED_VALUE"""),203.0)</f>
        <v>203</v>
      </c>
    </row>
    <row r="479" ht="15.75" customHeight="1">
      <c r="B479" s="3">
        <f>IFERROR(__xludf.DUMMYFUNCTION("""COMPUTED_VALUE"""),43728.64583333333)</f>
        <v>43728.64583</v>
      </c>
      <c r="C479" s="2">
        <f>IFERROR(__xludf.DUMMYFUNCTION("""COMPUTED_VALUE"""),202.4)</f>
        <v>202.4</v>
      </c>
    </row>
    <row r="480" ht="15.75" customHeight="1">
      <c r="B480" s="3">
        <f>IFERROR(__xludf.DUMMYFUNCTION("""COMPUTED_VALUE"""),43735.64583333333)</f>
        <v>43735.64583</v>
      </c>
      <c r="C480" s="2">
        <f>IFERROR(__xludf.DUMMYFUNCTION("""COMPUTED_VALUE"""),208.4)</f>
        <v>208.4</v>
      </c>
    </row>
    <row r="481" ht="15.75" customHeight="1">
      <c r="B481" s="3">
        <f>IFERROR(__xludf.DUMMYFUNCTION("""COMPUTED_VALUE"""),43742.64583333333)</f>
        <v>43742.64583</v>
      </c>
      <c r="C481" s="2">
        <f>IFERROR(__xludf.DUMMYFUNCTION("""COMPUTED_VALUE"""),200.75)</f>
        <v>200.75</v>
      </c>
    </row>
    <row r="482" ht="15.75" customHeight="1">
      <c r="B482" s="3">
        <f>IFERROR(__xludf.DUMMYFUNCTION("""COMPUTED_VALUE"""),43749.64583333333)</f>
        <v>43749.64583</v>
      </c>
      <c r="C482" s="2">
        <f>IFERROR(__xludf.DUMMYFUNCTION("""COMPUTED_VALUE"""),190.25)</f>
        <v>190.25</v>
      </c>
    </row>
    <row r="483" ht="15.75" customHeight="1">
      <c r="B483" s="3">
        <f>IFERROR(__xludf.DUMMYFUNCTION("""COMPUTED_VALUE"""),43756.64583333333)</f>
        <v>43756.64583</v>
      </c>
      <c r="C483" s="2">
        <f>IFERROR(__xludf.DUMMYFUNCTION("""COMPUTED_VALUE"""),206.5)</f>
        <v>206.5</v>
      </c>
    </row>
    <row r="484" ht="15.75" customHeight="1">
      <c r="B484" s="3">
        <f>IFERROR(__xludf.DUMMYFUNCTION("""COMPUTED_VALUE"""),43763.79166666667)</f>
        <v>43763.79167</v>
      </c>
      <c r="C484" s="2">
        <f>IFERROR(__xludf.DUMMYFUNCTION("""COMPUTED_VALUE"""),211.7)</f>
        <v>211.7</v>
      </c>
    </row>
    <row r="485" ht="15.75" customHeight="1">
      <c r="B485" s="3">
        <f>IFERROR(__xludf.DUMMYFUNCTION("""COMPUTED_VALUE"""),43770.64583333333)</f>
        <v>43770.64583</v>
      </c>
      <c r="C485" s="2">
        <f>IFERROR(__xludf.DUMMYFUNCTION("""COMPUTED_VALUE"""),210.95)</f>
        <v>210.95</v>
      </c>
    </row>
    <row r="486" ht="15.75" customHeight="1">
      <c r="B486" s="3">
        <f>IFERROR(__xludf.DUMMYFUNCTION("""COMPUTED_VALUE"""),43777.64583333333)</f>
        <v>43777.64583</v>
      </c>
      <c r="C486" s="2">
        <f>IFERROR(__xludf.DUMMYFUNCTION("""COMPUTED_VALUE"""),217.55)</f>
        <v>217.55</v>
      </c>
    </row>
    <row r="487" ht="15.75" customHeight="1">
      <c r="B487" s="3">
        <f>IFERROR(__xludf.DUMMYFUNCTION("""COMPUTED_VALUE"""),43784.64583333333)</f>
        <v>43784.64583</v>
      </c>
      <c r="C487" s="2">
        <f>IFERROR(__xludf.DUMMYFUNCTION("""COMPUTED_VALUE"""),216.0)</f>
        <v>216</v>
      </c>
    </row>
    <row r="488" ht="15.75" customHeight="1">
      <c r="B488" s="3">
        <f>IFERROR(__xludf.DUMMYFUNCTION("""COMPUTED_VALUE"""),43791.64583333333)</f>
        <v>43791.64583</v>
      </c>
      <c r="C488" s="2">
        <f>IFERROR(__xludf.DUMMYFUNCTION("""COMPUTED_VALUE"""),204.0)</f>
        <v>204</v>
      </c>
    </row>
    <row r="489" ht="15.75" customHeight="1">
      <c r="B489" s="3">
        <f>IFERROR(__xludf.DUMMYFUNCTION("""COMPUTED_VALUE"""),43798.64583333333)</f>
        <v>43798.64583</v>
      </c>
      <c r="C489" s="2">
        <f>IFERROR(__xludf.DUMMYFUNCTION("""COMPUTED_VALUE"""),208.8)</f>
        <v>208.8</v>
      </c>
    </row>
    <row r="490" ht="15.75" customHeight="1">
      <c r="B490" s="3">
        <f>IFERROR(__xludf.DUMMYFUNCTION("""COMPUTED_VALUE"""),43805.64583333333)</f>
        <v>43805.64583</v>
      </c>
      <c r="C490" s="2">
        <f>IFERROR(__xludf.DUMMYFUNCTION("""COMPUTED_VALUE"""),206.7)</f>
        <v>206.7</v>
      </c>
    </row>
    <row r="491" ht="15.75" customHeight="1">
      <c r="B491" s="3">
        <f>IFERROR(__xludf.DUMMYFUNCTION("""COMPUTED_VALUE"""),43812.64583333333)</f>
        <v>43812.64583</v>
      </c>
      <c r="C491" s="2">
        <f>IFERROR(__xludf.DUMMYFUNCTION("""COMPUTED_VALUE"""),196.9)</f>
        <v>196.9</v>
      </c>
    </row>
    <row r="492" ht="15.75" customHeight="1">
      <c r="B492" s="3">
        <f>IFERROR(__xludf.DUMMYFUNCTION("""COMPUTED_VALUE"""),43819.64583333333)</f>
        <v>43819.64583</v>
      </c>
      <c r="C492" s="2">
        <f>IFERROR(__xludf.DUMMYFUNCTION("""COMPUTED_VALUE"""),202.7)</f>
        <v>202.7</v>
      </c>
    </row>
    <row r="493" ht="15.75" customHeight="1">
      <c r="B493" s="3">
        <f>IFERROR(__xludf.DUMMYFUNCTION("""COMPUTED_VALUE"""),43826.64583333333)</f>
        <v>43826.64583</v>
      </c>
      <c r="C493" s="2">
        <f>IFERROR(__xludf.DUMMYFUNCTION("""COMPUTED_VALUE"""),205.5)</f>
        <v>205.5</v>
      </c>
    </row>
    <row r="494" ht="15.75" customHeight="1"/>
    <row r="495" ht="15.75" customHeight="1"/>
    <row r="496" ht="15.75" customHeight="1">
      <c r="B496" s="2" t="str">
        <f>IFERROR(__xludf.DUMMYFUNCTION("GOOGLEFINANCE(""NSE:COALINDIA"", ""high"",DATE(2020,1,1),DATE(2021,1,1),""weekly"")"),"Date")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IFERROR(__xludf.DUMMYFUNCTION("""COMPUTED_VALUE"""),43833.64583333333)</f>
        <v>43833.64583</v>
      </c>
      <c r="C497" s="2">
        <f>IFERROR(__xludf.DUMMYFUNCTION("""COMPUTED_VALUE"""),212.8)</f>
        <v>212.8</v>
      </c>
    </row>
    <row r="498" ht="15.75" customHeight="1">
      <c r="B498" s="3">
        <f>IFERROR(__xludf.DUMMYFUNCTION("""COMPUTED_VALUE"""),43840.64583333333)</f>
        <v>43840.64583</v>
      </c>
      <c r="C498" s="2">
        <f>IFERROR(__xludf.DUMMYFUNCTION("""COMPUTED_VALUE"""),209.95)</f>
        <v>209.95</v>
      </c>
    </row>
    <row r="499" ht="15.75" customHeight="1">
      <c r="B499" s="3">
        <f>IFERROR(__xludf.DUMMYFUNCTION("""COMPUTED_VALUE"""),43847.64583333333)</f>
        <v>43847.64583</v>
      </c>
      <c r="C499" s="2">
        <f>IFERROR(__xludf.DUMMYFUNCTION("""COMPUTED_VALUE"""),214.6)</f>
        <v>214.6</v>
      </c>
    </row>
    <row r="500" ht="15.75" customHeight="1">
      <c r="B500" s="3">
        <f>IFERROR(__xludf.DUMMYFUNCTION("""COMPUTED_VALUE"""),43854.64583333333)</f>
        <v>43854.64583</v>
      </c>
      <c r="C500" s="2">
        <f>IFERROR(__xludf.DUMMYFUNCTION("""COMPUTED_VALUE"""),209.8)</f>
        <v>209.8</v>
      </c>
    </row>
    <row r="501" ht="15.75" customHeight="1">
      <c r="B501" s="3">
        <f>IFERROR(__xludf.DUMMYFUNCTION("""COMPUTED_VALUE"""),43862.70833333333)</f>
        <v>43862.70833</v>
      </c>
      <c r="C501" s="2">
        <f>IFERROR(__xludf.DUMMYFUNCTION("""COMPUTED_VALUE"""),195.0)</f>
        <v>195</v>
      </c>
    </row>
    <row r="502" ht="15.75" customHeight="1">
      <c r="B502" s="3">
        <f>IFERROR(__xludf.DUMMYFUNCTION("""COMPUTED_VALUE"""),43868.64583333333)</f>
        <v>43868.64583</v>
      </c>
      <c r="C502" s="2">
        <f>IFERROR(__xludf.DUMMYFUNCTION("""COMPUTED_VALUE"""),186.05)</f>
        <v>186.05</v>
      </c>
    </row>
    <row r="503" ht="15.75" customHeight="1">
      <c r="B503" s="3">
        <f>IFERROR(__xludf.DUMMYFUNCTION("""COMPUTED_VALUE"""),43875.64583333333)</f>
        <v>43875.64583</v>
      </c>
      <c r="C503" s="2">
        <f>IFERROR(__xludf.DUMMYFUNCTION("""COMPUTED_VALUE"""),185.0)</f>
        <v>185</v>
      </c>
    </row>
    <row r="504" ht="15.75" customHeight="1">
      <c r="B504" s="3">
        <f>IFERROR(__xludf.DUMMYFUNCTION("""COMPUTED_VALUE"""),43881.64583333333)</f>
        <v>43881.64583</v>
      </c>
      <c r="C504" s="2">
        <f>IFERROR(__xludf.DUMMYFUNCTION("""COMPUTED_VALUE"""),180.25)</f>
        <v>180.25</v>
      </c>
    </row>
    <row r="505" ht="15.75" customHeight="1">
      <c r="B505" s="3">
        <f>IFERROR(__xludf.DUMMYFUNCTION("""COMPUTED_VALUE"""),43889.64583333333)</f>
        <v>43889.64583</v>
      </c>
      <c r="C505" s="2">
        <f>IFERROR(__xludf.DUMMYFUNCTION("""COMPUTED_VALUE"""),178.9)</f>
        <v>178.9</v>
      </c>
    </row>
    <row r="506" ht="15.75" customHeight="1">
      <c r="B506" s="3">
        <f>IFERROR(__xludf.DUMMYFUNCTION("""COMPUTED_VALUE"""),43896.64583333333)</f>
        <v>43896.64583</v>
      </c>
      <c r="C506" s="2">
        <f>IFERROR(__xludf.DUMMYFUNCTION("""COMPUTED_VALUE"""),180.2)</f>
        <v>180.2</v>
      </c>
    </row>
    <row r="507" ht="15.75" customHeight="1">
      <c r="B507" s="3">
        <f>IFERROR(__xludf.DUMMYFUNCTION("""COMPUTED_VALUE"""),43903.64583333333)</f>
        <v>43903.64583</v>
      </c>
      <c r="C507" s="2">
        <f>IFERROR(__xludf.DUMMYFUNCTION("""COMPUTED_VALUE"""),169.9)</f>
        <v>169.9</v>
      </c>
    </row>
    <row r="508" ht="15.75" customHeight="1">
      <c r="B508" s="3">
        <f>IFERROR(__xludf.DUMMYFUNCTION("""COMPUTED_VALUE"""),43910.64583333333)</f>
        <v>43910.64583</v>
      </c>
      <c r="C508" s="2">
        <f>IFERROR(__xludf.DUMMYFUNCTION("""COMPUTED_VALUE"""),155.4)</f>
        <v>155.4</v>
      </c>
    </row>
    <row r="509" ht="15.75" customHeight="1">
      <c r="B509" s="3">
        <f>IFERROR(__xludf.DUMMYFUNCTION("""COMPUTED_VALUE"""),43917.64583333333)</f>
        <v>43917.64583</v>
      </c>
      <c r="C509" s="2">
        <f>IFERROR(__xludf.DUMMYFUNCTION("""COMPUTED_VALUE"""),135.0)</f>
        <v>135</v>
      </c>
    </row>
    <row r="510" ht="15.75" customHeight="1">
      <c r="B510" s="3">
        <f>IFERROR(__xludf.DUMMYFUNCTION("""COMPUTED_VALUE"""),43924.64583333333)</f>
        <v>43924.64583</v>
      </c>
      <c r="C510" s="2">
        <f>IFERROR(__xludf.DUMMYFUNCTION("""COMPUTED_VALUE"""),142.35)</f>
        <v>142.35</v>
      </c>
    </row>
    <row r="511" ht="15.75" customHeight="1">
      <c r="B511" s="3">
        <f>IFERROR(__xludf.DUMMYFUNCTION("""COMPUTED_VALUE"""),43930.64583333333)</f>
        <v>43930.64583</v>
      </c>
      <c r="C511" s="2">
        <f>IFERROR(__xludf.DUMMYFUNCTION("""COMPUTED_VALUE"""),143.4)</f>
        <v>143.4</v>
      </c>
    </row>
    <row r="512" ht="15.75" customHeight="1">
      <c r="B512" s="3">
        <f>IFERROR(__xludf.DUMMYFUNCTION("""COMPUTED_VALUE"""),43938.64583333333)</f>
        <v>43938.64583</v>
      </c>
      <c r="C512" s="2">
        <f>IFERROR(__xludf.DUMMYFUNCTION("""COMPUTED_VALUE"""),152.45)</f>
        <v>152.45</v>
      </c>
    </row>
    <row r="513" ht="15.75" customHeight="1">
      <c r="B513" s="3">
        <f>IFERROR(__xludf.DUMMYFUNCTION("""COMPUTED_VALUE"""),43945.64583333333)</f>
        <v>43945.64583</v>
      </c>
      <c r="C513" s="2">
        <f>IFERROR(__xludf.DUMMYFUNCTION("""COMPUTED_VALUE"""),149.9)</f>
        <v>149.9</v>
      </c>
    </row>
    <row r="514" ht="15.75" customHeight="1">
      <c r="B514" s="3">
        <f>IFERROR(__xludf.DUMMYFUNCTION("""COMPUTED_VALUE"""),43951.64583333333)</f>
        <v>43951.64583</v>
      </c>
      <c r="C514" s="2">
        <f>IFERROR(__xludf.DUMMYFUNCTION("""COMPUTED_VALUE"""),149.45)</f>
        <v>149.45</v>
      </c>
    </row>
    <row r="515" ht="15.75" customHeight="1">
      <c r="B515" s="3">
        <f>IFERROR(__xludf.DUMMYFUNCTION("""COMPUTED_VALUE"""),43959.64583333333)</f>
        <v>43959.64583</v>
      </c>
      <c r="C515" s="2">
        <f>IFERROR(__xludf.DUMMYFUNCTION("""COMPUTED_VALUE"""),147.25)</f>
        <v>147.25</v>
      </c>
    </row>
    <row r="516" ht="15.75" customHeight="1">
      <c r="B516" s="3">
        <f>IFERROR(__xludf.DUMMYFUNCTION("""COMPUTED_VALUE"""),43966.64583333333)</f>
        <v>43966.64583</v>
      </c>
      <c r="C516" s="2">
        <f>IFERROR(__xludf.DUMMYFUNCTION("""COMPUTED_VALUE"""),132.5)</f>
        <v>132.5</v>
      </c>
    </row>
    <row r="517" ht="15.75" customHeight="1">
      <c r="B517" s="3">
        <f>IFERROR(__xludf.DUMMYFUNCTION("""COMPUTED_VALUE"""),43973.64583333333)</f>
        <v>43973.64583</v>
      </c>
      <c r="C517" s="2">
        <f>IFERROR(__xludf.DUMMYFUNCTION("""COMPUTED_VALUE"""),127.0)</f>
        <v>127</v>
      </c>
    </row>
    <row r="518" ht="15.75" customHeight="1">
      <c r="B518" s="3">
        <f>IFERROR(__xludf.DUMMYFUNCTION("""COMPUTED_VALUE"""),43980.64583333333)</f>
        <v>43980.64583</v>
      </c>
      <c r="C518" s="2">
        <f>IFERROR(__xludf.DUMMYFUNCTION("""COMPUTED_VALUE"""),142.45)</f>
        <v>142.45</v>
      </c>
    </row>
    <row r="519" ht="15.75" customHeight="1">
      <c r="B519" s="3">
        <f>IFERROR(__xludf.DUMMYFUNCTION("""COMPUTED_VALUE"""),43987.64583333333)</f>
        <v>43987.64583</v>
      </c>
      <c r="C519" s="2">
        <f>IFERROR(__xludf.DUMMYFUNCTION("""COMPUTED_VALUE"""),149.75)</f>
        <v>149.75</v>
      </c>
    </row>
    <row r="520" ht="15.75" customHeight="1">
      <c r="B520" s="3">
        <f>IFERROR(__xludf.DUMMYFUNCTION("""COMPUTED_VALUE"""),43994.64583333333)</f>
        <v>43994.64583</v>
      </c>
      <c r="C520" s="2">
        <f>IFERROR(__xludf.DUMMYFUNCTION("""COMPUTED_VALUE"""),148.95)</f>
        <v>148.95</v>
      </c>
    </row>
    <row r="521" ht="15.75" customHeight="1">
      <c r="B521" s="3">
        <f>IFERROR(__xludf.DUMMYFUNCTION("""COMPUTED_VALUE"""),44001.64583333333)</f>
        <v>44001.64583</v>
      </c>
      <c r="C521" s="2">
        <f>IFERROR(__xludf.DUMMYFUNCTION("""COMPUTED_VALUE"""),140.0)</f>
        <v>140</v>
      </c>
    </row>
    <row r="522" ht="15.75" customHeight="1">
      <c r="B522" s="3">
        <f>IFERROR(__xludf.DUMMYFUNCTION("""COMPUTED_VALUE"""),44008.64583333333)</f>
        <v>44008.64583</v>
      </c>
      <c r="C522" s="2">
        <f>IFERROR(__xludf.DUMMYFUNCTION("""COMPUTED_VALUE"""),146.75)</f>
        <v>146.75</v>
      </c>
    </row>
    <row r="523" ht="15.75" customHeight="1">
      <c r="B523" s="3">
        <f>IFERROR(__xludf.DUMMYFUNCTION("""COMPUTED_VALUE"""),44015.64583333333)</f>
        <v>44015.64583</v>
      </c>
      <c r="C523" s="2">
        <f>IFERROR(__xludf.DUMMYFUNCTION("""COMPUTED_VALUE"""),140.85)</f>
        <v>140.85</v>
      </c>
    </row>
    <row r="524" ht="15.75" customHeight="1">
      <c r="B524" s="3">
        <f>IFERROR(__xludf.DUMMYFUNCTION("""COMPUTED_VALUE"""),44022.64583333333)</f>
        <v>44022.64583</v>
      </c>
      <c r="C524" s="2">
        <f>IFERROR(__xludf.DUMMYFUNCTION("""COMPUTED_VALUE"""),137.5)</f>
        <v>137.5</v>
      </c>
    </row>
    <row r="525" ht="15.75" customHeight="1">
      <c r="B525" s="3">
        <f>IFERROR(__xludf.DUMMYFUNCTION("""COMPUTED_VALUE"""),44029.64583333333)</f>
        <v>44029.64583</v>
      </c>
      <c r="C525" s="2">
        <f>IFERROR(__xludf.DUMMYFUNCTION("""COMPUTED_VALUE"""),132.45)</f>
        <v>132.45</v>
      </c>
    </row>
    <row r="526" ht="15.75" customHeight="1">
      <c r="B526" s="3">
        <f>IFERROR(__xludf.DUMMYFUNCTION("""COMPUTED_VALUE"""),44036.64583333333)</f>
        <v>44036.64583</v>
      </c>
      <c r="C526" s="2">
        <f>IFERROR(__xludf.DUMMYFUNCTION("""COMPUTED_VALUE"""),136.7)</f>
        <v>136.7</v>
      </c>
    </row>
    <row r="527" ht="15.75" customHeight="1">
      <c r="B527" s="3">
        <f>IFERROR(__xludf.DUMMYFUNCTION("""COMPUTED_VALUE"""),44043.64583333333)</f>
        <v>44043.64583</v>
      </c>
      <c r="C527" s="2">
        <f>IFERROR(__xludf.DUMMYFUNCTION("""COMPUTED_VALUE"""),132.5)</f>
        <v>132.5</v>
      </c>
    </row>
    <row r="528" ht="15.75" customHeight="1">
      <c r="B528" s="3">
        <f>IFERROR(__xludf.DUMMYFUNCTION("""COMPUTED_VALUE"""),44050.64583333333)</f>
        <v>44050.64583</v>
      </c>
      <c r="C528" s="2">
        <f>IFERROR(__xludf.DUMMYFUNCTION("""COMPUTED_VALUE"""),131.7)</f>
        <v>131.7</v>
      </c>
    </row>
    <row r="529" ht="15.75" customHeight="1">
      <c r="B529" s="3">
        <f>IFERROR(__xludf.DUMMYFUNCTION("""COMPUTED_VALUE"""),44057.64583333333)</f>
        <v>44057.64583</v>
      </c>
      <c r="C529" s="2">
        <f>IFERROR(__xludf.DUMMYFUNCTION("""COMPUTED_VALUE"""),134.25)</f>
        <v>134.25</v>
      </c>
    </row>
    <row r="530" ht="15.75" customHeight="1">
      <c r="B530" s="3">
        <f>IFERROR(__xludf.DUMMYFUNCTION("""COMPUTED_VALUE"""),44064.64583333333)</f>
        <v>44064.64583</v>
      </c>
      <c r="C530" s="2">
        <f>IFERROR(__xludf.DUMMYFUNCTION("""COMPUTED_VALUE"""),141.8)</f>
        <v>141.8</v>
      </c>
    </row>
    <row r="531" ht="15.75" customHeight="1">
      <c r="B531" s="3">
        <f>IFERROR(__xludf.DUMMYFUNCTION("""COMPUTED_VALUE"""),44071.64583333333)</f>
        <v>44071.64583</v>
      </c>
      <c r="C531" s="2">
        <f>IFERROR(__xludf.DUMMYFUNCTION("""COMPUTED_VALUE"""),143.95)</f>
        <v>143.95</v>
      </c>
    </row>
    <row r="532" ht="15.75" customHeight="1">
      <c r="B532" s="3">
        <f>IFERROR(__xludf.DUMMYFUNCTION("""COMPUTED_VALUE"""),44078.64583333333)</f>
        <v>44078.64583</v>
      </c>
      <c r="C532" s="2">
        <f>IFERROR(__xludf.DUMMYFUNCTION("""COMPUTED_VALUE"""),142.15)</f>
        <v>142.15</v>
      </c>
    </row>
    <row r="533" ht="15.75" customHeight="1">
      <c r="B533" s="3">
        <f>IFERROR(__xludf.DUMMYFUNCTION("""COMPUTED_VALUE"""),44085.64583333333)</f>
        <v>44085.64583</v>
      </c>
      <c r="C533" s="2">
        <f>IFERROR(__xludf.DUMMYFUNCTION("""COMPUTED_VALUE"""),133.8)</f>
        <v>133.8</v>
      </c>
    </row>
    <row r="534" ht="15.75" customHeight="1">
      <c r="B534" s="3">
        <f>IFERROR(__xludf.DUMMYFUNCTION("""COMPUTED_VALUE"""),44092.64583333333)</f>
        <v>44092.64583</v>
      </c>
      <c r="C534" s="2">
        <f>IFERROR(__xludf.DUMMYFUNCTION("""COMPUTED_VALUE"""),126.85)</f>
        <v>126.85</v>
      </c>
    </row>
    <row r="535" ht="15.75" customHeight="1">
      <c r="B535" s="3">
        <f>IFERROR(__xludf.DUMMYFUNCTION("""COMPUTED_VALUE"""),44099.64583333333)</f>
        <v>44099.64583</v>
      </c>
      <c r="C535" s="2">
        <f>IFERROR(__xludf.DUMMYFUNCTION("""COMPUTED_VALUE"""),124.15)</f>
        <v>124.15</v>
      </c>
    </row>
    <row r="536" ht="15.75" customHeight="1">
      <c r="B536" s="3">
        <f>IFERROR(__xludf.DUMMYFUNCTION("""COMPUTED_VALUE"""),44105.64583333333)</f>
        <v>44105.64583</v>
      </c>
      <c r="C536" s="2">
        <f>IFERROR(__xludf.DUMMYFUNCTION("""COMPUTED_VALUE"""),121.55)</f>
        <v>121.55</v>
      </c>
    </row>
    <row r="537" ht="15.75" customHeight="1">
      <c r="B537" s="3">
        <f>IFERROR(__xludf.DUMMYFUNCTION("""COMPUTED_VALUE"""),44113.64583333333)</f>
        <v>44113.64583</v>
      </c>
      <c r="C537" s="2">
        <f>IFERROR(__xludf.DUMMYFUNCTION("""COMPUTED_VALUE"""),119.5)</f>
        <v>119.5</v>
      </c>
    </row>
    <row r="538" ht="15.75" customHeight="1">
      <c r="B538" s="3">
        <f>IFERROR(__xludf.DUMMYFUNCTION("""COMPUTED_VALUE"""),44120.64583333333)</f>
        <v>44120.64583</v>
      </c>
      <c r="C538" s="2">
        <f>IFERROR(__xludf.DUMMYFUNCTION("""COMPUTED_VALUE"""),115.5)</f>
        <v>115.5</v>
      </c>
    </row>
    <row r="539" ht="15.75" customHeight="1">
      <c r="B539" s="3">
        <f>IFERROR(__xludf.DUMMYFUNCTION("""COMPUTED_VALUE"""),44127.64583333333)</f>
        <v>44127.64583</v>
      </c>
      <c r="C539" s="2">
        <f>IFERROR(__xludf.DUMMYFUNCTION("""COMPUTED_VALUE"""),118.2)</f>
        <v>118.2</v>
      </c>
    </row>
    <row r="540" ht="15.75" customHeight="1">
      <c r="B540" s="3">
        <f>IFERROR(__xludf.DUMMYFUNCTION("""COMPUTED_VALUE"""),44134.64583333333)</f>
        <v>44134.64583</v>
      </c>
      <c r="C540" s="2">
        <f>IFERROR(__xludf.DUMMYFUNCTION("""COMPUTED_VALUE"""),117.9)</f>
        <v>117.9</v>
      </c>
    </row>
    <row r="541" ht="15.75" customHeight="1">
      <c r="B541" s="3">
        <f>IFERROR(__xludf.DUMMYFUNCTION("""COMPUTED_VALUE"""),44141.64583333333)</f>
        <v>44141.64583</v>
      </c>
      <c r="C541" s="2">
        <f>IFERROR(__xludf.DUMMYFUNCTION("""COMPUTED_VALUE"""),122.4)</f>
        <v>122.4</v>
      </c>
    </row>
    <row r="542" ht="15.75" customHeight="1">
      <c r="B542" s="3">
        <f>IFERROR(__xludf.DUMMYFUNCTION("""COMPUTED_VALUE"""),44155.64583333333)</f>
        <v>44155.64583</v>
      </c>
      <c r="C542" s="2">
        <f>IFERROR(__xludf.DUMMYFUNCTION("""COMPUTED_VALUE"""),129.3)</f>
        <v>129.3</v>
      </c>
    </row>
    <row r="543" ht="15.75" customHeight="1">
      <c r="B543" s="3">
        <f>IFERROR(__xludf.DUMMYFUNCTION("""COMPUTED_VALUE"""),44162.64583333333)</f>
        <v>44162.64583</v>
      </c>
      <c r="C543" s="2">
        <f>IFERROR(__xludf.DUMMYFUNCTION("""COMPUTED_VALUE"""),127.4)</f>
        <v>127.4</v>
      </c>
    </row>
    <row r="544" ht="15.75" customHeight="1">
      <c r="B544" s="3">
        <f>IFERROR(__xludf.DUMMYFUNCTION("""COMPUTED_VALUE"""),44169.64583333333)</f>
        <v>44169.64583</v>
      </c>
      <c r="C544" s="2">
        <f>IFERROR(__xludf.DUMMYFUNCTION("""COMPUTED_VALUE"""),134.95)</f>
        <v>134.95</v>
      </c>
    </row>
    <row r="545" ht="15.75" customHeight="1">
      <c r="B545" s="3">
        <f>IFERROR(__xludf.DUMMYFUNCTION("""COMPUTED_VALUE"""),44176.64583333333)</f>
        <v>44176.64583</v>
      </c>
      <c r="C545" s="2">
        <f>IFERROR(__xludf.DUMMYFUNCTION("""COMPUTED_VALUE"""),140.7)</f>
        <v>140.7</v>
      </c>
    </row>
    <row r="546" ht="15.75" customHeight="1">
      <c r="B546" s="3">
        <f>IFERROR(__xludf.DUMMYFUNCTION("""COMPUTED_VALUE"""),44183.64583333333)</f>
        <v>44183.64583</v>
      </c>
      <c r="C546" s="2">
        <f>IFERROR(__xludf.DUMMYFUNCTION("""COMPUTED_VALUE"""),146.0)</f>
        <v>146</v>
      </c>
    </row>
    <row r="547" ht="15.75" customHeight="1">
      <c r="B547" s="3">
        <f>IFERROR(__xludf.DUMMYFUNCTION("""COMPUTED_VALUE"""),44189.64583333333)</f>
        <v>44189.64583</v>
      </c>
      <c r="C547" s="2">
        <f>IFERROR(__xludf.DUMMYFUNCTION("""COMPUTED_VALUE"""),141.5)</f>
        <v>141.5</v>
      </c>
    </row>
    <row r="548" ht="15.75" customHeight="1">
      <c r="B548" s="3">
        <f>IFERROR(__xludf.DUMMYFUNCTION("""COMPUTED_VALUE"""),44197.64583333333)</f>
        <v>44197.64583</v>
      </c>
      <c r="C548" s="2">
        <f>IFERROR(__xludf.DUMMYFUNCTION("""COMPUTED_VALUE"""),139.9)</f>
        <v>139.9</v>
      </c>
    </row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IFERROR(__xludf.DUMMYFUNCTION("GOOGLEFINANCE(""NSE:ASIANPAINT"", ""high"",DATE(2012,1,1),DATE(2013,1,1),""weekly"")"),"Date")</f>
        <v>Date</v>
      </c>
      <c r="C1" s="2" t="str">
        <f>IFERROR(__xludf.DUMMYFUNCTION("""COMPUTED_VALUE"""),"High")</f>
        <v>High</v>
      </c>
    </row>
    <row r="2">
      <c r="A2" s="2" t="s">
        <v>11</v>
      </c>
      <c r="B2" s="3">
        <f>IFERROR(__xludf.DUMMYFUNCTION("""COMPUTED_VALUE"""),40921.645833333336)</f>
        <v>40921.64583</v>
      </c>
      <c r="C2" s="2">
        <f>IFERROR(__xludf.DUMMYFUNCTION("""COMPUTED_VALUE"""),279.83)</f>
        <v>279.83</v>
      </c>
    </row>
    <row r="3">
      <c r="A3" s="2" t="s">
        <v>12</v>
      </c>
      <c r="B3" s="3">
        <f>IFERROR(__xludf.DUMMYFUNCTION("""COMPUTED_VALUE"""),40928.645833333336)</f>
        <v>40928.64583</v>
      </c>
      <c r="C3" s="2">
        <f>IFERROR(__xludf.DUMMYFUNCTION("""COMPUTED_VALUE"""),277.9)</f>
        <v>277.9</v>
      </c>
    </row>
    <row r="4">
      <c r="A4" s="2" t="s">
        <v>13</v>
      </c>
      <c r="B4" s="3">
        <f>IFERROR(__xludf.DUMMYFUNCTION("""COMPUTED_VALUE"""),40935.645833333336)</f>
        <v>40935.64583</v>
      </c>
      <c r="C4" s="2">
        <f>IFERROR(__xludf.DUMMYFUNCTION("""COMPUTED_VALUE"""),294.9)</f>
        <v>294.9</v>
      </c>
    </row>
    <row r="5">
      <c r="A5" s="2" t="s">
        <v>14</v>
      </c>
      <c r="B5" s="3">
        <f>IFERROR(__xludf.DUMMYFUNCTION("""COMPUTED_VALUE"""),40942.645833333336)</f>
        <v>40942.64583</v>
      </c>
      <c r="C5" s="2">
        <f>IFERROR(__xludf.DUMMYFUNCTION("""COMPUTED_VALUE"""),304.0)</f>
        <v>304</v>
      </c>
    </row>
    <row r="6">
      <c r="A6" s="2" t="s">
        <v>15</v>
      </c>
      <c r="B6" s="3">
        <f>IFERROR(__xludf.DUMMYFUNCTION("""COMPUTED_VALUE"""),40949.645833333336)</f>
        <v>40949.64583</v>
      </c>
      <c r="C6" s="2">
        <f>IFERROR(__xludf.DUMMYFUNCTION("""COMPUTED_VALUE"""),312.8)</f>
        <v>312.8</v>
      </c>
    </row>
    <row r="7">
      <c r="A7" s="2" t="s">
        <v>16</v>
      </c>
      <c r="B7" s="3">
        <f>IFERROR(__xludf.DUMMYFUNCTION("""COMPUTED_VALUE"""),40956.645833333336)</f>
        <v>40956.64583</v>
      </c>
      <c r="C7" s="2">
        <f>IFERROR(__xludf.DUMMYFUNCTION("""COMPUTED_VALUE"""),311.4)</f>
        <v>311.4</v>
      </c>
    </row>
    <row r="8">
      <c r="A8" s="2" t="s">
        <v>17</v>
      </c>
      <c r="B8" s="3">
        <f>IFERROR(__xludf.DUMMYFUNCTION("""COMPUTED_VALUE"""),40963.645833333336)</f>
        <v>40963.64583</v>
      </c>
      <c r="C8" s="2">
        <f>IFERROR(__xludf.DUMMYFUNCTION("""COMPUTED_VALUE"""),311.0)</f>
        <v>311</v>
      </c>
    </row>
    <row r="9">
      <c r="A9" s="2" t="s">
        <v>18</v>
      </c>
      <c r="B9" s="3">
        <f>IFERROR(__xludf.DUMMYFUNCTION("""COMPUTED_VALUE"""),40977.645833333336)</f>
        <v>40977.64583</v>
      </c>
      <c r="C9" s="2">
        <f>IFERROR(__xludf.DUMMYFUNCTION("""COMPUTED_VALUE"""),325.0)</f>
        <v>325</v>
      </c>
    </row>
    <row r="10">
      <c r="A10" s="2" t="s">
        <v>19</v>
      </c>
      <c r="B10" s="3">
        <f>IFERROR(__xludf.DUMMYFUNCTION("""COMPUTED_VALUE"""),40984.645833333336)</f>
        <v>40984.64583</v>
      </c>
      <c r="C10" s="2">
        <f>IFERROR(__xludf.DUMMYFUNCTION("""COMPUTED_VALUE"""),334.0)</f>
        <v>334</v>
      </c>
    </row>
    <row r="11">
      <c r="B11" s="3">
        <f>IFERROR(__xludf.DUMMYFUNCTION("""COMPUTED_VALUE"""),40991.645833333336)</f>
        <v>40991.64583</v>
      </c>
      <c r="C11" s="2">
        <f>IFERROR(__xludf.DUMMYFUNCTION("""COMPUTED_VALUE"""),324.0)</f>
        <v>324</v>
      </c>
    </row>
    <row r="12">
      <c r="B12" s="3">
        <f>IFERROR(__xludf.DUMMYFUNCTION("""COMPUTED_VALUE"""),40998.645833333336)</f>
        <v>40998.64583</v>
      </c>
      <c r="C12" s="2">
        <f>IFERROR(__xludf.DUMMYFUNCTION("""COMPUTED_VALUE"""),325.5)</f>
        <v>325.5</v>
      </c>
    </row>
    <row r="13">
      <c r="B13" s="3">
        <f>IFERROR(__xludf.DUMMYFUNCTION("""COMPUTED_VALUE"""),41003.645833333336)</f>
        <v>41003.64583</v>
      </c>
      <c r="C13" s="2">
        <f>IFERROR(__xludf.DUMMYFUNCTION("""COMPUTED_VALUE"""),339.99)</f>
        <v>339.99</v>
      </c>
    </row>
    <row r="14">
      <c r="B14" s="3">
        <f>IFERROR(__xludf.DUMMYFUNCTION("""COMPUTED_VALUE"""),41012.645833333336)</f>
        <v>41012.64583</v>
      </c>
      <c r="C14" s="2">
        <f>IFERROR(__xludf.DUMMYFUNCTION("""COMPUTED_VALUE"""),332.0)</f>
        <v>332</v>
      </c>
    </row>
    <row r="15">
      <c r="B15" s="3">
        <f>IFERROR(__xludf.DUMMYFUNCTION("""COMPUTED_VALUE"""),41019.645833333336)</f>
        <v>41019.64583</v>
      </c>
      <c r="C15" s="2">
        <f>IFERROR(__xludf.DUMMYFUNCTION("""COMPUTED_VALUE"""),337.5)</f>
        <v>337.5</v>
      </c>
    </row>
    <row r="16">
      <c r="B16" s="3">
        <f>IFERROR(__xludf.DUMMYFUNCTION("""COMPUTED_VALUE"""),41033.645833333336)</f>
        <v>41033.64583</v>
      </c>
      <c r="C16" s="2">
        <f>IFERROR(__xludf.DUMMYFUNCTION("""COMPUTED_VALUE"""),365.0)</f>
        <v>365</v>
      </c>
    </row>
    <row r="17">
      <c r="B17" s="3">
        <f>IFERROR(__xludf.DUMMYFUNCTION("""COMPUTED_VALUE"""),41040.645833333336)</f>
        <v>41040.64583</v>
      </c>
      <c r="C17" s="2">
        <f>IFERROR(__xludf.DUMMYFUNCTION("""COMPUTED_VALUE"""),374.5)</f>
        <v>374.5</v>
      </c>
    </row>
    <row r="18">
      <c r="B18" s="3">
        <f>IFERROR(__xludf.DUMMYFUNCTION("""COMPUTED_VALUE"""),41047.645833333336)</f>
        <v>41047.64583</v>
      </c>
      <c r="C18" s="2">
        <f>IFERROR(__xludf.DUMMYFUNCTION("""COMPUTED_VALUE"""),378.6)</f>
        <v>378.6</v>
      </c>
    </row>
    <row r="19">
      <c r="B19" s="3">
        <f>IFERROR(__xludf.DUMMYFUNCTION("""COMPUTED_VALUE"""),41054.645833333336)</f>
        <v>41054.64583</v>
      </c>
      <c r="C19" s="2">
        <f>IFERROR(__xludf.DUMMYFUNCTION("""COMPUTED_VALUE"""),377.97)</f>
        <v>377.97</v>
      </c>
    </row>
    <row r="20">
      <c r="B20" s="3">
        <f>IFERROR(__xludf.DUMMYFUNCTION("""COMPUTED_VALUE"""),41061.645833333336)</f>
        <v>41061.64583</v>
      </c>
      <c r="C20" s="2">
        <f>IFERROR(__xludf.DUMMYFUNCTION("""COMPUTED_VALUE"""),419.1)</f>
        <v>419.1</v>
      </c>
    </row>
    <row r="21" ht="15.75" customHeight="1">
      <c r="B21" s="3">
        <f>IFERROR(__xludf.DUMMYFUNCTION("""COMPUTED_VALUE"""),41068.645833333336)</f>
        <v>41068.64583</v>
      </c>
      <c r="C21" s="2">
        <f>IFERROR(__xludf.DUMMYFUNCTION("""COMPUTED_VALUE"""),386.5)</f>
        <v>386.5</v>
      </c>
    </row>
    <row r="22" ht="15.75" customHeight="1">
      <c r="B22" s="3">
        <f>IFERROR(__xludf.DUMMYFUNCTION("""COMPUTED_VALUE"""),41075.645833333336)</f>
        <v>41075.64583</v>
      </c>
      <c r="C22" s="2">
        <f>IFERROR(__xludf.DUMMYFUNCTION("""COMPUTED_VALUE"""),392.1)</f>
        <v>392.1</v>
      </c>
    </row>
    <row r="23" ht="15.75" customHeight="1">
      <c r="B23" s="3">
        <f>IFERROR(__xludf.DUMMYFUNCTION("""COMPUTED_VALUE"""),41082.645833333336)</f>
        <v>41082.64583</v>
      </c>
      <c r="C23" s="2">
        <f>IFERROR(__xludf.DUMMYFUNCTION("""COMPUTED_VALUE"""),398.0)</f>
        <v>398</v>
      </c>
    </row>
    <row r="24" ht="15.75" customHeight="1">
      <c r="B24" s="3">
        <f>IFERROR(__xludf.DUMMYFUNCTION("""COMPUTED_VALUE"""),41089.645833333336)</f>
        <v>41089.64583</v>
      </c>
      <c r="C24" s="2">
        <f>IFERROR(__xludf.DUMMYFUNCTION("""COMPUTED_VALUE"""),391.5)</f>
        <v>391.5</v>
      </c>
    </row>
    <row r="25" ht="15.75" customHeight="1">
      <c r="B25" s="3">
        <f>IFERROR(__xludf.DUMMYFUNCTION("""COMPUTED_VALUE"""),41096.645833333336)</f>
        <v>41096.64583</v>
      </c>
      <c r="C25" s="2">
        <f>IFERROR(__xludf.DUMMYFUNCTION("""COMPUTED_VALUE"""),396.6)</f>
        <v>396.6</v>
      </c>
    </row>
    <row r="26" ht="15.75" customHeight="1">
      <c r="B26" s="3">
        <f>IFERROR(__xludf.DUMMYFUNCTION("""COMPUTED_VALUE"""),41103.645833333336)</f>
        <v>41103.64583</v>
      </c>
      <c r="C26" s="2">
        <f>IFERROR(__xludf.DUMMYFUNCTION("""COMPUTED_VALUE"""),375.7)</f>
        <v>375.7</v>
      </c>
    </row>
    <row r="27" ht="15.75" customHeight="1">
      <c r="B27" s="3">
        <f>IFERROR(__xludf.DUMMYFUNCTION("""COMPUTED_VALUE"""),41110.645833333336)</f>
        <v>41110.64583</v>
      </c>
      <c r="C27" s="2">
        <f>IFERROR(__xludf.DUMMYFUNCTION("""COMPUTED_VALUE"""),383.45)</f>
        <v>383.45</v>
      </c>
    </row>
    <row r="28" ht="15.75" customHeight="1">
      <c r="B28" s="3">
        <f>IFERROR(__xludf.DUMMYFUNCTION("""COMPUTED_VALUE"""),41117.645833333336)</f>
        <v>41117.64583</v>
      </c>
      <c r="C28" s="2">
        <f>IFERROR(__xludf.DUMMYFUNCTION("""COMPUTED_VALUE"""),368.0)</f>
        <v>368</v>
      </c>
    </row>
    <row r="29" ht="15.75" customHeight="1">
      <c r="B29" s="3">
        <f>IFERROR(__xludf.DUMMYFUNCTION("""COMPUTED_VALUE"""),41124.645833333336)</f>
        <v>41124.64583</v>
      </c>
      <c r="C29" s="2">
        <f>IFERROR(__xludf.DUMMYFUNCTION("""COMPUTED_VALUE"""),376.9)</f>
        <v>376.9</v>
      </c>
    </row>
    <row r="30" ht="15.75" customHeight="1">
      <c r="B30" s="3">
        <f>IFERROR(__xludf.DUMMYFUNCTION("""COMPUTED_VALUE"""),41131.645833333336)</f>
        <v>41131.64583</v>
      </c>
      <c r="C30" s="2">
        <f>IFERROR(__xludf.DUMMYFUNCTION("""COMPUTED_VALUE"""),379.0)</f>
        <v>379</v>
      </c>
    </row>
    <row r="31" ht="15.75" customHeight="1">
      <c r="B31" s="3">
        <f>IFERROR(__xludf.DUMMYFUNCTION("""COMPUTED_VALUE"""),41138.645833333336)</f>
        <v>41138.64583</v>
      </c>
      <c r="C31" s="2">
        <f>IFERROR(__xludf.DUMMYFUNCTION("""COMPUTED_VALUE"""),381.7)</f>
        <v>381.7</v>
      </c>
    </row>
    <row r="32" ht="15.75" customHeight="1">
      <c r="B32" s="3">
        <f>IFERROR(__xludf.DUMMYFUNCTION("""COMPUTED_VALUE"""),41145.645833333336)</f>
        <v>41145.64583</v>
      </c>
      <c r="C32" s="2">
        <f>IFERROR(__xludf.DUMMYFUNCTION("""COMPUTED_VALUE"""),372.78)</f>
        <v>372.78</v>
      </c>
    </row>
    <row r="33" ht="15.75" customHeight="1">
      <c r="B33" s="3">
        <f>IFERROR(__xludf.DUMMYFUNCTION("""COMPUTED_VALUE"""),41152.645833333336)</f>
        <v>41152.64583</v>
      </c>
      <c r="C33" s="2">
        <f>IFERROR(__xludf.DUMMYFUNCTION("""COMPUTED_VALUE"""),380.66)</f>
        <v>380.66</v>
      </c>
    </row>
    <row r="34" ht="15.75" customHeight="1">
      <c r="B34" s="3">
        <f>IFERROR(__xludf.DUMMYFUNCTION("""COMPUTED_VALUE"""),41166.645833333336)</f>
        <v>41166.64583</v>
      </c>
      <c r="C34" s="2">
        <f>IFERROR(__xludf.DUMMYFUNCTION("""COMPUTED_VALUE"""),391.7)</f>
        <v>391.7</v>
      </c>
    </row>
    <row r="35" ht="15.75" customHeight="1">
      <c r="B35" s="3">
        <f>IFERROR(__xludf.DUMMYFUNCTION("""COMPUTED_VALUE"""),41173.645833333336)</f>
        <v>41173.64583</v>
      </c>
      <c r="C35" s="2">
        <f>IFERROR(__xludf.DUMMYFUNCTION("""COMPUTED_VALUE"""),396.85)</f>
        <v>396.85</v>
      </c>
    </row>
    <row r="36" ht="15.75" customHeight="1">
      <c r="B36" s="3">
        <f>IFERROR(__xludf.DUMMYFUNCTION("""COMPUTED_VALUE"""),41180.645833333336)</f>
        <v>41180.64583</v>
      </c>
      <c r="C36" s="2">
        <f>IFERROR(__xludf.DUMMYFUNCTION("""COMPUTED_VALUE"""),402.0)</f>
        <v>402</v>
      </c>
    </row>
    <row r="37" ht="15.75" customHeight="1">
      <c r="B37" s="3">
        <f>IFERROR(__xludf.DUMMYFUNCTION("""COMPUTED_VALUE"""),41187.645833333336)</f>
        <v>41187.64583</v>
      </c>
      <c r="C37" s="2">
        <f>IFERROR(__xludf.DUMMYFUNCTION("""COMPUTED_VALUE"""),396.0)</f>
        <v>396</v>
      </c>
    </row>
    <row r="38" ht="15.75" customHeight="1">
      <c r="B38" s="3">
        <f>IFERROR(__xludf.DUMMYFUNCTION("""COMPUTED_VALUE"""),41194.645833333336)</f>
        <v>41194.64583</v>
      </c>
      <c r="C38" s="2">
        <f>IFERROR(__xludf.DUMMYFUNCTION("""COMPUTED_VALUE"""),393.46)</f>
        <v>393.46</v>
      </c>
    </row>
    <row r="39" ht="15.75" customHeight="1">
      <c r="B39" s="3">
        <f>IFERROR(__xludf.DUMMYFUNCTION("""COMPUTED_VALUE"""),41201.645833333336)</f>
        <v>41201.64583</v>
      </c>
      <c r="C39" s="2">
        <f>IFERROR(__xludf.DUMMYFUNCTION("""COMPUTED_VALUE"""),394.8)</f>
        <v>394.8</v>
      </c>
    </row>
    <row r="40" ht="15.75" customHeight="1">
      <c r="B40" s="3">
        <f>IFERROR(__xludf.DUMMYFUNCTION("""COMPUTED_VALUE"""),41208.645833333336)</f>
        <v>41208.64583</v>
      </c>
      <c r="C40" s="2">
        <f>IFERROR(__xludf.DUMMYFUNCTION("""COMPUTED_VALUE"""),394.5)</f>
        <v>394.5</v>
      </c>
    </row>
    <row r="41" ht="15.75" customHeight="1">
      <c r="B41" s="3">
        <f>IFERROR(__xludf.DUMMYFUNCTION("""COMPUTED_VALUE"""),41215.645833333336)</f>
        <v>41215.64583</v>
      </c>
      <c r="C41" s="2">
        <f>IFERROR(__xludf.DUMMYFUNCTION("""COMPUTED_VALUE"""),394.7)</f>
        <v>394.7</v>
      </c>
    </row>
    <row r="42" ht="15.75" customHeight="1">
      <c r="B42" s="3">
        <f>IFERROR(__xludf.DUMMYFUNCTION("""COMPUTED_VALUE"""),41222.645833333336)</f>
        <v>41222.64583</v>
      </c>
      <c r="C42" s="2">
        <f>IFERROR(__xludf.DUMMYFUNCTION("""COMPUTED_VALUE"""),419.99)</f>
        <v>419.99</v>
      </c>
    </row>
    <row r="43" ht="15.75" customHeight="1">
      <c r="B43" s="3">
        <f>IFERROR(__xludf.DUMMYFUNCTION("""COMPUTED_VALUE"""),41229.645833333336)</f>
        <v>41229.64583</v>
      </c>
      <c r="C43" s="2">
        <f>IFERROR(__xludf.DUMMYFUNCTION("""COMPUTED_VALUE"""),416.0)</f>
        <v>416</v>
      </c>
    </row>
    <row r="44" ht="15.75" customHeight="1">
      <c r="B44" s="3">
        <f>IFERROR(__xludf.DUMMYFUNCTION("""COMPUTED_VALUE"""),41236.645833333336)</f>
        <v>41236.64583</v>
      </c>
      <c r="C44" s="2">
        <f>IFERROR(__xludf.DUMMYFUNCTION("""COMPUTED_VALUE"""),406.8)</f>
        <v>406.8</v>
      </c>
    </row>
    <row r="45" ht="15.75" customHeight="1">
      <c r="B45" s="3">
        <f>IFERROR(__xludf.DUMMYFUNCTION("""COMPUTED_VALUE"""),41243.645833333336)</f>
        <v>41243.64583</v>
      </c>
      <c r="C45" s="2">
        <f>IFERROR(__xludf.DUMMYFUNCTION("""COMPUTED_VALUE"""),437.6)</f>
        <v>437.6</v>
      </c>
    </row>
    <row r="46" ht="15.75" customHeight="1">
      <c r="B46" s="3">
        <f>IFERROR(__xludf.DUMMYFUNCTION("""COMPUTED_VALUE"""),41250.645833333336)</f>
        <v>41250.64583</v>
      </c>
      <c r="C46" s="2">
        <f>IFERROR(__xludf.DUMMYFUNCTION("""COMPUTED_VALUE"""),441.44)</f>
        <v>441.44</v>
      </c>
    </row>
    <row r="47" ht="15.75" customHeight="1">
      <c r="B47" s="3">
        <f>IFERROR(__xludf.DUMMYFUNCTION("""COMPUTED_VALUE"""),41257.645833333336)</f>
        <v>41257.64583</v>
      </c>
      <c r="C47" s="2">
        <f>IFERROR(__xludf.DUMMYFUNCTION("""COMPUTED_VALUE"""),434.55)</f>
        <v>434.55</v>
      </c>
    </row>
    <row r="48" ht="15.75" customHeight="1">
      <c r="B48" s="3">
        <f>IFERROR(__xludf.DUMMYFUNCTION("""COMPUTED_VALUE"""),41264.645833333336)</f>
        <v>41264.64583</v>
      </c>
      <c r="C48" s="2">
        <f>IFERROR(__xludf.DUMMYFUNCTION("""COMPUTED_VALUE"""),449.75)</f>
        <v>449.75</v>
      </c>
    </row>
    <row r="49" ht="15.75" customHeight="1">
      <c r="B49" s="3">
        <f>IFERROR(__xludf.DUMMYFUNCTION("""COMPUTED_VALUE"""),41271.645833333336)</f>
        <v>41271.64583</v>
      </c>
      <c r="C49" s="2">
        <f>IFERROR(__xludf.DUMMYFUNCTION("""COMPUTED_VALUE"""),444.6)</f>
        <v>444.6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2" t="str">
        <f>IFERROR(__xludf.DUMMYFUNCTION("GOOGLEFINANCE(""NSE:ASIANPAINT"", ""high"",DATE(2013,1,1),DATE(2014,1,1),""weekly"")"),"Date")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IFERROR(__xludf.DUMMYFUNCTION("""COMPUTED_VALUE"""),41278.645833333336)</f>
        <v>41278.64583</v>
      </c>
      <c r="C57" s="2">
        <f>IFERROR(__xludf.DUMMYFUNCTION("""COMPUTED_VALUE"""),445.99)</f>
        <v>445.99</v>
      </c>
    </row>
    <row r="58" ht="15.75" customHeight="1">
      <c r="B58" s="3">
        <f>IFERROR(__xludf.DUMMYFUNCTION("""COMPUTED_VALUE"""),41285.645833333336)</f>
        <v>41285.64583</v>
      </c>
      <c r="C58" s="2">
        <f>IFERROR(__xludf.DUMMYFUNCTION("""COMPUTED_VALUE"""),443.8)</f>
        <v>443.8</v>
      </c>
    </row>
    <row r="59" ht="15.75" customHeight="1">
      <c r="B59" s="3">
        <f>IFERROR(__xludf.DUMMYFUNCTION("""COMPUTED_VALUE"""),41292.645833333336)</f>
        <v>41292.64583</v>
      </c>
      <c r="C59" s="2">
        <f>IFERROR(__xludf.DUMMYFUNCTION("""COMPUTED_VALUE"""),437.9)</f>
        <v>437.9</v>
      </c>
    </row>
    <row r="60" ht="15.75" customHeight="1">
      <c r="B60" s="3">
        <f>IFERROR(__xludf.DUMMYFUNCTION("""COMPUTED_VALUE"""),41299.645833333336)</f>
        <v>41299.64583</v>
      </c>
      <c r="C60" s="2">
        <f>IFERROR(__xludf.DUMMYFUNCTION("""COMPUTED_VALUE"""),448.98)</f>
        <v>448.98</v>
      </c>
    </row>
    <row r="61" ht="15.75" customHeight="1">
      <c r="B61" s="3">
        <f>IFERROR(__xludf.DUMMYFUNCTION("""COMPUTED_VALUE"""),41306.645833333336)</f>
        <v>41306.64583</v>
      </c>
      <c r="C61" s="2">
        <f>IFERROR(__xludf.DUMMYFUNCTION("""COMPUTED_VALUE"""),456.94)</f>
        <v>456.94</v>
      </c>
    </row>
    <row r="62" ht="15.75" customHeight="1">
      <c r="B62" s="3">
        <f>IFERROR(__xludf.DUMMYFUNCTION("""COMPUTED_VALUE"""),41313.645833333336)</f>
        <v>41313.64583</v>
      </c>
      <c r="C62" s="2">
        <f>IFERROR(__xludf.DUMMYFUNCTION("""COMPUTED_VALUE"""),467.7)</f>
        <v>467.7</v>
      </c>
    </row>
    <row r="63" ht="15.75" customHeight="1">
      <c r="B63" s="3">
        <f>IFERROR(__xludf.DUMMYFUNCTION("""COMPUTED_VALUE"""),41320.645833333336)</f>
        <v>41320.64583</v>
      </c>
      <c r="C63" s="2">
        <f>IFERROR(__xludf.DUMMYFUNCTION("""COMPUTED_VALUE"""),457.5)</f>
        <v>457.5</v>
      </c>
    </row>
    <row r="64" ht="15.75" customHeight="1">
      <c r="B64" s="3">
        <f>IFERROR(__xludf.DUMMYFUNCTION("""COMPUTED_VALUE"""),41327.645833333336)</f>
        <v>41327.64583</v>
      </c>
      <c r="C64" s="2">
        <f>IFERROR(__xludf.DUMMYFUNCTION("""COMPUTED_VALUE"""),459.9)</f>
        <v>459.9</v>
      </c>
    </row>
    <row r="65" ht="15.75" customHeight="1">
      <c r="B65" s="3">
        <f>IFERROR(__xludf.DUMMYFUNCTION("""COMPUTED_VALUE"""),41334.645833333336)</f>
        <v>41334.64583</v>
      </c>
      <c r="C65" s="2">
        <f>IFERROR(__xludf.DUMMYFUNCTION("""COMPUTED_VALUE"""),455.8)</f>
        <v>455.8</v>
      </c>
    </row>
    <row r="66" ht="15.75" customHeight="1">
      <c r="B66" s="3">
        <f>IFERROR(__xludf.DUMMYFUNCTION("""COMPUTED_VALUE"""),41341.645833333336)</f>
        <v>41341.64583</v>
      </c>
      <c r="C66" s="2">
        <f>IFERROR(__xludf.DUMMYFUNCTION("""COMPUTED_VALUE"""),468.8)</f>
        <v>468.8</v>
      </c>
    </row>
    <row r="67" ht="15.75" customHeight="1">
      <c r="B67" s="3">
        <f>IFERROR(__xludf.DUMMYFUNCTION("""COMPUTED_VALUE"""),41348.645833333336)</f>
        <v>41348.64583</v>
      </c>
      <c r="C67" s="2">
        <f>IFERROR(__xludf.DUMMYFUNCTION("""COMPUTED_VALUE"""),502.5)</f>
        <v>502.5</v>
      </c>
    </row>
    <row r="68" ht="15.75" customHeight="1">
      <c r="B68" s="3">
        <f>IFERROR(__xludf.DUMMYFUNCTION("""COMPUTED_VALUE"""),41355.645833333336)</f>
        <v>41355.64583</v>
      </c>
      <c r="C68" s="2">
        <f>IFERROR(__xludf.DUMMYFUNCTION("""COMPUTED_VALUE"""),505.0)</f>
        <v>505</v>
      </c>
    </row>
    <row r="69" ht="15.75" customHeight="1">
      <c r="B69" s="3">
        <f>IFERROR(__xludf.DUMMYFUNCTION("""COMPUTED_VALUE"""),41361.645833333336)</f>
        <v>41361.64583</v>
      </c>
      <c r="C69" s="2">
        <f>IFERROR(__xludf.DUMMYFUNCTION("""COMPUTED_VALUE"""),500.13)</f>
        <v>500.13</v>
      </c>
    </row>
    <row r="70" ht="15.75" customHeight="1">
      <c r="B70" s="3">
        <f>IFERROR(__xludf.DUMMYFUNCTION("""COMPUTED_VALUE"""),41369.645833333336)</f>
        <v>41369.64583</v>
      </c>
      <c r="C70" s="2">
        <f>IFERROR(__xludf.DUMMYFUNCTION("""COMPUTED_VALUE"""),498.2)</f>
        <v>498.2</v>
      </c>
    </row>
    <row r="71" ht="15.75" customHeight="1">
      <c r="B71" s="3">
        <f>IFERROR(__xludf.DUMMYFUNCTION("""COMPUTED_VALUE"""),41376.645833333336)</f>
        <v>41376.64583</v>
      </c>
      <c r="C71" s="2">
        <f>IFERROR(__xludf.DUMMYFUNCTION("""COMPUTED_VALUE"""),478.8)</f>
        <v>478.8</v>
      </c>
    </row>
    <row r="72" ht="15.75" customHeight="1">
      <c r="B72" s="3">
        <f>IFERROR(__xludf.DUMMYFUNCTION("""COMPUTED_VALUE"""),41382.645833333336)</f>
        <v>41382.64583</v>
      </c>
      <c r="C72" s="2">
        <f>IFERROR(__xludf.DUMMYFUNCTION("""COMPUTED_VALUE"""),471.89)</f>
        <v>471.89</v>
      </c>
    </row>
    <row r="73" ht="15.75" customHeight="1">
      <c r="B73" s="3">
        <f>IFERROR(__xludf.DUMMYFUNCTION("""COMPUTED_VALUE"""),41390.645833333336)</f>
        <v>41390.64583</v>
      </c>
      <c r="C73" s="2">
        <f>IFERROR(__xludf.DUMMYFUNCTION("""COMPUTED_VALUE"""),478.45)</f>
        <v>478.45</v>
      </c>
    </row>
    <row r="74" ht="15.75" customHeight="1">
      <c r="B74" s="3">
        <f>IFERROR(__xludf.DUMMYFUNCTION("""COMPUTED_VALUE"""),41397.645833333336)</f>
        <v>41397.64583</v>
      </c>
      <c r="C74" s="2">
        <f>IFERROR(__xludf.DUMMYFUNCTION("""COMPUTED_VALUE"""),476.7)</f>
        <v>476.7</v>
      </c>
    </row>
    <row r="75" ht="15.75" customHeight="1">
      <c r="B75" s="3">
        <f>IFERROR(__xludf.DUMMYFUNCTION("""COMPUTED_VALUE"""),41411.645833333336)</f>
        <v>41411.64583</v>
      </c>
      <c r="C75" s="2">
        <f>IFERROR(__xludf.DUMMYFUNCTION("""COMPUTED_VALUE"""),490.9)</f>
        <v>490.9</v>
      </c>
    </row>
    <row r="76" ht="15.75" customHeight="1">
      <c r="B76" s="3">
        <f>IFERROR(__xludf.DUMMYFUNCTION("""COMPUTED_VALUE"""),41418.645833333336)</f>
        <v>41418.64583</v>
      </c>
      <c r="C76" s="2">
        <f>IFERROR(__xludf.DUMMYFUNCTION("""COMPUTED_VALUE"""),485.15)</f>
        <v>485.15</v>
      </c>
    </row>
    <row r="77" ht="15.75" customHeight="1">
      <c r="B77" s="3">
        <f>IFERROR(__xludf.DUMMYFUNCTION("""COMPUTED_VALUE"""),41425.645833333336)</f>
        <v>41425.64583</v>
      </c>
      <c r="C77" s="2">
        <f>IFERROR(__xludf.DUMMYFUNCTION("""COMPUTED_VALUE"""),494.9)</f>
        <v>494.9</v>
      </c>
    </row>
    <row r="78" ht="15.75" customHeight="1">
      <c r="B78" s="3">
        <f>IFERROR(__xludf.DUMMYFUNCTION("""COMPUTED_VALUE"""),41432.645833333336)</f>
        <v>41432.64583</v>
      </c>
      <c r="C78" s="2">
        <f>IFERROR(__xludf.DUMMYFUNCTION("""COMPUTED_VALUE"""),485.99)</f>
        <v>485.99</v>
      </c>
    </row>
    <row r="79" ht="15.75" customHeight="1">
      <c r="B79" s="3">
        <f>IFERROR(__xludf.DUMMYFUNCTION("""COMPUTED_VALUE"""),41439.645833333336)</f>
        <v>41439.64583</v>
      </c>
      <c r="C79" s="2">
        <f>IFERROR(__xludf.DUMMYFUNCTION("""COMPUTED_VALUE"""),461.39)</f>
        <v>461.39</v>
      </c>
    </row>
    <row r="80" ht="15.75" customHeight="1">
      <c r="B80" s="3">
        <f>IFERROR(__xludf.DUMMYFUNCTION("""COMPUTED_VALUE"""),41446.645833333336)</f>
        <v>41446.64583</v>
      </c>
      <c r="C80" s="2">
        <f>IFERROR(__xludf.DUMMYFUNCTION("""COMPUTED_VALUE"""),463.48)</f>
        <v>463.48</v>
      </c>
    </row>
    <row r="81" ht="15.75" customHeight="1">
      <c r="B81" s="3">
        <f>IFERROR(__xludf.DUMMYFUNCTION("""COMPUTED_VALUE"""),41453.645833333336)</f>
        <v>41453.64583</v>
      </c>
      <c r="C81" s="2">
        <f>IFERROR(__xludf.DUMMYFUNCTION("""COMPUTED_VALUE"""),469.99)</f>
        <v>469.99</v>
      </c>
    </row>
    <row r="82" ht="15.75" customHeight="1">
      <c r="B82" s="3">
        <f>IFERROR(__xludf.DUMMYFUNCTION("""COMPUTED_VALUE"""),41460.645833333336)</f>
        <v>41460.64583</v>
      </c>
      <c r="C82" s="2">
        <f>IFERROR(__xludf.DUMMYFUNCTION("""COMPUTED_VALUE"""),474.03)</f>
        <v>474.03</v>
      </c>
    </row>
    <row r="83" ht="15.75" customHeight="1">
      <c r="B83" s="3">
        <f>IFERROR(__xludf.DUMMYFUNCTION("""COMPUTED_VALUE"""),41467.645833333336)</f>
        <v>41467.64583</v>
      </c>
      <c r="C83" s="2">
        <f>IFERROR(__xludf.DUMMYFUNCTION("""COMPUTED_VALUE"""),489.95)</f>
        <v>489.95</v>
      </c>
    </row>
    <row r="84" ht="15.75" customHeight="1">
      <c r="B84" s="3">
        <f>IFERROR(__xludf.DUMMYFUNCTION("""COMPUTED_VALUE"""),41474.645833333336)</f>
        <v>41474.64583</v>
      </c>
      <c r="C84" s="2">
        <f>IFERROR(__xludf.DUMMYFUNCTION("""COMPUTED_VALUE"""),524.78)</f>
        <v>524.78</v>
      </c>
    </row>
    <row r="85" ht="15.75" customHeight="1">
      <c r="B85" s="3">
        <f>IFERROR(__xludf.DUMMYFUNCTION("""COMPUTED_VALUE"""),41481.645833333336)</f>
        <v>41481.64583</v>
      </c>
      <c r="C85" s="2">
        <f>IFERROR(__xludf.DUMMYFUNCTION("""COMPUTED_VALUE"""),522.5)</f>
        <v>522.5</v>
      </c>
    </row>
    <row r="86" ht="15.75" customHeight="1">
      <c r="B86" s="3">
        <f>IFERROR(__xludf.DUMMYFUNCTION("""COMPUTED_VALUE"""),41488.645833333336)</f>
        <v>41488.64583</v>
      </c>
      <c r="C86" s="2">
        <f>IFERROR(__xludf.DUMMYFUNCTION("""COMPUTED_VALUE"""),522.4)</f>
        <v>522.4</v>
      </c>
    </row>
    <row r="87" ht="15.75" customHeight="1">
      <c r="B87" s="3">
        <f>IFERROR(__xludf.DUMMYFUNCTION("""COMPUTED_VALUE"""),41494.645833333336)</f>
        <v>41494.64583</v>
      </c>
      <c r="C87" s="2">
        <f>IFERROR(__xludf.DUMMYFUNCTION("""COMPUTED_VALUE"""),500.45)</f>
        <v>500.45</v>
      </c>
    </row>
    <row r="88" ht="15.75" customHeight="1">
      <c r="B88" s="3">
        <f>IFERROR(__xludf.DUMMYFUNCTION("""COMPUTED_VALUE"""),41502.645833333336)</f>
        <v>41502.64583</v>
      </c>
      <c r="C88" s="2">
        <f>IFERROR(__xludf.DUMMYFUNCTION("""COMPUTED_VALUE"""),443.95)</f>
        <v>443.95</v>
      </c>
    </row>
    <row r="89" ht="15.75" customHeight="1">
      <c r="B89" s="3">
        <f>IFERROR(__xludf.DUMMYFUNCTION("""COMPUTED_VALUE"""),41509.645833333336)</f>
        <v>41509.64583</v>
      </c>
      <c r="C89" s="2">
        <f>IFERROR(__xludf.DUMMYFUNCTION("""COMPUTED_VALUE"""),430.85)</f>
        <v>430.85</v>
      </c>
    </row>
    <row r="90" ht="15.75" customHeight="1">
      <c r="B90" s="3">
        <f>IFERROR(__xludf.DUMMYFUNCTION("""COMPUTED_VALUE"""),41516.645833333336)</f>
        <v>41516.64583</v>
      </c>
      <c r="C90" s="2">
        <f>IFERROR(__xludf.DUMMYFUNCTION("""COMPUTED_VALUE"""),434.45)</f>
        <v>434.45</v>
      </c>
    </row>
    <row r="91" ht="15.75" customHeight="1">
      <c r="B91" s="3">
        <f>IFERROR(__xludf.DUMMYFUNCTION("""COMPUTED_VALUE"""),41523.645833333336)</f>
        <v>41523.64583</v>
      </c>
      <c r="C91" s="2">
        <f>IFERROR(__xludf.DUMMYFUNCTION("""COMPUTED_VALUE"""),427.9)</f>
        <v>427.9</v>
      </c>
    </row>
    <row r="92" ht="15.75" customHeight="1">
      <c r="B92" s="3">
        <f>IFERROR(__xludf.DUMMYFUNCTION("""COMPUTED_VALUE"""),41530.645833333336)</f>
        <v>41530.64583</v>
      </c>
      <c r="C92" s="2">
        <f>IFERROR(__xludf.DUMMYFUNCTION("""COMPUTED_VALUE"""),451.85)</f>
        <v>451.85</v>
      </c>
    </row>
    <row r="93" ht="15.75" customHeight="1">
      <c r="B93" s="3">
        <f>IFERROR(__xludf.DUMMYFUNCTION("""COMPUTED_VALUE"""),41537.645833333336)</f>
        <v>41537.64583</v>
      </c>
      <c r="C93" s="2">
        <f>IFERROR(__xludf.DUMMYFUNCTION("""COMPUTED_VALUE"""),491.3)</f>
        <v>491.3</v>
      </c>
    </row>
    <row r="94" ht="15.75" customHeight="1">
      <c r="B94" s="3">
        <f>IFERROR(__xludf.DUMMYFUNCTION("""COMPUTED_VALUE"""),41544.645833333336)</f>
        <v>41544.64583</v>
      </c>
      <c r="C94" s="2">
        <f>IFERROR(__xludf.DUMMYFUNCTION("""COMPUTED_VALUE"""),504.8)</f>
        <v>504.8</v>
      </c>
    </row>
    <row r="95" ht="15.75" customHeight="1">
      <c r="B95" s="3">
        <f>IFERROR(__xludf.DUMMYFUNCTION("""COMPUTED_VALUE"""),41551.645833333336)</f>
        <v>41551.64583</v>
      </c>
      <c r="C95" s="2">
        <f>IFERROR(__xludf.DUMMYFUNCTION("""COMPUTED_VALUE"""),477.2)</f>
        <v>477.2</v>
      </c>
    </row>
    <row r="96" ht="15.75" customHeight="1">
      <c r="B96" s="3">
        <f>IFERROR(__xludf.DUMMYFUNCTION("""COMPUTED_VALUE"""),41558.645833333336)</f>
        <v>41558.64583</v>
      </c>
      <c r="C96" s="2">
        <f>IFERROR(__xludf.DUMMYFUNCTION("""COMPUTED_VALUE"""),487.9)</f>
        <v>487.9</v>
      </c>
    </row>
    <row r="97" ht="15.75" customHeight="1">
      <c r="B97" s="3">
        <f>IFERROR(__xludf.DUMMYFUNCTION("""COMPUTED_VALUE"""),41565.645833333336)</f>
        <v>41565.64583</v>
      </c>
      <c r="C97" s="2">
        <f>IFERROR(__xludf.DUMMYFUNCTION("""COMPUTED_VALUE"""),494.6)</f>
        <v>494.6</v>
      </c>
    </row>
    <row r="98" ht="15.75" customHeight="1">
      <c r="B98" s="3">
        <f>IFERROR(__xludf.DUMMYFUNCTION("""COMPUTED_VALUE"""),41572.645833333336)</f>
        <v>41572.64583</v>
      </c>
      <c r="C98" s="2">
        <f>IFERROR(__xludf.DUMMYFUNCTION("""COMPUTED_VALUE"""),533.5)</f>
        <v>533.5</v>
      </c>
    </row>
    <row r="99" ht="15.75" customHeight="1">
      <c r="B99" s="3">
        <f>IFERROR(__xludf.DUMMYFUNCTION("""COMPUTED_VALUE"""),41579.645833333336)</f>
        <v>41579.64583</v>
      </c>
      <c r="C99" s="2">
        <f>IFERROR(__xludf.DUMMYFUNCTION("""COMPUTED_VALUE"""),544.95)</f>
        <v>544.95</v>
      </c>
    </row>
    <row r="100" ht="15.75" customHeight="1">
      <c r="B100" s="3">
        <f>IFERROR(__xludf.DUMMYFUNCTION("""COMPUTED_VALUE"""),41586.645833333336)</f>
        <v>41586.64583</v>
      </c>
      <c r="C100" s="2">
        <f>IFERROR(__xludf.DUMMYFUNCTION("""COMPUTED_VALUE"""),561.75)</f>
        <v>561.75</v>
      </c>
    </row>
    <row r="101" ht="15.75" customHeight="1">
      <c r="B101" s="3">
        <f>IFERROR(__xludf.DUMMYFUNCTION("""COMPUTED_VALUE"""),41592.645833333336)</f>
        <v>41592.64583</v>
      </c>
      <c r="C101" s="2">
        <f>IFERROR(__xludf.DUMMYFUNCTION("""COMPUTED_VALUE"""),556.55)</f>
        <v>556.55</v>
      </c>
    </row>
    <row r="102" ht="15.75" customHeight="1">
      <c r="B102" s="3">
        <f>IFERROR(__xludf.DUMMYFUNCTION("""COMPUTED_VALUE"""),41600.645833333336)</f>
        <v>41600.64583</v>
      </c>
      <c r="C102" s="2">
        <f>IFERROR(__xludf.DUMMYFUNCTION("""COMPUTED_VALUE"""),537.0)</f>
        <v>537</v>
      </c>
    </row>
    <row r="103" ht="15.75" customHeight="1">
      <c r="B103" s="3">
        <f>IFERROR(__xludf.DUMMYFUNCTION("""COMPUTED_VALUE"""),41607.645833333336)</f>
        <v>41607.64583</v>
      </c>
      <c r="C103" s="2">
        <f>IFERROR(__xludf.DUMMYFUNCTION("""COMPUTED_VALUE"""),519.5)</f>
        <v>519.5</v>
      </c>
    </row>
    <row r="104" ht="15.75" customHeight="1">
      <c r="B104" s="3">
        <f>IFERROR(__xludf.DUMMYFUNCTION("""COMPUTED_VALUE"""),41614.645833333336)</f>
        <v>41614.64583</v>
      </c>
      <c r="C104" s="2">
        <f>IFERROR(__xludf.DUMMYFUNCTION("""COMPUTED_VALUE"""),514.45)</f>
        <v>514.45</v>
      </c>
    </row>
    <row r="105" ht="15.75" customHeight="1">
      <c r="B105" s="3">
        <f>IFERROR(__xludf.DUMMYFUNCTION("""COMPUTED_VALUE"""),41621.645833333336)</f>
        <v>41621.64583</v>
      </c>
      <c r="C105" s="2">
        <f>IFERROR(__xludf.DUMMYFUNCTION("""COMPUTED_VALUE"""),516.25)</f>
        <v>516.25</v>
      </c>
    </row>
    <row r="106" ht="15.75" customHeight="1">
      <c r="B106" s="3">
        <f>IFERROR(__xludf.DUMMYFUNCTION("""COMPUTED_VALUE"""),41628.645833333336)</f>
        <v>41628.64583</v>
      </c>
      <c r="C106" s="2">
        <f>IFERROR(__xludf.DUMMYFUNCTION("""COMPUTED_VALUE"""),499.7)</f>
        <v>499.7</v>
      </c>
    </row>
    <row r="107" ht="15.75" customHeight="1">
      <c r="B107" s="3">
        <f>IFERROR(__xludf.DUMMYFUNCTION("""COMPUTED_VALUE"""),41635.645833333336)</f>
        <v>41635.64583</v>
      </c>
      <c r="C107" s="2">
        <f>IFERROR(__xludf.DUMMYFUNCTION("""COMPUTED_VALUE"""),492.0)</f>
        <v>492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IFERROR(__xludf.DUMMYFUNCTION("GOOGLEFINANCE(""NSE:ASIANPAINT"", ""high"",DATE(2014,1,1),DATE(2015,1,1),""weekly"")"),"Date")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IFERROR(__xludf.DUMMYFUNCTION("""COMPUTED_VALUE"""),41642.645833333336)</f>
        <v>41642.64583</v>
      </c>
      <c r="C112" s="2">
        <f>IFERROR(__xludf.DUMMYFUNCTION("""COMPUTED_VALUE"""),505.1)</f>
        <v>505.1</v>
      </c>
    </row>
    <row r="113" ht="15.75" customHeight="1">
      <c r="B113" s="3">
        <f>IFERROR(__xludf.DUMMYFUNCTION("""COMPUTED_VALUE"""),41649.645833333336)</f>
        <v>41649.64583</v>
      </c>
      <c r="C113" s="2">
        <f>IFERROR(__xludf.DUMMYFUNCTION("""COMPUTED_VALUE"""),498.0)</f>
        <v>498</v>
      </c>
    </row>
    <row r="114" ht="15.75" customHeight="1">
      <c r="B114" s="3">
        <f>IFERROR(__xludf.DUMMYFUNCTION("""COMPUTED_VALUE"""),41656.645833333336)</f>
        <v>41656.64583</v>
      </c>
      <c r="C114" s="2">
        <f>IFERROR(__xludf.DUMMYFUNCTION("""COMPUTED_VALUE"""),500.0)</f>
        <v>500</v>
      </c>
    </row>
    <row r="115" ht="15.75" customHeight="1">
      <c r="B115" s="3">
        <f>IFERROR(__xludf.DUMMYFUNCTION("""COMPUTED_VALUE"""),41663.645833333336)</f>
        <v>41663.64583</v>
      </c>
      <c r="C115" s="2">
        <f>IFERROR(__xludf.DUMMYFUNCTION("""COMPUTED_VALUE"""),492.5)</f>
        <v>492.5</v>
      </c>
    </row>
    <row r="116" ht="15.75" customHeight="1">
      <c r="B116" s="3">
        <f>IFERROR(__xludf.DUMMYFUNCTION("""COMPUTED_VALUE"""),41670.645833333336)</f>
        <v>41670.64583</v>
      </c>
      <c r="C116" s="2">
        <f>IFERROR(__xludf.DUMMYFUNCTION("""COMPUTED_VALUE"""),484.75)</f>
        <v>484.75</v>
      </c>
    </row>
    <row r="117" ht="15.75" customHeight="1">
      <c r="B117" s="3">
        <f>IFERROR(__xludf.DUMMYFUNCTION("""COMPUTED_VALUE"""),41677.645833333336)</f>
        <v>41677.64583</v>
      </c>
      <c r="C117" s="2">
        <f>IFERROR(__xludf.DUMMYFUNCTION("""COMPUTED_VALUE"""),491.3)</f>
        <v>491.3</v>
      </c>
    </row>
    <row r="118" ht="15.75" customHeight="1">
      <c r="B118" s="3">
        <f>IFERROR(__xludf.DUMMYFUNCTION("""COMPUTED_VALUE"""),41684.645833333336)</f>
        <v>41684.64583</v>
      </c>
      <c r="C118" s="2">
        <f>IFERROR(__xludf.DUMMYFUNCTION("""COMPUTED_VALUE"""),495.0)</f>
        <v>495</v>
      </c>
    </row>
    <row r="119" ht="15.75" customHeight="1">
      <c r="B119" s="3">
        <f>IFERROR(__xludf.DUMMYFUNCTION("""COMPUTED_VALUE"""),41691.645833333336)</f>
        <v>41691.64583</v>
      </c>
      <c r="C119" s="2">
        <f>IFERROR(__xludf.DUMMYFUNCTION("""COMPUTED_VALUE"""),477.0)</f>
        <v>477</v>
      </c>
    </row>
    <row r="120" ht="15.75" customHeight="1">
      <c r="B120" s="3">
        <f>IFERROR(__xludf.DUMMYFUNCTION("""COMPUTED_VALUE"""),41698.645833333336)</f>
        <v>41698.64583</v>
      </c>
      <c r="C120" s="2">
        <f>IFERROR(__xludf.DUMMYFUNCTION("""COMPUTED_VALUE"""),482.5)</f>
        <v>482.5</v>
      </c>
    </row>
    <row r="121" ht="15.75" customHeight="1">
      <c r="B121" s="3">
        <f>IFERROR(__xludf.DUMMYFUNCTION("""COMPUTED_VALUE"""),41705.645833333336)</f>
        <v>41705.64583</v>
      </c>
      <c r="C121" s="2">
        <f>IFERROR(__xludf.DUMMYFUNCTION("""COMPUTED_VALUE"""),484.3)</f>
        <v>484.3</v>
      </c>
    </row>
    <row r="122" ht="15.75" customHeight="1">
      <c r="B122" s="3">
        <f>IFERROR(__xludf.DUMMYFUNCTION("""COMPUTED_VALUE"""),41712.645833333336)</f>
        <v>41712.64583</v>
      </c>
      <c r="C122" s="2">
        <f>IFERROR(__xludf.DUMMYFUNCTION("""COMPUTED_VALUE"""),504.2)</f>
        <v>504.2</v>
      </c>
    </row>
    <row r="123" ht="15.75" customHeight="1">
      <c r="B123" s="3">
        <f>IFERROR(__xludf.DUMMYFUNCTION("""COMPUTED_VALUE"""),41726.645833333336)</f>
        <v>41726.64583</v>
      </c>
      <c r="C123" s="2">
        <f>IFERROR(__xludf.DUMMYFUNCTION("""COMPUTED_VALUE"""),544.0)</f>
        <v>544</v>
      </c>
    </row>
    <row r="124" ht="15.75" customHeight="1">
      <c r="B124" s="3">
        <f>IFERROR(__xludf.DUMMYFUNCTION("""COMPUTED_VALUE"""),41733.645833333336)</f>
        <v>41733.64583</v>
      </c>
      <c r="C124" s="2">
        <f>IFERROR(__xludf.DUMMYFUNCTION("""COMPUTED_VALUE"""),550.0)</f>
        <v>550</v>
      </c>
    </row>
    <row r="125" ht="15.75" customHeight="1">
      <c r="B125" s="3">
        <f>IFERROR(__xludf.DUMMYFUNCTION("""COMPUTED_VALUE"""),41740.645833333336)</f>
        <v>41740.64583</v>
      </c>
      <c r="C125" s="2">
        <f>IFERROR(__xludf.DUMMYFUNCTION("""COMPUTED_VALUE"""),550.0)</f>
        <v>550</v>
      </c>
    </row>
    <row r="126" ht="15.75" customHeight="1">
      <c r="B126" s="3">
        <f>IFERROR(__xludf.DUMMYFUNCTION("""COMPUTED_VALUE"""),41746.645833333336)</f>
        <v>41746.64583</v>
      </c>
      <c r="C126" s="2">
        <f>IFERROR(__xludf.DUMMYFUNCTION("""COMPUTED_VALUE"""),546.5)</f>
        <v>546.5</v>
      </c>
    </row>
    <row r="127" ht="15.75" customHeight="1">
      <c r="B127" s="3">
        <f>IFERROR(__xludf.DUMMYFUNCTION("""COMPUTED_VALUE"""),41754.645833333336)</f>
        <v>41754.64583</v>
      </c>
      <c r="C127" s="2">
        <f>IFERROR(__xludf.DUMMYFUNCTION("""COMPUTED_VALUE"""),547.0)</f>
        <v>547</v>
      </c>
    </row>
    <row r="128" ht="15.75" customHeight="1">
      <c r="B128" s="3">
        <f>IFERROR(__xludf.DUMMYFUNCTION("""COMPUTED_VALUE"""),41761.645833333336)</f>
        <v>41761.64583</v>
      </c>
      <c r="C128" s="2">
        <f>IFERROR(__xludf.DUMMYFUNCTION("""COMPUTED_VALUE"""),518.65)</f>
        <v>518.65</v>
      </c>
    </row>
    <row r="129" ht="15.75" customHeight="1">
      <c r="B129" s="3">
        <f>IFERROR(__xludf.DUMMYFUNCTION("""COMPUTED_VALUE"""),41768.645833333336)</f>
        <v>41768.64583</v>
      </c>
      <c r="C129" s="2">
        <f>IFERROR(__xludf.DUMMYFUNCTION("""COMPUTED_VALUE"""),524.45)</f>
        <v>524.45</v>
      </c>
    </row>
    <row r="130" ht="15.75" customHeight="1">
      <c r="B130" s="3">
        <f>IFERROR(__xludf.DUMMYFUNCTION("""COMPUTED_VALUE"""),41775.645833333336)</f>
        <v>41775.64583</v>
      </c>
      <c r="C130" s="2">
        <f>IFERROR(__xludf.DUMMYFUNCTION("""COMPUTED_VALUE"""),563.9)</f>
        <v>563.9</v>
      </c>
    </row>
    <row r="131" ht="15.75" customHeight="1">
      <c r="B131" s="3">
        <f>IFERROR(__xludf.DUMMYFUNCTION("""COMPUTED_VALUE"""),41782.645833333336)</f>
        <v>41782.64583</v>
      </c>
      <c r="C131" s="2">
        <f>IFERROR(__xludf.DUMMYFUNCTION("""COMPUTED_VALUE"""),549.85)</f>
        <v>549.85</v>
      </c>
    </row>
    <row r="132" ht="15.75" customHeight="1">
      <c r="B132" s="3">
        <f>IFERROR(__xludf.DUMMYFUNCTION("""COMPUTED_VALUE"""),41789.645833333336)</f>
        <v>41789.64583</v>
      </c>
      <c r="C132" s="2">
        <f>IFERROR(__xludf.DUMMYFUNCTION("""COMPUTED_VALUE"""),538.75)</f>
        <v>538.75</v>
      </c>
    </row>
    <row r="133" ht="15.75" customHeight="1">
      <c r="B133" s="3">
        <f>IFERROR(__xludf.DUMMYFUNCTION("""COMPUTED_VALUE"""),41796.645833333336)</f>
        <v>41796.64583</v>
      </c>
      <c r="C133" s="2">
        <f>IFERROR(__xludf.DUMMYFUNCTION("""COMPUTED_VALUE"""),516.0)</f>
        <v>516</v>
      </c>
    </row>
    <row r="134" ht="15.75" customHeight="1">
      <c r="B134" s="3">
        <f>IFERROR(__xludf.DUMMYFUNCTION("""COMPUTED_VALUE"""),41803.645833333336)</f>
        <v>41803.64583</v>
      </c>
      <c r="C134" s="2">
        <f>IFERROR(__xludf.DUMMYFUNCTION("""COMPUTED_VALUE"""),555.0)</f>
        <v>555</v>
      </c>
    </row>
    <row r="135" ht="15.75" customHeight="1">
      <c r="B135" s="3">
        <f>IFERROR(__xludf.DUMMYFUNCTION("""COMPUTED_VALUE"""),41810.645833333336)</f>
        <v>41810.64583</v>
      </c>
      <c r="C135" s="2">
        <f>IFERROR(__xludf.DUMMYFUNCTION("""COMPUTED_VALUE"""),573.75)</f>
        <v>573.75</v>
      </c>
    </row>
    <row r="136" ht="15.75" customHeight="1">
      <c r="B136" s="3">
        <f>IFERROR(__xludf.DUMMYFUNCTION("""COMPUTED_VALUE"""),41817.645833333336)</f>
        <v>41817.64583</v>
      </c>
      <c r="C136" s="2">
        <f>IFERROR(__xludf.DUMMYFUNCTION("""COMPUTED_VALUE"""),594.0)</f>
        <v>594</v>
      </c>
    </row>
    <row r="137" ht="15.75" customHeight="1">
      <c r="B137" s="3">
        <f>IFERROR(__xludf.DUMMYFUNCTION("""COMPUTED_VALUE"""),41824.645833333336)</f>
        <v>41824.64583</v>
      </c>
      <c r="C137" s="2">
        <f>IFERROR(__xludf.DUMMYFUNCTION("""COMPUTED_VALUE"""),598.8)</f>
        <v>598.8</v>
      </c>
    </row>
    <row r="138" ht="15.75" customHeight="1">
      <c r="B138" s="3">
        <f>IFERROR(__xludf.DUMMYFUNCTION("""COMPUTED_VALUE"""),41831.645833333336)</f>
        <v>41831.64583</v>
      </c>
      <c r="C138" s="2">
        <f>IFERROR(__xludf.DUMMYFUNCTION("""COMPUTED_VALUE"""),604.0)</f>
        <v>604</v>
      </c>
    </row>
    <row r="139" ht="15.75" customHeight="1">
      <c r="B139" s="3">
        <f>IFERROR(__xludf.DUMMYFUNCTION("""COMPUTED_VALUE"""),41838.645833333336)</f>
        <v>41838.64583</v>
      </c>
      <c r="C139" s="2">
        <f>IFERROR(__xludf.DUMMYFUNCTION("""COMPUTED_VALUE"""),597.9)</f>
        <v>597.9</v>
      </c>
    </row>
    <row r="140" ht="15.75" customHeight="1">
      <c r="B140" s="3">
        <f>IFERROR(__xludf.DUMMYFUNCTION("""COMPUTED_VALUE"""),41845.645833333336)</f>
        <v>41845.64583</v>
      </c>
      <c r="C140" s="2">
        <f>IFERROR(__xludf.DUMMYFUNCTION("""COMPUTED_VALUE"""),639.95)</f>
        <v>639.95</v>
      </c>
    </row>
    <row r="141" ht="15.75" customHeight="1">
      <c r="B141" s="3">
        <f>IFERROR(__xludf.DUMMYFUNCTION("""COMPUTED_VALUE"""),41852.645833333336)</f>
        <v>41852.64583</v>
      </c>
      <c r="C141" s="2">
        <f>IFERROR(__xludf.DUMMYFUNCTION("""COMPUTED_VALUE"""),649.0)</f>
        <v>649</v>
      </c>
    </row>
    <row r="142" ht="15.75" customHeight="1">
      <c r="B142" s="3">
        <f>IFERROR(__xludf.DUMMYFUNCTION("""COMPUTED_VALUE"""),41859.645833333336)</f>
        <v>41859.64583</v>
      </c>
      <c r="C142" s="2">
        <f>IFERROR(__xludf.DUMMYFUNCTION("""COMPUTED_VALUE"""),651.65)</f>
        <v>651.65</v>
      </c>
    </row>
    <row r="143" ht="15.75" customHeight="1">
      <c r="B143" s="3">
        <f>IFERROR(__xludf.DUMMYFUNCTION("""COMPUTED_VALUE"""),41865.645833333336)</f>
        <v>41865.64583</v>
      </c>
      <c r="C143" s="2">
        <f>IFERROR(__xludf.DUMMYFUNCTION("""COMPUTED_VALUE"""),628.0)</f>
        <v>628</v>
      </c>
    </row>
    <row r="144" ht="15.75" customHeight="1">
      <c r="B144" s="3">
        <f>IFERROR(__xludf.DUMMYFUNCTION("""COMPUTED_VALUE"""),41873.645833333336)</f>
        <v>41873.64583</v>
      </c>
      <c r="C144" s="2">
        <f>IFERROR(__xludf.DUMMYFUNCTION("""COMPUTED_VALUE"""),626.4)</f>
        <v>626.4</v>
      </c>
    </row>
    <row r="145" ht="15.75" customHeight="1">
      <c r="B145" s="3">
        <f>IFERROR(__xludf.DUMMYFUNCTION("""COMPUTED_VALUE"""),41879.645833333336)</f>
        <v>41879.64583</v>
      </c>
      <c r="C145" s="2">
        <f>IFERROR(__xludf.DUMMYFUNCTION("""COMPUTED_VALUE"""),631.9)</f>
        <v>631.9</v>
      </c>
    </row>
    <row r="146" ht="15.75" customHeight="1">
      <c r="B146" s="3">
        <f>IFERROR(__xludf.DUMMYFUNCTION("""COMPUTED_VALUE"""),41887.645833333336)</f>
        <v>41887.64583</v>
      </c>
      <c r="C146" s="2">
        <f>IFERROR(__xludf.DUMMYFUNCTION("""COMPUTED_VALUE"""),649.85)</f>
        <v>649.85</v>
      </c>
    </row>
    <row r="147" ht="15.75" customHeight="1">
      <c r="B147" s="3">
        <f>IFERROR(__xludf.DUMMYFUNCTION("""COMPUTED_VALUE"""),41894.645833333336)</f>
        <v>41894.64583</v>
      </c>
      <c r="C147" s="2">
        <f>IFERROR(__xludf.DUMMYFUNCTION("""COMPUTED_VALUE"""),680.95)</f>
        <v>680.95</v>
      </c>
    </row>
    <row r="148" ht="15.75" customHeight="1">
      <c r="B148" s="3">
        <f>IFERROR(__xludf.DUMMYFUNCTION("""COMPUTED_VALUE"""),41901.645833333336)</f>
        <v>41901.64583</v>
      </c>
      <c r="C148" s="2">
        <f>IFERROR(__xludf.DUMMYFUNCTION("""COMPUTED_VALUE"""),674.0)</f>
        <v>674</v>
      </c>
    </row>
    <row r="149" ht="15.75" customHeight="1">
      <c r="B149" s="3">
        <f>IFERROR(__xludf.DUMMYFUNCTION("""COMPUTED_VALUE"""),41908.645833333336)</f>
        <v>41908.64583</v>
      </c>
      <c r="C149" s="2">
        <f>IFERROR(__xludf.DUMMYFUNCTION("""COMPUTED_VALUE"""),667.15)</f>
        <v>667.15</v>
      </c>
    </row>
    <row r="150" ht="15.75" customHeight="1">
      <c r="B150" s="3">
        <f>IFERROR(__xludf.DUMMYFUNCTION("""COMPUTED_VALUE"""),41913.645833333336)</f>
        <v>41913.64583</v>
      </c>
      <c r="C150" s="2">
        <f>IFERROR(__xludf.DUMMYFUNCTION("""COMPUTED_VALUE"""),639.5)</f>
        <v>639.5</v>
      </c>
    </row>
    <row r="151" ht="15.75" customHeight="1">
      <c r="B151" s="3">
        <f>IFERROR(__xludf.DUMMYFUNCTION("""COMPUTED_VALUE"""),41922.645833333336)</f>
        <v>41922.64583</v>
      </c>
      <c r="C151" s="2">
        <f>IFERROR(__xludf.DUMMYFUNCTION("""COMPUTED_VALUE"""),673.2)</f>
        <v>673.2</v>
      </c>
    </row>
    <row r="152" ht="15.75" customHeight="1">
      <c r="B152" s="3">
        <f>IFERROR(__xludf.DUMMYFUNCTION("""COMPUTED_VALUE"""),41929.645833333336)</f>
        <v>41929.64583</v>
      </c>
      <c r="C152" s="2">
        <f>IFERROR(__xludf.DUMMYFUNCTION("""COMPUTED_VALUE"""),665.0)</f>
        <v>665</v>
      </c>
    </row>
    <row r="153" ht="15.75" customHeight="1">
      <c r="B153" s="3">
        <f>IFERROR(__xludf.DUMMYFUNCTION("""COMPUTED_VALUE"""),41935.645833333336)</f>
        <v>41935.64583</v>
      </c>
      <c r="C153" s="2">
        <f>IFERROR(__xludf.DUMMYFUNCTION("""COMPUTED_VALUE"""),658.3)</f>
        <v>658.3</v>
      </c>
    </row>
    <row r="154" ht="15.75" customHeight="1">
      <c r="B154" s="3">
        <f>IFERROR(__xludf.DUMMYFUNCTION("""COMPUTED_VALUE"""),41943.645833333336)</f>
        <v>41943.64583</v>
      </c>
      <c r="C154" s="2">
        <f>IFERROR(__xludf.DUMMYFUNCTION("""COMPUTED_VALUE"""),658.8)</f>
        <v>658.8</v>
      </c>
    </row>
    <row r="155" ht="15.75" customHeight="1">
      <c r="B155" s="3">
        <f>IFERROR(__xludf.DUMMYFUNCTION("""COMPUTED_VALUE"""),41950.645833333336)</f>
        <v>41950.64583</v>
      </c>
      <c r="C155" s="2">
        <f>IFERROR(__xludf.DUMMYFUNCTION("""COMPUTED_VALUE"""),664.8)</f>
        <v>664.8</v>
      </c>
    </row>
    <row r="156" ht="15.75" customHeight="1">
      <c r="B156" s="3">
        <f>IFERROR(__xludf.DUMMYFUNCTION("""COMPUTED_VALUE"""),41957.64583333333)</f>
        <v>41957.64583</v>
      </c>
      <c r="C156" s="2">
        <f>IFERROR(__xludf.DUMMYFUNCTION("""COMPUTED_VALUE"""),674.4)</f>
        <v>674.4</v>
      </c>
    </row>
    <row r="157" ht="15.75" customHeight="1">
      <c r="B157" s="3">
        <f>IFERROR(__xludf.DUMMYFUNCTION("""COMPUTED_VALUE"""),41964.64583333333)</f>
        <v>41964.64583</v>
      </c>
      <c r="C157" s="2">
        <f>IFERROR(__xludf.DUMMYFUNCTION("""COMPUTED_VALUE"""),703.6)</f>
        <v>703.6</v>
      </c>
    </row>
    <row r="158" ht="15.75" customHeight="1">
      <c r="B158" s="3">
        <f>IFERROR(__xludf.DUMMYFUNCTION("""COMPUTED_VALUE"""),41971.64583333333)</f>
        <v>41971.64583</v>
      </c>
      <c r="C158" s="2">
        <f>IFERROR(__xludf.DUMMYFUNCTION("""COMPUTED_VALUE"""),749.2)</f>
        <v>749.2</v>
      </c>
    </row>
    <row r="159" ht="15.75" customHeight="1">
      <c r="B159" s="3">
        <f>IFERROR(__xludf.DUMMYFUNCTION("""COMPUTED_VALUE"""),41978.64583333333)</f>
        <v>41978.64583</v>
      </c>
      <c r="C159" s="2">
        <f>IFERROR(__xludf.DUMMYFUNCTION("""COMPUTED_VALUE"""),802.2)</f>
        <v>802.2</v>
      </c>
    </row>
    <row r="160" ht="15.75" customHeight="1">
      <c r="B160" s="3">
        <f>IFERROR(__xludf.DUMMYFUNCTION("""COMPUTED_VALUE"""),41985.64583333333)</f>
        <v>41985.64583</v>
      </c>
      <c r="C160" s="2">
        <f>IFERROR(__xludf.DUMMYFUNCTION("""COMPUTED_VALUE"""),809.6)</f>
        <v>809.6</v>
      </c>
    </row>
    <row r="161" ht="15.75" customHeight="1">
      <c r="B161" s="3">
        <f>IFERROR(__xludf.DUMMYFUNCTION("""COMPUTED_VALUE"""),41992.64583333333)</f>
        <v>41992.64583</v>
      </c>
      <c r="C161" s="2">
        <f>IFERROR(__xludf.DUMMYFUNCTION("""COMPUTED_VALUE"""),777.6)</f>
        <v>777.6</v>
      </c>
    </row>
    <row r="162" ht="15.75" customHeight="1">
      <c r="B162" s="3">
        <f>IFERROR(__xludf.DUMMYFUNCTION("""COMPUTED_VALUE"""),41999.64583333333)</f>
        <v>41999.64583</v>
      </c>
      <c r="C162" s="2">
        <f>IFERROR(__xludf.DUMMYFUNCTION("""COMPUTED_VALUE"""),751.0)</f>
        <v>751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IFERROR(__xludf.DUMMYFUNCTION("GOOGLEFINANCE(""NSE:ASIANPAINT"", ""high"",DATE(2015,1,1),DATE(2016,1,1),""weekly"")"),"Date")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IFERROR(__xludf.DUMMYFUNCTION("""COMPUTED_VALUE"""),42006.64583333333)</f>
        <v>42006.64583</v>
      </c>
      <c r="C167" s="2">
        <f>IFERROR(__xludf.DUMMYFUNCTION("""COMPUTED_VALUE"""),781.45)</f>
        <v>781.45</v>
      </c>
    </row>
    <row r="168" ht="15.75" customHeight="1">
      <c r="B168" s="3">
        <f>IFERROR(__xludf.DUMMYFUNCTION("""COMPUTED_VALUE"""),42013.64583333333)</f>
        <v>42013.64583</v>
      </c>
      <c r="C168" s="2">
        <f>IFERROR(__xludf.DUMMYFUNCTION("""COMPUTED_VALUE"""),829.0)</f>
        <v>829</v>
      </c>
    </row>
    <row r="169" ht="15.75" customHeight="1">
      <c r="B169" s="3">
        <f>IFERROR(__xludf.DUMMYFUNCTION("""COMPUTED_VALUE"""),42020.64583333333)</f>
        <v>42020.64583</v>
      </c>
      <c r="C169" s="2">
        <f>IFERROR(__xludf.DUMMYFUNCTION("""COMPUTED_VALUE"""),859.0)</f>
        <v>859</v>
      </c>
    </row>
    <row r="170" ht="15.75" customHeight="1">
      <c r="B170" s="3">
        <f>IFERROR(__xludf.DUMMYFUNCTION("""COMPUTED_VALUE"""),42027.64583333333)</f>
        <v>42027.64583</v>
      </c>
      <c r="C170" s="2">
        <f>IFERROR(__xludf.DUMMYFUNCTION("""COMPUTED_VALUE"""),881.65)</f>
        <v>881.65</v>
      </c>
    </row>
    <row r="171" ht="15.75" customHeight="1">
      <c r="B171" s="3">
        <f>IFERROR(__xludf.DUMMYFUNCTION("""COMPUTED_VALUE"""),42034.64583333333)</f>
        <v>42034.64583</v>
      </c>
      <c r="C171" s="2">
        <f>IFERROR(__xludf.DUMMYFUNCTION("""COMPUTED_VALUE"""),922.5)</f>
        <v>922.5</v>
      </c>
    </row>
    <row r="172" ht="15.75" customHeight="1">
      <c r="B172" s="3">
        <f>IFERROR(__xludf.DUMMYFUNCTION("""COMPUTED_VALUE"""),42041.64583333333)</f>
        <v>42041.64583</v>
      </c>
      <c r="C172" s="2">
        <f>IFERROR(__xludf.DUMMYFUNCTION("""COMPUTED_VALUE"""),851.1)</f>
        <v>851.1</v>
      </c>
    </row>
    <row r="173" ht="15.75" customHeight="1">
      <c r="B173" s="3">
        <f>IFERROR(__xludf.DUMMYFUNCTION("""COMPUTED_VALUE"""),42048.64583333333)</f>
        <v>42048.64583</v>
      </c>
      <c r="C173" s="2">
        <f>IFERROR(__xludf.DUMMYFUNCTION("""COMPUTED_VALUE"""),849.9)</f>
        <v>849.9</v>
      </c>
    </row>
    <row r="174" ht="15.75" customHeight="1">
      <c r="B174" s="3">
        <f>IFERROR(__xludf.DUMMYFUNCTION("""COMPUTED_VALUE"""),42055.64583333333)</f>
        <v>42055.64583</v>
      </c>
      <c r="C174" s="2">
        <f>IFERROR(__xludf.DUMMYFUNCTION("""COMPUTED_VALUE"""),842.5)</f>
        <v>842.5</v>
      </c>
    </row>
    <row r="175" ht="15.75" customHeight="1">
      <c r="B175" s="3">
        <f>IFERROR(__xludf.DUMMYFUNCTION("""COMPUTED_VALUE"""),42068.64583333333)</f>
        <v>42068.64583</v>
      </c>
      <c r="C175" s="2">
        <f>IFERROR(__xludf.DUMMYFUNCTION("""COMPUTED_VALUE"""),848.2)</f>
        <v>848.2</v>
      </c>
    </row>
    <row r="176" ht="15.75" customHeight="1">
      <c r="B176" s="3">
        <f>IFERROR(__xludf.DUMMYFUNCTION("""COMPUTED_VALUE"""),42076.64583333333)</f>
        <v>42076.64583</v>
      </c>
      <c r="C176" s="2">
        <f>IFERROR(__xludf.DUMMYFUNCTION("""COMPUTED_VALUE"""),832.5)</f>
        <v>832.5</v>
      </c>
    </row>
    <row r="177" ht="15.75" customHeight="1">
      <c r="B177" s="3">
        <f>IFERROR(__xludf.DUMMYFUNCTION("""COMPUTED_VALUE"""),42083.64583333333)</f>
        <v>42083.64583</v>
      </c>
      <c r="C177" s="2">
        <f>IFERROR(__xludf.DUMMYFUNCTION("""COMPUTED_VALUE"""),847.85)</f>
        <v>847.85</v>
      </c>
    </row>
    <row r="178" ht="15.75" customHeight="1">
      <c r="B178" s="3">
        <f>IFERROR(__xludf.DUMMYFUNCTION("""COMPUTED_VALUE"""),42090.64583333333)</f>
        <v>42090.64583</v>
      </c>
      <c r="C178" s="2">
        <f>IFERROR(__xludf.DUMMYFUNCTION("""COMPUTED_VALUE"""),819.5)</f>
        <v>819.5</v>
      </c>
    </row>
    <row r="179" ht="15.75" customHeight="1">
      <c r="B179" s="3">
        <f>IFERROR(__xludf.DUMMYFUNCTION("""COMPUTED_VALUE"""),42095.64583333333)</f>
        <v>42095.64583</v>
      </c>
      <c r="C179" s="2">
        <f>IFERROR(__xludf.DUMMYFUNCTION("""COMPUTED_VALUE"""),825.9)</f>
        <v>825.9</v>
      </c>
    </row>
    <row r="180" ht="15.75" customHeight="1">
      <c r="B180" s="3">
        <f>IFERROR(__xludf.DUMMYFUNCTION("""COMPUTED_VALUE"""),42104.64583333333)</f>
        <v>42104.64583</v>
      </c>
      <c r="C180" s="2">
        <f>IFERROR(__xludf.DUMMYFUNCTION("""COMPUTED_VALUE"""),861.7)</f>
        <v>861.7</v>
      </c>
    </row>
    <row r="181" ht="15.75" customHeight="1">
      <c r="B181" s="3">
        <f>IFERROR(__xludf.DUMMYFUNCTION("""COMPUTED_VALUE"""),42111.64583333333)</f>
        <v>42111.64583</v>
      </c>
      <c r="C181" s="2">
        <f>IFERROR(__xludf.DUMMYFUNCTION("""COMPUTED_VALUE"""),865.55)</f>
        <v>865.55</v>
      </c>
    </row>
    <row r="182" ht="15.75" customHeight="1">
      <c r="B182" s="3">
        <f>IFERROR(__xludf.DUMMYFUNCTION("""COMPUTED_VALUE"""),42118.64583333333)</f>
        <v>42118.64583</v>
      </c>
      <c r="C182" s="2">
        <f>IFERROR(__xludf.DUMMYFUNCTION("""COMPUTED_VALUE"""),819.3)</f>
        <v>819.3</v>
      </c>
    </row>
    <row r="183" ht="15.75" customHeight="1">
      <c r="B183" s="3">
        <f>IFERROR(__xludf.DUMMYFUNCTION("""COMPUTED_VALUE"""),42124.64583333333)</f>
        <v>42124.64583</v>
      </c>
      <c r="C183" s="2">
        <f>IFERROR(__xludf.DUMMYFUNCTION("""COMPUTED_VALUE"""),775.0)</f>
        <v>775</v>
      </c>
    </row>
    <row r="184" ht="15.75" customHeight="1">
      <c r="B184" s="3">
        <f>IFERROR(__xludf.DUMMYFUNCTION("""COMPUTED_VALUE"""),42132.64583333333)</f>
        <v>42132.64583</v>
      </c>
      <c r="C184" s="2">
        <f>IFERROR(__xludf.DUMMYFUNCTION("""COMPUTED_VALUE"""),784.85)</f>
        <v>784.85</v>
      </c>
    </row>
    <row r="185" ht="15.75" customHeight="1">
      <c r="B185" s="3">
        <f>IFERROR(__xludf.DUMMYFUNCTION("""COMPUTED_VALUE"""),42139.64583333333)</f>
        <v>42139.64583</v>
      </c>
      <c r="C185" s="2">
        <f>IFERROR(__xludf.DUMMYFUNCTION("""COMPUTED_VALUE"""),818.0)</f>
        <v>818</v>
      </c>
    </row>
    <row r="186" ht="15.75" customHeight="1">
      <c r="B186" s="3">
        <f>IFERROR(__xludf.DUMMYFUNCTION("""COMPUTED_VALUE"""),42146.64583333333)</f>
        <v>42146.64583</v>
      </c>
      <c r="C186" s="2">
        <f>IFERROR(__xludf.DUMMYFUNCTION("""COMPUTED_VALUE"""),818.0)</f>
        <v>818</v>
      </c>
    </row>
    <row r="187" ht="15.75" customHeight="1">
      <c r="B187" s="3">
        <f>IFERROR(__xludf.DUMMYFUNCTION("""COMPUTED_VALUE"""),42153.64583333333)</f>
        <v>42153.64583</v>
      </c>
      <c r="C187" s="2">
        <f>IFERROR(__xludf.DUMMYFUNCTION("""COMPUTED_VALUE"""),795.0)</f>
        <v>795</v>
      </c>
    </row>
    <row r="188" ht="15.75" customHeight="1">
      <c r="B188" s="3">
        <f>IFERROR(__xludf.DUMMYFUNCTION("""COMPUTED_VALUE"""),42160.64583333333)</f>
        <v>42160.64583</v>
      </c>
      <c r="C188" s="2">
        <f>IFERROR(__xludf.DUMMYFUNCTION("""COMPUTED_VALUE"""),794.7)</f>
        <v>794.7</v>
      </c>
    </row>
    <row r="189" ht="15.75" customHeight="1">
      <c r="B189" s="3">
        <f>IFERROR(__xludf.DUMMYFUNCTION("""COMPUTED_VALUE"""),42167.64583333333)</f>
        <v>42167.64583</v>
      </c>
      <c r="C189" s="2">
        <f>IFERROR(__xludf.DUMMYFUNCTION("""COMPUTED_VALUE"""),760.0)</f>
        <v>760</v>
      </c>
    </row>
    <row r="190" ht="15.75" customHeight="1">
      <c r="B190" s="3">
        <f>IFERROR(__xludf.DUMMYFUNCTION("""COMPUTED_VALUE"""),42174.64583333333)</f>
        <v>42174.64583</v>
      </c>
      <c r="C190" s="2">
        <f>IFERROR(__xludf.DUMMYFUNCTION("""COMPUTED_VALUE"""),744.9)</f>
        <v>744.9</v>
      </c>
    </row>
    <row r="191" ht="15.75" customHeight="1">
      <c r="B191" s="3">
        <f>IFERROR(__xludf.DUMMYFUNCTION("""COMPUTED_VALUE"""),42181.64583333333)</f>
        <v>42181.64583</v>
      </c>
      <c r="C191" s="2">
        <f>IFERROR(__xludf.DUMMYFUNCTION("""COMPUTED_VALUE"""),760.0)</f>
        <v>760</v>
      </c>
    </row>
    <row r="192" ht="15.75" customHeight="1">
      <c r="B192" s="3">
        <f>IFERROR(__xludf.DUMMYFUNCTION("""COMPUTED_VALUE"""),42188.64583333333)</f>
        <v>42188.64583</v>
      </c>
      <c r="C192" s="2">
        <f>IFERROR(__xludf.DUMMYFUNCTION("""COMPUTED_VALUE"""),778.4)</f>
        <v>778.4</v>
      </c>
    </row>
    <row r="193" ht="15.75" customHeight="1">
      <c r="B193" s="3">
        <f>IFERROR(__xludf.DUMMYFUNCTION("""COMPUTED_VALUE"""),42195.64583333333)</f>
        <v>42195.64583</v>
      </c>
      <c r="C193" s="2">
        <f>IFERROR(__xludf.DUMMYFUNCTION("""COMPUTED_VALUE"""),835.0)</f>
        <v>835</v>
      </c>
    </row>
    <row r="194" ht="15.75" customHeight="1">
      <c r="B194" s="3">
        <f>IFERROR(__xludf.DUMMYFUNCTION("""COMPUTED_VALUE"""),42202.64583333333)</f>
        <v>42202.64583</v>
      </c>
      <c r="C194" s="2">
        <f>IFERROR(__xludf.DUMMYFUNCTION("""COMPUTED_VALUE"""),854.3)</f>
        <v>854.3</v>
      </c>
    </row>
    <row r="195" ht="15.75" customHeight="1">
      <c r="B195" s="3">
        <f>IFERROR(__xludf.DUMMYFUNCTION("""COMPUTED_VALUE"""),42209.64583333333)</f>
        <v>42209.64583</v>
      </c>
      <c r="C195" s="2">
        <f>IFERROR(__xludf.DUMMYFUNCTION("""COMPUTED_VALUE"""),869.7)</f>
        <v>869.7</v>
      </c>
    </row>
    <row r="196" ht="15.75" customHeight="1">
      <c r="B196" s="3">
        <f>IFERROR(__xludf.DUMMYFUNCTION("""COMPUTED_VALUE"""),42216.64583333333)</f>
        <v>42216.64583</v>
      </c>
      <c r="C196" s="2">
        <f>IFERROR(__xludf.DUMMYFUNCTION("""COMPUTED_VALUE"""),885.0)</f>
        <v>885</v>
      </c>
    </row>
    <row r="197" ht="15.75" customHeight="1">
      <c r="B197" s="3">
        <f>IFERROR(__xludf.DUMMYFUNCTION("""COMPUTED_VALUE"""),42223.64583333333)</f>
        <v>42223.64583</v>
      </c>
      <c r="C197" s="2">
        <f>IFERROR(__xludf.DUMMYFUNCTION("""COMPUTED_VALUE"""),926.8)</f>
        <v>926.8</v>
      </c>
    </row>
    <row r="198" ht="15.75" customHeight="1">
      <c r="B198" s="3">
        <f>IFERROR(__xludf.DUMMYFUNCTION("""COMPUTED_VALUE"""),42230.64583333333)</f>
        <v>42230.64583</v>
      </c>
      <c r="C198" s="2">
        <f>IFERROR(__xludf.DUMMYFUNCTION("""COMPUTED_VALUE"""),916.25)</f>
        <v>916.25</v>
      </c>
    </row>
    <row r="199" ht="15.75" customHeight="1">
      <c r="B199" s="3">
        <f>IFERROR(__xludf.DUMMYFUNCTION("""COMPUTED_VALUE"""),42237.64583333333)</f>
        <v>42237.64583</v>
      </c>
      <c r="C199" s="2">
        <f>IFERROR(__xludf.DUMMYFUNCTION("""COMPUTED_VALUE"""),914.9)</f>
        <v>914.9</v>
      </c>
    </row>
    <row r="200" ht="15.75" customHeight="1">
      <c r="B200" s="3">
        <f>IFERROR(__xludf.DUMMYFUNCTION("""COMPUTED_VALUE"""),42244.64583333333)</f>
        <v>42244.64583</v>
      </c>
      <c r="C200" s="2">
        <f>IFERROR(__xludf.DUMMYFUNCTION("""COMPUTED_VALUE"""),877.2)</f>
        <v>877.2</v>
      </c>
    </row>
    <row r="201" ht="15.75" customHeight="1">
      <c r="B201" s="3">
        <f>IFERROR(__xludf.DUMMYFUNCTION("""COMPUTED_VALUE"""),42251.64583333333)</f>
        <v>42251.64583</v>
      </c>
      <c r="C201" s="2">
        <f>IFERROR(__xludf.DUMMYFUNCTION("""COMPUTED_VALUE"""),862.75)</f>
        <v>862.75</v>
      </c>
    </row>
    <row r="202" ht="15.75" customHeight="1">
      <c r="B202" s="3">
        <f>IFERROR(__xludf.DUMMYFUNCTION("""COMPUTED_VALUE"""),42258.64583333333)</f>
        <v>42258.64583</v>
      </c>
      <c r="C202" s="2">
        <f>IFERROR(__xludf.DUMMYFUNCTION("""COMPUTED_VALUE"""),824.9)</f>
        <v>824.9</v>
      </c>
    </row>
    <row r="203" ht="15.75" customHeight="1">
      <c r="B203" s="3">
        <f>IFERROR(__xludf.DUMMYFUNCTION("""COMPUTED_VALUE"""),42265.64583333333)</f>
        <v>42265.64583</v>
      </c>
      <c r="C203" s="2">
        <f>IFERROR(__xludf.DUMMYFUNCTION("""COMPUTED_VALUE"""),849.9)</f>
        <v>849.9</v>
      </c>
    </row>
    <row r="204" ht="15.75" customHeight="1">
      <c r="B204" s="3">
        <f>IFERROR(__xludf.DUMMYFUNCTION("""COMPUTED_VALUE"""),42271.64583333333)</f>
        <v>42271.64583</v>
      </c>
      <c r="C204" s="2">
        <f>IFERROR(__xludf.DUMMYFUNCTION("""COMPUTED_VALUE"""),839.4)</f>
        <v>839.4</v>
      </c>
    </row>
    <row r="205" ht="15.75" customHeight="1">
      <c r="B205" s="3">
        <f>IFERROR(__xludf.DUMMYFUNCTION("""COMPUTED_VALUE"""),42278.64583333333)</f>
        <v>42278.64583</v>
      </c>
      <c r="C205" s="2">
        <f>IFERROR(__xludf.DUMMYFUNCTION("""COMPUTED_VALUE"""),849.0)</f>
        <v>849</v>
      </c>
    </row>
    <row r="206" ht="15.75" customHeight="1">
      <c r="B206" s="3">
        <f>IFERROR(__xludf.DUMMYFUNCTION("""COMPUTED_VALUE"""),42286.64583333333)</f>
        <v>42286.64583</v>
      </c>
      <c r="C206" s="2">
        <f>IFERROR(__xludf.DUMMYFUNCTION("""COMPUTED_VALUE"""),884.3)</f>
        <v>884.3</v>
      </c>
    </row>
    <row r="207" ht="15.75" customHeight="1">
      <c r="B207" s="3">
        <f>IFERROR(__xludf.DUMMYFUNCTION("""COMPUTED_VALUE"""),42300.64583333333)</f>
        <v>42300.64583</v>
      </c>
      <c r="C207" s="2">
        <f>IFERROR(__xludf.DUMMYFUNCTION("""COMPUTED_VALUE"""),892.4)</f>
        <v>892.4</v>
      </c>
    </row>
    <row r="208" ht="15.75" customHeight="1">
      <c r="B208" s="3">
        <f>IFERROR(__xludf.DUMMYFUNCTION("""COMPUTED_VALUE"""),42307.64583333333)</f>
        <v>42307.64583</v>
      </c>
      <c r="C208" s="2">
        <f>IFERROR(__xludf.DUMMYFUNCTION("""COMPUTED_VALUE"""),844.0)</f>
        <v>844</v>
      </c>
    </row>
    <row r="209" ht="15.75" customHeight="1">
      <c r="B209" s="3">
        <f>IFERROR(__xludf.DUMMYFUNCTION("""COMPUTED_VALUE"""),42314.64583333333)</f>
        <v>42314.64583</v>
      </c>
      <c r="C209" s="2">
        <f>IFERROR(__xludf.DUMMYFUNCTION("""COMPUTED_VALUE"""),837.0)</f>
        <v>837</v>
      </c>
    </row>
    <row r="210" ht="15.75" customHeight="1">
      <c r="B210" s="3">
        <f>IFERROR(__xludf.DUMMYFUNCTION("""COMPUTED_VALUE"""),42321.64583333333)</f>
        <v>42321.64583</v>
      </c>
      <c r="C210" s="2">
        <f>IFERROR(__xludf.DUMMYFUNCTION("""COMPUTED_VALUE"""),818.4)</f>
        <v>818.4</v>
      </c>
    </row>
    <row r="211" ht="15.75" customHeight="1">
      <c r="B211" s="3">
        <f>IFERROR(__xludf.DUMMYFUNCTION("""COMPUTED_VALUE"""),42328.64583333333)</f>
        <v>42328.64583</v>
      </c>
      <c r="C211" s="2">
        <f>IFERROR(__xludf.DUMMYFUNCTION("""COMPUTED_VALUE"""),833.8)</f>
        <v>833.8</v>
      </c>
    </row>
    <row r="212" ht="15.75" customHeight="1">
      <c r="B212" s="3">
        <f>IFERROR(__xludf.DUMMYFUNCTION("""COMPUTED_VALUE"""),42335.64583333333)</f>
        <v>42335.64583</v>
      </c>
      <c r="C212" s="2">
        <f>IFERROR(__xludf.DUMMYFUNCTION("""COMPUTED_VALUE"""),865.95)</f>
        <v>865.95</v>
      </c>
    </row>
    <row r="213" ht="15.75" customHeight="1">
      <c r="B213" s="3">
        <f>IFERROR(__xludf.DUMMYFUNCTION("""COMPUTED_VALUE"""),42342.64583333333)</f>
        <v>42342.64583</v>
      </c>
      <c r="C213" s="2">
        <f>IFERROR(__xludf.DUMMYFUNCTION("""COMPUTED_VALUE"""),867.2)</f>
        <v>867.2</v>
      </c>
    </row>
    <row r="214" ht="15.75" customHeight="1">
      <c r="B214" s="3">
        <f>IFERROR(__xludf.DUMMYFUNCTION("""COMPUTED_VALUE"""),42349.64583333333)</f>
        <v>42349.64583</v>
      </c>
      <c r="C214" s="2">
        <f>IFERROR(__xludf.DUMMYFUNCTION("""COMPUTED_VALUE"""),877.4)</f>
        <v>877.4</v>
      </c>
    </row>
    <row r="215" ht="15.75" customHeight="1">
      <c r="B215" s="3">
        <f>IFERROR(__xludf.DUMMYFUNCTION("""COMPUTED_VALUE"""),42356.64583333333)</f>
        <v>42356.64583</v>
      </c>
      <c r="C215" s="2">
        <f>IFERROR(__xludf.DUMMYFUNCTION("""COMPUTED_VALUE"""),885.9)</f>
        <v>885.9</v>
      </c>
    </row>
    <row r="216" ht="15.75" customHeight="1">
      <c r="B216" s="3">
        <f>IFERROR(__xludf.DUMMYFUNCTION("""COMPUTED_VALUE"""),42362.64583333333)</f>
        <v>42362.64583</v>
      </c>
      <c r="C216" s="2">
        <f>IFERROR(__xludf.DUMMYFUNCTION("""COMPUTED_VALUE"""),887.0)</f>
        <v>887</v>
      </c>
    </row>
    <row r="217" ht="15.75" customHeight="1">
      <c r="B217" s="3">
        <f>IFERROR(__xludf.DUMMYFUNCTION("""COMPUTED_VALUE"""),42370.64583333333)</f>
        <v>42370.64583</v>
      </c>
      <c r="C217" s="2">
        <f>IFERROR(__xludf.DUMMYFUNCTION("""COMPUTED_VALUE"""),886.95)</f>
        <v>886.95</v>
      </c>
    </row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IFERROR(__xludf.DUMMYFUNCTION("GOOGLEFINANCE(""NSE:ASIANPAINT"", ""high"",DATE(2016,1,1),DATE(2017,1,1),""weekly"")"),"Date")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IFERROR(__xludf.DUMMYFUNCTION("""COMPUTED_VALUE"""),42377.64583333333)</f>
        <v>42377.64583</v>
      </c>
      <c r="C222" s="2">
        <f>IFERROR(__xludf.DUMMYFUNCTION("""COMPUTED_VALUE"""),911.9)</f>
        <v>911.9</v>
      </c>
    </row>
    <row r="223" ht="15.75" customHeight="1">
      <c r="B223" s="3">
        <f>IFERROR(__xludf.DUMMYFUNCTION("""COMPUTED_VALUE"""),42384.64583333333)</f>
        <v>42384.64583</v>
      </c>
      <c r="C223" s="2">
        <f>IFERROR(__xludf.DUMMYFUNCTION("""COMPUTED_VALUE"""),897.0)</f>
        <v>897</v>
      </c>
    </row>
    <row r="224" ht="15.75" customHeight="1">
      <c r="B224" s="3">
        <f>IFERROR(__xludf.DUMMYFUNCTION("""COMPUTED_VALUE"""),42391.64583333333)</f>
        <v>42391.64583</v>
      </c>
      <c r="C224" s="2">
        <f>IFERROR(__xludf.DUMMYFUNCTION("""COMPUTED_VALUE"""),893.0)</f>
        <v>893</v>
      </c>
    </row>
    <row r="225" ht="15.75" customHeight="1">
      <c r="B225" s="3">
        <f>IFERROR(__xludf.DUMMYFUNCTION("""COMPUTED_VALUE"""),42398.64583333333)</f>
        <v>42398.64583</v>
      </c>
      <c r="C225" s="2">
        <f>IFERROR(__xludf.DUMMYFUNCTION("""COMPUTED_VALUE"""),882.0)</f>
        <v>882</v>
      </c>
    </row>
    <row r="226" ht="15.75" customHeight="1">
      <c r="B226" s="3">
        <f>IFERROR(__xludf.DUMMYFUNCTION("""COMPUTED_VALUE"""),42405.64583333333)</f>
        <v>42405.64583</v>
      </c>
      <c r="C226" s="2">
        <f>IFERROR(__xludf.DUMMYFUNCTION("""COMPUTED_VALUE"""),903.45)</f>
        <v>903.45</v>
      </c>
    </row>
    <row r="227" ht="15.75" customHeight="1">
      <c r="B227" s="3">
        <f>IFERROR(__xludf.DUMMYFUNCTION("""COMPUTED_VALUE"""),42419.64583333333)</f>
        <v>42419.64583</v>
      </c>
      <c r="C227" s="2">
        <f>IFERROR(__xludf.DUMMYFUNCTION("""COMPUTED_VALUE"""),872.2)</f>
        <v>872.2</v>
      </c>
    </row>
    <row r="228" ht="15.75" customHeight="1">
      <c r="B228" s="3">
        <f>IFERROR(__xludf.DUMMYFUNCTION("""COMPUTED_VALUE"""),42426.64583333333)</f>
        <v>42426.64583</v>
      </c>
      <c r="C228" s="2">
        <f>IFERROR(__xludf.DUMMYFUNCTION("""COMPUTED_VALUE"""),885.75)</f>
        <v>885.75</v>
      </c>
    </row>
    <row r="229" ht="15.75" customHeight="1">
      <c r="B229" s="3">
        <f>IFERROR(__xludf.DUMMYFUNCTION("""COMPUTED_VALUE"""),42433.64583333333)</f>
        <v>42433.64583</v>
      </c>
      <c r="C229" s="2">
        <f>IFERROR(__xludf.DUMMYFUNCTION("""COMPUTED_VALUE"""),896.5)</f>
        <v>896.5</v>
      </c>
    </row>
    <row r="230" ht="15.75" customHeight="1">
      <c r="B230" s="3">
        <f>IFERROR(__xludf.DUMMYFUNCTION("""COMPUTED_VALUE"""),42440.64583333333)</f>
        <v>42440.64583</v>
      </c>
      <c r="C230" s="2">
        <f>IFERROR(__xludf.DUMMYFUNCTION("""COMPUTED_VALUE"""),903.7)</f>
        <v>903.7</v>
      </c>
    </row>
    <row r="231" ht="15.75" customHeight="1">
      <c r="B231" s="3">
        <f>IFERROR(__xludf.DUMMYFUNCTION("""COMPUTED_VALUE"""),42447.64583333333)</f>
        <v>42447.64583</v>
      </c>
      <c r="C231" s="2">
        <f>IFERROR(__xludf.DUMMYFUNCTION("""COMPUTED_VALUE"""),906.5)</f>
        <v>906.5</v>
      </c>
    </row>
    <row r="232" ht="15.75" customHeight="1">
      <c r="B232" s="3">
        <f>IFERROR(__xludf.DUMMYFUNCTION("""COMPUTED_VALUE"""),42452.64583333333)</f>
        <v>42452.64583</v>
      </c>
      <c r="C232" s="2">
        <f>IFERROR(__xludf.DUMMYFUNCTION("""COMPUTED_VALUE"""),875.0)</f>
        <v>875</v>
      </c>
    </row>
    <row r="233" ht="15.75" customHeight="1">
      <c r="B233" s="3">
        <f>IFERROR(__xludf.DUMMYFUNCTION("""COMPUTED_VALUE"""),42461.64583333333)</f>
        <v>42461.64583</v>
      </c>
      <c r="C233" s="2">
        <f>IFERROR(__xludf.DUMMYFUNCTION("""COMPUTED_VALUE"""),885.0)</f>
        <v>885</v>
      </c>
    </row>
    <row r="234" ht="15.75" customHeight="1">
      <c r="B234" s="3">
        <f>IFERROR(__xludf.DUMMYFUNCTION("""COMPUTED_VALUE"""),42468.64583333333)</f>
        <v>42468.64583</v>
      </c>
      <c r="C234" s="2">
        <f>IFERROR(__xludf.DUMMYFUNCTION("""COMPUTED_VALUE"""),888.5)</f>
        <v>888.5</v>
      </c>
    </row>
    <row r="235" ht="15.75" customHeight="1">
      <c r="B235" s="3">
        <f>IFERROR(__xludf.DUMMYFUNCTION("""COMPUTED_VALUE"""),42473.64583333333)</f>
        <v>42473.64583</v>
      </c>
      <c r="C235" s="2">
        <f>IFERROR(__xludf.DUMMYFUNCTION("""COMPUTED_VALUE"""),876.0)</f>
        <v>876</v>
      </c>
    </row>
    <row r="236" ht="15.75" customHeight="1">
      <c r="B236" s="3">
        <f>IFERROR(__xludf.DUMMYFUNCTION("""COMPUTED_VALUE"""),42482.64583333333)</f>
        <v>42482.64583</v>
      </c>
      <c r="C236" s="2">
        <f>IFERROR(__xludf.DUMMYFUNCTION("""COMPUTED_VALUE"""),895.0)</f>
        <v>895</v>
      </c>
    </row>
    <row r="237" ht="15.75" customHeight="1">
      <c r="B237" s="3">
        <f>IFERROR(__xludf.DUMMYFUNCTION("""COMPUTED_VALUE"""),42489.64583333333)</f>
        <v>42489.64583</v>
      </c>
      <c r="C237" s="2">
        <f>IFERROR(__xludf.DUMMYFUNCTION("""COMPUTED_VALUE"""),894.5)</f>
        <v>894.5</v>
      </c>
    </row>
    <row r="238" ht="15.75" customHeight="1">
      <c r="B238" s="3">
        <f>IFERROR(__xludf.DUMMYFUNCTION("""COMPUTED_VALUE"""),42496.64583333333)</f>
        <v>42496.64583</v>
      </c>
      <c r="C238" s="2">
        <f>IFERROR(__xludf.DUMMYFUNCTION("""COMPUTED_VALUE"""),890.0)</f>
        <v>890</v>
      </c>
    </row>
    <row r="239" ht="15.75" customHeight="1">
      <c r="B239" s="3">
        <f>IFERROR(__xludf.DUMMYFUNCTION("""COMPUTED_VALUE"""),42503.64583333333)</f>
        <v>42503.64583</v>
      </c>
      <c r="C239" s="2">
        <f>IFERROR(__xludf.DUMMYFUNCTION("""COMPUTED_VALUE"""),948.0)</f>
        <v>948</v>
      </c>
    </row>
    <row r="240" ht="15.75" customHeight="1">
      <c r="B240" s="3">
        <f>IFERROR(__xludf.DUMMYFUNCTION("""COMPUTED_VALUE"""),42510.64583333333)</f>
        <v>42510.64583</v>
      </c>
      <c r="C240" s="2">
        <f>IFERROR(__xludf.DUMMYFUNCTION("""COMPUTED_VALUE"""),972.0)</f>
        <v>972</v>
      </c>
    </row>
    <row r="241" ht="15.75" customHeight="1">
      <c r="B241" s="3">
        <f>IFERROR(__xludf.DUMMYFUNCTION("""COMPUTED_VALUE"""),42517.64583333333)</f>
        <v>42517.64583</v>
      </c>
      <c r="C241" s="2">
        <f>IFERROR(__xludf.DUMMYFUNCTION("""COMPUTED_VALUE"""),1001.8)</f>
        <v>1001.8</v>
      </c>
    </row>
    <row r="242" ht="15.75" customHeight="1">
      <c r="B242" s="3">
        <f>IFERROR(__xludf.DUMMYFUNCTION("""COMPUTED_VALUE"""),42524.64583333333)</f>
        <v>42524.64583</v>
      </c>
      <c r="C242" s="2">
        <f>IFERROR(__xludf.DUMMYFUNCTION("""COMPUTED_VALUE"""),1032.1)</f>
        <v>1032.1</v>
      </c>
    </row>
    <row r="243" ht="15.75" customHeight="1">
      <c r="B243" s="3">
        <f>IFERROR(__xludf.DUMMYFUNCTION("""COMPUTED_VALUE"""),42531.64583333333)</f>
        <v>42531.64583</v>
      </c>
      <c r="C243" s="2">
        <f>IFERROR(__xludf.DUMMYFUNCTION("""COMPUTED_VALUE"""),1037.45)</f>
        <v>1037.45</v>
      </c>
    </row>
    <row r="244" ht="15.75" customHeight="1">
      <c r="B244" s="3">
        <f>IFERROR(__xludf.DUMMYFUNCTION("""COMPUTED_VALUE"""),42538.64583333333)</f>
        <v>42538.64583</v>
      </c>
      <c r="C244" s="2">
        <f>IFERROR(__xludf.DUMMYFUNCTION("""COMPUTED_VALUE"""),1014.85)</f>
        <v>1014.85</v>
      </c>
    </row>
    <row r="245" ht="15.75" customHeight="1">
      <c r="B245" s="3">
        <f>IFERROR(__xludf.DUMMYFUNCTION("""COMPUTED_VALUE"""),42545.64583333333)</f>
        <v>42545.64583</v>
      </c>
      <c r="C245" s="2">
        <f>IFERROR(__xludf.DUMMYFUNCTION("""COMPUTED_VALUE"""),997.0)</f>
        <v>997</v>
      </c>
    </row>
    <row r="246" ht="15.75" customHeight="1">
      <c r="B246" s="3">
        <f>IFERROR(__xludf.DUMMYFUNCTION("""COMPUTED_VALUE"""),42552.64583333333)</f>
        <v>42552.64583</v>
      </c>
      <c r="C246" s="2">
        <f>IFERROR(__xludf.DUMMYFUNCTION("""COMPUTED_VALUE"""),1011.1)</f>
        <v>1011.1</v>
      </c>
    </row>
    <row r="247" ht="15.75" customHeight="1">
      <c r="B247" s="3">
        <f>IFERROR(__xludf.DUMMYFUNCTION("""COMPUTED_VALUE"""),42559.64583333333)</f>
        <v>42559.64583</v>
      </c>
      <c r="C247" s="2">
        <f>IFERROR(__xludf.DUMMYFUNCTION("""COMPUTED_VALUE"""),1017.05)</f>
        <v>1017.05</v>
      </c>
    </row>
    <row r="248" ht="15.75" customHeight="1">
      <c r="B248" s="3">
        <f>IFERROR(__xludf.DUMMYFUNCTION("""COMPUTED_VALUE"""),42566.64583333333)</f>
        <v>42566.64583</v>
      </c>
      <c r="C248" s="2">
        <f>IFERROR(__xludf.DUMMYFUNCTION("""COMPUTED_VALUE"""),1037.9)</f>
        <v>1037.9</v>
      </c>
    </row>
    <row r="249" ht="15.75" customHeight="1">
      <c r="B249" s="3">
        <f>IFERROR(__xludf.DUMMYFUNCTION("""COMPUTED_VALUE"""),42573.64583333333)</f>
        <v>42573.64583</v>
      </c>
      <c r="C249" s="2">
        <f>IFERROR(__xludf.DUMMYFUNCTION("""COMPUTED_VALUE"""),1054.0)</f>
        <v>1054</v>
      </c>
    </row>
    <row r="250" ht="15.75" customHeight="1">
      <c r="B250" s="3">
        <f>IFERROR(__xludf.DUMMYFUNCTION("""COMPUTED_VALUE"""),42580.64583333333)</f>
        <v>42580.64583</v>
      </c>
      <c r="C250" s="2">
        <f>IFERROR(__xludf.DUMMYFUNCTION("""COMPUTED_VALUE"""),1153.8)</f>
        <v>1153.8</v>
      </c>
    </row>
    <row r="251" ht="15.75" customHeight="1">
      <c r="B251" s="3">
        <f>IFERROR(__xludf.DUMMYFUNCTION("""COMPUTED_VALUE"""),42587.64583333333)</f>
        <v>42587.64583</v>
      </c>
      <c r="C251" s="2">
        <f>IFERROR(__xludf.DUMMYFUNCTION("""COMPUTED_VALUE"""),1154.6)</f>
        <v>1154.6</v>
      </c>
    </row>
    <row r="252" ht="15.75" customHeight="1">
      <c r="B252" s="3">
        <f>IFERROR(__xludf.DUMMYFUNCTION("""COMPUTED_VALUE"""),42594.64583333333)</f>
        <v>42594.64583</v>
      </c>
      <c r="C252" s="2">
        <f>IFERROR(__xludf.DUMMYFUNCTION("""COMPUTED_VALUE"""),1161.25)</f>
        <v>1161.25</v>
      </c>
    </row>
    <row r="253" ht="15.75" customHeight="1">
      <c r="B253" s="3">
        <f>IFERROR(__xludf.DUMMYFUNCTION("""COMPUTED_VALUE"""),42601.64583333333)</f>
        <v>42601.64583</v>
      </c>
      <c r="C253" s="2">
        <f>IFERROR(__xludf.DUMMYFUNCTION("""COMPUTED_VALUE"""),1147.8)</f>
        <v>1147.8</v>
      </c>
    </row>
    <row r="254" ht="15.75" customHeight="1">
      <c r="B254" s="3">
        <f>IFERROR(__xludf.DUMMYFUNCTION("""COMPUTED_VALUE"""),42608.64583333333)</f>
        <v>42608.64583</v>
      </c>
      <c r="C254" s="2">
        <f>IFERROR(__xludf.DUMMYFUNCTION("""COMPUTED_VALUE"""),1130.2)</f>
        <v>1130.2</v>
      </c>
    </row>
    <row r="255" ht="15.75" customHeight="1">
      <c r="B255" s="3">
        <f>IFERROR(__xludf.DUMMYFUNCTION("""COMPUTED_VALUE"""),42615.64583333333)</f>
        <v>42615.64583</v>
      </c>
      <c r="C255" s="2">
        <f>IFERROR(__xludf.DUMMYFUNCTION("""COMPUTED_VALUE"""),1173.9)</f>
        <v>1173.9</v>
      </c>
    </row>
    <row r="256" ht="15.75" customHeight="1">
      <c r="B256" s="3">
        <f>IFERROR(__xludf.DUMMYFUNCTION("""COMPUTED_VALUE"""),42622.64583333333)</f>
        <v>42622.64583</v>
      </c>
      <c r="C256" s="2">
        <f>IFERROR(__xludf.DUMMYFUNCTION("""COMPUTED_VALUE"""),1213.9)</f>
        <v>1213.9</v>
      </c>
    </row>
    <row r="257" ht="15.75" customHeight="1">
      <c r="B257" s="3">
        <f>IFERROR(__xludf.DUMMYFUNCTION("""COMPUTED_VALUE"""),42629.64583333333)</f>
        <v>42629.64583</v>
      </c>
      <c r="C257" s="2">
        <f>IFERROR(__xludf.DUMMYFUNCTION("""COMPUTED_VALUE"""),1181.25)</f>
        <v>1181.25</v>
      </c>
    </row>
    <row r="258" ht="15.75" customHeight="1">
      <c r="B258" s="3">
        <f>IFERROR(__xludf.DUMMYFUNCTION("""COMPUTED_VALUE"""),42636.64583333333)</f>
        <v>42636.64583</v>
      </c>
      <c r="C258" s="2">
        <f>IFERROR(__xludf.DUMMYFUNCTION("""COMPUTED_VALUE"""),1203.5)</f>
        <v>1203.5</v>
      </c>
    </row>
    <row r="259" ht="15.75" customHeight="1">
      <c r="B259" s="3">
        <f>IFERROR(__xludf.DUMMYFUNCTION("""COMPUTED_VALUE"""),42643.64583333333)</f>
        <v>42643.64583</v>
      </c>
      <c r="C259" s="2">
        <f>IFERROR(__xludf.DUMMYFUNCTION("""COMPUTED_VALUE"""),1203.35)</f>
        <v>1203.35</v>
      </c>
    </row>
    <row r="260" ht="15.75" customHeight="1">
      <c r="B260" s="3">
        <f>IFERROR(__xludf.DUMMYFUNCTION("""COMPUTED_VALUE"""),42650.64583333333)</f>
        <v>42650.64583</v>
      </c>
      <c r="C260" s="2">
        <f>IFERROR(__xludf.DUMMYFUNCTION("""COMPUTED_VALUE"""),1224.0)</f>
        <v>1224</v>
      </c>
    </row>
    <row r="261" ht="15.75" customHeight="1">
      <c r="B261" s="3">
        <f>IFERROR(__xludf.DUMMYFUNCTION("""COMPUTED_VALUE"""),42657.64583333333)</f>
        <v>42657.64583</v>
      </c>
      <c r="C261" s="2">
        <f>IFERROR(__xludf.DUMMYFUNCTION("""COMPUTED_VALUE"""),1227.3)</f>
        <v>1227.3</v>
      </c>
    </row>
    <row r="262" ht="15.75" customHeight="1">
      <c r="B262" s="3">
        <f>IFERROR(__xludf.DUMMYFUNCTION("""COMPUTED_VALUE"""),42664.64583333333)</f>
        <v>42664.64583</v>
      </c>
      <c r="C262" s="2">
        <f>IFERROR(__xludf.DUMMYFUNCTION("""COMPUTED_VALUE"""),1208.4)</f>
        <v>1208.4</v>
      </c>
    </row>
    <row r="263" ht="15.75" customHeight="1">
      <c r="B263" s="3">
        <f>IFERROR(__xludf.DUMMYFUNCTION("""COMPUTED_VALUE"""),42671.64583333333)</f>
        <v>42671.64583</v>
      </c>
      <c r="C263" s="2">
        <f>IFERROR(__xludf.DUMMYFUNCTION("""COMPUTED_VALUE"""),1162.0)</f>
        <v>1162</v>
      </c>
    </row>
    <row r="264" ht="15.75" customHeight="1">
      <c r="B264" s="3">
        <f>IFERROR(__xludf.DUMMYFUNCTION("""COMPUTED_VALUE"""),42678.64583333333)</f>
        <v>42678.64583</v>
      </c>
      <c r="C264" s="2">
        <f>IFERROR(__xludf.DUMMYFUNCTION("""COMPUTED_VALUE"""),1088.2)</f>
        <v>1088.2</v>
      </c>
    </row>
    <row r="265" ht="15.75" customHeight="1">
      <c r="B265" s="3">
        <f>IFERROR(__xludf.DUMMYFUNCTION("""COMPUTED_VALUE"""),42685.64583333333)</f>
        <v>42685.64583</v>
      </c>
      <c r="C265" s="2">
        <f>IFERROR(__xludf.DUMMYFUNCTION("""COMPUTED_VALUE"""),1060.0)</f>
        <v>1060</v>
      </c>
    </row>
    <row r="266" ht="15.75" customHeight="1">
      <c r="B266" s="3">
        <f>IFERROR(__xludf.DUMMYFUNCTION("""COMPUTED_VALUE"""),42692.64583333333)</f>
        <v>42692.64583</v>
      </c>
      <c r="C266" s="2">
        <f>IFERROR(__xludf.DUMMYFUNCTION("""COMPUTED_VALUE"""),970.95)</f>
        <v>970.95</v>
      </c>
    </row>
    <row r="267" ht="15.75" customHeight="1">
      <c r="B267" s="3">
        <f>IFERROR(__xludf.DUMMYFUNCTION("""COMPUTED_VALUE"""),42699.64583333333)</f>
        <v>42699.64583</v>
      </c>
      <c r="C267" s="2">
        <f>IFERROR(__xludf.DUMMYFUNCTION("""COMPUTED_VALUE"""),965.75)</f>
        <v>965.75</v>
      </c>
    </row>
    <row r="268" ht="15.75" customHeight="1">
      <c r="B268" s="3">
        <f>IFERROR(__xludf.DUMMYFUNCTION("""COMPUTED_VALUE"""),42706.64583333333)</f>
        <v>42706.64583</v>
      </c>
      <c r="C268" s="2">
        <f>IFERROR(__xludf.DUMMYFUNCTION("""COMPUTED_VALUE"""),974.9)</f>
        <v>974.9</v>
      </c>
    </row>
    <row r="269" ht="15.75" customHeight="1">
      <c r="B269" s="3">
        <f>IFERROR(__xludf.DUMMYFUNCTION("""COMPUTED_VALUE"""),42713.64583333333)</f>
        <v>42713.64583</v>
      </c>
      <c r="C269" s="2">
        <f>IFERROR(__xludf.DUMMYFUNCTION("""COMPUTED_VALUE"""),953.95)</f>
        <v>953.95</v>
      </c>
    </row>
    <row r="270" ht="15.75" customHeight="1">
      <c r="B270" s="3">
        <f>IFERROR(__xludf.DUMMYFUNCTION("""COMPUTED_VALUE"""),42720.64583333333)</f>
        <v>42720.64583</v>
      </c>
      <c r="C270" s="2">
        <f>IFERROR(__xludf.DUMMYFUNCTION("""COMPUTED_VALUE"""),937.15)</f>
        <v>937.15</v>
      </c>
    </row>
    <row r="271" ht="15.75" customHeight="1">
      <c r="B271" s="3">
        <f>IFERROR(__xludf.DUMMYFUNCTION("""COMPUTED_VALUE"""),42727.64583333333)</f>
        <v>42727.64583</v>
      </c>
      <c r="C271" s="2">
        <f>IFERROR(__xludf.DUMMYFUNCTION("""COMPUTED_VALUE"""),902.0)</f>
        <v>902</v>
      </c>
    </row>
    <row r="272" ht="15.75" customHeight="1">
      <c r="B272" s="3">
        <f>IFERROR(__xludf.DUMMYFUNCTION("""COMPUTED_VALUE"""),42734.64583333333)</f>
        <v>42734.64583</v>
      </c>
      <c r="C272" s="2">
        <f>IFERROR(__xludf.DUMMYFUNCTION("""COMPUTED_VALUE"""),895.0)</f>
        <v>895</v>
      </c>
    </row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IFERROR(__xludf.DUMMYFUNCTION("GOOGLEFINANCE(""NSE:ASIANPAINT"", ""high"",DATE(2017,1,1),DATE(2018,1,1),""weekly"")"),"Date")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IFERROR(__xludf.DUMMYFUNCTION("""COMPUTED_VALUE"""),42741.64583333333)</f>
        <v>42741.64583</v>
      </c>
      <c r="C277" s="2">
        <f>IFERROR(__xludf.DUMMYFUNCTION("""COMPUTED_VALUE"""),932.5)</f>
        <v>932.5</v>
      </c>
    </row>
    <row r="278" ht="15.75" customHeight="1">
      <c r="B278" s="3">
        <f>IFERROR(__xludf.DUMMYFUNCTION("""COMPUTED_VALUE"""),42748.64583333333)</f>
        <v>42748.64583</v>
      </c>
      <c r="C278" s="2">
        <f>IFERROR(__xludf.DUMMYFUNCTION("""COMPUTED_VALUE"""),940.6)</f>
        <v>940.6</v>
      </c>
    </row>
    <row r="279" ht="15.75" customHeight="1">
      <c r="B279" s="3">
        <f>IFERROR(__xludf.DUMMYFUNCTION("""COMPUTED_VALUE"""),42755.64583333333)</f>
        <v>42755.64583</v>
      </c>
      <c r="C279" s="2">
        <f>IFERROR(__xludf.DUMMYFUNCTION("""COMPUTED_VALUE"""),977.85)</f>
        <v>977.85</v>
      </c>
    </row>
    <row r="280" ht="15.75" customHeight="1">
      <c r="B280" s="3">
        <f>IFERROR(__xludf.DUMMYFUNCTION("""COMPUTED_VALUE"""),42762.64583333333)</f>
        <v>42762.64583</v>
      </c>
      <c r="C280" s="2">
        <f>IFERROR(__xludf.DUMMYFUNCTION("""COMPUTED_VALUE"""),989.6)</f>
        <v>989.6</v>
      </c>
    </row>
    <row r="281" ht="15.75" customHeight="1">
      <c r="B281" s="3">
        <f>IFERROR(__xludf.DUMMYFUNCTION("""COMPUTED_VALUE"""),42769.64583333333)</f>
        <v>42769.64583</v>
      </c>
      <c r="C281" s="2">
        <f>IFERROR(__xludf.DUMMYFUNCTION("""COMPUTED_VALUE"""),1001.05)</f>
        <v>1001.05</v>
      </c>
    </row>
    <row r="282" ht="15.75" customHeight="1">
      <c r="B282" s="3">
        <f>IFERROR(__xludf.DUMMYFUNCTION("""COMPUTED_VALUE"""),42776.64583333333)</f>
        <v>42776.64583</v>
      </c>
      <c r="C282" s="2">
        <f>IFERROR(__xludf.DUMMYFUNCTION("""COMPUTED_VALUE"""),1009.9)</f>
        <v>1009.9</v>
      </c>
    </row>
    <row r="283" ht="15.75" customHeight="1">
      <c r="B283" s="3">
        <f>IFERROR(__xludf.DUMMYFUNCTION("""COMPUTED_VALUE"""),42783.64583333333)</f>
        <v>42783.64583</v>
      </c>
      <c r="C283" s="2">
        <f>IFERROR(__xludf.DUMMYFUNCTION("""COMPUTED_VALUE"""),1000.0)</f>
        <v>1000</v>
      </c>
    </row>
    <row r="284" ht="15.75" customHeight="1">
      <c r="B284" s="3">
        <f>IFERROR(__xludf.DUMMYFUNCTION("""COMPUTED_VALUE"""),42789.64583333333)</f>
        <v>42789.64583</v>
      </c>
      <c r="C284" s="2">
        <f>IFERROR(__xludf.DUMMYFUNCTION("""COMPUTED_VALUE"""),1030.0)</f>
        <v>1030</v>
      </c>
    </row>
    <row r="285" ht="15.75" customHeight="1">
      <c r="B285" s="3">
        <f>IFERROR(__xludf.DUMMYFUNCTION("""COMPUTED_VALUE"""),42797.64583333333)</f>
        <v>42797.64583</v>
      </c>
      <c r="C285" s="2">
        <f>IFERROR(__xludf.DUMMYFUNCTION("""COMPUTED_VALUE"""),1044.75)</f>
        <v>1044.75</v>
      </c>
    </row>
    <row r="286" ht="15.75" customHeight="1">
      <c r="B286" s="3">
        <f>IFERROR(__xludf.DUMMYFUNCTION("""COMPUTED_VALUE"""),42804.64583333333)</f>
        <v>42804.64583</v>
      </c>
      <c r="C286" s="2">
        <f>IFERROR(__xludf.DUMMYFUNCTION("""COMPUTED_VALUE"""),1040.8)</f>
        <v>1040.8</v>
      </c>
    </row>
    <row r="287" ht="15.75" customHeight="1">
      <c r="B287" s="3">
        <f>IFERROR(__xludf.DUMMYFUNCTION("""COMPUTED_VALUE"""),42811.64583333333)</f>
        <v>42811.64583</v>
      </c>
      <c r="C287" s="2">
        <f>IFERROR(__xludf.DUMMYFUNCTION("""COMPUTED_VALUE"""),1092.2)</f>
        <v>1092.2</v>
      </c>
    </row>
    <row r="288" ht="15.75" customHeight="1">
      <c r="B288" s="3">
        <f>IFERROR(__xludf.DUMMYFUNCTION("""COMPUTED_VALUE"""),42818.64583333333)</f>
        <v>42818.64583</v>
      </c>
      <c r="C288" s="2">
        <f>IFERROR(__xludf.DUMMYFUNCTION("""COMPUTED_VALUE"""),1084.95)</f>
        <v>1084.95</v>
      </c>
    </row>
    <row r="289" ht="15.75" customHeight="1">
      <c r="B289" s="3">
        <f>IFERROR(__xludf.DUMMYFUNCTION("""COMPUTED_VALUE"""),42825.64583333333)</f>
        <v>42825.64583</v>
      </c>
      <c r="C289" s="2">
        <f>IFERROR(__xludf.DUMMYFUNCTION("""COMPUTED_VALUE"""),1079.5)</f>
        <v>1079.5</v>
      </c>
    </row>
    <row r="290" ht="15.75" customHeight="1">
      <c r="B290" s="3">
        <f>IFERROR(__xludf.DUMMYFUNCTION("""COMPUTED_VALUE"""),42832.64583333333)</f>
        <v>42832.64583</v>
      </c>
      <c r="C290" s="2">
        <f>IFERROR(__xludf.DUMMYFUNCTION("""COMPUTED_VALUE"""),1098.45)</f>
        <v>1098.45</v>
      </c>
    </row>
    <row r="291" ht="15.75" customHeight="1">
      <c r="B291" s="3">
        <f>IFERROR(__xludf.DUMMYFUNCTION("""COMPUTED_VALUE"""),42838.64583333333)</f>
        <v>42838.64583</v>
      </c>
      <c r="C291" s="2">
        <f>IFERROR(__xludf.DUMMYFUNCTION("""COMPUTED_VALUE"""),1081.9)</f>
        <v>1081.9</v>
      </c>
    </row>
    <row r="292" ht="15.75" customHeight="1">
      <c r="B292" s="3">
        <f>IFERROR(__xludf.DUMMYFUNCTION("""COMPUTED_VALUE"""),42846.64583333333)</f>
        <v>42846.64583</v>
      </c>
      <c r="C292" s="2">
        <f>IFERROR(__xludf.DUMMYFUNCTION("""COMPUTED_VALUE"""),1080.0)</f>
        <v>1080</v>
      </c>
    </row>
    <row r="293" ht="15.75" customHeight="1">
      <c r="B293" s="3">
        <f>IFERROR(__xludf.DUMMYFUNCTION("""COMPUTED_VALUE"""),42853.64583333333)</f>
        <v>42853.64583</v>
      </c>
      <c r="C293" s="2">
        <f>IFERROR(__xludf.DUMMYFUNCTION("""COMPUTED_VALUE"""),1124.95)</f>
        <v>1124.95</v>
      </c>
    </row>
    <row r="294" ht="15.75" customHeight="1">
      <c r="B294" s="3">
        <f>IFERROR(__xludf.DUMMYFUNCTION("""COMPUTED_VALUE"""),42860.64583333333)</f>
        <v>42860.64583</v>
      </c>
      <c r="C294" s="2">
        <f>IFERROR(__xludf.DUMMYFUNCTION("""COMPUTED_VALUE"""),1160.0)</f>
        <v>1160</v>
      </c>
    </row>
    <row r="295" ht="15.75" customHeight="1">
      <c r="B295" s="3">
        <f>IFERROR(__xludf.DUMMYFUNCTION("""COMPUTED_VALUE"""),42867.64583333333)</f>
        <v>42867.64583</v>
      </c>
      <c r="C295" s="2">
        <f>IFERROR(__xludf.DUMMYFUNCTION("""COMPUTED_VALUE"""),1182.0)</f>
        <v>1182</v>
      </c>
    </row>
    <row r="296" ht="15.75" customHeight="1">
      <c r="B296" s="3">
        <f>IFERROR(__xludf.DUMMYFUNCTION("""COMPUTED_VALUE"""),42874.64583333333)</f>
        <v>42874.64583</v>
      </c>
      <c r="C296" s="2">
        <f>IFERROR(__xludf.DUMMYFUNCTION("""COMPUTED_VALUE"""),1159.8)</f>
        <v>1159.8</v>
      </c>
    </row>
    <row r="297" ht="15.75" customHeight="1">
      <c r="B297" s="3">
        <f>IFERROR(__xludf.DUMMYFUNCTION("""COMPUTED_VALUE"""),42881.64583333333)</f>
        <v>42881.64583</v>
      </c>
      <c r="C297" s="2">
        <f>IFERROR(__xludf.DUMMYFUNCTION("""COMPUTED_VALUE"""),1148.8)</f>
        <v>1148.8</v>
      </c>
    </row>
    <row r="298" ht="15.75" customHeight="1">
      <c r="B298" s="3">
        <f>IFERROR(__xludf.DUMMYFUNCTION("""COMPUTED_VALUE"""),42888.64583333333)</f>
        <v>42888.64583</v>
      </c>
      <c r="C298" s="2">
        <f>IFERROR(__xludf.DUMMYFUNCTION("""COMPUTED_VALUE"""),1174.9)</f>
        <v>1174.9</v>
      </c>
    </row>
    <row r="299" ht="15.75" customHeight="1">
      <c r="B299" s="3">
        <f>IFERROR(__xludf.DUMMYFUNCTION("""COMPUTED_VALUE"""),42895.64583333333)</f>
        <v>42895.64583</v>
      </c>
      <c r="C299" s="2">
        <f>IFERROR(__xludf.DUMMYFUNCTION("""COMPUTED_VALUE"""),1176.4)</f>
        <v>1176.4</v>
      </c>
    </row>
    <row r="300" ht="15.75" customHeight="1">
      <c r="B300" s="3">
        <f>IFERROR(__xludf.DUMMYFUNCTION("""COMPUTED_VALUE"""),42902.64583333333)</f>
        <v>42902.64583</v>
      </c>
      <c r="C300" s="2">
        <f>IFERROR(__xludf.DUMMYFUNCTION("""COMPUTED_VALUE"""),1158.65)</f>
        <v>1158.65</v>
      </c>
    </row>
    <row r="301" ht="15.75" customHeight="1">
      <c r="B301" s="3">
        <f>IFERROR(__xludf.DUMMYFUNCTION("""COMPUTED_VALUE"""),42909.64583333333)</f>
        <v>42909.64583</v>
      </c>
      <c r="C301" s="2">
        <f>IFERROR(__xludf.DUMMYFUNCTION("""COMPUTED_VALUE"""),1171.0)</f>
        <v>1171</v>
      </c>
    </row>
    <row r="302" ht="15.75" customHeight="1">
      <c r="B302" s="3">
        <f>IFERROR(__xludf.DUMMYFUNCTION("""COMPUTED_VALUE"""),42916.64583333333)</f>
        <v>42916.64583</v>
      </c>
      <c r="C302" s="2">
        <f>IFERROR(__xludf.DUMMYFUNCTION("""COMPUTED_VALUE"""),1168.35)</f>
        <v>1168.35</v>
      </c>
    </row>
    <row r="303" ht="15.75" customHeight="1">
      <c r="B303" s="3">
        <f>IFERROR(__xludf.DUMMYFUNCTION("""COMPUTED_VALUE"""),42923.64583333333)</f>
        <v>42923.64583</v>
      </c>
      <c r="C303" s="2">
        <f>IFERROR(__xludf.DUMMYFUNCTION("""COMPUTED_VALUE"""),1144.0)</f>
        <v>1144</v>
      </c>
    </row>
    <row r="304" ht="15.75" customHeight="1">
      <c r="B304" s="3">
        <f>IFERROR(__xludf.DUMMYFUNCTION("""COMPUTED_VALUE"""),42930.64583333333)</f>
        <v>42930.64583</v>
      </c>
      <c r="C304" s="2">
        <f>IFERROR(__xludf.DUMMYFUNCTION("""COMPUTED_VALUE"""),1160.95)</f>
        <v>1160.95</v>
      </c>
    </row>
    <row r="305" ht="15.75" customHeight="1">
      <c r="B305" s="3">
        <f>IFERROR(__xludf.DUMMYFUNCTION("""COMPUTED_VALUE"""),42937.64583333333)</f>
        <v>42937.64583</v>
      </c>
      <c r="C305" s="2">
        <f>IFERROR(__xludf.DUMMYFUNCTION("""COMPUTED_VALUE"""),1172.5)</f>
        <v>1172.5</v>
      </c>
    </row>
    <row r="306" ht="15.75" customHeight="1">
      <c r="B306" s="3">
        <f>IFERROR(__xludf.DUMMYFUNCTION("""COMPUTED_VALUE"""),42944.64583333333)</f>
        <v>42944.64583</v>
      </c>
      <c r="C306" s="2">
        <f>IFERROR(__xludf.DUMMYFUNCTION("""COMPUTED_VALUE"""),1165.0)</f>
        <v>1165</v>
      </c>
    </row>
    <row r="307" ht="15.75" customHeight="1">
      <c r="B307" s="3">
        <f>IFERROR(__xludf.DUMMYFUNCTION("""COMPUTED_VALUE"""),42951.64583333333)</f>
        <v>42951.64583</v>
      </c>
      <c r="C307" s="2">
        <f>IFERROR(__xludf.DUMMYFUNCTION("""COMPUTED_VALUE"""),1164.0)</f>
        <v>1164</v>
      </c>
    </row>
    <row r="308" ht="15.75" customHeight="1">
      <c r="B308" s="3">
        <f>IFERROR(__xludf.DUMMYFUNCTION("""COMPUTED_VALUE"""),42958.64583333333)</f>
        <v>42958.64583</v>
      </c>
      <c r="C308" s="2">
        <f>IFERROR(__xludf.DUMMYFUNCTION("""COMPUTED_VALUE"""),1160.75)</f>
        <v>1160.75</v>
      </c>
    </row>
    <row r="309" ht="15.75" customHeight="1">
      <c r="B309" s="3">
        <f>IFERROR(__xludf.DUMMYFUNCTION("""COMPUTED_VALUE"""),42965.64583333333)</f>
        <v>42965.64583</v>
      </c>
      <c r="C309" s="2">
        <f>IFERROR(__xludf.DUMMYFUNCTION("""COMPUTED_VALUE"""),1163.7)</f>
        <v>1163.7</v>
      </c>
    </row>
    <row r="310" ht="15.75" customHeight="1">
      <c r="B310" s="3">
        <f>IFERROR(__xludf.DUMMYFUNCTION("""COMPUTED_VALUE"""),42971.64583333333)</f>
        <v>42971.64583</v>
      </c>
      <c r="C310" s="2">
        <f>IFERROR(__xludf.DUMMYFUNCTION("""COMPUTED_VALUE"""),1145.0)</f>
        <v>1145</v>
      </c>
    </row>
    <row r="311" ht="15.75" customHeight="1">
      <c r="B311" s="3">
        <f>IFERROR(__xludf.DUMMYFUNCTION("""COMPUTED_VALUE"""),42979.64583333333)</f>
        <v>42979.64583</v>
      </c>
      <c r="C311" s="2">
        <f>IFERROR(__xludf.DUMMYFUNCTION("""COMPUTED_VALUE"""),1219.0)</f>
        <v>1219</v>
      </c>
    </row>
    <row r="312" ht="15.75" customHeight="1">
      <c r="B312" s="3">
        <f>IFERROR(__xludf.DUMMYFUNCTION("""COMPUTED_VALUE"""),42986.64583333333)</f>
        <v>42986.64583</v>
      </c>
      <c r="C312" s="2">
        <f>IFERROR(__xludf.DUMMYFUNCTION("""COMPUTED_VALUE"""),1223.05)</f>
        <v>1223.05</v>
      </c>
    </row>
    <row r="313" ht="15.75" customHeight="1">
      <c r="B313" s="3">
        <f>IFERROR(__xludf.DUMMYFUNCTION("""COMPUTED_VALUE"""),42993.64583333333)</f>
        <v>42993.64583</v>
      </c>
      <c r="C313" s="2">
        <f>IFERROR(__xludf.DUMMYFUNCTION("""COMPUTED_VALUE"""),1262.0)</f>
        <v>1262</v>
      </c>
    </row>
    <row r="314" ht="15.75" customHeight="1">
      <c r="B314" s="3">
        <f>IFERROR(__xludf.DUMMYFUNCTION("""COMPUTED_VALUE"""),43000.64583333333)</f>
        <v>43000.64583</v>
      </c>
      <c r="C314" s="2">
        <f>IFERROR(__xludf.DUMMYFUNCTION("""COMPUTED_VALUE"""),1262.0)</f>
        <v>1262</v>
      </c>
    </row>
    <row r="315" ht="15.75" customHeight="1">
      <c r="B315" s="3">
        <f>IFERROR(__xludf.DUMMYFUNCTION("""COMPUTED_VALUE"""),43007.64583333333)</f>
        <v>43007.64583</v>
      </c>
      <c r="C315" s="2">
        <f>IFERROR(__xludf.DUMMYFUNCTION("""COMPUTED_VALUE"""),1213.45)</f>
        <v>1213.45</v>
      </c>
    </row>
    <row r="316" ht="15.75" customHeight="1">
      <c r="B316" s="3">
        <f>IFERROR(__xludf.DUMMYFUNCTION("""COMPUTED_VALUE"""),43014.64583333333)</f>
        <v>43014.64583</v>
      </c>
      <c r="C316" s="2">
        <f>IFERROR(__xludf.DUMMYFUNCTION("""COMPUTED_VALUE"""),1169.7)</f>
        <v>1169.7</v>
      </c>
    </row>
    <row r="317" ht="15.75" customHeight="1">
      <c r="B317" s="3">
        <f>IFERROR(__xludf.DUMMYFUNCTION("""COMPUTED_VALUE"""),43021.64583333333)</f>
        <v>43021.64583</v>
      </c>
      <c r="C317" s="2">
        <f>IFERROR(__xludf.DUMMYFUNCTION("""COMPUTED_VALUE"""),1177.1)</f>
        <v>1177.1</v>
      </c>
    </row>
    <row r="318" ht="15.75" customHeight="1">
      <c r="B318" s="3">
        <f>IFERROR(__xludf.DUMMYFUNCTION("""COMPUTED_VALUE"""),43027.83333333333)</f>
        <v>43027.83333</v>
      </c>
      <c r="C318" s="2">
        <f>IFERROR(__xludf.DUMMYFUNCTION("""COMPUTED_VALUE"""),1200.0)</f>
        <v>1200</v>
      </c>
    </row>
    <row r="319" ht="15.75" customHeight="1">
      <c r="B319" s="3">
        <f>IFERROR(__xludf.DUMMYFUNCTION("""COMPUTED_VALUE"""),43035.64583333333)</f>
        <v>43035.64583</v>
      </c>
      <c r="C319" s="2">
        <f>IFERROR(__xludf.DUMMYFUNCTION("""COMPUTED_VALUE"""),1234.0)</f>
        <v>1234</v>
      </c>
    </row>
    <row r="320" ht="15.75" customHeight="1">
      <c r="B320" s="3">
        <f>IFERROR(__xludf.DUMMYFUNCTION("""COMPUTED_VALUE"""),43042.64583333333)</f>
        <v>43042.64583</v>
      </c>
      <c r="C320" s="2">
        <f>IFERROR(__xludf.DUMMYFUNCTION("""COMPUTED_VALUE"""),1198.8)</f>
        <v>1198.8</v>
      </c>
    </row>
    <row r="321" ht="15.75" customHeight="1">
      <c r="B321" s="3">
        <f>IFERROR(__xludf.DUMMYFUNCTION("""COMPUTED_VALUE"""),43049.64583333333)</f>
        <v>43049.64583</v>
      </c>
      <c r="C321" s="2">
        <f>IFERROR(__xludf.DUMMYFUNCTION("""COMPUTED_VALUE"""),1198.45)</f>
        <v>1198.45</v>
      </c>
    </row>
    <row r="322" ht="15.75" customHeight="1">
      <c r="B322" s="3">
        <f>IFERROR(__xludf.DUMMYFUNCTION("""COMPUTED_VALUE"""),43056.64583333333)</f>
        <v>43056.64583</v>
      </c>
      <c r="C322" s="2">
        <f>IFERROR(__xludf.DUMMYFUNCTION("""COMPUTED_VALUE"""),1193.9)</f>
        <v>1193.9</v>
      </c>
    </row>
    <row r="323" ht="15.75" customHeight="1">
      <c r="B323" s="3">
        <f>IFERROR(__xludf.DUMMYFUNCTION("""COMPUTED_VALUE"""),43063.64583333333)</f>
        <v>43063.64583</v>
      </c>
      <c r="C323" s="2">
        <f>IFERROR(__xludf.DUMMYFUNCTION("""COMPUTED_VALUE"""),1177.9)</f>
        <v>1177.9</v>
      </c>
    </row>
    <row r="324" ht="15.75" customHeight="1">
      <c r="B324" s="3">
        <f>IFERROR(__xludf.DUMMYFUNCTION("""COMPUTED_VALUE"""),43070.64583333333)</f>
        <v>43070.64583</v>
      </c>
      <c r="C324" s="2">
        <f>IFERROR(__xludf.DUMMYFUNCTION("""COMPUTED_VALUE"""),1176.35)</f>
        <v>1176.35</v>
      </c>
    </row>
    <row r="325" ht="15.75" customHeight="1">
      <c r="B325" s="3">
        <f>IFERROR(__xludf.DUMMYFUNCTION("""COMPUTED_VALUE"""),43077.64583333333)</f>
        <v>43077.64583</v>
      </c>
      <c r="C325" s="2">
        <f>IFERROR(__xludf.DUMMYFUNCTION("""COMPUTED_VALUE"""),1153.5)</f>
        <v>1153.5</v>
      </c>
    </row>
    <row r="326" ht="15.75" customHeight="1">
      <c r="B326" s="3">
        <f>IFERROR(__xludf.DUMMYFUNCTION("""COMPUTED_VALUE"""),43084.64583333333)</f>
        <v>43084.64583</v>
      </c>
      <c r="C326" s="2">
        <f>IFERROR(__xludf.DUMMYFUNCTION("""COMPUTED_VALUE"""),1142.7)</f>
        <v>1142.7</v>
      </c>
    </row>
    <row r="327" ht="15.75" customHeight="1">
      <c r="B327" s="3">
        <f>IFERROR(__xludf.DUMMYFUNCTION("""COMPUTED_VALUE"""),43091.64583333333)</f>
        <v>43091.64583</v>
      </c>
      <c r="C327" s="2">
        <f>IFERROR(__xludf.DUMMYFUNCTION("""COMPUTED_VALUE"""),1149.5)</f>
        <v>1149.5</v>
      </c>
    </row>
    <row r="328" ht="15.75" customHeight="1">
      <c r="B328" s="3">
        <f>IFERROR(__xludf.DUMMYFUNCTION("""COMPUTED_VALUE"""),43098.64583333333)</f>
        <v>43098.64583</v>
      </c>
      <c r="C328" s="2">
        <f>IFERROR(__xludf.DUMMYFUNCTION("""COMPUTED_VALUE"""),1172.5)</f>
        <v>1172.5</v>
      </c>
    </row>
    <row r="329" ht="15.75" customHeight="1"/>
    <row r="330" ht="15.75" customHeight="1"/>
    <row r="331" ht="15.75" customHeight="1">
      <c r="B331" s="2" t="str">
        <f>IFERROR(__xludf.DUMMYFUNCTION("GOOGLEFINANCE(""NSE:ASIANPAINT"", ""high"",DATE(2018,1,1),DATE(2019,1,1),""weekly"")"),"Date")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IFERROR(__xludf.DUMMYFUNCTION("""COMPUTED_VALUE"""),43105.64583333333)</f>
        <v>43105.64583</v>
      </c>
      <c r="C332" s="2">
        <f>IFERROR(__xludf.DUMMYFUNCTION("""COMPUTED_VALUE"""),1192.0)</f>
        <v>1192</v>
      </c>
    </row>
    <row r="333" ht="15.75" customHeight="1">
      <c r="B333" s="3">
        <f>IFERROR(__xludf.DUMMYFUNCTION("""COMPUTED_VALUE"""),43112.64583333333)</f>
        <v>43112.64583</v>
      </c>
      <c r="C333" s="2">
        <f>IFERROR(__xludf.DUMMYFUNCTION("""COMPUTED_VALUE"""),1197.2)</f>
        <v>1197.2</v>
      </c>
    </row>
    <row r="334" ht="15.75" customHeight="1">
      <c r="B334" s="3">
        <f>IFERROR(__xludf.DUMMYFUNCTION("""COMPUTED_VALUE"""),43119.64583333333)</f>
        <v>43119.64583</v>
      </c>
      <c r="C334" s="2">
        <f>IFERROR(__xludf.DUMMYFUNCTION("""COMPUTED_VALUE"""),1208.2)</f>
        <v>1208.2</v>
      </c>
    </row>
    <row r="335" ht="15.75" customHeight="1">
      <c r="B335" s="3">
        <f>IFERROR(__xludf.DUMMYFUNCTION("""COMPUTED_VALUE"""),43125.64583333333)</f>
        <v>43125.64583</v>
      </c>
      <c r="C335" s="2">
        <f>IFERROR(__xludf.DUMMYFUNCTION("""COMPUTED_VALUE"""),1193.7)</f>
        <v>1193.7</v>
      </c>
    </row>
    <row r="336" ht="15.75" customHeight="1">
      <c r="B336" s="3">
        <f>IFERROR(__xludf.DUMMYFUNCTION("""COMPUTED_VALUE"""),43133.64583333333)</f>
        <v>43133.64583</v>
      </c>
      <c r="C336" s="2">
        <f>IFERROR(__xludf.DUMMYFUNCTION("""COMPUTED_VALUE"""),1164.25)</f>
        <v>1164.25</v>
      </c>
    </row>
    <row r="337" ht="15.75" customHeight="1">
      <c r="B337" s="3">
        <f>IFERROR(__xludf.DUMMYFUNCTION("""COMPUTED_VALUE"""),43140.64583333333)</f>
        <v>43140.64583</v>
      </c>
      <c r="C337" s="2">
        <f>IFERROR(__xludf.DUMMYFUNCTION("""COMPUTED_VALUE"""),1142.25)</f>
        <v>1142.25</v>
      </c>
    </row>
    <row r="338" ht="15.75" customHeight="1">
      <c r="B338" s="3">
        <f>IFERROR(__xludf.DUMMYFUNCTION("""COMPUTED_VALUE"""),43147.64583333333)</f>
        <v>43147.64583</v>
      </c>
      <c r="C338" s="2">
        <f>IFERROR(__xludf.DUMMYFUNCTION("""COMPUTED_VALUE"""),1150.0)</f>
        <v>1150</v>
      </c>
    </row>
    <row r="339" ht="15.75" customHeight="1">
      <c r="B339" s="3">
        <f>IFERROR(__xludf.DUMMYFUNCTION("""COMPUTED_VALUE"""),43154.64583333333)</f>
        <v>43154.64583</v>
      </c>
      <c r="C339" s="2">
        <f>IFERROR(__xludf.DUMMYFUNCTION("""COMPUTED_VALUE"""),1145.8)</f>
        <v>1145.8</v>
      </c>
    </row>
    <row r="340" ht="15.75" customHeight="1">
      <c r="B340" s="3">
        <f>IFERROR(__xludf.DUMMYFUNCTION("""COMPUTED_VALUE"""),43160.64583333333)</f>
        <v>43160.64583</v>
      </c>
      <c r="C340" s="2">
        <f>IFERROR(__xludf.DUMMYFUNCTION("""COMPUTED_VALUE"""),1124.2)</f>
        <v>1124.2</v>
      </c>
    </row>
    <row r="341" ht="15.75" customHeight="1">
      <c r="B341" s="3">
        <f>IFERROR(__xludf.DUMMYFUNCTION("""COMPUTED_VALUE"""),43168.64583333333)</f>
        <v>43168.64583</v>
      </c>
      <c r="C341" s="2">
        <f>IFERROR(__xludf.DUMMYFUNCTION("""COMPUTED_VALUE"""),1140.0)</f>
        <v>1140</v>
      </c>
    </row>
    <row r="342" ht="15.75" customHeight="1">
      <c r="B342" s="3">
        <f>IFERROR(__xludf.DUMMYFUNCTION("""COMPUTED_VALUE"""),43175.64583333333)</f>
        <v>43175.64583</v>
      </c>
      <c r="C342" s="2">
        <f>IFERROR(__xludf.DUMMYFUNCTION("""COMPUTED_VALUE"""),1163.75)</f>
        <v>1163.75</v>
      </c>
    </row>
    <row r="343" ht="15.75" customHeight="1">
      <c r="B343" s="3">
        <f>IFERROR(__xludf.DUMMYFUNCTION("""COMPUTED_VALUE"""),43182.64583333333)</f>
        <v>43182.64583</v>
      </c>
      <c r="C343" s="2">
        <f>IFERROR(__xludf.DUMMYFUNCTION("""COMPUTED_VALUE"""),1124.0)</f>
        <v>1124</v>
      </c>
    </row>
    <row r="344" ht="15.75" customHeight="1">
      <c r="B344" s="3">
        <f>IFERROR(__xludf.DUMMYFUNCTION("""COMPUTED_VALUE"""),43187.64583333333)</f>
        <v>43187.64583</v>
      </c>
      <c r="C344" s="2">
        <f>IFERROR(__xludf.DUMMYFUNCTION("""COMPUTED_VALUE"""),1138.0)</f>
        <v>1138</v>
      </c>
    </row>
    <row r="345" ht="15.75" customHeight="1">
      <c r="B345" s="3">
        <f>IFERROR(__xludf.DUMMYFUNCTION("""COMPUTED_VALUE"""),43196.64583333333)</f>
        <v>43196.64583</v>
      </c>
      <c r="C345" s="2">
        <f>IFERROR(__xludf.DUMMYFUNCTION("""COMPUTED_VALUE"""),1157.7)</f>
        <v>1157.7</v>
      </c>
    </row>
    <row r="346" ht="15.75" customHeight="1">
      <c r="B346" s="3">
        <f>IFERROR(__xludf.DUMMYFUNCTION("""COMPUTED_VALUE"""),43203.64583333333)</f>
        <v>43203.64583</v>
      </c>
      <c r="C346" s="2">
        <f>IFERROR(__xludf.DUMMYFUNCTION("""COMPUTED_VALUE"""),1176.85)</f>
        <v>1176.85</v>
      </c>
    </row>
    <row r="347" ht="15.75" customHeight="1">
      <c r="B347" s="3">
        <f>IFERROR(__xludf.DUMMYFUNCTION("""COMPUTED_VALUE"""),43210.64583333333)</f>
        <v>43210.64583</v>
      </c>
      <c r="C347" s="2">
        <f>IFERROR(__xludf.DUMMYFUNCTION("""COMPUTED_VALUE"""),1188.5)</f>
        <v>1188.5</v>
      </c>
    </row>
    <row r="348" ht="15.75" customHeight="1">
      <c r="B348" s="3">
        <f>IFERROR(__xludf.DUMMYFUNCTION("""COMPUTED_VALUE"""),43217.64583333333)</f>
        <v>43217.64583</v>
      </c>
      <c r="C348" s="2">
        <f>IFERROR(__xludf.DUMMYFUNCTION("""COMPUTED_VALUE"""),1199.1)</f>
        <v>1199.1</v>
      </c>
    </row>
    <row r="349" ht="15.75" customHeight="1">
      <c r="B349" s="3">
        <f>IFERROR(__xludf.DUMMYFUNCTION("""COMPUTED_VALUE"""),43224.64583333333)</f>
        <v>43224.64583</v>
      </c>
      <c r="C349" s="2">
        <f>IFERROR(__xludf.DUMMYFUNCTION("""COMPUTED_VALUE"""),1230.6)</f>
        <v>1230.6</v>
      </c>
    </row>
    <row r="350" ht="15.75" customHeight="1">
      <c r="B350" s="3">
        <f>IFERROR(__xludf.DUMMYFUNCTION("""COMPUTED_VALUE"""),43231.64583333333)</f>
        <v>43231.64583</v>
      </c>
      <c r="C350" s="2">
        <f>IFERROR(__xludf.DUMMYFUNCTION("""COMPUTED_VALUE"""),1291.9)</f>
        <v>1291.9</v>
      </c>
    </row>
    <row r="351" ht="15.75" customHeight="1">
      <c r="B351" s="3">
        <f>IFERROR(__xludf.DUMMYFUNCTION("""COMPUTED_VALUE"""),43238.64583333333)</f>
        <v>43238.64583</v>
      </c>
      <c r="C351" s="2">
        <f>IFERROR(__xludf.DUMMYFUNCTION("""COMPUTED_VALUE"""),1332.0)</f>
        <v>1332</v>
      </c>
    </row>
    <row r="352" ht="15.75" customHeight="1">
      <c r="B352" s="3">
        <f>IFERROR(__xludf.DUMMYFUNCTION("""COMPUTED_VALUE"""),43245.64583333333)</f>
        <v>43245.64583</v>
      </c>
      <c r="C352" s="2">
        <f>IFERROR(__xludf.DUMMYFUNCTION("""COMPUTED_VALUE"""),1314.7)</f>
        <v>1314.7</v>
      </c>
    </row>
    <row r="353" ht="15.75" customHeight="1">
      <c r="B353" s="3">
        <f>IFERROR(__xludf.DUMMYFUNCTION("""COMPUTED_VALUE"""),43252.64583333333)</f>
        <v>43252.64583</v>
      </c>
      <c r="C353" s="2">
        <f>IFERROR(__xludf.DUMMYFUNCTION("""COMPUTED_VALUE"""),1331.9)</f>
        <v>1331.9</v>
      </c>
    </row>
    <row r="354" ht="15.75" customHeight="1">
      <c r="B354" s="3">
        <f>IFERROR(__xludf.DUMMYFUNCTION("""COMPUTED_VALUE"""),43259.64583333333)</f>
        <v>43259.64583</v>
      </c>
      <c r="C354" s="2">
        <f>IFERROR(__xludf.DUMMYFUNCTION("""COMPUTED_VALUE"""),1297.5)</f>
        <v>1297.5</v>
      </c>
    </row>
    <row r="355" ht="15.75" customHeight="1">
      <c r="B355" s="3">
        <f>IFERROR(__xludf.DUMMYFUNCTION("""COMPUTED_VALUE"""),43266.64583333333)</f>
        <v>43266.64583</v>
      </c>
      <c r="C355" s="2">
        <f>IFERROR(__xludf.DUMMYFUNCTION("""COMPUTED_VALUE"""),1295.9)</f>
        <v>1295.9</v>
      </c>
    </row>
    <row r="356" ht="15.75" customHeight="1">
      <c r="B356" s="3">
        <f>IFERROR(__xludf.DUMMYFUNCTION("""COMPUTED_VALUE"""),43273.64583333333)</f>
        <v>43273.64583</v>
      </c>
      <c r="C356" s="2">
        <f>IFERROR(__xludf.DUMMYFUNCTION("""COMPUTED_VALUE"""),1289.65)</f>
        <v>1289.65</v>
      </c>
    </row>
    <row r="357" ht="15.75" customHeight="1">
      <c r="B357" s="3">
        <f>IFERROR(__xludf.DUMMYFUNCTION("""COMPUTED_VALUE"""),43280.64583333333)</f>
        <v>43280.64583</v>
      </c>
      <c r="C357" s="2">
        <f>IFERROR(__xludf.DUMMYFUNCTION("""COMPUTED_VALUE"""),1285.0)</f>
        <v>1285</v>
      </c>
    </row>
    <row r="358" ht="15.75" customHeight="1">
      <c r="B358" s="3">
        <f>IFERROR(__xludf.DUMMYFUNCTION("""COMPUTED_VALUE"""),43287.64583333333)</f>
        <v>43287.64583</v>
      </c>
      <c r="C358" s="2">
        <f>IFERROR(__xludf.DUMMYFUNCTION("""COMPUTED_VALUE"""),1335.4)</f>
        <v>1335.4</v>
      </c>
    </row>
    <row r="359" ht="15.75" customHeight="1">
      <c r="B359" s="3">
        <f>IFERROR(__xludf.DUMMYFUNCTION("""COMPUTED_VALUE"""),43294.64583333333)</f>
        <v>43294.64583</v>
      </c>
      <c r="C359" s="2">
        <f>IFERROR(__xludf.DUMMYFUNCTION("""COMPUTED_VALUE"""),1384.75)</f>
        <v>1384.75</v>
      </c>
    </row>
    <row r="360" ht="15.75" customHeight="1">
      <c r="B360" s="3">
        <f>IFERROR(__xludf.DUMMYFUNCTION("""COMPUTED_VALUE"""),43301.64583333333)</f>
        <v>43301.64583</v>
      </c>
      <c r="C360" s="2">
        <f>IFERROR(__xludf.DUMMYFUNCTION("""COMPUTED_VALUE"""),1408.5)</f>
        <v>1408.5</v>
      </c>
    </row>
    <row r="361" ht="15.75" customHeight="1">
      <c r="B361" s="3">
        <f>IFERROR(__xludf.DUMMYFUNCTION("""COMPUTED_VALUE"""),43308.64583333333)</f>
        <v>43308.64583</v>
      </c>
      <c r="C361" s="2">
        <f>IFERROR(__xludf.DUMMYFUNCTION("""COMPUTED_VALUE"""),1490.6)</f>
        <v>1490.6</v>
      </c>
    </row>
    <row r="362" ht="15.75" customHeight="1">
      <c r="B362" s="3">
        <f>IFERROR(__xludf.DUMMYFUNCTION("""COMPUTED_VALUE"""),43315.64583333333)</f>
        <v>43315.64583</v>
      </c>
      <c r="C362" s="2">
        <f>IFERROR(__xludf.DUMMYFUNCTION("""COMPUTED_VALUE"""),1459.95)</f>
        <v>1459.95</v>
      </c>
    </row>
    <row r="363" ht="15.75" customHeight="1">
      <c r="B363" s="3">
        <f>IFERROR(__xludf.DUMMYFUNCTION("""COMPUTED_VALUE"""),43322.64583333333)</f>
        <v>43322.64583</v>
      </c>
      <c r="C363" s="2">
        <f>IFERROR(__xludf.DUMMYFUNCTION("""COMPUTED_VALUE"""),1447.65)</f>
        <v>1447.65</v>
      </c>
    </row>
    <row r="364" ht="15.75" customHeight="1">
      <c r="B364" s="3">
        <f>IFERROR(__xludf.DUMMYFUNCTION("""COMPUTED_VALUE"""),43329.64583333333)</f>
        <v>43329.64583</v>
      </c>
      <c r="C364" s="2">
        <f>IFERROR(__xludf.DUMMYFUNCTION("""COMPUTED_VALUE"""),1421.6)</f>
        <v>1421.6</v>
      </c>
    </row>
    <row r="365" ht="15.75" customHeight="1">
      <c r="B365" s="3">
        <f>IFERROR(__xludf.DUMMYFUNCTION("""COMPUTED_VALUE"""),43336.64583333333)</f>
        <v>43336.64583</v>
      </c>
      <c r="C365" s="2">
        <f>IFERROR(__xludf.DUMMYFUNCTION("""COMPUTED_VALUE"""),1431.0)</f>
        <v>1431</v>
      </c>
    </row>
    <row r="366" ht="15.75" customHeight="1">
      <c r="B366" s="3">
        <f>IFERROR(__xludf.DUMMYFUNCTION("""COMPUTED_VALUE"""),43343.64583333333)</f>
        <v>43343.64583</v>
      </c>
      <c r="C366" s="2">
        <f>IFERROR(__xludf.DUMMYFUNCTION("""COMPUTED_VALUE"""),1419.65)</f>
        <v>1419.65</v>
      </c>
    </row>
    <row r="367" ht="15.75" customHeight="1">
      <c r="B367" s="3">
        <f>IFERROR(__xludf.DUMMYFUNCTION("""COMPUTED_VALUE"""),43350.64583333333)</f>
        <v>43350.64583</v>
      </c>
      <c r="C367" s="2">
        <f>IFERROR(__xludf.DUMMYFUNCTION("""COMPUTED_VALUE"""),1387.5)</f>
        <v>1387.5</v>
      </c>
    </row>
    <row r="368" ht="15.75" customHeight="1">
      <c r="B368" s="3">
        <f>IFERROR(__xludf.DUMMYFUNCTION("""COMPUTED_VALUE"""),43357.64583333333)</f>
        <v>43357.64583</v>
      </c>
      <c r="C368" s="2">
        <f>IFERROR(__xludf.DUMMYFUNCTION("""COMPUTED_VALUE"""),1336.55)</f>
        <v>1336.55</v>
      </c>
    </row>
    <row r="369" ht="15.75" customHeight="1">
      <c r="B369" s="3">
        <f>IFERROR(__xludf.DUMMYFUNCTION("""COMPUTED_VALUE"""),43364.64583333333)</f>
        <v>43364.64583</v>
      </c>
      <c r="C369" s="2">
        <f>IFERROR(__xludf.DUMMYFUNCTION("""COMPUTED_VALUE"""),1331.75)</f>
        <v>1331.75</v>
      </c>
    </row>
    <row r="370" ht="15.75" customHeight="1">
      <c r="B370" s="3">
        <f>IFERROR(__xludf.DUMMYFUNCTION("""COMPUTED_VALUE"""),43371.64583333333)</f>
        <v>43371.64583</v>
      </c>
      <c r="C370" s="2">
        <f>IFERROR(__xludf.DUMMYFUNCTION("""COMPUTED_VALUE"""),1316.65)</f>
        <v>1316.65</v>
      </c>
    </row>
    <row r="371" ht="15.75" customHeight="1">
      <c r="B371" s="3">
        <f>IFERROR(__xludf.DUMMYFUNCTION("""COMPUTED_VALUE"""),43378.64583333333)</f>
        <v>43378.64583</v>
      </c>
      <c r="C371" s="2">
        <f>IFERROR(__xludf.DUMMYFUNCTION("""COMPUTED_VALUE"""),1307.9)</f>
        <v>1307.9</v>
      </c>
    </row>
    <row r="372" ht="15.75" customHeight="1">
      <c r="B372" s="3">
        <f>IFERROR(__xludf.DUMMYFUNCTION("""COMPUTED_VALUE"""),43385.64583333333)</f>
        <v>43385.64583</v>
      </c>
      <c r="C372" s="2">
        <f>IFERROR(__xludf.DUMMYFUNCTION("""COMPUTED_VALUE"""),1265.95)</f>
        <v>1265.95</v>
      </c>
    </row>
    <row r="373" ht="15.75" customHeight="1">
      <c r="B373" s="3">
        <f>IFERROR(__xludf.DUMMYFUNCTION("""COMPUTED_VALUE"""),43392.64583333333)</f>
        <v>43392.64583</v>
      </c>
      <c r="C373" s="2">
        <f>IFERROR(__xludf.DUMMYFUNCTION("""COMPUTED_VALUE"""),1287.0)</f>
        <v>1287</v>
      </c>
    </row>
    <row r="374" ht="15.75" customHeight="1">
      <c r="B374" s="3">
        <f>IFERROR(__xludf.DUMMYFUNCTION("""COMPUTED_VALUE"""),43399.64583333333)</f>
        <v>43399.64583</v>
      </c>
      <c r="C374" s="2">
        <f>IFERROR(__xludf.DUMMYFUNCTION("""COMPUTED_VALUE"""),1247.15)</f>
        <v>1247.15</v>
      </c>
    </row>
    <row r="375" ht="15.75" customHeight="1">
      <c r="B375" s="3">
        <f>IFERROR(__xludf.DUMMYFUNCTION("""COMPUTED_VALUE"""),43406.64583333333)</f>
        <v>43406.64583</v>
      </c>
      <c r="C375" s="2">
        <f>IFERROR(__xludf.DUMMYFUNCTION("""COMPUTED_VALUE"""),1291.55)</f>
        <v>1291.55</v>
      </c>
    </row>
    <row r="376" ht="15.75" customHeight="1">
      <c r="B376" s="3">
        <f>IFERROR(__xludf.DUMMYFUNCTION("""COMPUTED_VALUE"""),43413.64583333333)</f>
        <v>43413.64583</v>
      </c>
      <c r="C376" s="2">
        <f>IFERROR(__xludf.DUMMYFUNCTION("""COMPUTED_VALUE"""),1308.9)</f>
        <v>1308.9</v>
      </c>
    </row>
    <row r="377" ht="15.75" customHeight="1">
      <c r="B377" s="3">
        <f>IFERROR(__xludf.DUMMYFUNCTION("""COMPUTED_VALUE"""),43420.64583333333)</f>
        <v>43420.64583</v>
      </c>
      <c r="C377" s="2">
        <f>IFERROR(__xludf.DUMMYFUNCTION("""COMPUTED_VALUE"""),1337.95)</f>
        <v>1337.95</v>
      </c>
    </row>
    <row r="378" ht="15.75" customHeight="1">
      <c r="B378" s="3">
        <f>IFERROR(__xludf.DUMMYFUNCTION("""COMPUTED_VALUE"""),43426.64583333333)</f>
        <v>43426.64583</v>
      </c>
      <c r="C378" s="2">
        <f>IFERROR(__xludf.DUMMYFUNCTION("""COMPUTED_VALUE"""),1342.5)</f>
        <v>1342.5</v>
      </c>
    </row>
    <row r="379" ht="15.75" customHeight="1">
      <c r="B379" s="3">
        <f>IFERROR(__xludf.DUMMYFUNCTION("""COMPUTED_VALUE"""),43434.64583333333)</f>
        <v>43434.64583</v>
      </c>
      <c r="C379" s="2">
        <f>IFERROR(__xludf.DUMMYFUNCTION("""COMPUTED_VALUE"""),1361.75)</f>
        <v>1361.75</v>
      </c>
    </row>
    <row r="380" ht="15.75" customHeight="1">
      <c r="B380" s="3">
        <f>IFERROR(__xludf.DUMMYFUNCTION("""COMPUTED_VALUE"""),43441.64583333333)</f>
        <v>43441.64583</v>
      </c>
      <c r="C380" s="2">
        <f>IFERROR(__xludf.DUMMYFUNCTION("""COMPUTED_VALUE"""),1359.0)</f>
        <v>1359</v>
      </c>
    </row>
    <row r="381" ht="15.75" customHeight="1">
      <c r="B381" s="3">
        <f>IFERROR(__xludf.DUMMYFUNCTION("""COMPUTED_VALUE"""),43448.64583333333)</f>
        <v>43448.64583</v>
      </c>
      <c r="C381" s="2">
        <f>IFERROR(__xludf.DUMMYFUNCTION("""COMPUTED_VALUE"""),1351.0)</f>
        <v>1351</v>
      </c>
    </row>
    <row r="382" ht="15.75" customHeight="1">
      <c r="B382" s="3">
        <f>IFERROR(__xludf.DUMMYFUNCTION("""COMPUTED_VALUE"""),43455.64583333333)</f>
        <v>43455.64583</v>
      </c>
      <c r="C382" s="2">
        <f>IFERROR(__xludf.DUMMYFUNCTION("""COMPUTED_VALUE"""),1433.9)</f>
        <v>1433.9</v>
      </c>
    </row>
    <row r="383" ht="15.75" customHeight="1">
      <c r="B383" s="3">
        <f>IFERROR(__xludf.DUMMYFUNCTION("""COMPUTED_VALUE"""),43462.64583333333)</f>
        <v>43462.64583</v>
      </c>
      <c r="C383" s="2">
        <f>IFERROR(__xludf.DUMMYFUNCTION("""COMPUTED_VALUE"""),1388.95)</f>
        <v>1388.95</v>
      </c>
    </row>
    <row r="384" ht="15.75" customHeight="1"/>
    <row r="385" ht="15.75" customHeight="1"/>
    <row r="386" ht="15.75" customHeight="1">
      <c r="B386" s="2" t="str">
        <f>IFERROR(__xludf.DUMMYFUNCTION("GOOGLEFINANCE(""NSE:ASIANPAINT"", ""high"",DATE(2019,1,1),DATE(2020,1,1),""weekly"")"),"Date")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IFERROR(__xludf.DUMMYFUNCTION("""COMPUTED_VALUE"""),43469.64583333333)</f>
        <v>43469.64583</v>
      </c>
      <c r="C387" s="2">
        <f>IFERROR(__xludf.DUMMYFUNCTION("""COMPUTED_VALUE"""),1401.4)</f>
        <v>1401.4</v>
      </c>
    </row>
    <row r="388" ht="15.75" customHeight="1">
      <c r="B388" s="3">
        <f>IFERROR(__xludf.DUMMYFUNCTION("""COMPUTED_VALUE"""),43476.64583333333)</f>
        <v>43476.64583</v>
      </c>
      <c r="C388" s="2">
        <f>IFERROR(__xludf.DUMMYFUNCTION("""COMPUTED_VALUE"""),1414.0)</f>
        <v>1414</v>
      </c>
    </row>
    <row r="389" ht="15.75" customHeight="1">
      <c r="B389" s="3">
        <f>IFERROR(__xludf.DUMMYFUNCTION("""COMPUTED_VALUE"""),43483.64583333333)</f>
        <v>43483.64583</v>
      </c>
      <c r="C389" s="2">
        <f>IFERROR(__xludf.DUMMYFUNCTION("""COMPUTED_VALUE"""),1414.45)</f>
        <v>1414.45</v>
      </c>
    </row>
    <row r="390" ht="15.75" customHeight="1">
      <c r="B390" s="3">
        <f>IFERROR(__xludf.DUMMYFUNCTION("""COMPUTED_VALUE"""),43490.64583333333)</f>
        <v>43490.64583</v>
      </c>
      <c r="C390" s="2">
        <f>IFERROR(__xludf.DUMMYFUNCTION("""COMPUTED_VALUE"""),1432.05)</f>
        <v>1432.05</v>
      </c>
    </row>
    <row r="391" ht="15.75" customHeight="1">
      <c r="B391" s="3">
        <f>IFERROR(__xludf.DUMMYFUNCTION("""COMPUTED_VALUE"""),43497.64583333333)</f>
        <v>43497.64583</v>
      </c>
      <c r="C391" s="2">
        <f>IFERROR(__xludf.DUMMYFUNCTION("""COMPUTED_VALUE"""),1469.65)</f>
        <v>1469.65</v>
      </c>
    </row>
    <row r="392" ht="15.75" customHeight="1">
      <c r="B392" s="3">
        <f>IFERROR(__xludf.DUMMYFUNCTION("""COMPUTED_VALUE"""),43504.64583333333)</f>
        <v>43504.64583</v>
      </c>
      <c r="C392" s="2">
        <f>IFERROR(__xludf.DUMMYFUNCTION("""COMPUTED_VALUE"""),1480.0)</f>
        <v>1480</v>
      </c>
    </row>
    <row r="393" ht="15.75" customHeight="1">
      <c r="B393" s="3">
        <f>IFERROR(__xludf.DUMMYFUNCTION("""COMPUTED_VALUE"""),43511.64583333333)</f>
        <v>43511.64583</v>
      </c>
      <c r="C393" s="2">
        <f>IFERROR(__xludf.DUMMYFUNCTION("""COMPUTED_VALUE"""),1457.3)</f>
        <v>1457.3</v>
      </c>
    </row>
    <row r="394" ht="15.75" customHeight="1">
      <c r="B394" s="3">
        <f>IFERROR(__xludf.DUMMYFUNCTION("""COMPUTED_VALUE"""),43518.64583333333)</f>
        <v>43518.64583</v>
      </c>
      <c r="C394" s="2">
        <f>IFERROR(__xludf.DUMMYFUNCTION("""COMPUTED_VALUE"""),1407.85)</f>
        <v>1407.85</v>
      </c>
    </row>
    <row r="395" ht="15.75" customHeight="1">
      <c r="B395" s="3">
        <f>IFERROR(__xludf.DUMMYFUNCTION("""COMPUTED_VALUE"""),43525.64583333333)</f>
        <v>43525.64583</v>
      </c>
      <c r="C395" s="2">
        <f>IFERROR(__xludf.DUMMYFUNCTION("""COMPUTED_VALUE"""),1430.85)</f>
        <v>1430.85</v>
      </c>
    </row>
    <row r="396" ht="15.75" customHeight="1">
      <c r="B396" s="3">
        <f>IFERROR(__xludf.DUMMYFUNCTION("""COMPUTED_VALUE"""),43532.64583333333)</f>
        <v>43532.64583</v>
      </c>
      <c r="C396" s="2">
        <f>IFERROR(__xludf.DUMMYFUNCTION("""COMPUTED_VALUE"""),1410.0)</f>
        <v>1410</v>
      </c>
    </row>
    <row r="397" ht="15.75" customHeight="1">
      <c r="B397" s="3">
        <f>IFERROR(__xludf.DUMMYFUNCTION("""COMPUTED_VALUE"""),43539.64583333333)</f>
        <v>43539.64583</v>
      </c>
      <c r="C397" s="2">
        <f>IFERROR(__xludf.DUMMYFUNCTION("""COMPUTED_VALUE"""),1457.0)</f>
        <v>1457</v>
      </c>
    </row>
    <row r="398" ht="15.75" customHeight="1">
      <c r="B398" s="3">
        <f>IFERROR(__xludf.DUMMYFUNCTION("""COMPUTED_VALUE"""),43546.64583333333)</f>
        <v>43546.64583</v>
      </c>
      <c r="C398" s="2">
        <f>IFERROR(__xludf.DUMMYFUNCTION("""COMPUTED_VALUE"""),1479.9)</f>
        <v>1479.9</v>
      </c>
    </row>
    <row r="399" ht="15.75" customHeight="1">
      <c r="B399" s="3">
        <f>IFERROR(__xludf.DUMMYFUNCTION("""COMPUTED_VALUE"""),43553.64583333333)</f>
        <v>43553.64583</v>
      </c>
      <c r="C399" s="2">
        <f>IFERROR(__xludf.DUMMYFUNCTION("""COMPUTED_VALUE"""),1508.95)</f>
        <v>1508.95</v>
      </c>
    </row>
    <row r="400" ht="15.75" customHeight="1">
      <c r="B400" s="3">
        <f>IFERROR(__xludf.DUMMYFUNCTION("""COMPUTED_VALUE"""),43560.64583333333)</f>
        <v>43560.64583</v>
      </c>
      <c r="C400" s="2">
        <f>IFERROR(__xludf.DUMMYFUNCTION("""COMPUTED_VALUE"""),1529.85)</f>
        <v>1529.85</v>
      </c>
    </row>
    <row r="401" ht="15.75" customHeight="1">
      <c r="B401" s="3">
        <f>IFERROR(__xludf.DUMMYFUNCTION("""COMPUTED_VALUE"""),43567.64583333333)</f>
        <v>43567.64583</v>
      </c>
      <c r="C401" s="2">
        <f>IFERROR(__xludf.DUMMYFUNCTION("""COMPUTED_VALUE"""),1514.0)</f>
        <v>1514</v>
      </c>
    </row>
    <row r="402" ht="15.75" customHeight="1">
      <c r="B402" s="3">
        <f>IFERROR(__xludf.DUMMYFUNCTION("""COMPUTED_VALUE"""),43573.64583333333)</f>
        <v>43573.64583</v>
      </c>
      <c r="C402" s="2">
        <f>IFERROR(__xludf.DUMMYFUNCTION("""COMPUTED_VALUE"""),1479.9)</f>
        <v>1479.9</v>
      </c>
    </row>
    <row r="403" ht="15.75" customHeight="1">
      <c r="B403" s="3">
        <f>IFERROR(__xludf.DUMMYFUNCTION("""COMPUTED_VALUE"""),43581.64583333333)</f>
        <v>43581.64583</v>
      </c>
      <c r="C403" s="2">
        <f>IFERROR(__xludf.DUMMYFUNCTION("""COMPUTED_VALUE"""),1460.0)</f>
        <v>1460</v>
      </c>
    </row>
    <row r="404" ht="15.75" customHeight="1">
      <c r="B404" s="3">
        <f>IFERROR(__xludf.DUMMYFUNCTION("""COMPUTED_VALUE"""),43588.64583333333)</f>
        <v>43588.64583</v>
      </c>
      <c r="C404" s="2">
        <f>IFERROR(__xludf.DUMMYFUNCTION("""COMPUTED_VALUE"""),1477.0)</f>
        <v>1477</v>
      </c>
    </row>
    <row r="405" ht="15.75" customHeight="1">
      <c r="B405" s="3">
        <f>IFERROR(__xludf.DUMMYFUNCTION("""COMPUTED_VALUE"""),43595.64583333333)</f>
        <v>43595.64583</v>
      </c>
      <c r="C405" s="2">
        <f>IFERROR(__xludf.DUMMYFUNCTION("""COMPUTED_VALUE"""),1448.6)</f>
        <v>1448.6</v>
      </c>
    </row>
    <row r="406" ht="15.75" customHeight="1">
      <c r="B406" s="3">
        <f>IFERROR(__xludf.DUMMYFUNCTION("""COMPUTED_VALUE"""),43602.64583333333)</f>
        <v>43602.64583</v>
      </c>
      <c r="C406" s="2">
        <f>IFERROR(__xludf.DUMMYFUNCTION("""COMPUTED_VALUE"""),1345.25)</f>
        <v>1345.25</v>
      </c>
    </row>
    <row r="407" ht="15.75" customHeight="1">
      <c r="B407" s="3">
        <f>IFERROR(__xludf.DUMMYFUNCTION("""COMPUTED_VALUE"""),43609.64583333333)</f>
        <v>43609.64583</v>
      </c>
      <c r="C407" s="2">
        <f>IFERROR(__xludf.DUMMYFUNCTION("""COMPUTED_VALUE"""),1400.45)</f>
        <v>1400.45</v>
      </c>
    </row>
    <row r="408" ht="15.75" customHeight="1">
      <c r="B408" s="3">
        <f>IFERROR(__xludf.DUMMYFUNCTION("""COMPUTED_VALUE"""),43616.64583333333)</f>
        <v>43616.64583</v>
      </c>
      <c r="C408" s="2">
        <f>IFERROR(__xludf.DUMMYFUNCTION("""COMPUTED_VALUE"""),1428.0)</f>
        <v>1428</v>
      </c>
    </row>
    <row r="409" ht="15.75" customHeight="1">
      <c r="B409" s="3">
        <f>IFERROR(__xludf.DUMMYFUNCTION("""COMPUTED_VALUE"""),43623.64583333333)</f>
        <v>43623.64583</v>
      </c>
      <c r="C409" s="2">
        <f>IFERROR(__xludf.DUMMYFUNCTION("""COMPUTED_VALUE"""),1464.95)</f>
        <v>1464.95</v>
      </c>
    </row>
    <row r="410" ht="15.75" customHeight="1">
      <c r="B410" s="3">
        <f>IFERROR(__xludf.DUMMYFUNCTION("""COMPUTED_VALUE"""),43630.64583333333)</f>
        <v>43630.64583</v>
      </c>
      <c r="C410" s="2">
        <f>IFERROR(__xludf.DUMMYFUNCTION("""COMPUTED_VALUE"""),1442.0)</f>
        <v>1442</v>
      </c>
    </row>
    <row r="411" ht="15.75" customHeight="1">
      <c r="B411" s="3">
        <f>IFERROR(__xludf.DUMMYFUNCTION("""COMPUTED_VALUE"""),43637.64583333333)</f>
        <v>43637.64583</v>
      </c>
      <c r="C411" s="2">
        <f>IFERROR(__xludf.DUMMYFUNCTION("""COMPUTED_VALUE"""),1425.0)</f>
        <v>1425</v>
      </c>
    </row>
    <row r="412" ht="15.75" customHeight="1">
      <c r="B412" s="3">
        <f>IFERROR(__xludf.DUMMYFUNCTION("""COMPUTED_VALUE"""),43644.64583333333)</f>
        <v>43644.64583</v>
      </c>
      <c r="C412" s="2">
        <f>IFERROR(__xludf.DUMMYFUNCTION("""COMPUTED_VALUE"""),1398.0)</f>
        <v>1398</v>
      </c>
    </row>
    <row r="413" ht="15.75" customHeight="1">
      <c r="B413" s="3">
        <f>IFERROR(__xludf.DUMMYFUNCTION("""COMPUTED_VALUE"""),43651.64583333333)</f>
        <v>43651.64583</v>
      </c>
      <c r="C413" s="2">
        <f>IFERROR(__xludf.DUMMYFUNCTION("""COMPUTED_VALUE"""),1374.5)</f>
        <v>1374.5</v>
      </c>
    </row>
    <row r="414" ht="15.75" customHeight="1">
      <c r="B414" s="3">
        <f>IFERROR(__xludf.DUMMYFUNCTION("""COMPUTED_VALUE"""),43658.64583333333)</f>
        <v>43658.64583</v>
      </c>
      <c r="C414" s="2">
        <f>IFERROR(__xludf.DUMMYFUNCTION("""COMPUTED_VALUE"""),1369.55)</f>
        <v>1369.55</v>
      </c>
    </row>
    <row r="415" ht="15.75" customHeight="1">
      <c r="B415" s="3">
        <f>IFERROR(__xludf.DUMMYFUNCTION("""COMPUTED_VALUE"""),43665.64583333333)</f>
        <v>43665.64583</v>
      </c>
      <c r="C415" s="2">
        <f>IFERROR(__xludf.DUMMYFUNCTION("""COMPUTED_VALUE"""),1404.85)</f>
        <v>1404.85</v>
      </c>
    </row>
    <row r="416" ht="15.75" customHeight="1">
      <c r="B416" s="3">
        <f>IFERROR(__xludf.DUMMYFUNCTION("""COMPUTED_VALUE"""),43672.64583333333)</f>
        <v>43672.64583</v>
      </c>
      <c r="C416" s="2">
        <f>IFERROR(__xludf.DUMMYFUNCTION("""COMPUTED_VALUE"""),1530.8)</f>
        <v>1530.8</v>
      </c>
    </row>
    <row r="417" ht="15.75" customHeight="1">
      <c r="B417" s="3">
        <f>IFERROR(__xludf.DUMMYFUNCTION("""COMPUTED_VALUE"""),43679.64583333333)</f>
        <v>43679.64583</v>
      </c>
      <c r="C417" s="2">
        <f>IFERROR(__xludf.DUMMYFUNCTION("""COMPUTED_VALUE"""),1550.0)</f>
        <v>1550</v>
      </c>
    </row>
    <row r="418" ht="15.75" customHeight="1">
      <c r="B418" s="3">
        <f>IFERROR(__xludf.DUMMYFUNCTION("""COMPUTED_VALUE"""),43686.64583333333)</f>
        <v>43686.64583</v>
      </c>
      <c r="C418" s="2">
        <f>IFERROR(__xludf.DUMMYFUNCTION("""COMPUTED_VALUE"""),1581.9)</f>
        <v>1581.9</v>
      </c>
    </row>
    <row r="419" ht="15.75" customHeight="1">
      <c r="B419" s="3">
        <f>IFERROR(__xludf.DUMMYFUNCTION("""COMPUTED_VALUE"""),43693.64583333333)</f>
        <v>43693.64583</v>
      </c>
      <c r="C419" s="2">
        <f>IFERROR(__xludf.DUMMYFUNCTION("""COMPUTED_VALUE"""),1600.85)</f>
        <v>1600.85</v>
      </c>
    </row>
    <row r="420" ht="15.75" customHeight="1">
      <c r="B420" s="3">
        <f>IFERROR(__xludf.DUMMYFUNCTION("""COMPUTED_VALUE"""),43700.64583333333)</f>
        <v>43700.64583</v>
      </c>
      <c r="C420" s="2">
        <f>IFERROR(__xludf.DUMMYFUNCTION("""COMPUTED_VALUE"""),1609.55)</f>
        <v>1609.55</v>
      </c>
    </row>
    <row r="421" ht="15.75" customHeight="1">
      <c r="B421" s="3">
        <f>IFERROR(__xludf.DUMMYFUNCTION("""COMPUTED_VALUE"""),43707.64583333333)</f>
        <v>43707.64583</v>
      </c>
      <c r="C421" s="2">
        <f>IFERROR(__xludf.DUMMYFUNCTION("""COMPUTED_VALUE"""),1622.5)</f>
        <v>1622.5</v>
      </c>
    </row>
    <row r="422" ht="15.75" customHeight="1">
      <c r="B422" s="3">
        <f>IFERROR(__xludf.DUMMYFUNCTION("""COMPUTED_VALUE"""),43714.64583333333)</f>
        <v>43714.64583</v>
      </c>
      <c r="C422" s="2">
        <f>IFERROR(__xludf.DUMMYFUNCTION("""COMPUTED_VALUE"""),1609.6)</f>
        <v>1609.6</v>
      </c>
    </row>
    <row r="423" ht="15.75" customHeight="1">
      <c r="B423" s="3">
        <f>IFERROR(__xludf.DUMMYFUNCTION("""COMPUTED_VALUE"""),43721.64583333333)</f>
        <v>43721.64583</v>
      </c>
      <c r="C423" s="2">
        <f>IFERROR(__xludf.DUMMYFUNCTION("""COMPUTED_VALUE"""),1570.0)</f>
        <v>1570</v>
      </c>
    </row>
    <row r="424" ht="15.75" customHeight="1">
      <c r="B424" s="3">
        <f>IFERROR(__xludf.DUMMYFUNCTION("""COMPUTED_VALUE"""),43728.64583333333)</f>
        <v>43728.64583</v>
      </c>
      <c r="C424" s="2">
        <f>IFERROR(__xludf.DUMMYFUNCTION("""COMPUTED_VALUE"""),1725.25)</f>
        <v>1725.25</v>
      </c>
    </row>
    <row r="425" ht="15.75" customHeight="1">
      <c r="B425" s="3">
        <f>IFERROR(__xludf.DUMMYFUNCTION("""COMPUTED_VALUE"""),43735.64583333333)</f>
        <v>43735.64583</v>
      </c>
      <c r="C425" s="2">
        <f>IFERROR(__xludf.DUMMYFUNCTION("""COMPUTED_VALUE"""),1820.0)</f>
        <v>1820</v>
      </c>
    </row>
    <row r="426" ht="15.75" customHeight="1">
      <c r="B426" s="3">
        <f>IFERROR(__xludf.DUMMYFUNCTION("""COMPUTED_VALUE"""),43742.64583333333)</f>
        <v>43742.64583</v>
      </c>
      <c r="C426" s="2">
        <f>IFERROR(__xludf.DUMMYFUNCTION("""COMPUTED_VALUE"""),1799.9)</f>
        <v>1799.9</v>
      </c>
    </row>
    <row r="427" ht="15.75" customHeight="1">
      <c r="B427" s="3">
        <f>IFERROR(__xludf.DUMMYFUNCTION("""COMPUTED_VALUE"""),43749.64583333333)</f>
        <v>43749.64583</v>
      </c>
      <c r="C427" s="2">
        <f>IFERROR(__xludf.DUMMYFUNCTION("""COMPUTED_VALUE"""),1801.8)</f>
        <v>1801.8</v>
      </c>
    </row>
    <row r="428" ht="15.75" customHeight="1">
      <c r="B428" s="3">
        <f>IFERROR(__xludf.DUMMYFUNCTION("""COMPUTED_VALUE"""),43756.64583333333)</f>
        <v>43756.64583</v>
      </c>
      <c r="C428" s="2">
        <f>IFERROR(__xludf.DUMMYFUNCTION("""COMPUTED_VALUE"""),1825.0)</f>
        <v>1825</v>
      </c>
    </row>
    <row r="429" ht="15.75" customHeight="1">
      <c r="B429" s="3">
        <f>IFERROR(__xludf.DUMMYFUNCTION("""COMPUTED_VALUE"""),43763.79166666667)</f>
        <v>43763.79167</v>
      </c>
      <c r="C429" s="2">
        <f>IFERROR(__xludf.DUMMYFUNCTION("""COMPUTED_VALUE"""),1825.0)</f>
        <v>1825</v>
      </c>
    </row>
    <row r="430" ht="15.75" customHeight="1">
      <c r="B430" s="3">
        <f>IFERROR(__xludf.DUMMYFUNCTION("""COMPUTED_VALUE"""),43770.64583333333)</f>
        <v>43770.64583</v>
      </c>
      <c r="C430" s="2">
        <f>IFERROR(__xludf.DUMMYFUNCTION("""COMPUTED_VALUE"""),1834.8)</f>
        <v>1834.8</v>
      </c>
    </row>
    <row r="431" ht="15.75" customHeight="1">
      <c r="B431" s="3">
        <f>IFERROR(__xludf.DUMMYFUNCTION("""COMPUTED_VALUE"""),43777.64583333333)</f>
        <v>43777.64583</v>
      </c>
      <c r="C431" s="2">
        <f>IFERROR(__xludf.DUMMYFUNCTION("""COMPUTED_VALUE"""),1830.9)</f>
        <v>1830.9</v>
      </c>
    </row>
    <row r="432" ht="15.75" customHeight="1">
      <c r="B432" s="3">
        <f>IFERROR(__xludf.DUMMYFUNCTION("""COMPUTED_VALUE"""),43784.64583333333)</f>
        <v>43784.64583</v>
      </c>
      <c r="C432" s="2">
        <f>IFERROR(__xludf.DUMMYFUNCTION("""COMPUTED_VALUE"""),1800.0)</f>
        <v>1800</v>
      </c>
    </row>
    <row r="433" ht="15.75" customHeight="1">
      <c r="B433" s="3">
        <f>IFERROR(__xludf.DUMMYFUNCTION("""COMPUTED_VALUE"""),43791.64583333333)</f>
        <v>43791.64583</v>
      </c>
      <c r="C433" s="2">
        <f>IFERROR(__xludf.DUMMYFUNCTION("""COMPUTED_VALUE"""),1765.45)</f>
        <v>1765.45</v>
      </c>
    </row>
    <row r="434" ht="15.75" customHeight="1">
      <c r="B434" s="3">
        <f>IFERROR(__xludf.DUMMYFUNCTION("""COMPUTED_VALUE"""),43798.64583333333)</f>
        <v>43798.64583</v>
      </c>
      <c r="C434" s="2">
        <f>IFERROR(__xludf.DUMMYFUNCTION("""COMPUTED_VALUE"""),1731.0)</f>
        <v>1731</v>
      </c>
    </row>
    <row r="435" ht="15.75" customHeight="1">
      <c r="B435" s="3">
        <f>IFERROR(__xludf.DUMMYFUNCTION("""COMPUTED_VALUE"""),43805.64583333333)</f>
        <v>43805.64583</v>
      </c>
      <c r="C435" s="2">
        <f>IFERROR(__xludf.DUMMYFUNCTION("""COMPUTED_VALUE"""),1750.95)</f>
        <v>1750.95</v>
      </c>
    </row>
    <row r="436" ht="15.75" customHeight="1">
      <c r="B436" s="3">
        <f>IFERROR(__xludf.DUMMYFUNCTION("""COMPUTED_VALUE"""),43812.64583333333)</f>
        <v>43812.64583</v>
      </c>
      <c r="C436" s="2">
        <f>IFERROR(__xludf.DUMMYFUNCTION("""COMPUTED_VALUE"""),1757.7)</f>
        <v>1757.7</v>
      </c>
    </row>
    <row r="437" ht="15.75" customHeight="1">
      <c r="B437" s="3">
        <f>IFERROR(__xludf.DUMMYFUNCTION("""COMPUTED_VALUE"""),43819.64583333333)</f>
        <v>43819.64583</v>
      </c>
      <c r="C437" s="2">
        <f>IFERROR(__xludf.DUMMYFUNCTION("""COMPUTED_VALUE"""),1809.0)</f>
        <v>1809</v>
      </c>
    </row>
    <row r="438" ht="15.75" customHeight="1">
      <c r="B438" s="3">
        <f>IFERROR(__xludf.DUMMYFUNCTION("""COMPUTED_VALUE"""),43826.64583333333)</f>
        <v>43826.64583</v>
      </c>
      <c r="C438" s="2">
        <f>IFERROR(__xludf.DUMMYFUNCTION("""COMPUTED_VALUE"""),1826.0)</f>
        <v>1826</v>
      </c>
    </row>
    <row r="439" ht="15.75" customHeight="1"/>
    <row r="440" ht="15.75" customHeight="1"/>
    <row r="441" ht="15.75" customHeight="1">
      <c r="B441" s="2" t="str">
        <f>IFERROR(__xludf.DUMMYFUNCTION("GOOGLEFINANCE(""NSE:ASIANPAINT"", ""high"",DATE(2020,1,1),DATE(2021,1,1),""weekly"")"),"Date")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IFERROR(__xludf.DUMMYFUNCTION("""COMPUTED_VALUE"""),43833.64583333333)</f>
        <v>43833.64583</v>
      </c>
      <c r="C442" s="2">
        <f>IFERROR(__xludf.DUMMYFUNCTION("""COMPUTED_VALUE"""),1818.45)</f>
        <v>1818.45</v>
      </c>
    </row>
    <row r="443" ht="15.75" customHeight="1">
      <c r="B443" s="3">
        <f>IFERROR(__xludf.DUMMYFUNCTION("""COMPUTED_VALUE"""),43840.64583333333)</f>
        <v>43840.64583</v>
      </c>
      <c r="C443" s="2">
        <f>IFERROR(__xludf.DUMMYFUNCTION("""COMPUTED_VALUE"""),1797.3)</f>
        <v>1797.3</v>
      </c>
    </row>
    <row r="444" ht="15.75" customHeight="1">
      <c r="B444" s="3">
        <f>IFERROR(__xludf.DUMMYFUNCTION("""COMPUTED_VALUE"""),43847.64583333333)</f>
        <v>43847.64583</v>
      </c>
      <c r="C444" s="2">
        <f>IFERROR(__xludf.DUMMYFUNCTION("""COMPUTED_VALUE"""),1848.0)</f>
        <v>1848</v>
      </c>
    </row>
    <row r="445" ht="15.75" customHeight="1">
      <c r="B445" s="3">
        <f>IFERROR(__xludf.DUMMYFUNCTION("""COMPUTED_VALUE"""),43854.64583333333)</f>
        <v>43854.64583</v>
      </c>
      <c r="C445" s="2">
        <f>IFERROR(__xludf.DUMMYFUNCTION("""COMPUTED_VALUE"""),1862.25)</f>
        <v>1862.25</v>
      </c>
    </row>
    <row r="446" ht="15.75" customHeight="1">
      <c r="B446" s="3">
        <f>IFERROR(__xludf.DUMMYFUNCTION("""COMPUTED_VALUE"""),43862.70833333333)</f>
        <v>43862.70833</v>
      </c>
      <c r="C446" s="2">
        <f>IFERROR(__xludf.DUMMYFUNCTION("""COMPUTED_VALUE"""),1824.0)</f>
        <v>1824</v>
      </c>
    </row>
    <row r="447" ht="15.75" customHeight="1">
      <c r="B447" s="3">
        <f>IFERROR(__xludf.DUMMYFUNCTION("""COMPUTED_VALUE"""),43868.64583333333)</f>
        <v>43868.64583</v>
      </c>
      <c r="C447" s="2">
        <f>IFERROR(__xludf.DUMMYFUNCTION("""COMPUTED_VALUE"""),1896.75)</f>
        <v>1896.75</v>
      </c>
    </row>
    <row r="448" ht="15.75" customHeight="1">
      <c r="B448" s="3">
        <f>IFERROR(__xludf.DUMMYFUNCTION("""COMPUTED_VALUE"""),43875.64583333333)</f>
        <v>43875.64583</v>
      </c>
      <c r="C448" s="2">
        <f>IFERROR(__xludf.DUMMYFUNCTION("""COMPUTED_VALUE"""),1916.7)</f>
        <v>1916.7</v>
      </c>
    </row>
    <row r="449" ht="15.75" customHeight="1">
      <c r="B449" s="3">
        <f>IFERROR(__xludf.DUMMYFUNCTION("""COMPUTED_VALUE"""),43881.64583333333)</f>
        <v>43881.64583</v>
      </c>
      <c r="C449" s="2">
        <f>IFERROR(__xludf.DUMMYFUNCTION("""COMPUTED_VALUE"""),1893.5)</f>
        <v>1893.5</v>
      </c>
    </row>
    <row r="450" ht="15.75" customHeight="1">
      <c r="B450" s="3">
        <f>IFERROR(__xludf.DUMMYFUNCTION("""COMPUTED_VALUE"""),43889.64583333333)</f>
        <v>43889.64583</v>
      </c>
      <c r="C450" s="2">
        <f>IFERROR(__xludf.DUMMYFUNCTION("""COMPUTED_VALUE"""),1853.0)</f>
        <v>1853</v>
      </c>
    </row>
    <row r="451" ht="15.75" customHeight="1">
      <c r="B451" s="3">
        <f>IFERROR(__xludf.DUMMYFUNCTION("""COMPUTED_VALUE"""),43896.64583333333)</f>
        <v>43896.64583</v>
      </c>
      <c r="C451" s="2">
        <f>IFERROR(__xludf.DUMMYFUNCTION("""COMPUTED_VALUE"""),1884.4)</f>
        <v>1884.4</v>
      </c>
    </row>
    <row r="452" ht="15.75" customHeight="1">
      <c r="B452" s="3">
        <f>IFERROR(__xludf.DUMMYFUNCTION("""COMPUTED_VALUE"""),43903.64583333333)</f>
        <v>43903.64583</v>
      </c>
      <c r="C452" s="2">
        <f>IFERROR(__xludf.DUMMYFUNCTION("""COMPUTED_VALUE"""),1915.9)</f>
        <v>1915.9</v>
      </c>
    </row>
    <row r="453" ht="15.75" customHeight="1">
      <c r="B453" s="3">
        <f>IFERROR(__xludf.DUMMYFUNCTION("""COMPUTED_VALUE"""),43910.64583333333)</f>
        <v>43910.64583</v>
      </c>
      <c r="C453" s="2">
        <f>IFERROR(__xludf.DUMMYFUNCTION("""COMPUTED_VALUE"""),1779.8)</f>
        <v>1779.8</v>
      </c>
    </row>
    <row r="454" ht="15.75" customHeight="1">
      <c r="B454" s="3">
        <f>IFERROR(__xludf.DUMMYFUNCTION("""COMPUTED_VALUE"""),43917.64583333333)</f>
        <v>43917.64583</v>
      </c>
      <c r="C454" s="2">
        <f>IFERROR(__xludf.DUMMYFUNCTION("""COMPUTED_VALUE"""),1665.25)</f>
        <v>1665.25</v>
      </c>
    </row>
    <row r="455" ht="15.75" customHeight="1">
      <c r="B455" s="3">
        <f>IFERROR(__xludf.DUMMYFUNCTION("""COMPUTED_VALUE"""),43924.64583333333)</f>
        <v>43924.64583</v>
      </c>
      <c r="C455" s="2">
        <f>IFERROR(__xludf.DUMMYFUNCTION("""COMPUTED_VALUE"""),1690.0)</f>
        <v>1690</v>
      </c>
    </row>
    <row r="456" ht="15.75" customHeight="1">
      <c r="B456" s="3">
        <f>IFERROR(__xludf.DUMMYFUNCTION("""COMPUTED_VALUE"""),43930.64583333333)</f>
        <v>43930.64583</v>
      </c>
      <c r="C456" s="2">
        <f>IFERROR(__xludf.DUMMYFUNCTION("""COMPUTED_VALUE"""),1687.8)</f>
        <v>1687.8</v>
      </c>
    </row>
    <row r="457" ht="15.75" customHeight="1">
      <c r="B457" s="3">
        <f>IFERROR(__xludf.DUMMYFUNCTION("""COMPUTED_VALUE"""),43938.64583333333)</f>
        <v>43938.64583</v>
      </c>
      <c r="C457" s="2">
        <f>IFERROR(__xludf.DUMMYFUNCTION("""COMPUTED_VALUE"""),1783.7)</f>
        <v>1783.7</v>
      </c>
    </row>
    <row r="458" ht="15.75" customHeight="1">
      <c r="B458" s="3">
        <f>IFERROR(__xludf.DUMMYFUNCTION("""COMPUTED_VALUE"""),43945.64583333333)</f>
        <v>43945.64583</v>
      </c>
      <c r="C458" s="2">
        <f>IFERROR(__xludf.DUMMYFUNCTION("""COMPUTED_VALUE"""),1845.4)</f>
        <v>1845.4</v>
      </c>
    </row>
    <row r="459" ht="15.75" customHeight="1">
      <c r="B459" s="3">
        <f>IFERROR(__xludf.DUMMYFUNCTION("""COMPUTED_VALUE"""),43951.64583333333)</f>
        <v>43951.64583</v>
      </c>
      <c r="C459" s="2">
        <f>IFERROR(__xludf.DUMMYFUNCTION("""COMPUTED_VALUE"""),1864.0)</f>
        <v>1864</v>
      </c>
    </row>
    <row r="460" ht="15.75" customHeight="1">
      <c r="B460" s="3">
        <f>IFERROR(__xludf.DUMMYFUNCTION("""COMPUTED_VALUE"""),43959.64583333333)</f>
        <v>43959.64583</v>
      </c>
      <c r="C460" s="2">
        <f>IFERROR(__xludf.DUMMYFUNCTION("""COMPUTED_VALUE"""),1751.0)</f>
        <v>1751</v>
      </c>
    </row>
    <row r="461" ht="15.75" customHeight="1">
      <c r="B461" s="3">
        <f>IFERROR(__xludf.DUMMYFUNCTION("""COMPUTED_VALUE"""),43966.64583333333)</f>
        <v>43966.64583</v>
      </c>
      <c r="C461" s="2">
        <f>IFERROR(__xludf.DUMMYFUNCTION("""COMPUTED_VALUE"""),1599.0)</f>
        <v>1599</v>
      </c>
    </row>
    <row r="462" ht="15.75" customHeight="1">
      <c r="B462" s="3">
        <f>IFERROR(__xludf.DUMMYFUNCTION("""COMPUTED_VALUE"""),43973.64583333333)</f>
        <v>43973.64583</v>
      </c>
      <c r="C462" s="2">
        <f>IFERROR(__xludf.DUMMYFUNCTION("""COMPUTED_VALUE"""),1625.0)</f>
        <v>1625</v>
      </c>
    </row>
    <row r="463" ht="15.75" customHeight="1">
      <c r="B463" s="3">
        <f>IFERROR(__xludf.DUMMYFUNCTION("""COMPUTED_VALUE"""),43980.64583333333)</f>
        <v>43980.64583</v>
      </c>
      <c r="C463" s="2">
        <f>IFERROR(__xludf.DUMMYFUNCTION("""COMPUTED_VALUE"""),1699.0)</f>
        <v>1699</v>
      </c>
    </row>
    <row r="464" ht="15.75" customHeight="1">
      <c r="B464" s="3">
        <f>IFERROR(__xludf.DUMMYFUNCTION("""COMPUTED_VALUE"""),43987.64583333333)</f>
        <v>43987.64583</v>
      </c>
      <c r="C464" s="2">
        <f>IFERROR(__xludf.DUMMYFUNCTION("""COMPUTED_VALUE"""),1744.0)</f>
        <v>1744</v>
      </c>
    </row>
    <row r="465" ht="15.75" customHeight="1">
      <c r="B465" s="3">
        <f>IFERROR(__xludf.DUMMYFUNCTION("""COMPUTED_VALUE"""),43994.64583333333)</f>
        <v>43994.64583</v>
      </c>
      <c r="C465" s="2">
        <f>IFERROR(__xludf.DUMMYFUNCTION("""COMPUTED_VALUE"""),1695.0)</f>
        <v>1695</v>
      </c>
    </row>
    <row r="466" ht="15.75" customHeight="1">
      <c r="B466" s="3">
        <f>IFERROR(__xludf.DUMMYFUNCTION("""COMPUTED_VALUE"""),44001.64583333333)</f>
        <v>44001.64583</v>
      </c>
      <c r="C466" s="2">
        <f>IFERROR(__xludf.DUMMYFUNCTION("""COMPUTED_VALUE"""),1650.65)</f>
        <v>1650.65</v>
      </c>
    </row>
    <row r="467" ht="15.75" customHeight="1">
      <c r="B467" s="3">
        <f>IFERROR(__xludf.DUMMYFUNCTION("""COMPUTED_VALUE"""),44008.64583333333)</f>
        <v>44008.64583</v>
      </c>
      <c r="C467" s="2">
        <f>IFERROR(__xludf.DUMMYFUNCTION("""COMPUTED_VALUE"""),1813.75)</f>
        <v>1813.75</v>
      </c>
    </row>
    <row r="468" ht="15.75" customHeight="1">
      <c r="B468" s="3">
        <f>IFERROR(__xludf.DUMMYFUNCTION("""COMPUTED_VALUE"""),44015.64583333333)</f>
        <v>44015.64583</v>
      </c>
      <c r="C468" s="2">
        <f>IFERROR(__xludf.DUMMYFUNCTION("""COMPUTED_VALUE"""),1720.0)</f>
        <v>1720</v>
      </c>
    </row>
    <row r="469" ht="15.75" customHeight="1">
      <c r="B469" s="3">
        <f>IFERROR(__xludf.DUMMYFUNCTION("""COMPUTED_VALUE"""),44022.64583333333)</f>
        <v>44022.64583</v>
      </c>
      <c r="C469" s="2">
        <f>IFERROR(__xludf.DUMMYFUNCTION("""COMPUTED_VALUE"""),1761.8)</f>
        <v>1761.8</v>
      </c>
    </row>
    <row r="470" ht="15.75" customHeight="1">
      <c r="B470" s="3">
        <f>IFERROR(__xludf.DUMMYFUNCTION("""COMPUTED_VALUE"""),44029.64583333333)</f>
        <v>44029.64583</v>
      </c>
      <c r="C470" s="2">
        <f>IFERROR(__xludf.DUMMYFUNCTION("""COMPUTED_VALUE"""),1742.5)</f>
        <v>1742.5</v>
      </c>
    </row>
    <row r="471" ht="15.75" customHeight="1">
      <c r="B471" s="3">
        <f>IFERROR(__xludf.DUMMYFUNCTION("""COMPUTED_VALUE"""),44036.64583333333)</f>
        <v>44036.64583</v>
      </c>
      <c r="C471" s="2">
        <f>IFERROR(__xludf.DUMMYFUNCTION("""COMPUTED_VALUE"""),1771.75)</f>
        <v>1771.75</v>
      </c>
    </row>
    <row r="472" ht="15.75" customHeight="1">
      <c r="B472" s="3">
        <f>IFERROR(__xludf.DUMMYFUNCTION("""COMPUTED_VALUE"""),44043.64583333333)</f>
        <v>44043.64583</v>
      </c>
      <c r="C472" s="2">
        <f>IFERROR(__xludf.DUMMYFUNCTION("""COMPUTED_VALUE"""),1792.65)</f>
        <v>1792.65</v>
      </c>
    </row>
    <row r="473" ht="15.75" customHeight="1">
      <c r="B473" s="3">
        <f>IFERROR(__xludf.DUMMYFUNCTION("""COMPUTED_VALUE"""),44050.64583333333)</f>
        <v>44050.64583</v>
      </c>
      <c r="C473" s="2">
        <f>IFERROR(__xludf.DUMMYFUNCTION("""COMPUTED_VALUE"""),1816.9)</f>
        <v>1816.9</v>
      </c>
    </row>
    <row r="474" ht="15.75" customHeight="1">
      <c r="B474" s="3">
        <f>IFERROR(__xludf.DUMMYFUNCTION("""COMPUTED_VALUE"""),44057.64583333333)</f>
        <v>44057.64583</v>
      </c>
      <c r="C474" s="2">
        <f>IFERROR(__xludf.DUMMYFUNCTION("""COMPUTED_VALUE"""),1837.8)</f>
        <v>1837.8</v>
      </c>
    </row>
    <row r="475" ht="15.75" customHeight="1">
      <c r="B475" s="3">
        <f>IFERROR(__xludf.DUMMYFUNCTION("""COMPUTED_VALUE"""),44064.64583333333)</f>
        <v>44064.64583</v>
      </c>
      <c r="C475" s="2">
        <f>IFERROR(__xludf.DUMMYFUNCTION("""COMPUTED_VALUE"""),1973.25)</f>
        <v>1973.25</v>
      </c>
    </row>
    <row r="476" ht="15.75" customHeight="1">
      <c r="B476" s="3">
        <f>IFERROR(__xludf.DUMMYFUNCTION("""COMPUTED_VALUE"""),44071.64583333333)</f>
        <v>44071.64583</v>
      </c>
      <c r="C476" s="2">
        <f>IFERROR(__xludf.DUMMYFUNCTION("""COMPUTED_VALUE"""),2016.85)</f>
        <v>2016.85</v>
      </c>
    </row>
    <row r="477" ht="15.75" customHeight="1">
      <c r="B477" s="3">
        <f>IFERROR(__xludf.DUMMYFUNCTION("""COMPUTED_VALUE"""),44078.64583333333)</f>
        <v>44078.64583</v>
      </c>
      <c r="C477" s="2">
        <f>IFERROR(__xludf.DUMMYFUNCTION("""COMPUTED_VALUE"""),1997.0)</f>
        <v>1997</v>
      </c>
    </row>
    <row r="478" ht="15.75" customHeight="1">
      <c r="B478" s="3">
        <f>IFERROR(__xludf.DUMMYFUNCTION("""COMPUTED_VALUE"""),44085.64583333333)</f>
        <v>44085.64583</v>
      </c>
      <c r="C478" s="2">
        <f>IFERROR(__xludf.DUMMYFUNCTION("""COMPUTED_VALUE"""),2069.95)</f>
        <v>2069.95</v>
      </c>
    </row>
    <row r="479" ht="15.75" customHeight="1">
      <c r="B479" s="3">
        <f>IFERROR(__xludf.DUMMYFUNCTION("""COMPUTED_VALUE"""),44092.64583333333)</f>
        <v>44092.64583</v>
      </c>
      <c r="C479" s="2">
        <f>IFERROR(__xludf.DUMMYFUNCTION("""COMPUTED_VALUE"""),2054.0)</f>
        <v>2054</v>
      </c>
    </row>
    <row r="480" ht="15.75" customHeight="1">
      <c r="B480" s="3">
        <f>IFERROR(__xludf.DUMMYFUNCTION("""COMPUTED_VALUE"""),44099.64583333333)</f>
        <v>44099.64583</v>
      </c>
      <c r="C480" s="2">
        <f>IFERROR(__xludf.DUMMYFUNCTION("""COMPUTED_VALUE"""),2057.0)</f>
        <v>2057</v>
      </c>
    </row>
    <row r="481" ht="15.75" customHeight="1">
      <c r="B481" s="3">
        <f>IFERROR(__xludf.DUMMYFUNCTION("""COMPUTED_VALUE"""),44105.64583333333)</f>
        <v>44105.64583</v>
      </c>
      <c r="C481" s="2">
        <f>IFERROR(__xludf.DUMMYFUNCTION("""COMPUTED_VALUE"""),2049.35)</f>
        <v>2049.35</v>
      </c>
    </row>
    <row r="482" ht="15.75" customHeight="1">
      <c r="B482" s="3">
        <f>IFERROR(__xludf.DUMMYFUNCTION("""COMPUTED_VALUE"""),44113.64583333333)</f>
        <v>44113.64583</v>
      </c>
      <c r="C482" s="2">
        <f>IFERROR(__xludf.DUMMYFUNCTION("""COMPUTED_VALUE"""),2118.8)</f>
        <v>2118.8</v>
      </c>
    </row>
    <row r="483" ht="15.75" customHeight="1">
      <c r="B483" s="3">
        <f>IFERROR(__xludf.DUMMYFUNCTION("""COMPUTED_VALUE"""),44120.64583333333)</f>
        <v>44120.64583</v>
      </c>
      <c r="C483" s="2">
        <f>IFERROR(__xludf.DUMMYFUNCTION("""COMPUTED_VALUE"""),2124.0)</f>
        <v>2124</v>
      </c>
    </row>
    <row r="484" ht="15.75" customHeight="1">
      <c r="B484" s="3">
        <f>IFERROR(__xludf.DUMMYFUNCTION("""COMPUTED_VALUE"""),44127.64583333333)</f>
        <v>44127.64583</v>
      </c>
      <c r="C484" s="2">
        <f>IFERROR(__xludf.DUMMYFUNCTION("""COMPUTED_VALUE"""),2143.85)</f>
        <v>2143.85</v>
      </c>
    </row>
    <row r="485" ht="15.75" customHeight="1">
      <c r="B485" s="3">
        <f>IFERROR(__xludf.DUMMYFUNCTION("""COMPUTED_VALUE"""),44134.64583333333)</f>
        <v>44134.64583</v>
      </c>
      <c r="C485" s="2">
        <f>IFERROR(__xludf.DUMMYFUNCTION("""COMPUTED_VALUE"""),2242.85)</f>
        <v>2242.85</v>
      </c>
    </row>
    <row r="486" ht="15.75" customHeight="1">
      <c r="B486" s="3">
        <f>IFERROR(__xludf.DUMMYFUNCTION("""COMPUTED_VALUE"""),44141.64583333333)</f>
        <v>44141.64583</v>
      </c>
      <c r="C486" s="2">
        <f>IFERROR(__xludf.DUMMYFUNCTION("""COMPUTED_VALUE"""),2248.0)</f>
        <v>2248</v>
      </c>
    </row>
    <row r="487" ht="15.75" customHeight="1">
      <c r="B487" s="3">
        <f>IFERROR(__xludf.DUMMYFUNCTION("""COMPUTED_VALUE"""),44155.64583333333)</f>
        <v>44155.64583</v>
      </c>
      <c r="C487" s="2">
        <f>IFERROR(__xludf.DUMMYFUNCTION("""COMPUTED_VALUE"""),2221.9)</f>
        <v>2221.9</v>
      </c>
    </row>
    <row r="488" ht="15.75" customHeight="1">
      <c r="B488" s="3">
        <f>IFERROR(__xludf.DUMMYFUNCTION("""COMPUTED_VALUE"""),44162.64583333333)</f>
        <v>44162.64583</v>
      </c>
      <c r="C488" s="2">
        <f>IFERROR(__xludf.DUMMYFUNCTION("""COMPUTED_VALUE"""),2244.6)</f>
        <v>2244.6</v>
      </c>
    </row>
    <row r="489" ht="15.75" customHeight="1">
      <c r="B489" s="3">
        <f>IFERROR(__xludf.DUMMYFUNCTION("""COMPUTED_VALUE"""),44169.64583333333)</f>
        <v>44169.64583</v>
      </c>
      <c r="C489" s="2">
        <f>IFERROR(__xludf.DUMMYFUNCTION("""COMPUTED_VALUE"""),2445.0)</f>
        <v>2445</v>
      </c>
    </row>
    <row r="490" ht="15.75" customHeight="1">
      <c r="B490" s="3">
        <f>IFERROR(__xludf.DUMMYFUNCTION("""COMPUTED_VALUE"""),44176.64583333333)</f>
        <v>44176.64583</v>
      </c>
      <c r="C490" s="2">
        <f>IFERROR(__xludf.DUMMYFUNCTION("""COMPUTED_VALUE"""),2552.0)</f>
        <v>2552</v>
      </c>
    </row>
    <row r="491" ht="15.75" customHeight="1">
      <c r="B491" s="3">
        <f>IFERROR(__xludf.DUMMYFUNCTION("""COMPUTED_VALUE"""),44183.64583333333)</f>
        <v>44183.64583</v>
      </c>
      <c r="C491" s="2">
        <f>IFERROR(__xludf.DUMMYFUNCTION("""COMPUTED_VALUE"""),2636.0)</f>
        <v>2636</v>
      </c>
    </row>
    <row r="492" ht="15.75" customHeight="1">
      <c r="B492" s="3">
        <f>IFERROR(__xludf.DUMMYFUNCTION("""COMPUTED_VALUE"""),44189.64583333333)</f>
        <v>44189.64583</v>
      </c>
      <c r="C492" s="2">
        <f>IFERROR(__xludf.DUMMYFUNCTION("""COMPUTED_VALUE"""),2658.0)</f>
        <v>2658</v>
      </c>
    </row>
    <row r="493" ht="15.75" customHeight="1">
      <c r="B493" s="3">
        <f>IFERROR(__xludf.DUMMYFUNCTION("""COMPUTED_VALUE"""),44197.64583333333)</f>
        <v>44197.64583</v>
      </c>
      <c r="C493" s="2">
        <f>IFERROR(__xludf.DUMMYFUNCTION("""COMPUTED_VALUE"""),2792.0)</f>
        <v>2792</v>
      </c>
    </row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IFERROR(__xludf.DUMMYFUNCTION("GOOGLEFINANCE(""NSE:BANKBARODA"", ""high"",DATE(2012,1,1),DATE(2013,1,1),""weekly"")"),"Date")</f>
        <v>Date</v>
      </c>
      <c r="C1" s="2" t="str">
        <f>IFERROR(__xludf.DUMMYFUNCTION("""COMPUTED_VALUE"""),"High")</f>
        <v>High</v>
      </c>
    </row>
    <row r="2">
      <c r="A2" s="2" t="s">
        <v>11</v>
      </c>
      <c r="B2" s="3">
        <f>IFERROR(__xludf.DUMMYFUNCTION("""COMPUTED_VALUE"""),40921.645833333336)</f>
        <v>40921.64583</v>
      </c>
      <c r="C2" s="2">
        <f>IFERROR(__xludf.DUMMYFUNCTION("""COMPUTED_VALUE"""),147.76)</f>
        <v>147.76</v>
      </c>
    </row>
    <row r="3">
      <c r="A3" s="2" t="s">
        <v>12</v>
      </c>
      <c r="B3" s="3">
        <f>IFERROR(__xludf.DUMMYFUNCTION("""COMPUTED_VALUE"""),40928.645833333336)</f>
        <v>40928.64583</v>
      </c>
      <c r="C3" s="2">
        <f>IFERROR(__xludf.DUMMYFUNCTION("""COMPUTED_VALUE"""),157.0)</f>
        <v>157</v>
      </c>
    </row>
    <row r="4">
      <c r="A4" s="2" t="s">
        <v>13</v>
      </c>
      <c r="B4" s="3">
        <f>IFERROR(__xludf.DUMMYFUNCTION("""COMPUTED_VALUE"""),40935.645833333336)</f>
        <v>40935.64583</v>
      </c>
      <c r="C4" s="2">
        <f>IFERROR(__xludf.DUMMYFUNCTION("""COMPUTED_VALUE"""),166.0)</f>
        <v>166</v>
      </c>
    </row>
    <row r="5">
      <c r="A5" s="2" t="s">
        <v>14</v>
      </c>
      <c r="B5" s="3">
        <f>IFERROR(__xludf.DUMMYFUNCTION("""COMPUTED_VALUE"""),40942.645833333336)</f>
        <v>40942.64583</v>
      </c>
      <c r="C5" s="2">
        <f>IFERROR(__xludf.DUMMYFUNCTION("""COMPUTED_VALUE"""),153.8)</f>
        <v>153.8</v>
      </c>
    </row>
    <row r="6">
      <c r="A6" s="2" t="s">
        <v>15</v>
      </c>
      <c r="B6" s="3">
        <f>IFERROR(__xludf.DUMMYFUNCTION("""COMPUTED_VALUE"""),40949.645833333336)</f>
        <v>40949.64583</v>
      </c>
      <c r="C6" s="2">
        <f>IFERROR(__xludf.DUMMYFUNCTION("""COMPUTED_VALUE"""),166.05)</f>
        <v>166.05</v>
      </c>
    </row>
    <row r="7">
      <c r="B7" s="3">
        <f>IFERROR(__xludf.DUMMYFUNCTION("""COMPUTED_VALUE"""),40956.645833333336)</f>
        <v>40956.64583</v>
      </c>
      <c r="C7" s="2">
        <f>IFERROR(__xludf.DUMMYFUNCTION("""COMPUTED_VALUE"""),176.2)</f>
        <v>176.2</v>
      </c>
    </row>
    <row r="8">
      <c r="B8" s="3">
        <f>IFERROR(__xludf.DUMMYFUNCTION("""COMPUTED_VALUE"""),40963.645833333336)</f>
        <v>40963.64583</v>
      </c>
      <c r="C8" s="2">
        <f>IFERROR(__xludf.DUMMYFUNCTION("""COMPUTED_VALUE"""),175.8)</f>
        <v>175.8</v>
      </c>
    </row>
    <row r="9">
      <c r="B9" s="3">
        <f>IFERROR(__xludf.DUMMYFUNCTION("""COMPUTED_VALUE"""),40977.645833333336)</f>
        <v>40977.64583</v>
      </c>
      <c r="C9" s="2">
        <f>IFERROR(__xludf.DUMMYFUNCTION("""COMPUTED_VALUE"""),166.2)</f>
        <v>166.2</v>
      </c>
    </row>
    <row r="10">
      <c r="B10" s="3">
        <f>IFERROR(__xludf.DUMMYFUNCTION("""COMPUTED_VALUE"""),40984.645833333336)</f>
        <v>40984.64583</v>
      </c>
      <c r="C10" s="2">
        <f>IFERROR(__xludf.DUMMYFUNCTION("""COMPUTED_VALUE"""),172.0)</f>
        <v>172</v>
      </c>
    </row>
    <row r="11">
      <c r="B11" s="3">
        <f>IFERROR(__xludf.DUMMYFUNCTION("""COMPUTED_VALUE"""),40991.645833333336)</f>
        <v>40991.64583</v>
      </c>
      <c r="C11" s="2">
        <f>IFERROR(__xludf.DUMMYFUNCTION("""COMPUTED_VALUE"""),164.38)</f>
        <v>164.38</v>
      </c>
    </row>
    <row r="12">
      <c r="B12" s="3">
        <f>IFERROR(__xludf.DUMMYFUNCTION("""COMPUTED_VALUE"""),40998.645833333336)</f>
        <v>40998.64583</v>
      </c>
      <c r="C12" s="2">
        <f>IFERROR(__xludf.DUMMYFUNCTION("""COMPUTED_VALUE"""),161.68)</f>
        <v>161.68</v>
      </c>
    </row>
    <row r="13">
      <c r="B13" s="3">
        <f>IFERROR(__xludf.DUMMYFUNCTION("""COMPUTED_VALUE"""),41003.645833333336)</f>
        <v>41003.64583</v>
      </c>
      <c r="C13" s="2">
        <f>IFERROR(__xludf.DUMMYFUNCTION("""COMPUTED_VALUE"""),162.01)</f>
        <v>162.01</v>
      </c>
    </row>
    <row r="14">
      <c r="B14" s="3">
        <f>IFERROR(__xludf.DUMMYFUNCTION("""COMPUTED_VALUE"""),41012.645833333336)</f>
        <v>41012.64583</v>
      </c>
      <c r="C14" s="2">
        <f>IFERROR(__xludf.DUMMYFUNCTION("""COMPUTED_VALUE"""),161.78)</f>
        <v>161.78</v>
      </c>
    </row>
    <row r="15">
      <c r="B15" s="3">
        <f>IFERROR(__xludf.DUMMYFUNCTION("""COMPUTED_VALUE"""),41019.645833333336)</f>
        <v>41019.64583</v>
      </c>
      <c r="C15" s="2">
        <f>IFERROR(__xludf.DUMMYFUNCTION("""COMPUTED_VALUE"""),161.4)</f>
        <v>161.4</v>
      </c>
    </row>
    <row r="16">
      <c r="B16" s="3">
        <f>IFERROR(__xludf.DUMMYFUNCTION("""COMPUTED_VALUE"""),41033.645833333336)</f>
        <v>41033.64583</v>
      </c>
      <c r="C16" s="2">
        <f>IFERROR(__xludf.DUMMYFUNCTION("""COMPUTED_VALUE"""),154.78)</f>
        <v>154.78</v>
      </c>
    </row>
    <row r="17">
      <c r="B17" s="3">
        <f>IFERROR(__xludf.DUMMYFUNCTION("""COMPUTED_VALUE"""),41040.645833333336)</f>
        <v>41040.64583</v>
      </c>
      <c r="C17" s="2">
        <f>IFERROR(__xludf.DUMMYFUNCTION("""COMPUTED_VALUE"""),139.48)</f>
        <v>139.48</v>
      </c>
    </row>
    <row r="18">
      <c r="B18" s="3">
        <f>IFERROR(__xludf.DUMMYFUNCTION("""COMPUTED_VALUE"""),41047.645833333336)</f>
        <v>41047.64583</v>
      </c>
      <c r="C18" s="2">
        <f>IFERROR(__xludf.DUMMYFUNCTION("""COMPUTED_VALUE"""),132.7)</f>
        <v>132.7</v>
      </c>
    </row>
    <row r="19">
      <c r="B19" s="3">
        <f>IFERROR(__xludf.DUMMYFUNCTION("""COMPUTED_VALUE"""),41054.645833333336)</f>
        <v>41054.64583</v>
      </c>
      <c r="C19" s="2">
        <f>IFERROR(__xludf.DUMMYFUNCTION("""COMPUTED_VALUE"""),138.37)</f>
        <v>138.37</v>
      </c>
    </row>
    <row r="20">
      <c r="B20" s="3">
        <f>IFERROR(__xludf.DUMMYFUNCTION("""COMPUTED_VALUE"""),41061.645833333336)</f>
        <v>41061.64583</v>
      </c>
      <c r="C20" s="2">
        <f>IFERROR(__xludf.DUMMYFUNCTION("""COMPUTED_VALUE"""),141.0)</f>
        <v>141</v>
      </c>
    </row>
    <row r="21" ht="15.75" customHeight="1">
      <c r="B21" s="3">
        <f>IFERROR(__xludf.DUMMYFUNCTION("""COMPUTED_VALUE"""),41068.645833333336)</f>
        <v>41068.64583</v>
      </c>
      <c r="C21" s="2">
        <f>IFERROR(__xludf.DUMMYFUNCTION("""COMPUTED_VALUE"""),145.6)</f>
        <v>145.6</v>
      </c>
    </row>
    <row r="22" ht="15.75" customHeight="1">
      <c r="B22" s="3">
        <f>IFERROR(__xludf.DUMMYFUNCTION("""COMPUTED_VALUE"""),41075.645833333336)</f>
        <v>41075.64583</v>
      </c>
      <c r="C22" s="2">
        <f>IFERROR(__xludf.DUMMYFUNCTION("""COMPUTED_VALUE"""),146.96)</f>
        <v>146.96</v>
      </c>
    </row>
    <row r="23" ht="15.75" customHeight="1">
      <c r="B23" s="3">
        <f>IFERROR(__xludf.DUMMYFUNCTION("""COMPUTED_VALUE"""),41082.645833333336)</f>
        <v>41082.64583</v>
      </c>
      <c r="C23" s="2">
        <f>IFERROR(__xludf.DUMMYFUNCTION("""COMPUTED_VALUE"""),142.6)</f>
        <v>142.6</v>
      </c>
    </row>
    <row r="24" ht="15.75" customHeight="1">
      <c r="B24" s="3">
        <f>IFERROR(__xludf.DUMMYFUNCTION("""COMPUTED_VALUE"""),41089.645833333336)</f>
        <v>41089.64583</v>
      </c>
      <c r="C24" s="2">
        <f>IFERROR(__xludf.DUMMYFUNCTION("""COMPUTED_VALUE"""),146.89)</f>
        <v>146.89</v>
      </c>
    </row>
    <row r="25" ht="15.75" customHeight="1">
      <c r="B25" s="3">
        <f>IFERROR(__xludf.DUMMYFUNCTION("""COMPUTED_VALUE"""),41096.645833333336)</f>
        <v>41096.64583</v>
      </c>
      <c r="C25" s="2">
        <f>IFERROR(__xludf.DUMMYFUNCTION("""COMPUTED_VALUE"""),147.4)</f>
        <v>147.4</v>
      </c>
    </row>
    <row r="26" ht="15.75" customHeight="1">
      <c r="B26" s="3">
        <f>IFERROR(__xludf.DUMMYFUNCTION("""COMPUTED_VALUE"""),41103.645833333336)</f>
        <v>41103.64583</v>
      </c>
      <c r="C26" s="2">
        <f>IFERROR(__xludf.DUMMYFUNCTION("""COMPUTED_VALUE"""),147.6)</f>
        <v>147.6</v>
      </c>
    </row>
    <row r="27" ht="15.75" customHeight="1">
      <c r="B27" s="3">
        <f>IFERROR(__xludf.DUMMYFUNCTION("""COMPUTED_VALUE"""),41110.645833333336)</f>
        <v>41110.64583</v>
      </c>
      <c r="C27" s="2">
        <f>IFERROR(__xludf.DUMMYFUNCTION("""COMPUTED_VALUE"""),147.17)</f>
        <v>147.17</v>
      </c>
    </row>
    <row r="28" ht="15.75" customHeight="1">
      <c r="B28" s="3">
        <f>IFERROR(__xludf.DUMMYFUNCTION("""COMPUTED_VALUE"""),41117.645833333336)</f>
        <v>41117.64583</v>
      </c>
      <c r="C28" s="2">
        <f>IFERROR(__xludf.DUMMYFUNCTION("""COMPUTED_VALUE"""),138.77)</f>
        <v>138.77</v>
      </c>
    </row>
    <row r="29" ht="15.75" customHeight="1">
      <c r="B29" s="3">
        <f>IFERROR(__xludf.DUMMYFUNCTION("""COMPUTED_VALUE"""),41124.645833333336)</f>
        <v>41124.64583</v>
      </c>
      <c r="C29" s="2">
        <f>IFERROR(__xludf.DUMMYFUNCTION("""COMPUTED_VALUE"""),135.59)</f>
        <v>135.59</v>
      </c>
    </row>
    <row r="30" ht="15.75" customHeight="1">
      <c r="B30" s="3">
        <f>IFERROR(__xludf.DUMMYFUNCTION("""COMPUTED_VALUE"""),41131.645833333336)</f>
        <v>41131.64583</v>
      </c>
      <c r="C30" s="2">
        <f>IFERROR(__xludf.DUMMYFUNCTION("""COMPUTED_VALUE"""),132.9)</f>
        <v>132.9</v>
      </c>
    </row>
    <row r="31" ht="15.75" customHeight="1">
      <c r="B31" s="3">
        <f>IFERROR(__xludf.DUMMYFUNCTION("""COMPUTED_VALUE"""),41138.645833333336)</f>
        <v>41138.64583</v>
      </c>
      <c r="C31" s="2">
        <f>IFERROR(__xludf.DUMMYFUNCTION("""COMPUTED_VALUE"""),129.88)</f>
        <v>129.88</v>
      </c>
    </row>
    <row r="32" ht="15.75" customHeight="1">
      <c r="B32" s="3">
        <f>IFERROR(__xludf.DUMMYFUNCTION("""COMPUTED_VALUE"""),41145.645833333336)</f>
        <v>41145.64583</v>
      </c>
      <c r="C32" s="2">
        <f>IFERROR(__xludf.DUMMYFUNCTION("""COMPUTED_VALUE"""),130.85)</f>
        <v>130.85</v>
      </c>
    </row>
    <row r="33" ht="15.75" customHeight="1">
      <c r="B33" s="3">
        <f>IFERROR(__xludf.DUMMYFUNCTION("""COMPUTED_VALUE"""),41152.645833333336)</f>
        <v>41152.64583</v>
      </c>
      <c r="C33" s="2">
        <f>IFERROR(__xludf.DUMMYFUNCTION("""COMPUTED_VALUE"""),128.85)</f>
        <v>128.85</v>
      </c>
    </row>
    <row r="34" ht="15.75" customHeight="1">
      <c r="B34" s="3">
        <f>IFERROR(__xludf.DUMMYFUNCTION("""COMPUTED_VALUE"""),41166.645833333336)</f>
        <v>41166.64583</v>
      </c>
      <c r="C34" s="2">
        <f>IFERROR(__xludf.DUMMYFUNCTION("""COMPUTED_VALUE"""),137.25)</f>
        <v>137.25</v>
      </c>
    </row>
    <row r="35" ht="15.75" customHeight="1">
      <c r="B35" s="3">
        <f>IFERROR(__xludf.DUMMYFUNCTION("""COMPUTED_VALUE"""),41173.645833333336)</f>
        <v>41173.64583</v>
      </c>
      <c r="C35" s="2">
        <f>IFERROR(__xludf.DUMMYFUNCTION("""COMPUTED_VALUE"""),156.98)</f>
        <v>156.98</v>
      </c>
    </row>
    <row r="36" ht="15.75" customHeight="1">
      <c r="B36" s="3">
        <f>IFERROR(__xludf.DUMMYFUNCTION("""COMPUTED_VALUE"""),41180.645833333336)</f>
        <v>41180.64583</v>
      </c>
      <c r="C36" s="2">
        <f>IFERROR(__xludf.DUMMYFUNCTION("""COMPUTED_VALUE"""),160.48)</f>
        <v>160.48</v>
      </c>
    </row>
    <row r="37" ht="15.75" customHeight="1">
      <c r="B37" s="3">
        <f>IFERROR(__xludf.DUMMYFUNCTION("""COMPUTED_VALUE"""),41187.645833333336)</f>
        <v>41187.64583</v>
      </c>
      <c r="C37" s="2">
        <f>IFERROR(__xludf.DUMMYFUNCTION("""COMPUTED_VALUE"""),161.03)</f>
        <v>161.03</v>
      </c>
    </row>
    <row r="38" ht="15.75" customHeight="1">
      <c r="B38" s="3">
        <f>IFERROR(__xludf.DUMMYFUNCTION("""COMPUTED_VALUE"""),41194.645833333336)</f>
        <v>41194.64583</v>
      </c>
      <c r="C38" s="2">
        <f>IFERROR(__xludf.DUMMYFUNCTION("""COMPUTED_VALUE"""),159.2)</f>
        <v>159.2</v>
      </c>
    </row>
    <row r="39" ht="15.75" customHeight="1">
      <c r="B39" s="3">
        <f>IFERROR(__xludf.DUMMYFUNCTION("""COMPUTED_VALUE"""),41201.645833333336)</f>
        <v>41201.64583</v>
      </c>
      <c r="C39" s="2">
        <f>IFERROR(__xludf.DUMMYFUNCTION("""COMPUTED_VALUE"""),161.88)</f>
        <v>161.88</v>
      </c>
    </row>
    <row r="40" ht="15.75" customHeight="1">
      <c r="B40" s="3">
        <f>IFERROR(__xludf.DUMMYFUNCTION("""COMPUTED_VALUE"""),41208.645833333336)</f>
        <v>41208.64583</v>
      </c>
      <c r="C40" s="2">
        <f>IFERROR(__xludf.DUMMYFUNCTION("""COMPUTED_VALUE"""),159.45)</f>
        <v>159.45</v>
      </c>
    </row>
    <row r="41" ht="15.75" customHeight="1">
      <c r="B41" s="3">
        <f>IFERROR(__xludf.DUMMYFUNCTION("""COMPUTED_VALUE"""),41215.645833333336)</f>
        <v>41215.64583</v>
      </c>
      <c r="C41" s="2">
        <f>IFERROR(__xludf.DUMMYFUNCTION("""COMPUTED_VALUE"""),153.11)</f>
        <v>153.11</v>
      </c>
    </row>
    <row r="42" ht="15.75" customHeight="1">
      <c r="B42" s="3">
        <f>IFERROR(__xludf.DUMMYFUNCTION("""COMPUTED_VALUE"""),41222.645833333336)</f>
        <v>41222.64583</v>
      </c>
      <c r="C42" s="2">
        <f>IFERROR(__xludf.DUMMYFUNCTION("""COMPUTED_VALUE"""),157.0)</f>
        <v>157</v>
      </c>
    </row>
    <row r="43" ht="15.75" customHeight="1">
      <c r="B43" s="3">
        <f>IFERROR(__xludf.DUMMYFUNCTION("""COMPUTED_VALUE"""),41229.645833333336)</f>
        <v>41229.64583</v>
      </c>
      <c r="C43" s="2">
        <f>IFERROR(__xludf.DUMMYFUNCTION("""COMPUTED_VALUE"""),153.2)</f>
        <v>153.2</v>
      </c>
    </row>
    <row r="44" ht="15.75" customHeight="1">
      <c r="B44" s="3">
        <f>IFERROR(__xludf.DUMMYFUNCTION("""COMPUTED_VALUE"""),41236.645833333336)</f>
        <v>41236.64583</v>
      </c>
      <c r="C44" s="2">
        <f>IFERROR(__xludf.DUMMYFUNCTION("""COMPUTED_VALUE"""),148.85)</f>
        <v>148.85</v>
      </c>
    </row>
    <row r="45" ht="15.75" customHeight="1">
      <c r="B45" s="3">
        <f>IFERROR(__xludf.DUMMYFUNCTION("""COMPUTED_VALUE"""),41243.645833333336)</f>
        <v>41243.64583</v>
      </c>
      <c r="C45" s="2">
        <f>IFERROR(__xludf.DUMMYFUNCTION("""COMPUTED_VALUE"""),153.96)</f>
        <v>153.96</v>
      </c>
    </row>
    <row r="46" ht="15.75" customHeight="1">
      <c r="B46" s="3">
        <f>IFERROR(__xludf.DUMMYFUNCTION("""COMPUTED_VALUE"""),41250.645833333336)</f>
        <v>41250.64583</v>
      </c>
      <c r="C46" s="2">
        <f>IFERROR(__xludf.DUMMYFUNCTION("""COMPUTED_VALUE"""),160.79)</f>
        <v>160.79</v>
      </c>
    </row>
    <row r="47" ht="15.75" customHeight="1">
      <c r="B47" s="3">
        <f>IFERROR(__xludf.DUMMYFUNCTION("""COMPUTED_VALUE"""),41257.645833333336)</f>
        <v>41257.64583</v>
      </c>
      <c r="C47" s="2">
        <f>IFERROR(__xludf.DUMMYFUNCTION("""COMPUTED_VALUE"""),169.59)</f>
        <v>169.59</v>
      </c>
    </row>
    <row r="48" ht="15.75" customHeight="1">
      <c r="B48" s="3">
        <f>IFERROR(__xludf.DUMMYFUNCTION("""COMPUTED_VALUE"""),41264.645833333336)</f>
        <v>41264.64583</v>
      </c>
      <c r="C48" s="2">
        <f>IFERROR(__xludf.DUMMYFUNCTION("""COMPUTED_VALUE"""),173.8)</f>
        <v>173.8</v>
      </c>
    </row>
    <row r="49" ht="15.75" customHeight="1">
      <c r="B49" s="3">
        <f>IFERROR(__xludf.DUMMYFUNCTION("""COMPUTED_VALUE"""),41271.645833333336)</f>
        <v>41271.64583</v>
      </c>
      <c r="C49" s="2">
        <f>IFERROR(__xludf.DUMMYFUNCTION("""COMPUTED_VALUE"""),173.6)</f>
        <v>173.6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2" t="str">
        <f>IFERROR(__xludf.DUMMYFUNCTION("GOOGLEFINANCE(""NSE:BANKBARODA"", ""high"",DATE(2013,1,1),DATE(2014,1,1),""weekly"")"),"Date")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IFERROR(__xludf.DUMMYFUNCTION("""COMPUTED_VALUE"""),41278.645833333336)</f>
        <v>41278.64583</v>
      </c>
      <c r="C57" s="2">
        <f>IFERROR(__xludf.DUMMYFUNCTION("""COMPUTED_VALUE"""),179.8)</f>
        <v>179.8</v>
      </c>
    </row>
    <row r="58" ht="15.75" customHeight="1">
      <c r="B58" s="3">
        <f>IFERROR(__xludf.DUMMYFUNCTION("""COMPUTED_VALUE"""),41285.645833333336)</f>
        <v>41285.64583</v>
      </c>
      <c r="C58" s="2">
        <f>IFERROR(__xludf.DUMMYFUNCTION("""COMPUTED_VALUE"""),178.24)</f>
        <v>178.24</v>
      </c>
    </row>
    <row r="59" ht="15.75" customHeight="1">
      <c r="B59" s="3">
        <f>IFERROR(__xludf.DUMMYFUNCTION("""COMPUTED_VALUE"""),41292.645833333336)</f>
        <v>41292.64583</v>
      </c>
      <c r="C59" s="2">
        <f>IFERROR(__xludf.DUMMYFUNCTION("""COMPUTED_VALUE"""),179.17)</f>
        <v>179.17</v>
      </c>
    </row>
    <row r="60" ht="15.75" customHeight="1">
      <c r="B60" s="3">
        <f>IFERROR(__xludf.DUMMYFUNCTION("""COMPUTED_VALUE"""),41299.645833333336)</f>
        <v>41299.64583</v>
      </c>
      <c r="C60" s="2">
        <f>IFERROR(__xludf.DUMMYFUNCTION("""COMPUTED_VALUE"""),179.6)</f>
        <v>179.6</v>
      </c>
    </row>
    <row r="61" ht="15.75" customHeight="1">
      <c r="B61" s="3">
        <f>IFERROR(__xludf.DUMMYFUNCTION("""COMPUTED_VALUE"""),41306.645833333336)</f>
        <v>41306.64583</v>
      </c>
      <c r="C61" s="2">
        <f>IFERROR(__xludf.DUMMYFUNCTION("""COMPUTED_VALUE"""),176.98)</f>
        <v>176.98</v>
      </c>
    </row>
    <row r="62" ht="15.75" customHeight="1">
      <c r="B62" s="3">
        <f>IFERROR(__xludf.DUMMYFUNCTION("""COMPUTED_VALUE"""),41313.645833333336)</f>
        <v>41313.64583</v>
      </c>
      <c r="C62" s="2">
        <f>IFERROR(__xludf.DUMMYFUNCTION("""COMPUTED_VALUE"""),175.17)</f>
        <v>175.17</v>
      </c>
    </row>
    <row r="63" ht="15.75" customHeight="1">
      <c r="B63" s="3">
        <f>IFERROR(__xludf.DUMMYFUNCTION("""COMPUTED_VALUE"""),41320.645833333336)</f>
        <v>41320.64583</v>
      </c>
      <c r="C63" s="2">
        <f>IFERROR(__xludf.DUMMYFUNCTION("""COMPUTED_VALUE"""),155.7)</f>
        <v>155.7</v>
      </c>
    </row>
    <row r="64" ht="15.75" customHeight="1">
      <c r="B64" s="3">
        <f>IFERROR(__xludf.DUMMYFUNCTION("""COMPUTED_VALUE"""),41327.645833333336)</f>
        <v>41327.64583</v>
      </c>
      <c r="C64" s="2">
        <f>IFERROR(__xludf.DUMMYFUNCTION("""COMPUTED_VALUE"""),154.48)</f>
        <v>154.48</v>
      </c>
    </row>
    <row r="65" ht="15.75" customHeight="1">
      <c r="B65" s="3">
        <f>IFERROR(__xludf.DUMMYFUNCTION("""COMPUTED_VALUE"""),41334.645833333336)</f>
        <v>41334.64583</v>
      </c>
      <c r="C65" s="2">
        <f>IFERROR(__xludf.DUMMYFUNCTION("""COMPUTED_VALUE"""),148.98)</f>
        <v>148.98</v>
      </c>
    </row>
    <row r="66" ht="15.75" customHeight="1">
      <c r="B66" s="3">
        <f>IFERROR(__xludf.DUMMYFUNCTION("""COMPUTED_VALUE"""),41341.645833333336)</f>
        <v>41341.64583</v>
      </c>
      <c r="C66" s="2">
        <f>IFERROR(__xludf.DUMMYFUNCTION("""COMPUTED_VALUE"""),148.35)</f>
        <v>148.35</v>
      </c>
    </row>
    <row r="67" ht="15.75" customHeight="1">
      <c r="B67" s="3">
        <f>IFERROR(__xludf.DUMMYFUNCTION("""COMPUTED_VALUE"""),41348.645833333336)</f>
        <v>41348.64583</v>
      </c>
      <c r="C67" s="2">
        <f>IFERROR(__xludf.DUMMYFUNCTION("""COMPUTED_VALUE"""),149.19)</f>
        <v>149.19</v>
      </c>
    </row>
    <row r="68" ht="15.75" customHeight="1">
      <c r="B68" s="3">
        <f>IFERROR(__xludf.DUMMYFUNCTION("""COMPUTED_VALUE"""),41355.645833333336)</f>
        <v>41355.64583</v>
      </c>
      <c r="C68" s="2">
        <f>IFERROR(__xludf.DUMMYFUNCTION("""COMPUTED_VALUE"""),145.41)</f>
        <v>145.41</v>
      </c>
    </row>
    <row r="69" ht="15.75" customHeight="1">
      <c r="B69" s="3">
        <f>IFERROR(__xludf.DUMMYFUNCTION("""COMPUTED_VALUE"""),41361.645833333336)</f>
        <v>41361.64583</v>
      </c>
      <c r="C69" s="2">
        <f>IFERROR(__xludf.DUMMYFUNCTION("""COMPUTED_VALUE"""),137.64)</f>
        <v>137.64</v>
      </c>
    </row>
    <row r="70" ht="15.75" customHeight="1">
      <c r="B70" s="3">
        <f>IFERROR(__xludf.DUMMYFUNCTION("""COMPUTED_VALUE"""),41369.645833333336)</f>
        <v>41369.64583</v>
      </c>
      <c r="C70" s="2">
        <f>IFERROR(__xludf.DUMMYFUNCTION("""COMPUTED_VALUE"""),140.12)</f>
        <v>140.12</v>
      </c>
    </row>
    <row r="71" ht="15.75" customHeight="1">
      <c r="B71" s="3">
        <f>IFERROR(__xludf.DUMMYFUNCTION("""COMPUTED_VALUE"""),41376.645833333336)</f>
        <v>41376.64583</v>
      </c>
      <c r="C71" s="2">
        <f>IFERROR(__xludf.DUMMYFUNCTION("""COMPUTED_VALUE"""),132.22)</f>
        <v>132.22</v>
      </c>
    </row>
    <row r="72" ht="15.75" customHeight="1">
      <c r="B72" s="3">
        <f>IFERROR(__xludf.DUMMYFUNCTION("""COMPUTED_VALUE"""),41382.645833333336)</f>
        <v>41382.64583</v>
      </c>
      <c r="C72" s="2">
        <f>IFERROR(__xludf.DUMMYFUNCTION("""COMPUTED_VALUE"""),139.4)</f>
        <v>139.4</v>
      </c>
    </row>
    <row r="73" ht="15.75" customHeight="1">
      <c r="B73" s="3">
        <f>IFERROR(__xludf.DUMMYFUNCTION("""COMPUTED_VALUE"""),41390.645833333336)</f>
        <v>41390.64583</v>
      </c>
      <c r="C73" s="2">
        <f>IFERROR(__xludf.DUMMYFUNCTION("""COMPUTED_VALUE"""),144.4)</f>
        <v>144.4</v>
      </c>
    </row>
    <row r="74" ht="15.75" customHeight="1">
      <c r="B74" s="3">
        <f>IFERROR(__xludf.DUMMYFUNCTION("""COMPUTED_VALUE"""),41397.645833333336)</f>
        <v>41397.64583</v>
      </c>
      <c r="C74" s="2">
        <f>IFERROR(__xludf.DUMMYFUNCTION("""COMPUTED_VALUE"""),143.0)</f>
        <v>143</v>
      </c>
    </row>
    <row r="75" ht="15.75" customHeight="1">
      <c r="B75" s="3">
        <f>IFERROR(__xludf.DUMMYFUNCTION("""COMPUTED_VALUE"""),41411.645833333336)</f>
        <v>41411.64583</v>
      </c>
      <c r="C75" s="2">
        <f>IFERROR(__xludf.DUMMYFUNCTION("""COMPUTED_VALUE"""),148.8)</f>
        <v>148.8</v>
      </c>
    </row>
    <row r="76" ht="15.75" customHeight="1">
      <c r="B76" s="3">
        <f>IFERROR(__xludf.DUMMYFUNCTION("""COMPUTED_VALUE"""),41418.645833333336)</f>
        <v>41418.64583</v>
      </c>
      <c r="C76" s="2">
        <f>IFERROR(__xludf.DUMMYFUNCTION("""COMPUTED_VALUE"""),151.98)</f>
        <v>151.98</v>
      </c>
    </row>
    <row r="77" ht="15.75" customHeight="1">
      <c r="B77" s="3">
        <f>IFERROR(__xludf.DUMMYFUNCTION("""COMPUTED_VALUE"""),41425.645833333336)</f>
        <v>41425.64583</v>
      </c>
      <c r="C77" s="2">
        <f>IFERROR(__xludf.DUMMYFUNCTION("""COMPUTED_VALUE"""),138.96)</f>
        <v>138.96</v>
      </c>
    </row>
    <row r="78" ht="15.75" customHeight="1">
      <c r="B78" s="3">
        <f>IFERROR(__xludf.DUMMYFUNCTION("""COMPUTED_VALUE"""),41432.645833333336)</f>
        <v>41432.64583</v>
      </c>
      <c r="C78" s="2">
        <f>IFERROR(__xludf.DUMMYFUNCTION("""COMPUTED_VALUE"""),136.3)</f>
        <v>136.3</v>
      </c>
    </row>
    <row r="79" ht="15.75" customHeight="1">
      <c r="B79" s="3">
        <f>IFERROR(__xludf.DUMMYFUNCTION("""COMPUTED_VALUE"""),41439.645833333336)</f>
        <v>41439.64583</v>
      </c>
      <c r="C79" s="2">
        <f>IFERROR(__xludf.DUMMYFUNCTION("""COMPUTED_VALUE"""),133.4)</f>
        <v>133.4</v>
      </c>
    </row>
    <row r="80" ht="15.75" customHeight="1">
      <c r="B80" s="3">
        <f>IFERROR(__xludf.DUMMYFUNCTION("""COMPUTED_VALUE"""),41446.645833333336)</f>
        <v>41446.64583</v>
      </c>
      <c r="C80" s="2">
        <f>IFERROR(__xludf.DUMMYFUNCTION("""COMPUTED_VALUE"""),128.65)</f>
        <v>128.65</v>
      </c>
    </row>
    <row r="81" ht="15.75" customHeight="1">
      <c r="B81" s="3">
        <f>IFERROR(__xludf.DUMMYFUNCTION("""COMPUTED_VALUE"""),41453.645833333336)</f>
        <v>41453.64583</v>
      </c>
      <c r="C81" s="2">
        <f>IFERROR(__xludf.DUMMYFUNCTION("""COMPUTED_VALUE"""),116.33)</f>
        <v>116.33</v>
      </c>
    </row>
    <row r="82" ht="15.75" customHeight="1">
      <c r="B82" s="3">
        <f>IFERROR(__xludf.DUMMYFUNCTION("""COMPUTED_VALUE"""),41460.645833333336)</f>
        <v>41460.64583</v>
      </c>
      <c r="C82" s="2">
        <f>IFERROR(__xludf.DUMMYFUNCTION("""COMPUTED_VALUE"""),119.35)</f>
        <v>119.35</v>
      </c>
    </row>
    <row r="83" ht="15.75" customHeight="1">
      <c r="B83" s="3">
        <f>IFERROR(__xludf.DUMMYFUNCTION("""COMPUTED_VALUE"""),41467.645833333336)</f>
        <v>41467.64583</v>
      </c>
      <c r="C83" s="2">
        <f>IFERROR(__xludf.DUMMYFUNCTION("""COMPUTED_VALUE"""),115.45)</f>
        <v>115.45</v>
      </c>
    </row>
    <row r="84" ht="15.75" customHeight="1">
      <c r="B84" s="3">
        <f>IFERROR(__xludf.DUMMYFUNCTION("""COMPUTED_VALUE"""),41474.645833333336)</f>
        <v>41474.64583</v>
      </c>
      <c r="C84" s="2">
        <f>IFERROR(__xludf.DUMMYFUNCTION("""COMPUTED_VALUE"""),119.38)</f>
        <v>119.38</v>
      </c>
    </row>
    <row r="85" ht="15.75" customHeight="1">
      <c r="B85" s="3">
        <f>IFERROR(__xludf.DUMMYFUNCTION("""COMPUTED_VALUE"""),41481.645833333336)</f>
        <v>41481.64583</v>
      </c>
      <c r="C85" s="2">
        <f>IFERROR(__xludf.DUMMYFUNCTION("""COMPUTED_VALUE"""),124.69)</f>
        <v>124.69</v>
      </c>
    </row>
    <row r="86" ht="15.75" customHeight="1">
      <c r="B86" s="3">
        <f>IFERROR(__xludf.DUMMYFUNCTION("""COMPUTED_VALUE"""),41488.645833333336)</f>
        <v>41488.64583</v>
      </c>
      <c r="C86" s="2">
        <f>IFERROR(__xludf.DUMMYFUNCTION("""COMPUTED_VALUE"""),115.21)</f>
        <v>115.21</v>
      </c>
    </row>
    <row r="87" ht="15.75" customHeight="1">
      <c r="B87" s="3">
        <f>IFERROR(__xludf.DUMMYFUNCTION("""COMPUTED_VALUE"""),41494.645833333336)</f>
        <v>41494.64583</v>
      </c>
      <c r="C87" s="2">
        <f>IFERROR(__xludf.DUMMYFUNCTION("""COMPUTED_VALUE"""),103.79)</f>
        <v>103.79</v>
      </c>
    </row>
    <row r="88" ht="15.75" customHeight="1">
      <c r="B88" s="3">
        <f>IFERROR(__xludf.DUMMYFUNCTION("""COMPUTED_VALUE"""),41502.645833333336)</f>
        <v>41502.64583</v>
      </c>
      <c r="C88" s="2">
        <f>IFERROR(__xludf.DUMMYFUNCTION("""COMPUTED_VALUE"""),105.56)</f>
        <v>105.56</v>
      </c>
    </row>
    <row r="89" ht="15.75" customHeight="1">
      <c r="B89" s="3">
        <f>IFERROR(__xludf.DUMMYFUNCTION("""COMPUTED_VALUE"""),41509.645833333336)</f>
        <v>41509.64583</v>
      </c>
      <c r="C89" s="2">
        <f>IFERROR(__xludf.DUMMYFUNCTION("""COMPUTED_VALUE"""),98.83)</f>
        <v>98.83</v>
      </c>
    </row>
    <row r="90" ht="15.75" customHeight="1">
      <c r="B90" s="3">
        <f>IFERROR(__xludf.DUMMYFUNCTION("""COMPUTED_VALUE"""),41516.645833333336)</f>
        <v>41516.64583</v>
      </c>
      <c r="C90" s="2">
        <f>IFERROR(__xludf.DUMMYFUNCTION("""COMPUTED_VALUE"""),95.79)</f>
        <v>95.79</v>
      </c>
    </row>
    <row r="91" ht="15.75" customHeight="1">
      <c r="B91" s="3">
        <f>IFERROR(__xludf.DUMMYFUNCTION("""COMPUTED_VALUE"""),41523.645833333336)</f>
        <v>41523.64583</v>
      </c>
      <c r="C91" s="2">
        <f>IFERROR(__xludf.DUMMYFUNCTION("""COMPUTED_VALUE"""),102.8)</f>
        <v>102.8</v>
      </c>
    </row>
    <row r="92" ht="15.75" customHeight="1">
      <c r="B92" s="3">
        <f>IFERROR(__xludf.DUMMYFUNCTION("""COMPUTED_VALUE"""),41530.645833333336)</f>
        <v>41530.64583</v>
      </c>
      <c r="C92" s="2">
        <f>IFERROR(__xludf.DUMMYFUNCTION("""COMPUTED_VALUE"""),107.93)</f>
        <v>107.93</v>
      </c>
    </row>
    <row r="93" ht="15.75" customHeight="1">
      <c r="B93" s="3">
        <f>IFERROR(__xludf.DUMMYFUNCTION("""COMPUTED_VALUE"""),41537.645833333336)</f>
        <v>41537.64583</v>
      </c>
      <c r="C93" s="2">
        <f>IFERROR(__xludf.DUMMYFUNCTION("""COMPUTED_VALUE"""),116.6)</f>
        <v>116.6</v>
      </c>
    </row>
    <row r="94" ht="15.75" customHeight="1">
      <c r="B94" s="3">
        <f>IFERROR(__xludf.DUMMYFUNCTION("""COMPUTED_VALUE"""),41544.645833333336)</f>
        <v>41544.64583</v>
      </c>
      <c r="C94" s="2">
        <f>IFERROR(__xludf.DUMMYFUNCTION("""COMPUTED_VALUE"""),108.6)</f>
        <v>108.6</v>
      </c>
    </row>
    <row r="95" ht="15.75" customHeight="1">
      <c r="B95" s="3">
        <f>IFERROR(__xludf.DUMMYFUNCTION("""COMPUTED_VALUE"""),41551.645833333336)</f>
        <v>41551.64583</v>
      </c>
      <c r="C95" s="2">
        <f>IFERROR(__xludf.DUMMYFUNCTION("""COMPUTED_VALUE"""),105.77)</f>
        <v>105.77</v>
      </c>
    </row>
    <row r="96" ht="15.75" customHeight="1">
      <c r="B96" s="3">
        <f>IFERROR(__xludf.DUMMYFUNCTION("""COMPUTED_VALUE"""),41558.645833333336)</f>
        <v>41558.64583</v>
      </c>
      <c r="C96" s="2">
        <f>IFERROR(__xludf.DUMMYFUNCTION("""COMPUTED_VALUE"""),113.0)</f>
        <v>113</v>
      </c>
    </row>
    <row r="97" ht="15.75" customHeight="1">
      <c r="B97" s="3">
        <f>IFERROR(__xludf.DUMMYFUNCTION("""COMPUTED_VALUE"""),41565.645833333336)</f>
        <v>41565.64583</v>
      </c>
      <c r="C97" s="2">
        <f>IFERROR(__xludf.DUMMYFUNCTION("""COMPUTED_VALUE"""),116.0)</f>
        <v>116</v>
      </c>
    </row>
    <row r="98" ht="15.75" customHeight="1">
      <c r="B98" s="3">
        <f>IFERROR(__xludf.DUMMYFUNCTION("""COMPUTED_VALUE"""),41572.645833333336)</f>
        <v>41572.64583</v>
      </c>
      <c r="C98" s="2">
        <f>IFERROR(__xludf.DUMMYFUNCTION("""COMPUTED_VALUE"""),122.54)</f>
        <v>122.54</v>
      </c>
    </row>
    <row r="99" ht="15.75" customHeight="1">
      <c r="B99" s="3">
        <f>IFERROR(__xludf.DUMMYFUNCTION("""COMPUTED_VALUE"""),41579.645833333336)</f>
        <v>41579.64583</v>
      </c>
      <c r="C99" s="2">
        <f>IFERROR(__xludf.DUMMYFUNCTION("""COMPUTED_VALUE"""),139.2)</f>
        <v>139.2</v>
      </c>
    </row>
    <row r="100" ht="15.75" customHeight="1">
      <c r="B100" s="3">
        <f>IFERROR(__xludf.DUMMYFUNCTION("""COMPUTED_VALUE"""),41586.645833333336)</f>
        <v>41586.64583</v>
      </c>
      <c r="C100" s="2">
        <f>IFERROR(__xludf.DUMMYFUNCTION("""COMPUTED_VALUE"""),137.6)</f>
        <v>137.6</v>
      </c>
    </row>
    <row r="101" ht="15.75" customHeight="1">
      <c r="B101" s="3">
        <f>IFERROR(__xludf.DUMMYFUNCTION("""COMPUTED_VALUE"""),41592.645833333336)</f>
        <v>41592.64583</v>
      </c>
      <c r="C101" s="2">
        <f>IFERROR(__xludf.DUMMYFUNCTION("""COMPUTED_VALUE"""),122.28)</f>
        <v>122.28</v>
      </c>
    </row>
    <row r="102" ht="15.75" customHeight="1">
      <c r="B102" s="3">
        <f>IFERROR(__xludf.DUMMYFUNCTION("""COMPUTED_VALUE"""),41600.645833333336)</f>
        <v>41600.64583</v>
      </c>
      <c r="C102" s="2">
        <f>IFERROR(__xludf.DUMMYFUNCTION("""COMPUTED_VALUE"""),128.74)</f>
        <v>128.74</v>
      </c>
    </row>
    <row r="103" ht="15.75" customHeight="1">
      <c r="B103" s="3">
        <f>IFERROR(__xludf.DUMMYFUNCTION("""COMPUTED_VALUE"""),41607.645833333336)</f>
        <v>41607.64583</v>
      </c>
      <c r="C103" s="2">
        <f>IFERROR(__xludf.DUMMYFUNCTION("""COMPUTED_VALUE"""),129.6)</f>
        <v>129.6</v>
      </c>
    </row>
    <row r="104" ht="15.75" customHeight="1">
      <c r="B104" s="3">
        <f>IFERROR(__xludf.DUMMYFUNCTION("""COMPUTED_VALUE"""),41614.645833333336)</f>
        <v>41614.64583</v>
      </c>
      <c r="C104" s="2">
        <f>IFERROR(__xludf.DUMMYFUNCTION("""COMPUTED_VALUE"""),137.74)</f>
        <v>137.74</v>
      </c>
    </row>
    <row r="105" ht="15.75" customHeight="1">
      <c r="B105" s="3">
        <f>IFERROR(__xludf.DUMMYFUNCTION("""COMPUTED_VALUE"""),41621.645833333336)</f>
        <v>41621.64583</v>
      </c>
      <c r="C105" s="2">
        <f>IFERROR(__xludf.DUMMYFUNCTION("""COMPUTED_VALUE"""),143.39)</f>
        <v>143.39</v>
      </c>
    </row>
    <row r="106" ht="15.75" customHeight="1">
      <c r="B106" s="3">
        <f>IFERROR(__xludf.DUMMYFUNCTION("""COMPUTED_VALUE"""),41628.645833333336)</f>
        <v>41628.64583</v>
      </c>
      <c r="C106" s="2">
        <f>IFERROR(__xludf.DUMMYFUNCTION("""COMPUTED_VALUE"""),134.52)</f>
        <v>134.52</v>
      </c>
    </row>
    <row r="107" ht="15.75" customHeight="1">
      <c r="B107" s="3">
        <f>IFERROR(__xludf.DUMMYFUNCTION("""COMPUTED_VALUE"""),41635.645833333336)</f>
        <v>41635.64583</v>
      </c>
      <c r="C107" s="2">
        <f>IFERROR(__xludf.DUMMYFUNCTION("""COMPUTED_VALUE"""),133.86)</f>
        <v>133.86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IFERROR(__xludf.DUMMYFUNCTION("GOOGLEFINANCE(""NSE:BANKBARODA"", ""high"",DATE(2014,1,1),DATE(2015,1,1),""weekly"")"),"Date")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IFERROR(__xludf.DUMMYFUNCTION("""COMPUTED_VALUE"""),41642.645833333336)</f>
        <v>41642.64583</v>
      </c>
      <c r="C112" s="2">
        <f>IFERROR(__xludf.DUMMYFUNCTION("""COMPUTED_VALUE"""),136.32)</f>
        <v>136.32</v>
      </c>
    </row>
    <row r="113" ht="15.75" customHeight="1">
      <c r="B113" s="3">
        <f>IFERROR(__xludf.DUMMYFUNCTION("""COMPUTED_VALUE"""),41649.645833333336)</f>
        <v>41649.64583</v>
      </c>
      <c r="C113" s="2">
        <f>IFERROR(__xludf.DUMMYFUNCTION("""COMPUTED_VALUE"""),130.0)</f>
        <v>130</v>
      </c>
    </row>
    <row r="114" ht="15.75" customHeight="1">
      <c r="B114" s="3">
        <f>IFERROR(__xludf.DUMMYFUNCTION("""COMPUTED_VALUE"""),41656.645833333336)</f>
        <v>41656.64583</v>
      </c>
      <c r="C114" s="2">
        <f>IFERROR(__xludf.DUMMYFUNCTION("""COMPUTED_VALUE"""),129.96)</f>
        <v>129.96</v>
      </c>
    </row>
    <row r="115" ht="15.75" customHeight="1">
      <c r="B115" s="3">
        <f>IFERROR(__xludf.DUMMYFUNCTION("""COMPUTED_VALUE"""),41663.645833333336)</f>
        <v>41663.64583</v>
      </c>
      <c r="C115" s="2">
        <f>IFERROR(__xludf.DUMMYFUNCTION("""COMPUTED_VALUE"""),128.56)</f>
        <v>128.56</v>
      </c>
    </row>
    <row r="116" ht="15.75" customHeight="1">
      <c r="B116" s="3">
        <f>IFERROR(__xludf.DUMMYFUNCTION("""COMPUTED_VALUE"""),41670.645833333336)</f>
        <v>41670.64583</v>
      </c>
      <c r="C116" s="2">
        <f>IFERROR(__xludf.DUMMYFUNCTION("""COMPUTED_VALUE"""),118.65)</f>
        <v>118.65</v>
      </c>
    </row>
    <row r="117" ht="15.75" customHeight="1">
      <c r="B117" s="3">
        <f>IFERROR(__xludf.DUMMYFUNCTION("""COMPUTED_VALUE"""),41677.645833333336)</f>
        <v>41677.64583</v>
      </c>
      <c r="C117" s="2">
        <f>IFERROR(__xludf.DUMMYFUNCTION("""COMPUTED_VALUE"""),112.15)</f>
        <v>112.15</v>
      </c>
    </row>
    <row r="118" ht="15.75" customHeight="1">
      <c r="B118" s="3">
        <f>IFERROR(__xludf.DUMMYFUNCTION("""COMPUTED_VALUE"""),41684.645833333336)</f>
        <v>41684.64583</v>
      </c>
      <c r="C118" s="2">
        <f>IFERROR(__xludf.DUMMYFUNCTION("""COMPUTED_VALUE"""),115.4)</f>
        <v>115.4</v>
      </c>
    </row>
    <row r="119" ht="15.75" customHeight="1">
      <c r="B119" s="3">
        <f>IFERROR(__xludf.DUMMYFUNCTION("""COMPUTED_VALUE"""),41691.645833333336)</f>
        <v>41691.64583</v>
      </c>
      <c r="C119" s="2">
        <f>IFERROR(__xludf.DUMMYFUNCTION("""COMPUTED_VALUE"""),109.1)</f>
        <v>109.1</v>
      </c>
    </row>
    <row r="120" ht="15.75" customHeight="1">
      <c r="B120" s="3">
        <f>IFERROR(__xludf.DUMMYFUNCTION("""COMPUTED_VALUE"""),41698.645833333336)</f>
        <v>41698.64583</v>
      </c>
      <c r="C120" s="2">
        <f>IFERROR(__xludf.DUMMYFUNCTION("""COMPUTED_VALUE"""),110.88)</f>
        <v>110.88</v>
      </c>
    </row>
    <row r="121" ht="15.75" customHeight="1">
      <c r="B121" s="3">
        <f>IFERROR(__xludf.DUMMYFUNCTION("""COMPUTED_VALUE"""),41705.645833333336)</f>
        <v>41705.64583</v>
      </c>
      <c r="C121" s="2">
        <f>IFERROR(__xludf.DUMMYFUNCTION("""COMPUTED_VALUE"""),131.66)</f>
        <v>131.66</v>
      </c>
    </row>
    <row r="122" ht="15.75" customHeight="1">
      <c r="B122" s="3">
        <f>IFERROR(__xludf.DUMMYFUNCTION("""COMPUTED_VALUE"""),41712.645833333336)</f>
        <v>41712.64583</v>
      </c>
      <c r="C122" s="2">
        <f>IFERROR(__xludf.DUMMYFUNCTION("""COMPUTED_VALUE"""),134.6)</f>
        <v>134.6</v>
      </c>
    </row>
    <row r="123" ht="15.75" customHeight="1">
      <c r="B123" s="3">
        <f>IFERROR(__xludf.DUMMYFUNCTION("""COMPUTED_VALUE"""),41726.645833333336)</f>
        <v>41726.64583</v>
      </c>
      <c r="C123" s="2">
        <f>IFERROR(__xludf.DUMMYFUNCTION("""COMPUTED_VALUE"""),148.0)</f>
        <v>148</v>
      </c>
    </row>
    <row r="124" ht="15.75" customHeight="1">
      <c r="B124" s="3">
        <f>IFERROR(__xludf.DUMMYFUNCTION("""COMPUTED_VALUE"""),41733.645833333336)</f>
        <v>41733.64583</v>
      </c>
      <c r="C124" s="2">
        <f>IFERROR(__xludf.DUMMYFUNCTION("""COMPUTED_VALUE"""),156.34)</f>
        <v>156.34</v>
      </c>
    </row>
    <row r="125" ht="15.75" customHeight="1">
      <c r="B125" s="3">
        <f>IFERROR(__xludf.DUMMYFUNCTION("""COMPUTED_VALUE"""),41740.645833333336)</f>
        <v>41740.64583</v>
      </c>
      <c r="C125" s="2">
        <f>IFERROR(__xludf.DUMMYFUNCTION("""COMPUTED_VALUE"""),159.62)</f>
        <v>159.62</v>
      </c>
    </row>
    <row r="126" ht="15.75" customHeight="1">
      <c r="B126" s="3">
        <f>IFERROR(__xludf.DUMMYFUNCTION("""COMPUTED_VALUE"""),41746.645833333336)</f>
        <v>41746.64583</v>
      </c>
      <c r="C126" s="2">
        <f>IFERROR(__xludf.DUMMYFUNCTION("""COMPUTED_VALUE"""),156.79)</f>
        <v>156.79</v>
      </c>
    </row>
    <row r="127" ht="15.75" customHeight="1">
      <c r="B127" s="3">
        <f>IFERROR(__xludf.DUMMYFUNCTION("""COMPUTED_VALUE"""),41754.645833333336)</f>
        <v>41754.64583</v>
      </c>
      <c r="C127" s="2">
        <f>IFERROR(__xludf.DUMMYFUNCTION("""COMPUTED_VALUE"""),164.6)</f>
        <v>164.6</v>
      </c>
    </row>
    <row r="128" ht="15.75" customHeight="1">
      <c r="B128" s="3">
        <f>IFERROR(__xludf.DUMMYFUNCTION("""COMPUTED_VALUE"""),41761.645833333336)</f>
        <v>41761.64583</v>
      </c>
      <c r="C128" s="2">
        <f>IFERROR(__xludf.DUMMYFUNCTION("""COMPUTED_VALUE"""),167.57)</f>
        <v>167.57</v>
      </c>
    </row>
    <row r="129" ht="15.75" customHeight="1">
      <c r="B129" s="3">
        <f>IFERROR(__xludf.DUMMYFUNCTION("""COMPUTED_VALUE"""),41768.645833333336)</f>
        <v>41768.64583</v>
      </c>
      <c r="C129" s="2">
        <f>IFERROR(__xludf.DUMMYFUNCTION("""COMPUTED_VALUE"""),166.72)</f>
        <v>166.72</v>
      </c>
    </row>
    <row r="130" ht="15.75" customHeight="1">
      <c r="B130" s="3">
        <f>IFERROR(__xludf.DUMMYFUNCTION("""COMPUTED_VALUE"""),41775.645833333336)</f>
        <v>41775.64583</v>
      </c>
      <c r="C130" s="2">
        <f>IFERROR(__xludf.DUMMYFUNCTION("""COMPUTED_VALUE"""),202.0)</f>
        <v>202</v>
      </c>
    </row>
    <row r="131" ht="15.75" customHeight="1">
      <c r="B131" s="3">
        <f>IFERROR(__xludf.DUMMYFUNCTION("""COMPUTED_VALUE"""),41782.645833333336)</f>
        <v>41782.64583</v>
      </c>
      <c r="C131" s="2">
        <f>IFERROR(__xludf.DUMMYFUNCTION("""COMPUTED_VALUE"""),199.0)</f>
        <v>199</v>
      </c>
    </row>
    <row r="132" ht="15.75" customHeight="1">
      <c r="B132" s="3">
        <f>IFERROR(__xludf.DUMMYFUNCTION("""COMPUTED_VALUE"""),41789.645833333336)</f>
        <v>41789.64583</v>
      </c>
      <c r="C132" s="2">
        <f>IFERROR(__xludf.DUMMYFUNCTION("""COMPUTED_VALUE"""),194.91)</f>
        <v>194.91</v>
      </c>
    </row>
    <row r="133" ht="15.75" customHeight="1">
      <c r="B133" s="3">
        <f>IFERROR(__xludf.DUMMYFUNCTION("""COMPUTED_VALUE"""),41796.645833333336)</f>
        <v>41796.64583</v>
      </c>
      <c r="C133" s="2">
        <f>IFERROR(__xludf.DUMMYFUNCTION("""COMPUTED_VALUE"""),183.16)</f>
        <v>183.16</v>
      </c>
    </row>
    <row r="134" ht="15.75" customHeight="1">
      <c r="B134" s="3">
        <f>IFERROR(__xludf.DUMMYFUNCTION("""COMPUTED_VALUE"""),41803.645833333336)</f>
        <v>41803.64583</v>
      </c>
      <c r="C134" s="2">
        <f>IFERROR(__xludf.DUMMYFUNCTION("""COMPUTED_VALUE"""),183.6)</f>
        <v>183.6</v>
      </c>
    </row>
    <row r="135" ht="15.75" customHeight="1">
      <c r="B135" s="3">
        <f>IFERROR(__xludf.DUMMYFUNCTION("""COMPUTED_VALUE"""),41810.645833333336)</f>
        <v>41810.64583</v>
      </c>
      <c r="C135" s="2">
        <f>IFERROR(__xludf.DUMMYFUNCTION("""COMPUTED_VALUE"""),177.44)</f>
        <v>177.44</v>
      </c>
    </row>
    <row r="136" ht="15.75" customHeight="1">
      <c r="B136" s="3">
        <f>IFERROR(__xludf.DUMMYFUNCTION("""COMPUTED_VALUE"""),41817.645833333336)</f>
        <v>41817.64583</v>
      </c>
      <c r="C136" s="2">
        <f>IFERROR(__xludf.DUMMYFUNCTION("""COMPUTED_VALUE"""),175.2)</f>
        <v>175.2</v>
      </c>
    </row>
    <row r="137" ht="15.75" customHeight="1">
      <c r="B137" s="3">
        <f>IFERROR(__xludf.DUMMYFUNCTION("""COMPUTED_VALUE"""),41824.645833333336)</f>
        <v>41824.64583</v>
      </c>
      <c r="C137" s="2">
        <f>IFERROR(__xludf.DUMMYFUNCTION("""COMPUTED_VALUE"""),179.44)</f>
        <v>179.44</v>
      </c>
    </row>
    <row r="138" ht="15.75" customHeight="1">
      <c r="B138" s="3">
        <f>IFERROR(__xludf.DUMMYFUNCTION("""COMPUTED_VALUE"""),41831.645833333336)</f>
        <v>41831.64583</v>
      </c>
      <c r="C138" s="2">
        <f>IFERROR(__xludf.DUMMYFUNCTION("""COMPUTED_VALUE"""),176.4)</f>
        <v>176.4</v>
      </c>
    </row>
    <row r="139" ht="15.75" customHeight="1">
      <c r="B139" s="3">
        <f>IFERROR(__xludf.DUMMYFUNCTION("""COMPUTED_VALUE"""),41838.645833333336)</f>
        <v>41838.64583</v>
      </c>
      <c r="C139" s="2">
        <f>IFERROR(__xludf.DUMMYFUNCTION("""COMPUTED_VALUE"""),170.0)</f>
        <v>170</v>
      </c>
    </row>
    <row r="140" ht="15.75" customHeight="1">
      <c r="B140" s="3">
        <f>IFERROR(__xludf.DUMMYFUNCTION("""COMPUTED_VALUE"""),41845.645833333336)</f>
        <v>41845.64583</v>
      </c>
      <c r="C140" s="2">
        <f>IFERROR(__xludf.DUMMYFUNCTION("""COMPUTED_VALUE"""),177.38)</f>
        <v>177.38</v>
      </c>
    </row>
    <row r="141" ht="15.75" customHeight="1">
      <c r="B141" s="3">
        <f>IFERROR(__xludf.DUMMYFUNCTION("""COMPUTED_VALUE"""),41852.645833333336)</f>
        <v>41852.64583</v>
      </c>
      <c r="C141" s="2">
        <f>IFERROR(__xludf.DUMMYFUNCTION("""COMPUTED_VALUE"""),180.05)</f>
        <v>180.05</v>
      </c>
    </row>
    <row r="142" ht="15.75" customHeight="1">
      <c r="B142" s="3">
        <f>IFERROR(__xludf.DUMMYFUNCTION("""COMPUTED_VALUE"""),41859.645833333336)</f>
        <v>41859.64583</v>
      </c>
      <c r="C142" s="2">
        <f>IFERROR(__xludf.DUMMYFUNCTION("""COMPUTED_VALUE"""),183.85)</f>
        <v>183.85</v>
      </c>
    </row>
    <row r="143" ht="15.75" customHeight="1">
      <c r="B143" s="3">
        <f>IFERROR(__xludf.DUMMYFUNCTION("""COMPUTED_VALUE"""),41865.645833333336)</f>
        <v>41865.64583</v>
      </c>
      <c r="C143" s="2">
        <f>IFERROR(__xludf.DUMMYFUNCTION("""COMPUTED_VALUE"""),183.86)</f>
        <v>183.86</v>
      </c>
    </row>
    <row r="144" ht="15.75" customHeight="1">
      <c r="B144" s="3">
        <f>IFERROR(__xludf.DUMMYFUNCTION("""COMPUTED_VALUE"""),41873.645833333336)</f>
        <v>41873.64583</v>
      </c>
      <c r="C144" s="2">
        <f>IFERROR(__xludf.DUMMYFUNCTION("""COMPUTED_VALUE"""),185.94)</f>
        <v>185.94</v>
      </c>
    </row>
    <row r="145" ht="15.75" customHeight="1">
      <c r="B145" s="3">
        <f>IFERROR(__xludf.DUMMYFUNCTION("""COMPUTED_VALUE"""),41879.645833333336)</f>
        <v>41879.64583</v>
      </c>
      <c r="C145" s="2">
        <f>IFERROR(__xludf.DUMMYFUNCTION("""COMPUTED_VALUE"""),186.2)</f>
        <v>186.2</v>
      </c>
    </row>
    <row r="146" ht="15.75" customHeight="1">
      <c r="B146" s="3">
        <f>IFERROR(__xludf.DUMMYFUNCTION("""COMPUTED_VALUE"""),41887.645833333336)</f>
        <v>41887.64583</v>
      </c>
      <c r="C146" s="2">
        <f>IFERROR(__xludf.DUMMYFUNCTION("""COMPUTED_VALUE"""),180.78)</f>
        <v>180.78</v>
      </c>
    </row>
    <row r="147" ht="15.75" customHeight="1">
      <c r="B147" s="3">
        <f>IFERROR(__xludf.DUMMYFUNCTION("""COMPUTED_VALUE"""),41894.645833333336)</f>
        <v>41894.64583</v>
      </c>
      <c r="C147" s="2">
        <f>IFERROR(__xludf.DUMMYFUNCTION("""COMPUTED_VALUE"""),189.76)</f>
        <v>189.76</v>
      </c>
    </row>
    <row r="148" ht="15.75" customHeight="1">
      <c r="B148" s="3">
        <f>IFERROR(__xludf.DUMMYFUNCTION("""COMPUTED_VALUE"""),41901.645833333336)</f>
        <v>41901.64583</v>
      </c>
      <c r="C148" s="2">
        <f>IFERROR(__xludf.DUMMYFUNCTION("""COMPUTED_VALUE"""),193.35)</f>
        <v>193.35</v>
      </c>
    </row>
    <row r="149" ht="15.75" customHeight="1">
      <c r="B149" s="3">
        <f>IFERROR(__xludf.DUMMYFUNCTION("""COMPUTED_VALUE"""),41908.645833333336)</f>
        <v>41908.64583</v>
      </c>
      <c r="C149" s="2">
        <f>IFERROR(__xludf.DUMMYFUNCTION("""COMPUTED_VALUE"""),192.74)</f>
        <v>192.74</v>
      </c>
    </row>
    <row r="150" ht="15.75" customHeight="1">
      <c r="B150" s="3">
        <f>IFERROR(__xludf.DUMMYFUNCTION("""COMPUTED_VALUE"""),41913.645833333336)</f>
        <v>41913.64583</v>
      </c>
      <c r="C150" s="2">
        <f>IFERROR(__xludf.DUMMYFUNCTION("""COMPUTED_VALUE"""),181.7)</f>
        <v>181.7</v>
      </c>
    </row>
    <row r="151" ht="15.75" customHeight="1">
      <c r="B151" s="3">
        <f>IFERROR(__xludf.DUMMYFUNCTION("""COMPUTED_VALUE"""),41922.645833333336)</f>
        <v>41922.64583</v>
      </c>
      <c r="C151" s="2">
        <f>IFERROR(__xludf.DUMMYFUNCTION("""COMPUTED_VALUE"""),179.98)</f>
        <v>179.98</v>
      </c>
    </row>
    <row r="152" ht="15.75" customHeight="1">
      <c r="B152" s="3">
        <f>IFERROR(__xludf.DUMMYFUNCTION("""COMPUTED_VALUE"""),41929.645833333336)</f>
        <v>41929.64583</v>
      </c>
      <c r="C152" s="2">
        <f>IFERROR(__xludf.DUMMYFUNCTION("""COMPUTED_VALUE"""),177.1)</f>
        <v>177.1</v>
      </c>
    </row>
    <row r="153" ht="15.75" customHeight="1">
      <c r="B153" s="3">
        <f>IFERROR(__xludf.DUMMYFUNCTION("""COMPUTED_VALUE"""),41935.645833333336)</f>
        <v>41935.64583</v>
      </c>
      <c r="C153" s="2">
        <f>IFERROR(__xludf.DUMMYFUNCTION("""COMPUTED_VALUE"""),179.4)</f>
        <v>179.4</v>
      </c>
    </row>
    <row r="154" ht="15.75" customHeight="1">
      <c r="B154" s="3">
        <f>IFERROR(__xludf.DUMMYFUNCTION("""COMPUTED_VALUE"""),41943.645833333336)</f>
        <v>41943.64583</v>
      </c>
      <c r="C154" s="2">
        <f>IFERROR(__xludf.DUMMYFUNCTION("""COMPUTED_VALUE"""),186.6)</f>
        <v>186.6</v>
      </c>
    </row>
    <row r="155" ht="15.75" customHeight="1">
      <c r="B155" s="3">
        <f>IFERROR(__xludf.DUMMYFUNCTION("""COMPUTED_VALUE"""),41950.645833333336)</f>
        <v>41950.64583</v>
      </c>
      <c r="C155" s="2">
        <f>IFERROR(__xludf.DUMMYFUNCTION("""COMPUTED_VALUE"""),194.0)</f>
        <v>194</v>
      </c>
    </row>
    <row r="156" ht="15.75" customHeight="1">
      <c r="B156" s="3">
        <f>IFERROR(__xludf.DUMMYFUNCTION("""COMPUTED_VALUE"""),41957.64583333333)</f>
        <v>41957.64583</v>
      </c>
      <c r="C156" s="2">
        <f>IFERROR(__xludf.DUMMYFUNCTION("""COMPUTED_VALUE"""),204.8)</f>
        <v>204.8</v>
      </c>
    </row>
    <row r="157" ht="15.75" customHeight="1">
      <c r="B157" s="3">
        <f>IFERROR(__xludf.DUMMYFUNCTION("""COMPUTED_VALUE"""),41964.64583333333)</f>
        <v>41964.64583</v>
      </c>
      <c r="C157" s="2">
        <f>IFERROR(__xludf.DUMMYFUNCTION("""COMPUTED_VALUE"""),213.68)</f>
        <v>213.68</v>
      </c>
    </row>
    <row r="158" ht="15.75" customHeight="1">
      <c r="B158" s="3">
        <f>IFERROR(__xludf.DUMMYFUNCTION("""COMPUTED_VALUE"""),41971.64583333333)</f>
        <v>41971.64583</v>
      </c>
      <c r="C158" s="2">
        <f>IFERROR(__xludf.DUMMYFUNCTION("""COMPUTED_VALUE"""),219.89)</f>
        <v>219.89</v>
      </c>
    </row>
    <row r="159" ht="15.75" customHeight="1">
      <c r="B159" s="3">
        <f>IFERROR(__xludf.DUMMYFUNCTION("""COMPUTED_VALUE"""),41978.64583333333)</f>
        <v>41978.64583</v>
      </c>
      <c r="C159" s="2">
        <f>IFERROR(__xludf.DUMMYFUNCTION("""COMPUTED_VALUE"""),223.95)</f>
        <v>223.95</v>
      </c>
    </row>
    <row r="160" ht="15.75" customHeight="1">
      <c r="B160" s="3">
        <f>IFERROR(__xludf.DUMMYFUNCTION("""COMPUTED_VALUE"""),41985.64583333333)</f>
        <v>41985.64583</v>
      </c>
      <c r="C160" s="2">
        <f>IFERROR(__xludf.DUMMYFUNCTION("""COMPUTED_VALUE"""),224.99)</f>
        <v>224.99</v>
      </c>
    </row>
    <row r="161" ht="15.75" customHeight="1">
      <c r="B161" s="3">
        <f>IFERROR(__xludf.DUMMYFUNCTION("""COMPUTED_VALUE"""),41992.64583333333)</f>
        <v>41992.64583</v>
      </c>
      <c r="C161" s="2">
        <f>IFERROR(__xludf.DUMMYFUNCTION("""COMPUTED_VALUE"""),216.21)</f>
        <v>216.21</v>
      </c>
    </row>
    <row r="162" ht="15.75" customHeight="1">
      <c r="B162" s="3">
        <f>IFERROR(__xludf.DUMMYFUNCTION("""COMPUTED_VALUE"""),41999.64583333333)</f>
        <v>41999.64583</v>
      </c>
      <c r="C162" s="2">
        <f>IFERROR(__xludf.DUMMYFUNCTION("""COMPUTED_VALUE"""),215.98)</f>
        <v>215.98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IFERROR(__xludf.DUMMYFUNCTION("GOOGLEFINANCE(""NSE:BANKBARODA"", ""high"",DATE(2015,1,1),DATE(2016,1,1),""weekly"")"),"Date")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IFERROR(__xludf.DUMMYFUNCTION("""COMPUTED_VALUE"""),42006.64583333333)</f>
        <v>42006.64583</v>
      </c>
      <c r="C167" s="2">
        <f>IFERROR(__xludf.DUMMYFUNCTION("""COMPUTED_VALUE"""),220.38)</f>
        <v>220.38</v>
      </c>
    </row>
    <row r="168" ht="15.75" customHeight="1">
      <c r="B168" s="3">
        <f>IFERROR(__xludf.DUMMYFUNCTION("""COMPUTED_VALUE"""),42013.64583333333)</f>
        <v>42013.64583</v>
      </c>
      <c r="C168" s="2">
        <f>IFERROR(__xludf.DUMMYFUNCTION("""COMPUTED_VALUE"""),221.7)</f>
        <v>221.7</v>
      </c>
    </row>
    <row r="169" ht="15.75" customHeight="1">
      <c r="B169" s="3">
        <f>IFERROR(__xludf.DUMMYFUNCTION("""COMPUTED_VALUE"""),42020.64583333333)</f>
        <v>42020.64583</v>
      </c>
      <c r="C169" s="2">
        <f>IFERROR(__xludf.DUMMYFUNCTION("""COMPUTED_VALUE"""),224.4)</f>
        <v>224.4</v>
      </c>
    </row>
    <row r="170" ht="15.75" customHeight="1">
      <c r="B170" s="3">
        <f>IFERROR(__xludf.DUMMYFUNCTION("""COMPUTED_VALUE"""),42027.64583333333)</f>
        <v>42027.64583</v>
      </c>
      <c r="C170" s="2">
        <f>IFERROR(__xludf.DUMMYFUNCTION("""COMPUTED_VALUE"""),228.9)</f>
        <v>228.9</v>
      </c>
    </row>
    <row r="171" ht="15.75" customHeight="1">
      <c r="B171" s="3">
        <f>IFERROR(__xludf.DUMMYFUNCTION("""COMPUTED_VALUE"""),42034.64583333333)</f>
        <v>42034.64583</v>
      </c>
      <c r="C171" s="2">
        <f>IFERROR(__xludf.DUMMYFUNCTION("""COMPUTED_VALUE"""),227.85)</f>
        <v>227.85</v>
      </c>
    </row>
    <row r="172" ht="15.75" customHeight="1">
      <c r="B172" s="3">
        <f>IFERROR(__xludf.DUMMYFUNCTION("""COMPUTED_VALUE"""),42041.64583333333)</f>
        <v>42041.64583</v>
      </c>
      <c r="C172" s="2">
        <f>IFERROR(__xludf.DUMMYFUNCTION("""COMPUTED_VALUE"""),192.05)</f>
        <v>192.05</v>
      </c>
    </row>
    <row r="173" ht="15.75" customHeight="1">
      <c r="B173" s="3">
        <f>IFERROR(__xludf.DUMMYFUNCTION("""COMPUTED_VALUE"""),42048.64583333333)</f>
        <v>42048.64583</v>
      </c>
      <c r="C173" s="2">
        <f>IFERROR(__xludf.DUMMYFUNCTION("""COMPUTED_VALUE"""),185.3)</f>
        <v>185.3</v>
      </c>
    </row>
    <row r="174" ht="15.75" customHeight="1">
      <c r="B174" s="3">
        <f>IFERROR(__xludf.DUMMYFUNCTION("""COMPUTED_VALUE"""),42055.64583333333)</f>
        <v>42055.64583</v>
      </c>
      <c r="C174" s="2">
        <f>IFERROR(__xludf.DUMMYFUNCTION("""COMPUTED_VALUE"""),186.9)</f>
        <v>186.9</v>
      </c>
    </row>
    <row r="175" ht="15.75" customHeight="1">
      <c r="B175" s="3">
        <f>IFERROR(__xludf.DUMMYFUNCTION("""COMPUTED_VALUE"""),42068.64583333333)</f>
        <v>42068.64583</v>
      </c>
      <c r="C175" s="2">
        <f>IFERROR(__xludf.DUMMYFUNCTION("""COMPUTED_VALUE"""),198.7)</f>
        <v>198.7</v>
      </c>
    </row>
    <row r="176" ht="15.75" customHeight="1">
      <c r="B176" s="3">
        <f>IFERROR(__xludf.DUMMYFUNCTION("""COMPUTED_VALUE"""),42076.64583333333)</f>
        <v>42076.64583</v>
      </c>
      <c r="C176" s="2">
        <f>IFERROR(__xludf.DUMMYFUNCTION("""COMPUTED_VALUE"""),182.9)</f>
        <v>182.9</v>
      </c>
    </row>
    <row r="177" ht="15.75" customHeight="1">
      <c r="B177" s="3">
        <f>IFERROR(__xludf.DUMMYFUNCTION("""COMPUTED_VALUE"""),42083.64583333333)</f>
        <v>42083.64583</v>
      </c>
      <c r="C177" s="2">
        <f>IFERROR(__xludf.DUMMYFUNCTION("""COMPUTED_VALUE"""),185.25)</f>
        <v>185.25</v>
      </c>
    </row>
    <row r="178" ht="15.75" customHeight="1">
      <c r="B178" s="3">
        <f>IFERROR(__xludf.DUMMYFUNCTION("""COMPUTED_VALUE"""),42090.64583333333)</f>
        <v>42090.64583</v>
      </c>
      <c r="C178" s="2">
        <f>IFERROR(__xludf.DUMMYFUNCTION("""COMPUTED_VALUE"""),173.85)</f>
        <v>173.85</v>
      </c>
    </row>
    <row r="179" ht="15.75" customHeight="1">
      <c r="B179" s="3">
        <f>IFERROR(__xludf.DUMMYFUNCTION("""COMPUTED_VALUE"""),42095.64583333333)</f>
        <v>42095.64583</v>
      </c>
      <c r="C179" s="2">
        <f>IFERROR(__xludf.DUMMYFUNCTION("""COMPUTED_VALUE"""),170.4)</f>
        <v>170.4</v>
      </c>
    </row>
    <row r="180" ht="15.75" customHeight="1">
      <c r="B180" s="3">
        <f>IFERROR(__xludf.DUMMYFUNCTION("""COMPUTED_VALUE"""),42104.64583333333)</f>
        <v>42104.64583</v>
      </c>
      <c r="C180" s="2">
        <f>IFERROR(__xludf.DUMMYFUNCTION("""COMPUTED_VALUE"""),175.25)</f>
        <v>175.25</v>
      </c>
    </row>
    <row r="181" ht="15.75" customHeight="1">
      <c r="B181" s="3">
        <f>IFERROR(__xludf.DUMMYFUNCTION("""COMPUTED_VALUE"""),42111.64583333333)</f>
        <v>42111.64583</v>
      </c>
      <c r="C181" s="2">
        <f>IFERROR(__xludf.DUMMYFUNCTION("""COMPUTED_VALUE"""),180.95)</f>
        <v>180.95</v>
      </c>
    </row>
    <row r="182" ht="15.75" customHeight="1">
      <c r="B182" s="3">
        <f>IFERROR(__xludf.DUMMYFUNCTION("""COMPUTED_VALUE"""),42118.64583333333)</f>
        <v>42118.64583</v>
      </c>
      <c r="C182" s="2">
        <f>IFERROR(__xludf.DUMMYFUNCTION("""COMPUTED_VALUE"""),182.9)</f>
        <v>182.9</v>
      </c>
    </row>
    <row r="183" ht="15.75" customHeight="1">
      <c r="B183" s="3">
        <f>IFERROR(__xludf.DUMMYFUNCTION("""COMPUTED_VALUE"""),42124.64583333333)</f>
        <v>42124.64583</v>
      </c>
      <c r="C183" s="2">
        <f>IFERROR(__xludf.DUMMYFUNCTION("""COMPUTED_VALUE"""),174.8)</f>
        <v>174.8</v>
      </c>
    </row>
    <row r="184" ht="15.75" customHeight="1">
      <c r="B184" s="3">
        <f>IFERROR(__xludf.DUMMYFUNCTION("""COMPUTED_VALUE"""),42132.64583333333)</f>
        <v>42132.64583</v>
      </c>
      <c r="C184" s="2">
        <f>IFERROR(__xludf.DUMMYFUNCTION("""COMPUTED_VALUE"""),172.65)</f>
        <v>172.65</v>
      </c>
    </row>
    <row r="185" ht="15.75" customHeight="1">
      <c r="B185" s="3">
        <f>IFERROR(__xludf.DUMMYFUNCTION("""COMPUTED_VALUE"""),42139.64583333333)</f>
        <v>42139.64583</v>
      </c>
      <c r="C185" s="2">
        <f>IFERROR(__xludf.DUMMYFUNCTION("""COMPUTED_VALUE"""),171.0)</f>
        <v>171</v>
      </c>
    </row>
    <row r="186" ht="15.75" customHeight="1">
      <c r="B186" s="3">
        <f>IFERROR(__xludf.DUMMYFUNCTION("""COMPUTED_VALUE"""),42146.64583333333)</f>
        <v>42146.64583</v>
      </c>
      <c r="C186" s="2">
        <f>IFERROR(__xludf.DUMMYFUNCTION("""COMPUTED_VALUE"""),163.5)</f>
        <v>163.5</v>
      </c>
    </row>
    <row r="187" ht="15.75" customHeight="1">
      <c r="B187" s="3">
        <f>IFERROR(__xludf.DUMMYFUNCTION("""COMPUTED_VALUE"""),42153.64583333333)</f>
        <v>42153.64583</v>
      </c>
      <c r="C187" s="2">
        <f>IFERROR(__xludf.DUMMYFUNCTION("""COMPUTED_VALUE"""),163.4)</f>
        <v>163.4</v>
      </c>
    </row>
    <row r="188" ht="15.75" customHeight="1">
      <c r="B188" s="3">
        <f>IFERROR(__xludf.DUMMYFUNCTION("""COMPUTED_VALUE"""),42160.64583333333)</f>
        <v>42160.64583</v>
      </c>
      <c r="C188" s="2">
        <f>IFERROR(__xludf.DUMMYFUNCTION("""COMPUTED_VALUE"""),165.5)</f>
        <v>165.5</v>
      </c>
    </row>
    <row r="189" ht="15.75" customHeight="1">
      <c r="B189" s="3">
        <f>IFERROR(__xludf.DUMMYFUNCTION("""COMPUTED_VALUE"""),42167.64583333333)</f>
        <v>42167.64583</v>
      </c>
      <c r="C189" s="2">
        <f>IFERROR(__xludf.DUMMYFUNCTION("""COMPUTED_VALUE"""),160.6)</f>
        <v>160.6</v>
      </c>
    </row>
    <row r="190" ht="15.75" customHeight="1">
      <c r="B190" s="3">
        <f>IFERROR(__xludf.DUMMYFUNCTION("""COMPUTED_VALUE"""),42174.64583333333)</f>
        <v>42174.64583</v>
      </c>
      <c r="C190" s="2">
        <f>IFERROR(__xludf.DUMMYFUNCTION("""COMPUTED_VALUE"""),146.3)</f>
        <v>146.3</v>
      </c>
    </row>
    <row r="191" ht="15.75" customHeight="1">
      <c r="B191" s="3">
        <f>IFERROR(__xludf.DUMMYFUNCTION("""COMPUTED_VALUE"""),42181.64583333333)</f>
        <v>42181.64583</v>
      </c>
      <c r="C191" s="2">
        <f>IFERROR(__xludf.DUMMYFUNCTION("""COMPUTED_VALUE"""),152.5)</f>
        <v>152.5</v>
      </c>
    </row>
    <row r="192" ht="15.75" customHeight="1">
      <c r="B192" s="3">
        <f>IFERROR(__xludf.DUMMYFUNCTION("""COMPUTED_VALUE"""),42188.64583333333)</f>
        <v>42188.64583</v>
      </c>
      <c r="C192" s="2">
        <f>IFERROR(__xludf.DUMMYFUNCTION("""COMPUTED_VALUE"""),152.3)</f>
        <v>152.3</v>
      </c>
    </row>
    <row r="193" ht="15.75" customHeight="1">
      <c r="B193" s="3">
        <f>IFERROR(__xludf.DUMMYFUNCTION("""COMPUTED_VALUE"""),42195.64583333333)</f>
        <v>42195.64583</v>
      </c>
      <c r="C193" s="2">
        <f>IFERROR(__xludf.DUMMYFUNCTION("""COMPUTED_VALUE"""),156.9)</f>
        <v>156.9</v>
      </c>
    </row>
    <row r="194" ht="15.75" customHeight="1">
      <c r="B194" s="3">
        <f>IFERROR(__xludf.DUMMYFUNCTION("""COMPUTED_VALUE"""),42202.64583333333)</f>
        <v>42202.64583</v>
      </c>
      <c r="C194" s="2">
        <f>IFERROR(__xludf.DUMMYFUNCTION("""COMPUTED_VALUE"""),158.1)</f>
        <v>158.1</v>
      </c>
    </row>
    <row r="195" ht="15.75" customHeight="1">
      <c r="B195" s="3">
        <f>IFERROR(__xludf.DUMMYFUNCTION("""COMPUTED_VALUE"""),42209.64583333333)</f>
        <v>42209.64583</v>
      </c>
      <c r="C195" s="2">
        <f>IFERROR(__xludf.DUMMYFUNCTION("""COMPUTED_VALUE"""),157.8)</f>
        <v>157.8</v>
      </c>
    </row>
    <row r="196" ht="15.75" customHeight="1">
      <c r="B196" s="3">
        <f>IFERROR(__xludf.DUMMYFUNCTION("""COMPUTED_VALUE"""),42216.64583333333)</f>
        <v>42216.64583</v>
      </c>
      <c r="C196" s="2">
        <f>IFERROR(__xludf.DUMMYFUNCTION("""COMPUTED_VALUE"""),179.4)</f>
        <v>179.4</v>
      </c>
    </row>
    <row r="197" ht="15.75" customHeight="1">
      <c r="B197" s="3">
        <f>IFERROR(__xludf.DUMMYFUNCTION("""COMPUTED_VALUE"""),42223.64583333333)</f>
        <v>42223.64583</v>
      </c>
      <c r="C197" s="2">
        <f>IFERROR(__xludf.DUMMYFUNCTION("""COMPUTED_VALUE"""),192.85)</f>
        <v>192.85</v>
      </c>
    </row>
    <row r="198" ht="15.75" customHeight="1">
      <c r="B198" s="3">
        <f>IFERROR(__xludf.DUMMYFUNCTION("""COMPUTED_VALUE"""),42230.64583333333)</f>
        <v>42230.64583</v>
      </c>
      <c r="C198" s="2">
        <f>IFERROR(__xludf.DUMMYFUNCTION("""COMPUTED_VALUE"""),186.7)</f>
        <v>186.7</v>
      </c>
    </row>
    <row r="199" ht="15.75" customHeight="1">
      <c r="B199" s="3">
        <f>IFERROR(__xludf.DUMMYFUNCTION("""COMPUTED_VALUE"""),42237.64583333333)</f>
        <v>42237.64583</v>
      </c>
      <c r="C199" s="2">
        <f>IFERROR(__xludf.DUMMYFUNCTION("""COMPUTED_VALUE"""),216.3)</f>
        <v>216.3</v>
      </c>
    </row>
    <row r="200" ht="15.75" customHeight="1">
      <c r="B200" s="3">
        <f>IFERROR(__xludf.DUMMYFUNCTION("""COMPUTED_VALUE"""),42244.64583333333)</f>
        <v>42244.64583</v>
      </c>
      <c r="C200" s="2">
        <f>IFERROR(__xludf.DUMMYFUNCTION("""COMPUTED_VALUE"""),193.2)</f>
        <v>193.2</v>
      </c>
    </row>
    <row r="201" ht="15.75" customHeight="1">
      <c r="B201" s="3">
        <f>IFERROR(__xludf.DUMMYFUNCTION("""COMPUTED_VALUE"""),42251.64583333333)</f>
        <v>42251.64583</v>
      </c>
      <c r="C201" s="2">
        <f>IFERROR(__xludf.DUMMYFUNCTION("""COMPUTED_VALUE"""),189.8)</f>
        <v>189.8</v>
      </c>
    </row>
    <row r="202" ht="15.75" customHeight="1">
      <c r="B202" s="3">
        <f>IFERROR(__xludf.DUMMYFUNCTION("""COMPUTED_VALUE"""),42258.64583333333)</f>
        <v>42258.64583</v>
      </c>
      <c r="C202" s="2">
        <f>IFERROR(__xludf.DUMMYFUNCTION("""COMPUTED_VALUE"""),185.0)</f>
        <v>185</v>
      </c>
    </row>
    <row r="203" ht="15.75" customHeight="1">
      <c r="B203" s="3">
        <f>IFERROR(__xludf.DUMMYFUNCTION("""COMPUTED_VALUE"""),42265.64583333333)</f>
        <v>42265.64583</v>
      </c>
      <c r="C203" s="2">
        <f>IFERROR(__xludf.DUMMYFUNCTION("""COMPUTED_VALUE"""),192.25)</f>
        <v>192.25</v>
      </c>
    </row>
    <row r="204" ht="15.75" customHeight="1">
      <c r="B204" s="3">
        <f>IFERROR(__xludf.DUMMYFUNCTION("""COMPUTED_VALUE"""),42271.64583333333)</f>
        <v>42271.64583</v>
      </c>
      <c r="C204" s="2">
        <f>IFERROR(__xludf.DUMMYFUNCTION("""COMPUTED_VALUE"""),196.25)</f>
        <v>196.25</v>
      </c>
    </row>
    <row r="205" ht="15.75" customHeight="1">
      <c r="B205" s="3">
        <f>IFERROR(__xludf.DUMMYFUNCTION("""COMPUTED_VALUE"""),42278.64583333333)</f>
        <v>42278.64583</v>
      </c>
      <c r="C205" s="2">
        <f>IFERROR(__xludf.DUMMYFUNCTION("""COMPUTED_VALUE"""),189.4)</f>
        <v>189.4</v>
      </c>
    </row>
    <row r="206" ht="15.75" customHeight="1">
      <c r="B206" s="3">
        <f>IFERROR(__xludf.DUMMYFUNCTION("""COMPUTED_VALUE"""),42286.64583333333)</f>
        <v>42286.64583</v>
      </c>
      <c r="C206" s="2">
        <f>IFERROR(__xludf.DUMMYFUNCTION("""COMPUTED_VALUE"""),191.0)</f>
        <v>191</v>
      </c>
    </row>
    <row r="207" ht="15.75" customHeight="1">
      <c r="B207" s="3">
        <f>IFERROR(__xludf.DUMMYFUNCTION("""COMPUTED_VALUE"""),42300.64583333333)</f>
        <v>42300.64583</v>
      </c>
      <c r="C207" s="2">
        <f>IFERROR(__xludf.DUMMYFUNCTION("""COMPUTED_VALUE"""),178.85)</f>
        <v>178.85</v>
      </c>
    </row>
    <row r="208" ht="15.75" customHeight="1">
      <c r="B208" s="3">
        <f>IFERROR(__xludf.DUMMYFUNCTION("""COMPUTED_VALUE"""),42307.64583333333)</f>
        <v>42307.64583</v>
      </c>
      <c r="C208" s="2">
        <f>IFERROR(__xludf.DUMMYFUNCTION("""COMPUTED_VALUE"""),174.9)</f>
        <v>174.9</v>
      </c>
    </row>
    <row r="209" ht="15.75" customHeight="1">
      <c r="B209" s="3">
        <f>IFERROR(__xludf.DUMMYFUNCTION("""COMPUTED_VALUE"""),42314.64583333333)</f>
        <v>42314.64583</v>
      </c>
      <c r="C209" s="2">
        <f>IFERROR(__xludf.DUMMYFUNCTION("""COMPUTED_VALUE"""),169.2)</f>
        <v>169.2</v>
      </c>
    </row>
    <row r="210" ht="15.75" customHeight="1">
      <c r="B210" s="3">
        <f>IFERROR(__xludf.DUMMYFUNCTION("""COMPUTED_VALUE"""),42321.64583333333)</f>
        <v>42321.64583</v>
      </c>
      <c r="C210" s="2">
        <f>IFERROR(__xludf.DUMMYFUNCTION("""COMPUTED_VALUE"""),175.35)</f>
        <v>175.35</v>
      </c>
    </row>
    <row r="211" ht="15.75" customHeight="1">
      <c r="B211" s="3">
        <f>IFERROR(__xludf.DUMMYFUNCTION("""COMPUTED_VALUE"""),42328.64583333333)</f>
        <v>42328.64583</v>
      </c>
      <c r="C211" s="2">
        <f>IFERROR(__xludf.DUMMYFUNCTION("""COMPUTED_VALUE"""),177.4)</f>
        <v>177.4</v>
      </c>
    </row>
    <row r="212" ht="15.75" customHeight="1">
      <c r="B212" s="3">
        <f>IFERROR(__xludf.DUMMYFUNCTION("""COMPUTED_VALUE"""),42335.64583333333)</f>
        <v>42335.64583</v>
      </c>
      <c r="C212" s="2">
        <f>IFERROR(__xludf.DUMMYFUNCTION("""COMPUTED_VALUE"""),180.25)</f>
        <v>180.25</v>
      </c>
    </row>
    <row r="213" ht="15.75" customHeight="1">
      <c r="B213" s="3">
        <f>IFERROR(__xludf.DUMMYFUNCTION("""COMPUTED_VALUE"""),42342.64583333333)</f>
        <v>42342.64583</v>
      </c>
      <c r="C213" s="2">
        <f>IFERROR(__xludf.DUMMYFUNCTION("""COMPUTED_VALUE"""),180.8)</f>
        <v>180.8</v>
      </c>
    </row>
    <row r="214" ht="15.75" customHeight="1">
      <c r="B214" s="3">
        <f>IFERROR(__xludf.DUMMYFUNCTION("""COMPUTED_VALUE"""),42349.64583333333)</f>
        <v>42349.64583</v>
      </c>
      <c r="C214" s="2">
        <f>IFERROR(__xludf.DUMMYFUNCTION("""COMPUTED_VALUE"""),170.0)</f>
        <v>170</v>
      </c>
    </row>
    <row r="215" ht="15.75" customHeight="1">
      <c r="B215" s="3">
        <f>IFERROR(__xludf.DUMMYFUNCTION("""COMPUTED_VALUE"""),42356.64583333333)</f>
        <v>42356.64583</v>
      </c>
      <c r="C215" s="2">
        <f>IFERROR(__xludf.DUMMYFUNCTION("""COMPUTED_VALUE"""),163.4)</f>
        <v>163.4</v>
      </c>
    </row>
    <row r="216" ht="15.75" customHeight="1">
      <c r="B216" s="3">
        <f>IFERROR(__xludf.DUMMYFUNCTION("""COMPUTED_VALUE"""),42362.64583333333)</f>
        <v>42362.64583</v>
      </c>
      <c r="C216" s="2">
        <f>IFERROR(__xludf.DUMMYFUNCTION("""COMPUTED_VALUE"""),161.4)</f>
        <v>161.4</v>
      </c>
    </row>
    <row r="217" ht="15.75" customHeight="1">
      <c r="B217" s="3">
        <f>IFERROR(__xludf.DUMMYFUNCTION("""COMPUTED_VALUE"""),42370.64583333333)</f>
        <v>42370.64583</v>
      </c>
      <c r="C217" s="2">
        <f>IFERROR(__xludf.DUMMYFUNCTION("""COMPUTED_VALUE"""),159.95)</f>
        <v>159.95</v>
      </c>
    </row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IFERROR(__xludf.DUMMYFUNCTION("GOOGLEFINANCE(""NSE:BANKBARODA"", ""high"",DATE(2016,1,1),DATE(2017,1,1),""weekly"")"),"Date")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IFERROR(__xludf.DUMMYFUNCTION("""COMPUTED_VALUE"""),42377.64583333333)</f>
        <v>42377.64583</v>
      </c>
      <c r="C222" s="2">
        <f>IFERROR(__xludf.DUMMYFUNCTION("""COMPUTED_VALUE"""),158.8)</f>
        <v>158.8</v>
      </c>
    </row>
    <row r="223" ht="15.75" customHeight="1">
      <c r="B223" s="3">
        <f>IFERROR(__xludf.DUMMYFUNCTION("""COMPUTED_VALUE"""),42384.64583333333)</f>
        <v>42384.64583</v>
      </c>
      <c r="C223" s="2">
        <f>IFERROR(__xludf.DUMMYFUNCTION("""COMPUTED_VALUE"""),140.4)</f>
        <v>140.4</v>
      </c>
    </row>
    <row r="224" ht="15.75" customHeight="1">
      <c r="B224" s="3">
        <f>IFERROR(__xludf.DUMMYFUNCTION("""COMPUTED_VALUE"""),42391.64583333333)</f>
        <v>42391.64583</v>
      </c>
      <c r="C224" s="2">
        <f>IFERROR(__xludf.DUMMYFUNCTION("""COMPUTED_VALUE"""),131.6)</f>
        <v>131.6</v>
      </c>
    </row>
    <row r="225" ht="15.75" customHeight="1">
      <c r="B225" s="3">
        <f>IFERROR(__xludf.DUMMYFUNCTION("""COMPUTED_VALUE"""),42398.64583333333)</f>
        <v>42398.64583</v>
      </c>
      <c r="C225" s="2">
        <f>IFERROR(__xludf.DUMMYFUNCTION("""COMPUTED_VALUE"""),133.15)</f>
        <v>133.15</v>
      </c>
    </row>
    <row r="226" ht="15.75" customHeight="1">
      <c r="B226" s="3">
        <f>IFERROR(__xludf.DUMMYFUNCTION("""COMPUTED_VALUE"""),42405.64583333333)</f>
        <v>42405.64583</v>
      </c>
      <c r="C226" s="2">
        <f>IFERROR(__xludf.DUMMYFUNCTION("""COMPUTED_VALUE"""),128.05)</f>
        <v>128.05</v>
      </c>
    </row>
    <row r="227" ht="15.75" customHeight="1">
      <c r="B227" s="3">
        <f>IFERROR(__xludf.DUMMYFUNCTION("""COMPUTED_VALUE"""),42419.64583333333)</f>
        <v>42419.64583</v>
      </c>
      <c r="C227" s="2">
        <f>IFERROR(__xludf.DUMMYFUNCTION("""COMPUTED_VALUE"""),146.25)</f>
        <v>146.25</v>
      </c>
    </row>
    <row r="228" ht="15.75" customHeight="1">
      <c r="B228" s="3">
        <f>IFERROR(__xludf.DUMMYFUNCTION("""COMPUTED_VALUE"""),42426.64583333333)</f>
        <v>42426.64583</v>
      </c>
      <c r="C228" s="2">
        <f>IFERROR(__xludf.DUMMYFUNCTION("""COMPUTED_VALUE"""),141.5)</f>
        <v>141.5</v>
      </c>
    </row>
    <row r="229" ht="15.75" customHeight="1">
      <c r="B229" s="3">
        <f>IFERROR(__xludf.DUMMYFUNCTION("""COMPUTED_VALUE"""),42433.64583333333)</f>
        <v>42433.64583</v>
      </c>
      <c r="C229" s="2">
        <f>IFERROR(__xludf.DUMMYFUNCTION("""COMPUTED_VALUE"""),152.1)</f>
        <v>152.1</v>
      </c>
    </row>
    <row r="230" ht="15.75" customHeight="1">
      <c r="B230" s="3">
        <f>IFERROR(__xludf.DUMMYFUNCTION("""COMPUTED_VALUE"""),42440.64583333333)</f>
        <v>42440.64583</v>
      </c>
      <c r="C230" s="2">
        <f>IFERROR(__xludf.DUMMYFUNCTION("""COMPUTED_VALUE"""),147.45)</f>
        <v>147.45</v>
      </c>
    </row>
    <row r="231" ht="15.75" customHeight="1">
      <c r="B231" s="3">
        <f>IFERROR(__xludf.DUMMYFUNCTION("""COMPUTED_VALUE"""),42447.64583333333)</f>
        <v>42447.64583</v>
      </c>
      <c r="C231" s="2">
        <f>IFERROR(__xludf.DUMMYFUNCTION("""COMPUTED_VALUE"""),146.7)</f>
        <v>146.7</v>
      </c>
    </row>
    <row r="232" ht="15.75" customHeight="1">
      <c r="B232" s="3">
        <f>IFERROR(__xludf.DUMMYFUNCTION("""COMPUTED_VALUE"""),42452.64583333333)</f>
        <v>42452.64583</v>
      </c>
      <c r="C232" s="2">
        <f>IFERROR(__xludf.DUMMYFUNCTION("""COMPUTED_VALUE"""),147.8)</f>
        <v>147.8</v>
      </c>
    </row>
    <row r="233" ht="15.75" customHeight="1">
      <c r="B233" s="3">
        <f>IFERROR(__xludf.DUMMYFUNCTION("""COMPUTED_VALUE"""),42461.64583333333)</f>
        <v>42461.64583</v>
      </c>
      <c r="C233" s="2">
        <f>IFERROR(__xludf.DUMMYFUNCTION("""COMPUTED_VALUE"""),153.5)</f>
        <v>153.5</v>
      </c>
    </row>
    <row r="234" ht="15.75" customHeight="1">
      <c r="B234" s="3">
        <f>IFERROR(__xludf.DUMMYFUNCTION("""COMPUTED_VALUE"""),42468.64583333333)</f>
        <v>42468.64583</v>
      </c>
      <c r="C234" s="2">
        <f>IFERROR(__xludf.DUMMYFUNCTION("""COMPUTED_VALUE"""),154.15)</f>
        <v>154.15</v>
      </c>
    </row>
    <row r="235" ht="15.75" customHeight="1">
      <c r="B235" s="3">
        <f>IFERROR(__xludf.DUMMYFUNCTION("""COMPUTED_VALUE"""),42473.64583333333)</f>
        <v>42473.64583</v>
      </c>
      <c r="C235" s="2">
        <f>IFERROR(__xludf.DUMMYFUNCTION("""COMPUTED_VALUE"""),153.9)</f>
        <v>153.9</v>
      </c>
    </row>
    <row r="236" ht="15.75" customHeight="1">
      <c r="B236" s="3">
        <f>IFERROR(__xludf.DUMMYFUNCTION("""COMPUTED_VALUE"""),42482.64583333333)</f>
        <v>42482.64583</v>
      </c>
      <c r="C236" s="2">
        <f>IFERROR(__xludf.DUMMYFUNCTION("""COMPUTED_VALUE"""),163.9)</f>
        <v>163.9</v>
      </c>
    </row>
    <row r="237" ht="15.75" customHeight="1">
      <c r="B237" s="3">
        <f>IFERROR(__xludf.DUMMYFUNCTION("""COMPUTED_VALUE"""),42489.64583333333)</f>
        <v>42489.64583</v>
      </c>
      <c r="C237" s="2">
        <f>IFERROR(__xludf.DUMMYFUNCTION("""COMPUTED_VALUE"""),163.35)</f>
        <v>163.35</v>
      </c>
    </row>
    <row r="238" ht="15.75" customHeight="1">
      <c r="B238" s="3">
        <f>IFERROR(__xludf.DUMMYFUNCTION("""COMPUTED_VALUE"""),42496.64583333333)</f>
        <v>42496.64583</v>
      </c>
      <c r="C238" s="2">
        <f>IFERROR(__xludf.DUMMYFUNCTION("""COMPUTED_VALUE"""),159.4)</f>
        <v>159.4</v>
      </c>
    </row>
    <row r="239" ht="15.75" customHeight="1">
      <c r="B239" s="3">
        <f>IFERROR(__xludf.DUMMYFUNCTION("""COMPUTED_VALUE"""),42503.64583333333)</f>
        <v>42503.64583</v>
      </c>
      <c r="C239" s="2">
        <f>IFERROR(__xludf.DUMMYFUNCTION("""COMPUTED_VALUE"""),160.15)</f>
        <v>160.15</v>
      </c>
    </row>
    <row r="240" ht="15.75" customHeight="1">
      <c r="B240" s="3">
        <f>IFERROR(__xludf.DUMMYFUNCTION("""COMPUTED_VALUE"""),42510.64583333333)</f>
        <v>42510.64583</v>
      </c>
      <c r="C240" s="2">
        <f>IFERROR(__xludf.DUMMYFUNCTION("""COMPUTED_VALUE"""),150.0)</f>
        <v>150</v>
      </c>
    </row>
    <row r="241" ht="15.75" customHeight="1">
      <c r="B241" s="3">
        <f>IFERROR(__xludf.DUMMYFUNCTION("""COMPUTED_VALUE"""),42517.64583333333)</f>
        <v>42517.64583</v>
      </c>
      <c r="C241" s="2">
        <f>IFERROR(__xludf.DUMMYFUNCTION("""COMPUTED_VALUE"""),140.8)</f>
        <v>140.8</v>
      </c>
    </row>
    <row r="242" ht="15.75" customHeight="1">
      <c r="B242" s="3">
        <f>IFERROR(__xludf.DUMMYFUNCTION("""COMPUTED_VALUE"""),42524.64583333333)</f>
        <v>42524.64583</v>
      </c>
      <c r="C242" s="2">
        <f>IFERROR(__xludf.DUMMYFUNCTION("""COMPUTED_VALUE"""),144.45)</f>
        <v>144.45</v>
      </c>
    </row>
    <row r="243" ht="15.75" customHeight="1">
      <c r="B243" s="3">
        <f>IFERROR(__xludf.DUMMYFUNCTION("""COMPUTED_VALUE"""),42531.64583333333)</f>
        <v>42531.64583</v>
      </c>
      <c r="C243" s="2">
        <f>IFERROR(__xludf.DUMMYFUNCTION("""COMPUTED_VALUE"""),151.65)</f>
        <v>151.65</v>
      </c>
    </row>
    <row r="244" ht="15.75" customHeight="1">
      <c r="B244" s="3">
        <f>IFERROR(__xludf.DUMMYFUNCTION("""COMPUTED_VALUE"""),42538.64583333333)</f>
        <v>42538.64583</v>
      </c>
      <c r="C244" s="2">
        <f>IFERROR(__xludf.DUMMYFUNCTION("""COMPUTED_VALUE"""),153.7)</f>
        <v>153.7</v>
      </c>
    </row>
    <row r="245" ht="15.75" customHeight="1">
      <c r="B245" s="3">
        <f>IFERROR(__xludf.DUMMYFUNCTION("""COMPUTED_VALUE"""),42545.64583333333)</f>
        <v>42545.64583</v>
      </c>
      <c r="C245" s="2">
        <f>IFERROR(__xludf.DUMMYFUNCTION("""COMPUTED_VALUE"""),153.3)</f>
        <v>153.3</v>
      </c>
    </row>
    <row r="246" ht="15.75" customHeight="1">
      <c r="B246" s="3">
        <f>IFERROR(__xludf.DUMMYFUNCTION("""COMPUTED_VALUE"""),42552.64583333333)</f>
        <v>42552.64583</v>
      </c>
      <c r="C246" s="2">
        <f>IFERROR(__xludf.DUMMYFUNCTION("""COMPUTED_VALUE"""),157.85)</f>
        <v>157.85</v>
      </c>
    </row>
    <row r="247" ht="15.75" customHeight="1">
      <c r="B247" s="3">
        <f>IFERROR(__xludf.DUMMYFUNCTION("""COMPUTED_VALUE"""),42559.64583333333)</f>
        <v>42559.64583</v>
      </c>
      <c r="C247" s="2">
        <f>IFERROR(__xludf.DUMMYFUNCTION("""COMPUTED_VALUE"""),162.3)</f>
        <v>162.3</v>
      </c>
    </row>
    <row r="248" ht="15.75" customHeight="1">
      <c r="B248" s="3">
        <f>IFERROR(__xludf.DUMMYFUNCTION("""COMPUTED_VALUE"""),42566.64583333333)</f>
        <v>42566.64583</v>
      </c>
      <c r="C248" s="2">
        <f>IFERROR(__xludf.DUMMYFUNCTION("""COMPUTED_VALUE"""),168.8)</f>
        <v>168.8</v>
      </c>
    </row>
    <row r="249" ht="15.75" customHeight="1">
      <c r="B249" s="3">
        <f>IFERROR(__xludf.DUMMYFUNCTION("""COMPUTED_VALUE"""),42573.64583333333)</f>
        <v>42573.64583</v>
      </c>
      <c r="C249" s="2">
        <f>IFERROR(__xludf.DUMMYFUNCTION("""COMPUTED_VALUE"""),166.55)</f>
        <v>166.55</v>
      </c>
    </row>
    <row r="250" ht="15.75" customHeight="1">
      <c r="B250" s="3">
        <f>IFERROR(__xludf.DUMMYFUNCTION("""COMPUTED_VALUE"""),42580.64583333333)</f>
        <v>42580.64583</v>
      </c>
      <c r="C250" s="2">
        <f>IFERROR(__xludf.DUMMYFUNCTION("""COMPUTED_VALUE"""),158.75)</f>
        <v>158.75</v>
      </c>
    </row>
    <row r="251" ht="15.75" customHeight="1">
      <c r="B251" s="3">
        <f>IFERROR(__xludf.DUMMYFUNCTION("""COMPUTED_VALUE"""),42587.64583333333)</f>
        <v>42587.64583</v>
      </c>
      <c r="C251" s="2">
        <f>IFERROR(__xludf.DUMMYFUNCTION("""COMPUTED_VALUE"""),159.7)</f>
        <v>159.7</v>
      </c>
    </row>
    <row r="252" ht="15.75" customHeight="1">
      <c r="B252" s="3">
        <f>IFERROR(__xludf.DUMMYFUNCTION("""COMPUTED_VALUE"""),42594.64583333333)</f>
        <v>42594.64583</v>
      </c>
      <c r="C252" s="2">
        <f>IFERROR(__xludf.DUMMYFUNCTION("""COMPUTED_VALUE"""),161.25)</f>
        <v>161.25</v>
      </c>
    </row>
    <row r="253" ht="15.75" customHeight="1">
      <c r="B253" s="3">
        <f>IFERROR(__xludf.DUMMYFUNCTION("""COMPUTED_VALUE"""),42601.64583333333)</f>
        <v>42601.64583</v>
      </c>
      <c r="C253" s="2">
        <f>IFERROR(__xludf.DUMMYFUNCTION("""COMPUTED_VALUE"""),162.8)</f>
        <v>162.8</v>
      </c>
    </row>
    <row r="254" ht="15.75" customHeight="1">
      <c r="B254" s="3">
        <f>IFERROR(__xludf.DUMMYFUNCTION("""COMPUTED_VALUE"""),42608.64583333333)</f>
        <v>42608.64583</v>
      </c>
      <c r="C254" s="2">
        <f>IFERROR(__xludf.DUMMYFUNCTION("""COMPUTED_VALUE"""),165.25)</f>
        <v>165.25</v>
      </c>
    </row>
    <row r="255" ht="15.75" customHeight="1">
      <c r="B255" s="3">
        <f>IFERROR(__xludf.DUMMYFUNCTION("""COMPUTED_VALUE"""),42615.64583333333)</f>
        <v>42615.64583</v>
      </c>
      <c r="C255" s="2">
        <f>IFERROR(__xludf.DUMMYFUNCTION("""COMPUTED_VALUE"""),166.9)</f>
        <v>166.9</v>
      </c>
    </row>
    <row r="256" ht="15.75" customHeight="1">
      <c r="B256" s="3">
        <f>IFERROR(__xludf.DUMMYFUNCTION("""COMPUTED_VALUE"""),42622.64583333333)</f>
        <v>42622.64583</v>
      </c>
      <c r="C256" s="2">
        <f>IFERROR(__xludf.DUMMYFUNCTION("""COMPUTED_VALUE"""),177.65)</f>
        <v>177.65</v>
      </c>
    </row>
    <row r="257" ht="15.75" customHeight="1">
      <c r="B257" s="3">
        <f>IFERROR(__xludf.DUMMYFUNCTION("""COMPUTED_VALUE"""),42629.64583333333)</f>
        <v>42629.64583</v>
      </c>
      <c r="C257" s="2">
        <f>IFERROR(__xludf.DUMMYFUNCTION("""COMPUTED_VALUE"""),171.35)</f>
        <v>171.35</v>
      </c>
    </row>
    <row r="258" ht="15.75" customHeight="1">
      <c r="B258" s="3">
        <f>IFERROR(__xludf.DUMMYFUNCTION("""COMPUTED_VALUE"""),42636.64583333333)</f>
        <v>42636.64583</v>
      </c>
      <c r="C258" s="2">
        <f>IFERROR(__xludf.DUMMYFUNCTION("""COMPUTED_VALUE"""),172.4)</f>
        <v>172.4</v>
      </c>
    </row>
    <row r="259" ht="15.75" customHeight="1">
      <c r="B259" s="3">
        <f>IFERROR(__xludf.DUMMYFUNCTION("""COMPUTED_VALUE"""),42643.64583333333)</f>
        <v>42643.64583</v>
      </c>
      <c r="C259" s="2">
        <f>IFERROR(__xludf.DUMMYFUNCTION("""COMPUTED_VALUE"""),170.9)</f>
        <v>170.9</v>
      </c>
    </row>
    <row r="260" ht="15.75" customHeight="1">
      <c r="B260" s="3">
        <f>IFERROR(__xludf.DUMMYFUNCTION("""COMPUTED_VALUE"""),42650.64583333333)</f>
        <v>42650.64583</v>
      </c>
      <c r="C260" s="2">
        <f>IFERROR(__xludf.DUMMYFUNCTION("""COMPUTED_VALUE"""),173.2)</f>
        <v>173.2</v>
      </c>
    </row>
    <row r="261" ht="15.75" customHeight="1">
      <c r="B261" s="3">
        <f>IFERROR(__xludf.DUMMYFUNCTION("""COMPUTED_VALUE"""),42657.64583333333)</f>
        <v>42657.64583</v>
      </c>
      <c r="C261" s="2">
        <f>IFERROR(__xludf.DUMMYFUNCTION("""COMPUTED_VALUE"""),165.2)</f>
        <v>165.2</v>
      </c>
    </row>
    <row r="262" ht="15.75" customHeight="1">
      <c r="B262" s="3">
        <f>IFERROR(__xludf.DUMMYFUNCTION("""COMPUTED_VALUE"""),42664.64583333333)</f>
        <v>42664.64583</v>
      </c>
      <c r="C262" s="2">
        <f>IFERROR(__xludf.DUMMYFUNCTION("""COMPUTED_VALUE"""),158.45)</f>
        <v>158.45</v>
      </c>
    </row>
    <row r="263" ht="15.75" customHeight="1">
      <c r="B263" s="3">
        <f>IFERROR(__xludf.DUMMYFUNCTION("""COMPUTED_VALUE"""),42671.64583333333)</f>
        <v>42671.64583</v>
      </c>
      <c r="C263" s="2">
        <f>IFERROR(__xludf.DUMMYFUNCTION("""COMPUTED_VALUE"""),160.4)</f>
        <v>160.4</v>
      </c>
    </row>
    <row r="264" ht="15.75" customHeight="1">
      <c r="B264" s="3">
        <f>IFERROR(__xludf.DUMMYFUNCTION("""COMPUTED_VALUE"""),42678.64583333333)</f>
        <v>42678.64583</v>
      </c>
      <c r="C264" s="2">
        <f>IFERROR(__xludf.DUMMYFUNCTION("""COMPUTED_VALUE"""),157.45)</f>
        <v>157.45</v>
      </c>
    </row>
    <row r="265" ht="15.75" customHeight="1">
      <c r="B265" s="3">
        <f>IFERROR(__xludf.DUMMYFUNCTION("""COMPUTED_VALUE"""),42685.64583333333)</f>
        <v>42685.64583</v>
      </c>
      <c r="C265" s="2">
        <f>IFERROR(__xludf.DUMMYFUNCTION("""COMPUTED_VALUE"""),169.9)</f>
        <v>169.9</v>
      </c>
    </row>
    <row r="266" ht="15.75" customHeight="1">
      <c r="B266" s="3">
        <f>IFERROR(__xludf.DUMMYFUNCTION("""COMPUTED_VALUE"""),42692.64583333333)</f>
        <v>42692.64583</v>
      </c>
      <c r="C266" s="2">
        <f>IFERROR(__xludf.DUMMYFUNCTION("""COMPUTED_VALUE"""),179.6)</f>
        <v>179.6</v>
      </c>
    </row>
    <row r="267" ht="15.75" customHeight="1">
      <c r="B267" s="3">
        <f>IFERROR(__xludf.DUMMYFUNCTION("""COMPUTED_VALUE"""),42699.64583333333)</f>
        <v>42699.64583</v>
      </c>
      <c r="C267" s="2">
        <f>IFERROR(__xludf.DUMMYFUNCTION("""COMPUTED_VALUE"""),179.55)</f>
        <v>179.55</v>
      </c>
    </row>
    <row r="268" ht="15.75" customHeight="1">
      <c r="B268" s="3">
        <f>IFERROR(__xludf.DUMMYFUNCTION("""COMPUTED_VALUE"""),42706.64583333333)</f>
        <v>42706.64583</v>
      </c>
      <c r="C268" s="2">
        <f>IFERROR(__xludf.DUMMYFUNCTION("""COMPUTED_VALUE"""),165.8)</f>
        <v>165.8</v>
      </c>
    </row>
    <row r="269" ht="15.75" customHeight="1">
      <c r="B269" s="3">
        <f>IFERROR(__xludf.DUMMYFUNCTION("""COMPUTED_VALUE"""),42713.64583333333)</f>
        <v>42713.64583</v>
      </c>
      <c r="C269" s="2">
        <f>IFERROR(__xludf.DUMMYFUNCTION("""COMPUTED_VALUE"""),164.6)</f>
        <v>164.6</v>
      </c>
    </row>
    <row r="270" ht="15.75" customHeight="1">
      <c r="B270" s="3">
        <f>IFERROR(__xludf.DUMMYFUNCTION("""COMPUTED_VALUE"""),42720.64583333333)</f>
        <v>42720.64583</v>
      </c>
      <c r="C270" s="2">
        <f>IFERROR(__xludf.DUMMYFUNCTION("""COMPUTED_VALUE"""),162.7)</f>
        <v>162.7</v>
      </c>
    </row>
    <row r="271" ht="15.75" customHeight="1">
      <c r="B271" s="3">
        <f>IFERROR(__xludf.DUMMYFUNCTION("""COMPUTED_VALUE"""),42727.64583333333)</f>
        <v>42727.64583</v>
      </c>
      <c r="C271" s="2">
        <f>IFERROR(__xludf.DUMMYFUNCTION("""COMPUTED_VALUE"""),160.7)</f>
        <v>160.7</v>
      </c>
    </row>
    <row r="272" ht="15.75" customHeight="1">
      <c r="B272" s="3">
        <f>IFERROR(__xludf.DUMMYFUNCTION("""COMPUTED_VALUE"""),42734.64583333333)</f>
        <v>42734.64583</v>
      </c>
      <c r="C272" s="2">
        <f>IFERROR(__xludf.DUMMYFUNCTION("""COMPUTED_VALUE"""),153.9)</f>
        <v>153.9</v>
      </c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IFERROR(__xludf.DUMMYFUNCTION("GOOGLEFINANCE(""NSE:LUPIN"", ""high"",DATE(2012,1,1),DATE(2013,1,1),""weekly"")"),"Date")</f>
        <v>Date</v>
      </c>
      <c r="C1" s="2" t="str">
        <f>IFERROR(__xludf.DUMMYFUNCTION("""COMPUTED_VALUE"""),"High")</f>
        <v>High</v>
      </c>
    </row>
    <row r="2">
      <c r="A2" s="2" t="s">
        <v>11</v>
      </c>
      <c r="B2" s="3">
        <f>IFERROR(__xludf.DUMMYFUNCTION("""COMPUTED_VALUE"""),40921.645833333336)</f>
        <v>40921.64583</v>
      </c>
      <c r="C2" s="2">
        <f>IFERROR(__xludf.DUMMYFUNCTION("""COMPUTED_VALUE"""),445.0)</f>
        <v>445</v>
      </c>
    </row>
    <row r="3">
      <c r="A3" s="2" t="s">
        <v>12</v>
      </c>
      <c r="B3" s="3">
        <f>IFERROR(__xludf.DUMMYFUNCTION("""COMPUTED_VALUE"""),40928.645833333336)</f>
        <v>40928.64583</v>
      </c>
      <c r="C3" s="2">
        <f>IFERROR(__xludf.DUMMYFUNCTION("""COMPUTED_VALUE"""),447.25)</f>
        <v>447.25</v>
      </c>
    </row>
    <row r="4">
      <c r="A4" s="2" t="s">
        <v>13</v>
      </c>
      <c r="B4" s="3">
        <f>IFERROR(__xludf.DUMMYFUNCTION("""COMPUTED_VALUE"""),40935.645833333336)</f>
        <v>40935.64583</v>
      </c>
      <c r="C4" s="2">
        <f>IFERROR(__xludf.DUMMYFUNCTION("""COMPUTED_VALUE"""),468.95)</f>
        <v>468.95</v>
      </c>
    </row>
    <row r="5">
      <c r="A5" s="2" t="s">
        <v>14</v>
      </c>
      <c r="B5" s="3">
        <f>IFERROR(__xludf.DUMMYFUNCTION("""COMPUTED_VALUE"""),40942.645833333336)</f>
        <v>40942.64583</v>
      </c>
      <c r="C5" s="2">
        <f>IFERROR(__xludf.DUMMYFUNCTION("""COMPUTED_VALUE"""),485.0)</f>
        <v>485</v>
      </c>
    </row>
    <row r="6">
      <c r="A6" s="2" t="s">
        <v>15</v>
      </c>
      <c r="B6" s="3">
        <f>IFERROR(__xludf.DUMMYFUNCTION("""COMPUTED_VALUE"""),40949.645833333336)</f>
        <v>40949.64583</v>
      </c>
      <c r="C6" s="2">
        <f>IFERROR(__xludf.DUMMYFUNCTION("""COMPUTED_VALUE"""),499.6)</f>
        <v>499.6</v>
      </c>
    </row>
    <row r="7">
      <c r="A7" s="2" t="s">
        <v>16</v>
      </c>
      <c r="B7" s="3">
        <f>IFERROR(__xludf.DUMMYFUNCTION("""COMPUTED_VALUE"""),40956.645833333336)</f>
        <v>40956.64583</v>
      </c>
      <c r="C7" s="2">
        <f>IFERROR(__xludf.DUMMYFUNCTION("""COMPUTED_VALUE"""),509.5)</f>
        <v>509.5</v>
      </c>
    </row>
    <row r="8">
      <c r="B8" s="3">
        <f>IFERROR(__xludf.DUMMYFUNCTION("""COMPUTED_VALUE"""),40963.645833333336)</f>
        <v>40963.64583</v>
      </c>
      <c r="C8" s="2">
        <f>IFERROR(__xludf.DUMMYFUNCTION("""COMPUTED_VALUE"""),493.9)</f>
        <v>493.9</v>
      </c>
    </row>
    <row r="9">
      <c r="B9" s="3">
        <f>IFERROR(__xludf.DUMMYFUNCTION("""COMPUTED_VALUE"""),40977.645833333336)</f>
        <v>40977.64583</v>
      </c>
      <c r="C9" s="2">
        <f>IFERROR(__xludf.DUMMYFUNCTION("""COMPUTED_VALUE"""),515.3)</f>
        <v>515.3</v>
      </c>
    </row>
    <row r="10">
      <c r="B10" s="3">
        <f>IFERROR(__xludf.DUMMYFUNCTION("""COMPUTED_VALUE"""),40984.645833333336)</f>
        <v>40984.64583</v>
      </c>
      <c r="C10" s="2">
        <f>IFERROR(__xludf.DUMMYFUNCTION("""COMPUTED_VALUE"""),511.65)</f>
        <v>511.65</v>
      </c>
    </row>
    <row r="11">
      <c r="B11" s="3">
        <f>IFERROR(__xludf.DUMMYFUNCTION("""COMPUTED_VALUE"""),40991.645833333336)</f>
        <v>40991.64583</v>
      </c>
      <c r="C11" s="2">
        <f>IFERROR(__xludf.DUMMYFUNCTION("""COMPUTED_VALUE"""),536.9)</f>
        <v>536.9</v>
      </c>
    </row>
    <row r="12">
      <c r="B12" s="3">
        <f>IFERROR(__xludf.DUMMYFUNCTION("""COMPUTED_VALUE"""),40998.645833333336)</f>
        <v>40998.64583</v>
      </c>
      <c r="C12" s="2">
        <f>IFERROR(__xludf.DUMMYFUNCTION("""COMPUTED_VALUE"""),532.9)</f>
        <v>532.9</v>
      </c>
    </row>
    <row r="13">
      <c r="B13" s="3">
        <f>IFERROR(__xludf.DUMMYFUNCTION("""COMPUTED_VALUE"""),41003.645833333336)</f>
        <v>41003.64583</v>
      </c>
      <c r="C13" s="2">
        <f>IFERROR(__xludf.DUMMYFUNCTION("""COMPUTED_VALUE"""),550.6)</f>
        <v>550.6</v>
      </c>
    </row>
    <row r="14">
      <c r="B14" s="3">
        <f>IFERROR(__xludf.DUMMYFUNCTION("""COMPUTED_VALUE"""),41012.645833333336)</f>
        <v>41012.64583</v>
      </c>
      <c r="C14" s="2">
        <f>IFERROR(__xludf.DUMMYFUNCTION("""COMPUTED_VALUE"""),567.0)</f>
        <v>567</v>
      </c>
    </row>
    <row r="15">
      <c r="B15" s="3">
        <f>IFERROR(__xludf.DUMMYFUNCTION("""COMPUTED_VALUE"""),41019.645833333336)</f>
        <v>41019.64583</v>
      </c>
      <c r="C15" s="2">
        <f>IFERROR(__xludf.DUMMYFUNCTION("""COMPUTED_VALUE"""),575.0)</f>
        <v>575</v>
      </c>
    </row>
    <row r="16">
      <c r="B16" s="3">
        <f>IFERROR(__xludf.DUMMYFUNCTION("""COMPUTED_VALUE"""),41033.645833333336)</f>
        <v>41033.64583</v>
      </c>
      <c r="C16" s="2">
        <f>IFERROR(__xludf.DUMMYFUNCTION("""COMPUTED_VALUE"""),559.4)</f>
        <v>559.4</v>
      </c>
    </row>
    <row r="17">
      <c r="B17" s="3">
        <f>IFERROR(__xludf.DUMMYFUNCTION("""COMPUTED_VALUE"""),41040.645833333336)</f>
        <v>41040.64583</v>
      </c>
      <c r="C17" s="2">
        <f>IFERROR(__xludf.DUMMYFUNCTION("""COMPUTED_VALUE"""),562.5)</f>
        <v>562.5</v>
      </c>
    </row>
    <row r="18">
      <c r="B18" s="3">
        <f>IFERROR(__xludf.DUMMYFUNCTION("""COMPUTED_VALUE"""),41047.645833333336)</f>
        <v>41047.64583</v>
      </c>
      <c r="C18" s="2">
        <f>IFERROR(__xludf.DUMMYFUNCTION("""COMPUTED_VALUE"""),554.1)</f>
        <v>554.1</v>
      </c>
    </row>
    <row r="19">
      <c r="B19" s="3">
        <f>IFERROR(__xludf.DUMMYFUNCTION("""COMPUTED_VALUE"""),41054.645833333336)</f>
        <v>41054.64583</v>
      </c>
      <c r="C19" s="2">
        <f>IFERROR(__xludf.DUMMYFUNCTION("""COMPUTED_VALUE"""),554.0)</f>
        <v>554</v>
      </c>
    </row>
    <row r="20">
      <c r="B20" s="3">
        <f>IFERROR(__xludf.DUMMYFUNCTION("""COMPUTED_VALUE"""),41061.645833333336)</f>
        <v>41061.64583</v>
      </c>
      <c r="C20" s="2">
        <f>IFERROR(__xludf.DUMMYFUNCTION("""COMPUTED_VALUE"""),548.5)</f>
        <v>548.5</v>
      </c>
    </row>
    <row r="21" ht="15.75" customHeight="1">
      <c r="B21" s="3">
        <f>IFERROR(__xludf.DUMMYFUNCTION("""COMPUTED_VALUE"""),41068.645833333336)</f>
        <v>41068.64583</v>
      </c>
      <c r="C21" s="2">
        <f>IFERROR(__xludf.DUMMYFUNCTION("""COMPUTED_VALUE"""),559.95)</f>
        <v>559.95</v>
      </c>
    </row>
    <row r="22" ht="15.75" customHeight="1">
      <c r="B22" s="3">
        <f>IFERROR(__xludf.DUMMYFUNCTION("""COMPUTED_VALUE"""),41075.645833333336)</f>
        <v>41075.64583</v>
      </c>
      <c r="C22" s="2">
        <f>IFERROR(__xludf.DUMMYFUNCTION("""COMPUTED_VALUE"""),556.6)</f>
        <v>556.6</v>
      </c>
    </row>
    <row r="23" ht="15.75" customHeight="1">
      <c r="B23" s="3">
        <f>IFERROR(__xludf.DUMMYFUNCTION("""COMPUTED_VALUE"""),41082.645833333336)</f>
        <v>41082.64583</v>
      </c>
      <c r="C23" s="2">
        <f>IFERROR(__xludf.DUMMYFUNCTION("""COMPUTED_VALUE"""),534.5)</f>
        <v>534.5</v>
      </c>
    </row>
    <row r="24" ht="15.75" customHeight="1">
      <c r="B24" s="3">
        <f>IFERROR(__xludf.DUMMYFUNCTION("""COMPUTED_VALUE"""),41089.645833333336)</f>
        <v>41089.64583</v>
      </c>
      <c r="C24" s="2">
        <f>IFERROR(__xludf.DUMMYFUNCTION("""COMPUTED_VALUE"""),544.9)</f>
        <v>544.9</v>
      </c>
    </row>
    <row r="25" ht="15.75" customHeight="1">
      <c r="B25" s="3">
        <f>IFERROR(__xludf.DUMMYFUNCTION("""COMPUTED_VALUE"""),41096.645833333336)</f>
        <v>41096.64583</v>
      </c>
      <c r="C25" s="2">
        <f>IFERROR(__xludf.DUMMYFUNCTION("""COMPUTED_VALUE"""),547.95)</f>
        <v>547.95</v>
      </c>
    </row>
    <row r="26" ht="15.75" customHeight="1">
      <c r="B26" s="3">
        <f>IFERROR(__xludf.DUMMYFUNCTION("""COMPUTED_VALUE"""),41103.645833333336)</f>
        <v>41103.64583</v>
      </c>
      <c r="C26" s="2">
        <f>IFERROR(__xludf.DUMMYFUNCTION("""COMPUTED_VALUE"""),556.0)</f>
        <v>556</v>
      </c>
    </row>
    <row r="27" ht="15.75" customHeight="1">
      <c r="B27" s="3">
        <f>IFERROR(__xludf.DUMMYFUNCTION("""COMPUTED_VALUE"""),41110.645833333336)</f>
        <v>41110.64583</v>
      </c>
      <c r="C27" s="2">
        <f>IFERROR(__xludf.DUMMYFUNCTION("""COMPUTED_VALUE"""),578.0)</f>
        <v>578</v>
      </c>
    </row>
    <row r="28" ht="15.75" customHeight="1">
      <c r="B28" s="3">
        <f>IFERROR(__xludf.DUMMYFUNCTION("""COMPUTED_VALUE"""),41117.645833333336)</f>
        <v>41117.64583</v>
      </c>
      <c r="C28" s="2">
        <f>IFERROR(__xludf.DUMMYFUNCTION("""COMPUTED_VALUE"""),593.25)</f>
        <v>593.25</v>
      </c>
    </row>
    <row r="29" ht="15.75" customHeight="1">
      <c r="B29" s="3">
        <f>IFERROR(__xludf.DUMMYFUNCTION("""COMPUTED_VALUE"""),41124.645833333336)</f>
        <v>41124.64583</v>
      </c>
      <c r="C29" s="2">
        <f>IFERROR(__xludf.DUMMYFUNCTION("""COMPUTED_VALUE"""),606.0)</f>
        <v>606</v>
      </c>
    </row>
    <row r="30" ht="15.75" customHeight="1">
      <c r="B30" s="3">
        <f>IFERROR(__xludf.DUMMYFUNCTION("""COMPUTED_VALUE"""),41131.645833333336)</f>
        <v>41131.64583</v>
      </c>
      <c r="C30" s="2">
        <f>IFERROR(__xludf.DUMMYFUNCTION("""COMPUTED_VALUE"""),599.0)</f>
        <v>599</v>
      </c>
    </row>
    <row r="31" ht="15.75" customHeight="1">
      <c r="B31" s="3">
        <f>IFERROR(__xludf.DUMMYFUNCTION("""COMPUTED_VALUE"""),41138.645833333336)</f>
        <v>41138.64583</v>
      </c>
      <c r="C31" s="2">
        <f>IFERROR(__xludf.DUMMYFUNCTION("""COMPUTED_VALUE"""),591.05)</f>
        <v>591.05</v>
      </c>
    </row>
    <row r="32" ht="15.75" customHeight="1">
      <c r="B32" s="3">
        <f>IFERROR(__xludf.DUMMYFUNCTION("""COMPUTED_VALUE"""),41145.645833333336)</f>
        <v>41145.64583</v>
      </c>
      <c r="C32" s="2">
        <f>IFERROR(__xludf.DUMMYFUNCTION("""COMPUTED_VALUE"""),587.3)</f>
        <v>587.3</v>
      </c>
    </row>
    <row r="33" ht="15.75" customHeight="1">
      <c r="B33" s="3">
        <f>IFERROR(__xludf.DUMMYFUNCTION("""COMPUTED_VALUE"""),41152.645833333336)</f>
        <v>41152.64583</v>
      </c>
      <c r="C33" s="2">
        <f>IFERROR(__xludf.DUMMYFUNCTION("""COMPUTED_VALUE"""),601.95)</f>
        <v>601.95</v>
      </c>
    </row>
    <row r="34" ht="15.75" customHeight="1">
      <c r="B34" s="3">
        <f>IFERROR(__xludf.DUMMYFUNCTION("""COMPUTED_VALUE"""),41166.645833333336)</f>
        <v>41166.64583</v>
      </c>
      <c r="C34" s="2">
        <f>IFERROR(__xludf.DUMMYFUNCTION("""COMPUTED_VALUE"""),631.95)</f>
        <v>631.95</v>
      </c>
    </row>
    <row r="35" ht="15.75" customHeight="1">
      <c r="B35" s="3">
        <f>IFERROR(__xludf.DUMMYFUNCTION("""COMPUTED_VALUE"""),41173.645833333336)</f>
        <v>41173.64583</v>
      </c>
      <c r="C35" s="2">
        <f>IFERROR(__xludf.DUMMYFUNCTION("""COMPUTED_VALUE"""),589.75)</f>
        <v>589.75</v>
      </c>
    </row>
    <row r="36" ht="15.75" customHeight="1">
      <c r="B36" s="3">
        <f>IFERROR(__xludf.DUMMYFUNCTION("""COMPUTED_VALUE"""),41180.645833333336)</f>
        <v>41180.64583</v>
      </c>
      <c r="C36" s="2">
        <f>IFERROR(__xludf.DUMMYFUNCTION("""COMPUTED_VALUE"""),603.0)</f>
        <v>603</v>
      </c>
    </row>
    <row r="37" ht="15.75" customHeight="1">
      <c r="B37" s="3">
        <f>IFERROR(__xludf.DUMMYFUNCTION("""COMPUTED_VALUE"""),41187.645833333336)</f>
        <v>41187.64583</v>
      </c>
      <c r="C37" s="2">
        <f>IFERROR(__xludf.DUMMYFUNCTION("""COMPUTED_VALUE"""),603.7)</f>
        <v>603.7</v>
      </c>
    </row>
    <row r="38" ht="15.75" customHeight="1">
      <c r="B38" s="3">
        <f>IFERROR(__xludf.DUMMYFUNCTION("""COMPUTED_VALUE"""),41194.645833333336)</f>
        <v>41194.64583</v>
      </c>
      <c r="C38" s="2">
        <f>IFERROR(__xludf.DUMMYFUNCTION("""COMPUTED_VALUE"""),578.0)</f>
        <v>578</v>
      </c>
    </row>
    <row r="39" ht="15.75" customHeight="1">
      <c r="B39" s="3">
        <f>IFERROR(__xludf.DUMMYFUNCTION("""COMPUTED_VALUE"""),41201.645833333336)</f>
        <v>41201.64583</v>
      </c>
      <c r="C39" s="2">
        <f>IFERROR(__xludf.DUMMYFUNCTION("""COMPUTED_VALUE"""),580.6)</f>
        <v>580.6</v>
      </c>
    </row>
    <row r="40" ht="15.75" customHeight="1">
      <c r="B40" s="3">
        <f>IFERROR(__xludf.DUMMYFUNCTION("""COMPUTED_VALUE"""),41208.645833333336)</f>
        <v>41208.64583</v>
      </c>
      <c r="C40" s="2">
        <f>IFERROR(__xludf.DUMMYFUNCTION("""COMPUTED_VALUE"""),579.7)</f>
        <v>579.7</v>
      </c>
    </row>
    <row r="41" ht="15.75" customHeight="1">
      <c r="B41" s="3">
        <f>IFERROR(__xludf.DUMMYFUNCTION("""COMPUTED_VALUE"""),41215.645833333336)</f>
        <v>41215.64583</v>
      </c>
      <c r="C41" s="2">
        <f>IFERROR(__xludf.DUMMYFUNCTION("""COMPUTED_VALUE"""),580.6)</f>
        <v>580.6</v>
      </c>
    </row>
    <row r="42" ht="15.75" customHeight="1">
      <c r="B42" s="3">
        <f>IFERROR(__xludf.DUMMYFUNCTION("""COMPUTED_VALUE"""),41222.645833333336)</f>
        <v>41222.64583</v>
      </c>
      <c r="C42" s="2">
        <f>IFERROR(__xludf.DUMMYFUNCTION("""COMPUTED_VALUE"""),591.65)</f>
        <v>591.65</v>
      </c>
    </row>
    <row r="43" ht="15.75" customHeight="1">
      <c r="B43" s="3">
        <f>IFERROR(__xludf.DUMMYFUNCTION("""COMPUTED_VALUE"""),41229.645833333336)</f>
        <v>41229.64583</v>
      </c>
      <c r="C43" s="2">
        <f>IFERROR(__xludf.DUMMYFUNCTION("""COMPUTED_VALUE"""),589.1)</f>
        <v>589.1</v>
      </c>
    </row>
    <row r="44" ht="15.75" customHeight="1">
      <c r="B44" s="3">
        <f>IFERROR(__xludf.DUMMYFUNCTION("""COMPUTED_VALUE"""),41236.645833333336)</f>
        <v>41236.64583</v>
      </c>
      <c r="C44" s="2">
        <f>IFERROR(__xludf.DUMMYFUNCTION("""COMPUTED_VALUE"""),581.0)</f>
        <v>581</v>
      </c>
    </row>
    <row r="45" ht="15.75" customHeight="1">
      <c r="B45" s="3">
        <f>IFERROR(__xludf.DUMMYFUNCTION("""COMPUTED_VALUE"""),41243.645833333336)</f>
        <v>41243.64583</v>
      </c>
      <c r="C45" s="2">
        <f>IFERROR(__xludf.DUMMYFUNCTION("""COMPUTED_VALUE"""),594.8)</f>
        <v>594.8</v>
      </c>
    </row>
    <row r="46" ht="15.75" customHeight="1">
      <c r="B46" s="3">
        <f>IFERROR(__xludf.DUMMYFUNCTION("""COMPUTED_VALUE"""),41250.645833333336)</f>
        <v>41250.64583</v>
      </c>
      <c r="C46" s="2">
        <f>IFERROR(__xludf.DUMMYFUNCTION("""COMPUTED_VALUE"""),603.0)</f>
        <v>603</v>
      </c>
    </row>
    <row r="47" ht="15.75" customHeight="1">
      <c r="B47" s="3">
        <f>IFERROR(__xludf.DUMMYFUNCTION("""COMPUTED_VALUE"""),41257.645833333336)</f>
        <v>41257.64583</v>
      </c>
      <c r="C47" s="2">
        <f>IFERROR(__xludf.DUMMYFUNCTION("""COMPUTED_VALUE"""),618.0)</f>
        <v>618</v>
      </c>
    </row>
    <row r="48" ht="15.75" customHeight="1">
      <c r="B48" s="3">
        <f>IFERROR(__xludf.DUMMYFUNCTION("""COMPUTED_VALUE"""),41264.645833333336)</f>
        <v>41264.64583</v>
      </c>
      <c r="C48" s="2">
        <f>IFERROR(__xludf.DUMMYFUNCTION("""COMPUTED_VALUE"""),623.4)</f>
        <v>623.4</v>
      </c>
    </row>
    <row r="49" ht="15.75" customHeight="1">
      <c r="B49" s="3">
        <f>IFERROR(__xludf.DUMMYFUNCTION("""COMPUTED_VALUE"""),41271.645833333336)</f>
        <v>41271.64583</v>
      </c>
      <c r="C49" s="2">
        <f>IFERROR(__xludf.DUMMYFUNCTION("""COMPUTED_VALUE"""),623.5)</f>
        <v>623.5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2" t="str">
        <f>IFERROR(__xludf.DUMMYFUNCTION("GOOGLEFINANCE(""NSE:LUPIN"", ""high"",DATE(2013,1,1),DATE(2014,1,1),""weekly"")"),"Date")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IFERROR(__xludf.DUMMYFUNCTION("""COMPUTED_VALUE"""),41278.645833333336)</f>
        <v>41278.64583</v>
      </c>
      <c r="C57" s="2">
        <f>IFERROR(__xludf.DUMMYFUNCTION("""COMPUTED_VALUE"""),621.25)</f>
        <v>621.25</v>
      </c>
    </row>
    <row r="58" ht="15.75" customHeight="1">
      <c r="B58" s="3">
        <f>IFERROR(__xludf.DUMMYFUNCTION("""COMPUTED_VALUE"""),41285.645833333336)</f>
        <v>41285.64583</v>
      </c>
      <c r="C58" s="2">
        <f>IFERROR(__xludf.DUMMYFUNCTION("""COMPUTED_VALUE"""),609.6)</f>
        <v>609.6</v>
      </c>
    </row>
    <row r="59" ht="15.75" customHeight="1">
      <c r="B59" s="3">
        <f>IFERROR(__xludf.DUMMYFUNCTION("""COMPUTED_VALUE"""),41292.645833333336)</f>
        <v>41292.64583</v>
      </c>
      <c r="C59" s="2">
        <f>IFERROR(__xludf.DUMMYFUNCTION("""COMPUTED_VALUE"""),593.7)</f>
        <v>593.7</v>
      </c>
    </row>
    <row r="60" ht="15.75" customHeight="1">
      <c r="B60" s="3">
        <f>IFERROR(__xludf.DUMMYFUNCTION("""COMPUTED_VALUE"""),41299.645833333336)</f>
        <v>41299.64583</v>
      </c>
      <c r="C60" s="2">
        <f>IFERROR(__xludf.DUMMYFUNCTION("""COMPUTED_VALUE"""),601.75)</f>
        <v>601.75</v>
      </c>
    </row>
    <row r="61" ht="15.75" customHeight="1">
      <c r="B61" s="3">
        <f>IFERROR(__xludf.DUMMYFUNCTION("""COMPUTED_VALUE"""),41306.645833333336)</f>
        <v>41306.64583</v>
      </c>
      <c r="C61" s="2">
        <f>IFERROR(__xludf.DUMMYFUNCTION("""COMPUTED_VALUE"""),626.0)</f>
        <v>626</v>
      </c>
    </row>
    <row r="62" ht="15.75" customHeight="1">
      <c r="B62" s="3">
        <f>IFERROR(__xludf.DUMMYFUNCTION("""COMPUTED_VALUE"""),41313.645833333336)</f>
        <v>41313.64583</v>
      </c>
      <c r="C62" s="2">
        <f>IFERROR(__xludf.DUMMYFUNCTION("""COMPUTED_VALUE"""),615.7)</f>
        <v>615.7</v>
      </c>
    </row>
    <row r="63" ht="15.75" customHeight="1">
      <c r="B63" s="3">
        <f>IFERROR(__xludf.DUMMYFUNCTION("""COMPUTED_VALUE"""),41320.645833333336)</f>
        <v>41320.64583</v>
      </c>
      <c r="C63" s="2">
        <f>IFERROR(__xludf.DUMMYFUNCTION("""COMPUTED_VALUE"""),607.25)</f>
        <v>607.25</v>
      </c>
    </row>
    <row r="64" ht="15.75" customHeight="1">
      <c r="B64" s="3">
        <f>IFERROR(__xludf.DUMMYFUNCTION("""COMPUTED_VALUE"""),41327.645833333336)</f>
        <v>41327.64583</v>
      </c>
      <c r="C64" s="2">
        <f>IFERROR(__xludf.DUMMYFUNCTION("""COMPUTED_VALUE"""),602.9)</f>
        <v>602.9</v>
      </c>
    </row>
    <row r="65" ht="15.75" customHeight="1">
      <c r="B65" s="3">
        <f>IFERROR(__xludf.DUMMYFUNCTION("""COMPUTED_VALUE"""),41334.645833333336)</f>
        <v>41334.64583</v>
      </c>
      <c r="C65" s="2">
        <f>IFERROR(__xludf.DUMMYFUNCTION("""COMPUTED_VALUE"""),612.5)</f>
        <v>612.5</v>
      </c>
    </row>
    <row r="66" ht="15.75" customHeight="1">
      <c r="B66" s="3">
        <f>IFERROR(__xludf.DUMMYFUNCTION("""COMPUTED_VALUE"""),41341.645833333336)</f>
        <v>41341.64583</v>
      </c>
      <c r="C66" s="2">
        <f>IFERROR(__xludf.DUMMYFUNCTION("""COMPUTED_VALUE"""),605.95)</f>
        <v>605.95</v>
      </c>
    </row>
    <row r="67" ht="15.75" customHeight="1">
      <c r="B67" s="3">
        <f>IFERROR(__xludf.DUMMYFUNCTION("""COMPUTED_VALUE"""),41348.645833333336)</f>
        <v>41348.64583</v>
      </c>
      <c r="C67" s="2">
        <f>IFERROR(__xludf.DUMMYFUNCTION("""COMPUTED_VALUE"""),614.55)</f>
        <v>614.55</v>
      </c>
    </row>
    <row r="68" ht="15.75" customHeight="1">
      <c r="B68" s="3">
        <f>IFERROR(__xludf.DUMMYFUNCTION("""COMPUTED_VALUE"""),41355.645833333336)</f>
        <v>41355.64583</v>
      </c>
      <c r="C68" s="2">
        <f>IFERROR(__xludf.DUMMYFUNCTION("""COMPUTED_VALUE"""),633.6)</f>
        <v>633.6</v>
      </c>
    </row>
    <row r="69" ht="15.75" customHeight="1">
      <c r="B69" s="3">
        <f>IFERROR(__xludf.DUMMYFUNCTION("""COMPUTED_VALUE"""),41361.645833333336)</f>
        <v>41361.64583</v>
      </c>
      <c r="C69" s="2">
        <f>IFERROR(__xludf.DUMMYFUNCTION("""COMPUTED_VALUE"""),639.3)</f>
        <v>639.3</v>
      </c>
    </row>
    <row r="70" ht="15.75" customHeight="1">
      <c r="B70" s="3">
        <f>IFERROR(__xludf.DUMMYFUNCTION("""COMPUTED_VALUE"""),41369.645833333336)</f>
        <v>41369.64583</v>
      </c>
      <c r="C70" s="2">
        <f>IFERROR(__xludf.DUMMYFUNCTION("""COMPUTED_VALUE"""),645.0)</f>
        <v>645</v>
      </c>
    </row>
    <row r="71" ht="15.75" customHeight="1">
      <c r="B71" s="3">
        <f>IFERROR(__xludf.DUMMYFUNCTION("""COMPUTED_VALUE"""),41376.645833333336)</f>
        <v>41376.64583</v>
      </c>
      <c r="C71" s="2">
        <f>IFERROR(__xludf.DUMMYFUNCTION("""COMPUTED_VALUE"""),662.85)</f>
        <v>662.85</v>
      </c>
    </row>
    <row r="72" ht="15.75" customHeight="1">
      <c r="B72" s="3">
        <f>IFERROR(__xludf.DUMMYFUNCTION("""COMPUTED_VALUE"""),41382.645833333336)</f>
        <v>41382.64583</v>
      </c>
      <c r="C72" s="2">
        <f>IFERROR(__xludf.DUMMYFUNCTION("""COMPUTED_VALUE"""),685.9)</f>
        <v>685.9</v>
      </c>
    </row>
    <row r="73" ht="15.75" customHeight="1">
      <c r="B73" s="3">
        <f>IFERROR(__xludf.DUMMYFUNCTION("""COMPUTED_VALUE"""),41390.645833333336)</f>
        <v>41390.64583</v>
      </c>
      <c r="C73" s="2">
        <f>IFERROR(__xludf.DUMMYFUNCTION("""COMPUTED_VALUE"""),699.0)</f>
        <v>699</v>
      </c>
    </row>
    <row r="74" ht="15.75" customHeight="1">
      <c r="B74" s="3">
        <f>IFERROR(__xludf.DUMMYFUNCTION("""COMPUTED_VALUE"""),41397.645833333336)</f>
        <v>41397.64583</v>
      </c>
      <c r="C74" s="2">
        <f>IFERROR(__xludf.DUMMYFUNCTION("""COMPUTED_VALUE"""),712.95)</f>
        <v>712.95</v>
      </c>
    </row>
    <row r="75" ht="15.75" customHeight="1">
      <c r="B75" s="3">
        <f>IFERROR(__xludf.DUMMYFUNCTION("""COMPUTED_VALUE"""),41411.645833333336)</f>
        <v>41411.64583</v>
      </c>
      <c r="C75" s="2">
        <f>IFERROR(__xludf.DUMMYFUNCTION("""COMPUTED_VALUE"""),811.0)</f>
        <v>811</v>
      </c>
    </row>
    <row r="76" ht="15.75" customHeight="1">
      <c r="B76" s="3">
        <f>IFERROR(__xludf.DUMMYFUNCTION("""COMPUTED_VALUE"""),41418.645833333336)</f>
        <v>41418.64583</v>
      </c>
      <c r="C76" s="2">
        <f>IFERROR(__xludf.DUMMYFUNCTION("""COMPUTED_VALUE"""),808.8)</f>
        <v>808.8</v>
      </c>
    </row>
    <row r="77" ht="15.75" customHeight="1">
      <c r="B77" s="3">
        <f>IFERROR(__xludf.DUMMYFUNCTION("""COMPUTED_VALUE"""),41425.645833333336)</f>
        <v>41425.64583</v>
      </c>
      <c r="C77" s="2">
        <f>IFERROR(__xludf.DUMMYFUNCTION("""COMPUTED_VALUE"""),774.5)</f>
        <v>774.5</v>
      </c>
    </row>
    <row r="78" ht="15.75" customHeight="1">
      <c r="B78" s="3">
        <f>IFERROR(__xludf.DUMMYFUNCTION("""COMPUTED_VALUE"""),41432.645833333336)</f>
        <v>41432.64583</v>
      </c>
      <c r="C78" s="2">
        <f>IFERROR(__xludf.DUMMYFUNCTION("""COMPUTED_VALUE"""),773.9)</f>
        <v>773.9</v>
      </c>
    </row>
    <row r="79" ht="15.75" customHeight="1">
      <c r="B79" s="3">
        <f>IFERROR(__xludf.DUMMYFUNCTION("""COMPUTED_VALUE"""),41439.645833333336)</f>
        <v>41439.64583</v>
      </c>
      <c r="C79" s="2">
        <f>IFERROR(__xludf.DUMMYFUNCTION("""COMPUTED_VALUE"""),787.15)</f>
        <v>787.15</v>
      </c>
    </row>
    <row r="80" ht="15.75" customHeight="1">
      <c r="B80" s="3">
        <f>IFERROR(__xludf.DUMMYFUNCTION("""COMPUTED_VALUE"""),41446.645833333336)</f>
        <v>41446.64583</v>
      </c>
      <c r="C80" s="2">
        <f>IFERROR(__xludf.DUMMYFUNCTION("""COMPUTED_VALUE"""),804.85)</f>
        <v>804.85</v>
      </c>
    </row>
    <row r="81" ht="15.75" customHeight="1">
      <c r="B81" s="3">
        <f>IFERROR(__xludf.DUMMYFUNCTION("""COMPUTED_VALUE"""),41453.645833333336)</f>
        <v>41453.64583</v>
      </c>
      <c r="C81" s="2">
        <f>IFERROR(__xludf.DUMMYFUNCTION("""COMPUTED_VALUE"""),800.0)</f>
        <v>800</v>
      </c>
    </row>
    <row r="82" ht="15.75" customHeight="1">
      <c r="B82" s="3">
        <f>IFERROR(__xludf.DUMMYFUNCTION("""COMPUTED_VALUE"""),41460.645833333336)</f>
        <v>41460.64583</v>
      </c>
      <c r="C82" s="2">
        <f>IFERROR(__xludf.DUMMYFUNCTION("""COMPUTED_VALUE"""),854.6)</f>
        <v>854.6</v>
      </c>
    </row>
    <row r="83" ht="15.75" customHeight="1">
      <c r="B83" s="3">
        <f>IFERROR(__xludf.DUMMYFUNCTION("""COMPUTED_VALUE"""),41467.645833333336)</f>
        <v>41467.64583</v>
      </c>
      <c r="C83" s="2">
        <f>IFERROR(__xludf.DUMMYFUNCTION("""COMPUTED_VALUE"""),876.15)</f>
        <v>876.15</v>
      </c>
    </row>
    <row r="84" ht="15.75" customHeight="1">
      <c r="B84" s="3">
        <f>IFERROR(__xludf.DUMMYFUNCTION("""COMPUTED_VALUE"""),41474.645833333336)</f>
        <v>41474.64583</v>
      </c>
      <c r="C84" s="2">
        <f>IFERROR(__xludf.DUMMYFUNCTION("""COMPUTED_VALUE"""),907.95)</f>
        <v>907.95</v>
      </c>
    </row>
    <row r="85" ht="15.75" customHeight="1">
      <c r="B85" s="3">
        <f>IFERROR(__xludf.DUMMYFUNCTION("""COMPUTED_VALUE"""),41481.645833333336)</f>
        <v>41481.64583</v>
      </c>
      <c r="C85" s="2">
        <f>IFERROR(__xludf.DUMMYFUNCTION("""COMPUTED_VALUE"""),906.0)</f>
        <v>906</v>
      </c>
    </row>
    <row r="86" ht="15.75" customHeight="1">
      <c r="B86" s="3">
        <f>IFERROR(__xludf.DUMMYFUNCTION("""COMPUTED_VALUE"""),41488.645833333336)</f>
        <v>41488.64583</v>
      </c>
      <c r="C86" s="2">
        <f>IFERROR(__xludf.DUMMYFUNCTION("""COMPUTED_VALUE"""),894.5)</f>
        <v>894.5</v>
      </c>
    </row>
    <row r="87" ht="15.75" customHeight="1">
      <c r="B87" s="3">
        <f>IFERROR(__xludf.DUMMYFUNCTION("""COMPUTED_VALUE"""),41494.645833333336)</f>
        <v>41494.64583</v>
      </c>
      <c r="C87" s="2">
        <f>IFERROR(__xludf.DUMMYFUNCTION("""COMPUTED_VALUE"""),903.5)</f>
        <v>903.5</v>
      </c>
    </row>
    <row r="88" ht="15.75" customHeight="1">
      <c r="B88" s="3">
        <f>IFERROR(__xludf.DUMMYFUNCTION("""COMPUTED_VALUE"""),41502.645833333336)</f>
        <v>41502.64583</v>
      </c>
      <c r="C88" s="2">
        <f>IFERROR(__xludf.DUMMYFUNCTION("""COMPUTED_VALUE"""),859.0)</f>
        <v>859</v>
      </c>
    </row>
    <row r="89" ht="15.75" customHeight="1">
      <c r="B89" s="3">
        <f>IFERROR(__xludf.DUMMYFUNCTION("""COMPUTED_VALUE"""),41509.645833333336)</f>
        <v>41509.64583</v>
      </c>
      <c r="C89" s="2">
        <f>IFERROR(__xludf.DUMMYFUNCTION("""COMPUTED_VALUE"""),828.15)</f>
        <v>828.15</v>
      </c>
    </row>
    <row r="90" ht="15.75" customHeight="1">
      <c r="B90" s="3">
        <f>IFERROR(__xludf.DUMMYFUNCTION("""COMPUTED_VALUE"""),41516.645833333336)</f>
        <v>41516.64583</v>
      </c>
      <c r="C90" s="2">
        <f>IFERROR(__xludf.DUMMYFUNCTION("""COMPUTED_VALUE"""),831.0)</f>
        <v>831</v>
      </c>
    </row>
    <row r="91" ht="15.75" customHeight="1">
      <c r="B91" s="3">
        <f>IFERROR(__xludf.DUMMYFUNCTION("""COMPUTED_VALUE"""),41523.645833333336)</f>
        <v>41523.64583</v>
      </c>
      <c r="C91" s="2">
        <f>IFERROR(__xludf.DUMMYFUNCTION("""COMPUTED_VALUE"""),896.0)</f>
        <v>896</v>
      </c>
    </row>
    <row r="92" ht="15.75" customHeight="1">
      <c r="B92" s="3">
        <f>IFERROR(__xludf.DUMMYFUNCTION("""COMPUTED_VALUE"""),41530.645833333336)</f>
        <v>41530.64583</v>
      </c>
      <c r="C92" s="2">
        <f>IFERROR(__xludf.DUMMYFUNCTION("""COMPUTED_VALUE"""),880.0)</f>
        <v>880</v>
      </c>
    </row>
    <row r="93" ht="15.75" customHeight="1">
      <c r="B93" s="3">
        <f>IFERROR(__xludf.DUMMYFUNCTION("""COMPUTED_VALUE"""),41537.645833333336)</f>
        <v>41537.64583</v>
      </c>
      <c r="C93" s="2">
        <f>IFERROR(__xludf.DUMMYFUNCTION("""COMPUTED_VALUE"""),878.4)</f>
        <v>878.4</v>
      </c>
    </row>
    <row r="94" ht="15.75" customHeight="1">
      <c r="B94" s="3">
        <f>IFERROR(__xludf.DUMMYFUNCTION("""COMPUTED_VALUE"""),41544.645833333336)</f>
        <v>41544.64583</v>
      </c>
      <c r="C94" s="2">
        <f>IFERROR(__xludf.DUMMYFUNCTION("""COMPUTED_VALUE"""),879.0)</f>
        <v>879</v>
      </c>
    </row>
    <row r="95" ht="15.75" customHeight="1">
      <c r="B95" s="3">
        <f>IFERROR(__xludf.DUMMYFUNCTION("""COMPUTED_VALUE"""),41551.645833333336)</f>
        <v>41551.64583</v>
      </c>
      <c r="C95" s="2">
        <f>IFERROR(__xludf.DUMMYFUNCTION("""COMPUTED_VALUE"""),886.8)</f>
        <v>886.8</v>
      </c>
    </row>
    <row r="96" ht="15.75" customHeight="1">
      <c r="B96" s="3">
        <f>IFERROR(__xludf.DUMMYFUNCTION("""COMPUTED_VALUE"""),41558.645833333336)</f>
        <v>41558.64583</v>
      </c>
      <c r="C96" s="2">
        <f>IFERROR(__xludf.DUMMYFUNCTION("""COMPUTED_VALUE"""),945.65)</f>
        <v>945.65</v>
      </c>
    </row>
    <row r="97" ht="15.75" customHeight="1">
      <c r="B97" s="3">
        <f>IFERROR(__xludf.DUMMYFUNCTION("""COMPUTED_VALUE"""),41565.645833333336)</f>
        <v>41565.64583</v>
      </c>
      <c r="C97" s="2">
        <f>IFERROR(__xludf.DUMMYFUNCTION("""COMPUTED_VALUE"""),933.8)</f>
        <v>933.8</v>
      </c>
    </row>
    <row r="98" ht="15.75" customHeight="1">
      <c r="B98" s="3">
        <f>IFERROR(__xludf.DUMMYFUNCTION("""COMPUTED_VALUE"""),41572.645833333336)</f>
        <v>41572.64583</v>
      </c>
      <c r="C98" s="2">
        <f>IFERROR(__xludf.DUMMYFUNCTION("""COMPUTED_VALUE"""),925.0)</f>
        <v>925</v>
      </c>
    </row>
    <row r="99" ht="15.75" customHeight="1">
      <c r="B99" s="3">
        <f>IFERROR(__xludf.DUMMYFUNCTION("""COMPUTED_VALUE"""),41579.645833333336)</f>
        <v>41579.64583</v>
      </c>
      <c r="C99" s="2">
        <f>IFERROR(__xludf.DUMMYFUNCTION("""COMPUTED_VALUE"""),910.9)</f>
        <v>910.9</v>
      </c>
    </row>
    <row r="100" ht="15.75" customHeight="1">
      <c r="B100" s="3">
        <f>IFERROR(__xludf.DUMMYFUNCTION("""COMPUTED_VALUE"""),41586.645833333336)</f>
        <v>41586.64583</v>
      </c>
      <c r="C100" s="2">
        <f>IFERROR(__xludf.DUMMYFUNCTION("""COMPUTED_VALUE"""),893.7)</f>
        <v>893.7</v>
      </c>
    </row>
    <row r="101" ht="15.75" customHeight="1">
      <c r="B101" s="3">
        <f>IFERROR(__xludf.DUMMYFUNCTION("""COMPUTED_VALUE"""),41592.645833333336)</f>
        <v>41592.64583</v>
      </c>
      <c r="C101" s="2">
        <f>IFERROR(__xludf.DUMMYFUNCTION("""COMPUTED_VALUE"""),891.0)</f>
        <v>891</v>
      </c>
    </row>
    <row r="102" ht="15.75" customHeight="1">
      <c r="B102" s="3">
        <f>IFERROR(__xludf.DUMMYFUNCTION("""COMPUTED_VALUE"""),41600.645833333336)</f>
        <v>41600.64583</v>
      </c>
      <c r="C102" s="2">
        <f>IFERROR(__xludf.DUMMYFUNCTION("""COMPUTED_VALUE"""),875.95)</f>
        <v>875.95</v>
      </c>
    </row>
    <row r="103" ht="15.75" customHeight="1">
      <c r="B103" s="3">
        <f>IFERROR(__xludf.DUMMYFUNCTION("""COMPUTED_VALUE"""),41607.645833333336)</f>
        <v>41607.64583</v>
      </c>
      <c r="C103" s="2">
        <f>IFERROR(__xludf.DUMMYFUNCTION("""COMPUTED_VALUE"""),871.3)</f>
        <v>871.3</v>
      </c>
    </row>
    <row r="104" ht="15.75" customHeight="1">
      <c r="B104" s="3">
        <f>IFERROR(__xludf.DUMMYFUNCTION("""COMPUTED_VALUE"""),41614.645833333336)</f>
        <v>41614.64583</v>
      </c>
      <c r="C104" s="2">
        <f>IFERROR(__xludf.DUMMYFUNCTION("""COMPUTED_VALUE"""),888.0)</f>
        <v>888</v>
      </c>
    </row>
    <row r="105" ht="15.75" customHeight="1">
      <c r="B105" s="3">
        <f>IFERROR(__xludf.DUMMYFUNCTION("""COMPUTED_VALUE"""),41621.645833333336)</f>
        <v>41621.64583</v>
      </c>
      <c r="C105" s="2">
        <f>IFERROR(__xludf.DUMMYFUNCTION("""COMPUTED_VALUE"""),883.95)</f>
        <v>883.95</v>
      </c>
    </row>
    <row r="106" ht="15.75" customHeight="1">
      <c r="B106" s="3">
        <f>IFERROR(__xludf.DUMMYFUNCTION("""COMPUTED_VALUE"""),41628.645833333336)</f>
        <v>41628.64583</v>
      </c>
      <c r="C106" s="2">
        <f>IFERROR(__xludf.DUMMYFUNCTION("""COMPUTED_VALUE"""),925.0)</f>
        <v>925</v>
      </c>
    </row>
    <row r="107" ht="15.75" customHeight="1">
      <c r="B107" s="3">
        <f>IFERROR(__xludf.DUMMYFUNCTION("""COMPUTED_VALUE"""),41635.645833333336)</f>
        <v>41635.64583</v>
      </c>
      <c r="C107" s="2">
        <f>IFERROR(__xludf.DUMMYFUNCTION("""COMPUTED_VALUE"""),929.8)</f>
        <v>929.8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IFERROR(__xludf.DUMMYFUNCTION("GOOGLEFINANCE(""NSE:LUPIN"", ""high"",DATE(2014,1,1),DATE(2015,1,1),""weekly"")"),"Date")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IFERROR(__xludf.DUMMYFUNCTION("""COMPUTED_VALUE"""),41642.645833333336)</f>
        <v>41642.64583</v>
      </c>
      <c r="C112" s="2">
        <f>IFERROR(__xludf.DUMMYFUNCTION("""COMPUTED_VALUE"""),940.75)</f>
        <v>940.75</v>
      </c>
    </row>
    <row r="113" ht="15.75" customHeight="1">
      <c r="B113" s="3">
        <f>IFERROR(__xludf.DUMMYFUNCTION("""COMPUTED_VALUE"""),41649.645833333336)</f>
        <v>41649.64583</v>
      </c>
      <c r="C113" s="2">
        <f>IFERROR(__xludf.DUMMYFUNCTION("""COMPUTED_VALUE"""),950.95)</f>
        <v>950.95</v>
      </c>
    </row>
    <row r="114" ht="15.75" customHeight="1">
      <c r="B114" s="3">
        <f>IFERROR(__xludf.DUMMYFUNCTION("""COMPUTED_VALUE"""),41656.645833333336)</f>
        <v>41656.64583</v>
      </c>
      <c r="C114" s="2">
        <f>IFERROR(__xludf.DUMMYFUNCTION("""COMPUTED_VALUE"""),947.55)</f>
        <v>947.55</v>
      </c>
    </row>
    <row r="115" ht="15.75" customHeight="1">
      <c r="B115" s="3">
        <f>IFERROR(__xludf.DUMMYFUNCTION("""COMPUTED_VALUE"""),41663.645833333336)</f>
        <v>41663.64583</v>
      </c>
      <c r="C115" s="2">
        <f>IFERROR(__xludf.DUMMYFUNCTION("""COMPUTED_VALUE"""),937.65)</f>
        <v>937.65</v>
      </c>
    </row>
    <row r="116" ht="15.75" customHeight="1">
      <c r="B116" s="3">
        <f>IFERROR(__xludf.DUMMYFUNCTION("""COMPUTED_VALUE"""),41670.645833333336)</f>
        <v>41670.64583</v>
      </c>
      <c r="C116" s="2">
        <f>IFERROR(__xludf.DUMMYFUNCTION("""COMPUTED_VALUE"""),917.9)</f>
        <v>917.9</v>
      </c>
    </row>
    <row r="117" ht="15.75" customHeight="1">
      <c r="B117" s="3">
        <f>IFERROR(__xludf.DUMMYFUNCTION("""COMPUTED_VALUE"""),41677.645833333336)</f>
        <v>41677.64583</v>
      </c>
      <c r="C117" s="2">
        <f>IFERROR(__xludf.DUMMYFUNCTION("""COMPUTED_VALUE"""),932.15)</f>
        <v>932.15</v>
      </c>
    </row>
    <row r="118" ht="15.75" customHeight="1">
      <c r="B118" s="3">
        <f>IFERROR(__xludf.DUMMYFUNCTION("""COMPUTED_VALUE"""),41684.645833333336)</f>
        <v>41684.64583</v>
      </c>
      <c r="C118" s="2">
        <f>IFERROR(__xludf.DUMMYFUNCTION("""COMPUTED_VALUE"""),930.9)</f>
        <v>930.9</v>
      </c>
    </row>
    <row r="119" ht="15.75" customHeight="1">
      <c r="B119" s="3">
        <f>IFERROR(__xludf.DUMMYFUNCTION("""COMPUTED_VALUE"""),41691.645833333336)</f>
        <v>41691.64583</v>
      </c>
      <c r="C119" s="2">
        <f>IFERROR(__xludf.DUMMYFUNCTION("""COMPUTED_VALUE"""),950.75)</f>
        <v>950.75</v>
      </c>
    </row>
    <row r="120" ht="15.75" customHeight="1">
      <c r="B120" s="3">
        <f>IFERROR(__xludf.DUMMYFUNCTION("""COMPUTED_VALUE"""),41698.645833333336)</f>
        <v>41698.64583</v>
      </c>
      <c r="C120" s="2">
        <f>IFERROR(__xludf.DUMMYFUNCTION("""COMPUTED_VALUE"""),1002.4)</f>
        <v>1002.4</v>
      </c>
    </row>
    <row r="121" ht="15.75" customHeight="1">
      <c r="B121" s="3">
        <f>IFERROR(__xludf.DUMMYFUNCTION("""COMPUTED_VALUE"""),41705.645833333336)</f>
        <v>41705.64583</v>
      </c>
      <c r="C121" s="2">
        <f>IFERROR(__xludf.DUMMYFUNCTION("""COMPUTED_VALUE"""),1003.7)</f>
        <v>1003.7</v>
      </c>
    </row>
    <row r="122" ht="15.75" customHeight="1">
      <c r="B122" s="3">
        <f>IFERROR(__xludf.DUMMYFUNCTION("""COMPUTED_VALUE"""),41712.645833333336)</f>
        <v>41712.64583</v>
      </c>
      <c r="C122" s="2">
        <f>IFERROR(__xludf.DUMMYFUNCTION("""COMPUTED_VALUE"""),979.75)</f>
        <v>979.75</v>
      </c>
    </row>
    <row r="123" ht="15.75" customHeight="1">
      <c r="B123" s="3">
        <f>IFERROR(__xludf.DUMMYFUNCTION("""COMPUTED_VALUE"""),41726.645833333336)</f>
        <v>41726.64583</v>
      </c>
      <c r="C123" s="2">
        <f>IFERROR(__xludf.DUMMYFUNCTION("""COMPUTED_VALUE"""),970.0)</f>
        <v>970</v>
      </c>
    </row>
    <row r="124" ht="15.75" customHeight="1">
      <c r="B124" s="3">
        <f>IFERROR(__xludf.DUMMYFUNCTION("""COMPUTED_VALUE"""),41733.645833333336)</f>
        <v>41733.64583</v>
      </c>
      <c r="C124" s="2">
        <f>IFERROR(__xludf.DUMMYFUNCTION("""COMPUTED_VALUE"""),992.7)</f>
        <v>992.7</v>
      </c>
    </row>
    <row r="125" ht="15.75" customHeight="1">
      <c r="B125" s="3">
        <f>IFERROR(__xludf.DUMMYFUNCTION("""COMPUTED_VALUE"""),41740.645833333336)</f>
        <v>41740.64583</v>
      </c>
      <c r="C125" s="2">
        <f>IFERROR(__xludf.DUMMYFUNCTION("""COMPUTED_VALUE"""),986.8)</f>
        <v>986.8</v>
      </c>
    </row>
    <row r="126" ht="15.75" customHeight="1">
      <c r="B126" s="3">
        <f>IFERROR(__xludf.DUMMYFUNCTION("""COMPUTED_VALUE"""),41746.645833333336)</f>
        <v>41746.64583</v>
      </c>
      <c r="C126" s="2">
        <f>IFERROR(__xludf.DUMMYFUNCTION("""COMPUTED_VALUE"""),963.8)</f>
        <v>963.8</v>
      </c>
    </row>
    <row r="127" ht="15.75" customHeight="1">
      <c r="B127" s="3">
        <f>IFERROR(__xludf.DUMMYFUNCTION("""COMPUTED_VALUE"""),41754.645833333336)</f>
        <v>41754.64583</v>
      </c>
      <c r="C127" s="2">
        <f>IFERROR(__xludf.DUMMYFUNCTION("""COMPUTED_VALUE"""),1001.7)</f>
        <v>1001.7</v>
      </c>
    </row>
    <row r="128" ht="15.75" customHeight="1">
      <c r="B128" s="3">
        <f>IFERROR(__xludf.DUMMYFUNCTION("""COMPUTED_VALUE"""),41761.645833333336)</f>
        <v>41761.64583</v>
      </c>
      <c r="C128" s="2">
        <f>IFERROR(__xludf.DUMMYFUNCTION("""COMPUTED_VALUE"""),1019.9)</f>
        <v>1019.9</v>
      </c>
    </row>
    <row r="129" ht="15.75" customHeight="1">
      <c r="B129" s="3">
        <f>IFERROR(__xludf.DUMMYFUNCTION("""COMPUTED_VALUE"""),41768.645833333336)</f>
        <v>41768.64583</v>
      </c>
      <c r="C129" s="2">
        <f>IFERROR(__xludf.DUMMYFUNCTION("""COMPUTED_VALUE"""),1023.0)</f>
        <v>1023</v>
      </c>
    </row>
    <row r="130" ht="15.75" customHeight="1">
      <c r="B130" s="3">
        <f>IFERROR(__xludf.DUMMYFUNCTION("""COMPUTED_VALUE"""),41775.645833333336)</f>
        <v>41775.64583</v>
      </c>
      <c r="C130" s="2">
        <f>IFERROR(__xludf.DUMMYFUNCTION("""COMPUTED_VALUE"""),983.45)</f>
        <v>983.45</v>
      </c>
    </row>
    <row r="131" ht="15.75" customHeight="1">
      <c r="B131" s="3">
        <f>IFERROR(__xludf.DUMMYFUNCTION("""COMPUTED_VALUE"""),41782.645833333336)</f>
        <v>41782.64583</v>
      </c>
      <c r="C131" s="2">
        <f>IFERROR(__xludf.DUMMYFUNCTION("""COMPUTED_VALUE"""),967.1)</f>
        <v>967.1</v>
      </c>
    </row>
    <row r="132" ht="15.75" customHeight="1">
      <c r="B132" s="3">
        <f>IFERROR(__xludf.DUMMYFUNCTION("""COMPUTED_VALUE"""),41789.645833333336)</f>
        <v>41789.64583</v>
      </c>
      <c r="C132" s="2">
        <f>IFERROR(__xludf.DUMMYFUNCTION("""COMPUTED_VALUE"""),939.85)</f>
        <v>939.85</v>
      </c>
    </row>
    <row r="133" ht="15.75" customHeight="1">
      <c r="B133" s="3">
        <f>IFERROR(__xludf.DUMMYFUNCTION("""COMPUTED_VALUE"""),41796.645833333336)</f>
        <v>41796.64583</v>
      </c>
      <c r="C133" s="2">
        <f>IFERROR(__xludf.DUMMYFUNCTION("""COMPUTED_VALUE"""),952.2)</f>
        <v>952.2</v>
      </c>
    </row>
    <row r="134" ht="15.75" customHeight="1">
      <c r="B134" s="3">
        <f>IFERROR(__xludf.DUMMYFUNCTION("""COMPUTED_VALUE"""),41803.645833333336)</f>
        <v>41803.64583</v>
      </c>
      <c r="C134" s="2">
        <f>IFERROR(__xludf.DUMMYFUNCTION("""COMPUTED_VALUE"""),994.5)</f>
        <v>994.5</v>
      </c>
    </row>
    <row r="135" ht="15.75" customHeight="1">
      <c r="B135" s="3">
        <f>IFERROR(__xludf.DUMMYFUNCTION("""COMPUTED_VALUE"""),41810.645833333336)</f>
        <v>41810.64583</v>
      </c>
      <c r="C135" s="2">
        <f>IFERROR(__xludf.DUMMYFUNCTION("""COMPUTED_VALUE"""),1019.0)</f>
        <v>1019</v>
      </c>
    </row>
    <row r="136" ht="15.75" customHeight="1">
      <c r="B136" s="3">
        <f>IFERROR(__xludf.DUMMYFUNCTION("""COMPUTED_VALUE"""),41817.645833333336)</f>
        <v>41817.64583</v>
      </c>
      <c r="C136" s="2">
        <f>IFERROR(__xludf.DUMMYFUNCTION("""COMPUTED_VALUE"""),1053.8)</f>
        <v>1053.8</v>
      </c>
    </row>
    <row r="137" ht="15.75" customHeight="1">
      <c r="B137" s="3">
        <f>IFERROR(__xludf.DUMMYFUNCTION("""COMPUTED_VALUE"""),41824.645833333336)</f>
        <v>41824.64583</v>
      </c>
      <c r="C137" s="2">
        <f>IFERROR(__xludf.DUMMYFUNCTION("""COMPUTED_VALUE"""),1104.0)</f>
        <v>1104</v>
      </c>
    </row>
    <row r="138" ht="15.75" customHeight="1">
      <c r="B138" s="3">
        <f>IFERROR(__xludf.DUMMYFUNCTION("""COMPUTED_VALUE"""),41831.645833333336)</f>
        <v>41831.64583</v>
      </c>
      <c r="C138" s="2">
        <f>IFERROR(__xludf.DUMMYFUNCTION("""COMPUTED_VALUE"""),1095.2)</f>
        <v>1095.2</v>
      </c>
    </row>
    <row r="139" ht="15.75" customHeight="1">
      <c r="B139" s="3">
        <f>IFERROR(__xludf.DUMMYFUNCTION("""COMPUTED_VALUE"""),41838.645833333336)</f>
        <v>41838.64583</v>
      </c>
      <c r="C139" s="2">
        <f>IFERROR(__xludf.DUMMYFUNCTION("""COMPUTED_VALUE"""),1095.0)</f>
        <v>1095</v>
      </c>
    </row>
    <row r="140" ht="15.75" customHeight="1">
      <c r="B140" s="3">
        <f>IFERROR(__xludf.DUMMYFUNCTION("""COMPUTED_VALUE"""),41845.645833333336)</f>
        <v>41845.64583</v>
      </c>
      <c r="C140" s="2">
        <f>IFERROR(__xludf.DUMMYFUNCTION("""COMPUTED_VALUE"""),1134.6)</f>
        <v>1134.6</v>
      </c>
    </row>
    <row r="141" ht="15.75" customHeight="1">
      <c r="B141" s="3">
        <f>IFERROR(__xludf.DUMMYFUNCTION("""COMPUTED_VALUE"""),41852.645833333336)</f>
        <v>41852.64583</v>
      </c>
      <c r="C141" s="2">
        <f>IFERROR(__xludf.DUMMYFUNCTION("""COMPUTED_VALUE"""),1210.5)</f>
        <v>1210.5</v>
      </c>
    </row>
    <row r="142" ht="15.75" customHeight="1">
      <c r="B142" s="3">
        <f>IFERROR(__xludf.DUMMYFUNCTION("""COMPUTED_VALUE"""),41859.645833333336)</f>
        <v>41859.64583</v>
      </c>
      <c r="C142" s="2">
        <f>IFERROR(__xludf.DUMMYFUNCTION("""COMPUTED_VALUE"""),1189.9)</f>
        <v>1189.9</v>
      </c>
    </row>
    <row r="143" ht="15.75" customHeight="1">
      <c r="B143" s="3">
        <f>IFERROR(__xludf.DUMMYFUNCTION("""COMPUTED_VALUE"""),41865.645833333336)</f>
        <v>41865.64583</v>
      </c>
      <c r="C143" s="2">
        <f>IFERROR(__xludf.DUMMYFUNCTION("""COMPUTED_VALUE"""),1191.8)</f>
        <v>1191.8</v>
      </c>
    </row>
    <row r="144" ht="15.75" customHeight="1">
      <c r="B144" s="3">
        <f>IFERROR(__xludf.DUMMYFUNCTION("""COMPUTED_VALUE"""),41873.645833333336)</f>
        <v>41873.64583</v>
      </c>
      <c r="C144" s="2">
        <f>IFERROR(__xludf.DUMMYFUNCTION("""COMPUTED_VALUE"""),1256.85)</f>
        <v>1256.85</v>
      </c>
    </row>
    <row r="145" ht="15.75" customHeight="1">
      <c r="B145" s="3">
        <f>IFERROR(__xludf.DUMMYFUNCTION("""COMPUTED_VALUE"""),41879.645833333336)</f>
        <v>41879.64583</v>
      </c>
      <c r="C145" s="2">
        <f>IFERROR(__xludf.DUMMYFUNCTION("""COMPUTED_VALUE"""),1308.0)</f>
        <v>1308</v>
      </c>
    </row>
    <row r="146" ht="15.75" customHeight="1">
      <c r="B146" s="3">
        <f>IFERROR(__xludf.DUMMYFUNCTION("""COMPUTED_VALUE"""),41887.645833333336)</f>
        <v>41887.64583</v>
      </c>
      <c r="C146" s="2">
        <f>IFERROR(__xludf.DUMMYFUNCTION("""COMPUTED_VALUE"""),1332.9)</f>
        <v>1332.9</v>
      </c>
    </row>
    <row r="147" ht="15.75" customHeight="1">
      <c r="B147" s="3">
        <f>IFERROR(__xludf.DUMMYFUNCTION("""COMPUTED_VALUE"""),41894.645833333336)</f>
        <v>41894.64583</v>
      </c>
      <c r="C147" s="2">
        <f>IFERROR(__xludf.DUMMYFUNCTION("""COMPUTED_VALUE"""),1365.0)</f>
        <v>1365</v>
      </c>
    </row>
    <row r="148" ht="15.75" customHeight="1">
      <c r="B148" s="3">
        <f>IFERROR(__xludf.DUMMYFUNCTION("""COMPUTED_VALUE"""),41901.645833333336)</f>
        <v>41901.64583</v>
      </c>
      <c r="C148" s="2">
        <f>IFERROR(__xludf.DUMMYFUNCTION("""COMPUTED_VALUE"""),1442.15)</f>
        <v>1442.15</v>
      </c>
    </row>
    <row r="149" ht="15.75" customHeight="1">
      <c r="B149" s="3">
        <f>IFERROR(__xludf.DUMMYFUNCTION("""COMPUTED_VALUE"""),41908.645833333336)</f>
        <v>41908.64583</v>
      </c>
      <c r="C149" s="2">
        <f>IFERROR(__xludf.DUMMYFUNCTION("""COMPUTED_VALUE"""),1414.0)</f>
        <v>1414</v>
      </c>
    </row>
    <row r="150" ht="15.75" customHeight="1">
      <c r="B150" s="3">
        <f>IFERROR(__xludf.DUMMYFUNCTION("""COMPUTED_VALUE"""),41913.645833333336)</f>
        <v>41913.64583</v>
      </c>
      <c r="C150" s="2">
        <f>IFERROR(__xludf.DUMMYFUNCTION("""COMPUTED_VALUE"""),1405.0)</f>
        <v>1405</v>
      </c>
    </row>
    <row r="151" ht="15.75" customHeight="1">
      <c r="B151" s="3">
        <f>IFERROR(__xludf.DUMMYFUNCTION("""COMPUTED_VALUE"""),41922.645833333336)</f>
        <v>41922.64583</v>
      </c>
      <c r="C151" s="2">
        <f>IFERROR(__xludf.DUMMYFUNCTION("""COMPUTED_VALUE"""),1392.85)</f>
        <v>1392.85</v>
      </c>
    </row>
    <row r="152" ht="15.75" customHeight="1">
      <c r="B152" s="3">
        <f>IFERROR(__xludf.DUMMYFUNCTION("""COMPUTED_VALUE"""),41929.645833333336)</f>
        <v>41929.64583</v>
      </c>
      <c r="C152" s="2">
        <f>IFERROR(__xludf.DUMMYFUNCTION("""COMPUTED_VALUE"""),1366.0)</f>
        <v>1366</v>
      </c>
    </row>
    <row r="153" ht="15.75" customHeight="1">
      <c r="B153" s="3">
        <f>IFERROR(__xludf.DUMMYFUNCTION("""COMPUTED_VALUE"""),41935.645833333336)</f>
        <v>41935.64583</v>
      </c>
      <c r="C153" s="2">
        <f>IFERROR(__xludf.DUMMYFUNCTION("""COMPUTED_VALUE"""),1399.2)</f>
        <v>1399.2</v>
      </c>
    </row>
    <row r="154" ht="15.75" customHeight="1">
      <c r="B154" s="3">
        <f>IFERROR(__xludf.DUMMYFUNCTION("""COMPUTED_VALUE"""),41943.645833333336)</f>
        <v>41943.64583</v>
      </c>
      <c r="C154" s="2">
        <f>IFERROR(__xludf.DUMMYFUNCTION("""COMPUTED_VALUE"""),1408.8)</f>
        <v>1408.8</v>
      </c>
    </row>
    <row r="155" ht="15.75" customHeight="1">
      <c r="B155" s="3">
        <f>IFERROR(__xludf.DUMMYFUNCTION("""COMPUTED_VALUE"""),41950.645833333336)</f>
        <v>41950.64583</v>
      </c>
      <c r="C155" s="2">
        <f>IFERROR(__xludf.DUMMYFUNCTION("""COMPUTED_VALUE"""),1426.3)</f>
        <v>1426.3</v>
      </c>
    </row>
    <row r="156" ht="15.75" customHeight="1">
      <c r="B156" s="3">
        <f>IFERROR(__xludf.DUMMYFUNCTION("""COMPUTED_VALUE"""),41957.64583333333)</f>
        <v>41957.64583</v>
      </c>
      <c r="C156" s="2">
        <f>IFERROR(__xludf.DUMMYFUNCTION("""COMPUTED_VALUE"""),1458.75)</f>
        <v>1458.75</v>
      </c>
    </row>
    <row r="157" ht="15.75" customHeight="1">
      <c r="B157" s="3">
        <f>IFERROR(__xludf.DUMMYFUNCTION("""COMPUTED_VALUE"""),41964.64583333333)</f>
        <v>41964.64583</v>
      </c>
      <c r="C157" s="2">
        <f>IFERROR(__xludf.DUMMYFUNCTION("""COMPUTED_VALUE"""),1479.5)</f>
        <v>1479.5</v>
      </c>
    </row>
    <row r="158" ht="15.75" customHeight="1">
      <c r="B158" s="3">
        <f>IFERROR(__xludf.DUMMYFUNCTION("""COMPUTED_VALUE"""),41971.64583333333)</f>
        <v>41971.64583</v>
      </c>
      <c r="C158" s="2">
        <f>IFERROR(__xludf.DUMMYFUNCTION("""COMPUTED_VALUE"""),1495.0)</f>
        <v>1495</v>
      </c>
    </row>
    <row r="159" ht="15.75" customHeight="1">
      <c r="B159" s="3">
        <f>IFERROR(__xludf.DUMMYFUNCTION("""COMPUTED_VALUE"""),41978.64583333333)</f>
        <v>41978.64583</v>
      </c>
      <c r="C159" s="2">
        <f>IFERROR(__xludf.DUMMYFUNCTION("""COMPUTED_VALUE"""),1497.5)</f>
        <v>1497.5</v>
      </c>
    </row>
    <row r="160" ht="15.75" customHeight="1">
      <c r="B160" s="3">
        <f>IFERROR(__xludf.DUMMYFUNCTION("""COMPUTED_VALUE"""),41985.64583333333)</f>
        <v>41985.64583</v>
      </c>
      <c r="C160" s="2">
        <f>IFERROR(__xludf.DUMMYFUNCTION("""COMPUTED_VALUE"""),1478.75)</f>
        <v>1478.75</v>
      </c>
    </row>
    <row r="161" ht="15.75" customHeight="1">
      <c r="B161" s="3">
        <f>IFERROR(__xludf.DUMMYFUNCTION("""COMPUTED_VALUE"""),41992.64583333333)</f>
        <v>41992.64583</v>
      </c>
      <c r="C161" s="2">
        <f>IFERROR(__xludf.DUMMYFUNCTION("""COMPUTED_VALUE"""),1458.65)</f>
        <v>1458.65</v>
      </c>
    </row>
    <row r="162" ht="15.75" customHeight="1">
      <c r="B162" s="3">
        <f>IFERROR(__xludf.DUMMYFUNCTION("""COMPUTED_VALUE"""),41999.64583333333)</f>
        <v>41999.64583</v>
      </c>
      <c r="C162" s="2">
        <f>IFERROR(__xludf.DUMMYFUNCTION("""COMPUTED_VALUE"""),1462.6)</f>
        <v>1462.6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IFERROR(__xludf.DUMMYFUNCTION("GOOGLEFINANCE(""NSE:LUPIN"", ""high"",DATE(2015,1,1),DATE(2016,1,1),""weekly"")"),"Date")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IFERROR(__xludf.DUMMYFUNCTION("""COMPUTED_VALUE"""),42006.64583333333)</f>
        <v>42006.64583</v>
      </c>
      <c r="C167" s="2">
        <f>IFERROR(__xludf.DUMMYFUNCTION("""COMPUTED_VALUE"""),1442.5)</f>
        <v>1442.5</v>
      </c>
    </row>
    <row r="168" ht="15.75" customHeight="1">
      <c r="B168" s="3">
        <f>IFERROR(__xludf.DUMMYFUNCTION("""COMPUTED_VALUE"""),42013.64583333333)</f>
        <v>42013.64583</v>
      </c>
      <c r="C168" s="2">
        <f>IFERROR(__xludf.DUMMYFUNCTION("""COMPUTED_VALUE"""),1441.65)</f>
        <v>1441.65</v>
      </c>
    </row>
    <row r="169" ht="15.75" customHeight="1">
      <c r="B169" s="3">
        <f>IFERROR(__xludf.DUMMYFUNCTION("""COMPUTED_VALUE"""),42020.64583333333)</f>
        <v>42020.64583</v>
      </c>
      <c r="C169" s="2">
        <f>IFERROR(__xludf.DUMMYFUNCTION("""COMPUTED_VALUE"""),1459.5)</f>
        <v>1459.5</v>
      </c>
    </row>
    <row r="170" ht="15.75" customHeight="1">
      <c r="B170" s="3">
        <f>IFERROR(__xludf.DUMMYFUNCTION("""COMPUTED_VALUE"""),42027.64583333333)</f>
        <v>42027.64583</v>
      </c>
      <c r="C170" s="2">
        <f>IFERROR(__xludf.DUMMYFUNCTION("""COMPUTED_VALUE"""),1524.45)</f>
        <v>1524.45</v>
      </c>
    </row>
    <row r="171" ht="15.75" customHeight="1">
      <c r="B171" s="3">
        <f>IFERROR(__xludf.DUMMYFUNCTION("""COMPUTED_VALUE"""),42034.64583333333)</f>
        <v>42034.64583</v>
      </c>
      <c r="C171" s="2">
        <f>IFERROR(__xludf.DUMMYFUNCTION("""COMPUTED_VALUE"""),1591.15)</f>
        <v>1591.15</v>
      </c>
    </row>
    <row r="172" ht="15.75" customHeight="1">
      <c r="B172" s="3">
        <f>IFERROR(__xludf.DUMMYFUNCTION("""COMPUTED_VALUE"""),42041.64583333333)</f>
        <v>42041.64583</v>
      </c>
      <c r="C172" s="2">
        <f>IFERROR(__xludf.DUMMYFUNCTION("""COMPUTED_VALUE"""),1610.0)</f>
        <v>1610</v>
      </c>
    </row>
    <row r="173" ht="15.75" customHeight="1">
      <c r="B173" s="3">
        <f>IFERROR(__xludf.DUMMYFUNCTION("""COMPUTED_VALUE"""),42048.64583333333)</f>
        <v>42048.64583</v>
      </c>
      <c r="C173" s="2">
        <f>IFERROR(__xludf.DUMMYFUNCTION("""COMPUTED_VALUE"""),1692.15)</f>
        <v>1692.15</v>
      </c>
    </row>
    <row r="174" ht="15.75" customHeight="1">
      <c r="B174" s="3">
        <f>IFERROR(__xludf.DUMMYFUNCTION("""COMPUTED_VALUE"""),42055.64583333333)</f>
        <v>42055.64583</v>
      </c>
      <c r="C174" s="2">
        <f>IFERROR(__xludf.DUMMYFUNCTION("""COMPUTED_VALUE"""),1705.5)</f>
        <v>1705.5</v>
      </c>
    </row>
    <row r="175" ht="15.75" customHeight="1">
      <c r="B175" s="3">
        <f>IFERROR(__xludf.DUMMYFUNCTION("""COMPUTED_VALUE"""),42068.64583333333)</f>
        <v>42068.64583</v>
      </c>
      <c r="C175" s="2">
        <f>IFERROR(__xludf.DUMMYFUNCTION("""COMPUTED_VALUE"""),1843.4)</f>
        <v>1843.4</v>
      </c>
    </row>
    <row r="176" ht="15.75" customHeight="1">
      <c r="B176" s="3">
        <f>IFERROR(__xludf.DUMMYFUNCTION("""COMPUTED_VALUE"""),42076.64583333333)</f>
        <v>42076.64583</v>
      </c>
      <c r="C176" s="2">
        <f>IFERROR(__xludf.DUMMYFUNCTION("""COMPUTED_VALUE"""),1917.3)</f>
        <v>1917.3</v>
      </c>
    </row>
    <row r="177" ht="15.75" customHeight="1">
      <c r="B177" s="3">
        <f>IFERROR(__xludf.DUMMYFUNCTION("""COMPUTED_VALUE"""),42083.64583333333)</f>
        <v>42083.64583</v>
      </c>
      <c r="C177" s="2">
        <f>IFERROR(__xludf.DUMMYFUNCTION("""COMPUTED_VALUE"""),1959.35)</f>
        <v>1959.35</v>
      </c>
    </row>
    <row r="178" ht="15.75" customHeight="1">
      <c r="B178" s="3">
        <f>IFERROR(__xludf.DUMMYFUNCTION("""COMPUTED_VALUE"""),42090.64583333333)</f>
        <v>42090.64583</v>
      </c>
      <c r="C178" s="2">
        <f>IFERROR(__xludf.DUMMYFUNCTION("""COMPUTED_VALUE"""),2036.95)</f>
        <v>2036.95</v>
      </c>
    </row>
    <row r="179" ht="15.75" customHeight="1">
      <c r="B179" s="3">
        <f>IFERROR(__xludf.DUMMYFUNCTION("""COMPUTED_VALUE"""),42095.64583333333)</f>
        <v>42095.64583</v>
      </c>
      <c r="C179" s="2">
        <f>IFERROR(__xludf.DUMMYFUNCTION("""COMPUTED_VALUE"""),2044.9)</f>
        <v>2044.9</v>
      </c>
    </row>
    <row r="180" ht="15.75" customHeight="1">
      <c r="B180" s="3">
        <f>IFERROR(__xludf.DUMMYFUNCTION("""COMPUTED_VALUE"""),42104.64583333333)</f>
        <v>42104.64583</v>
      </c>
      <c r="C180" s="2">
        <f>IFERROR(__xludf.DUMMYFUNCTION("""COMPUTED_VALUE"""),2115.0)</f>
        <v>2115</v>
      </c>
    </row>
    <row r="181" ht="15.75" customHeight="1">
      <c r="B181" s="3">
        <f>IFERROR(__xludf.DUMMYFUNCTION("""COMPUTED_VALUE"""),42111.64583333333)</f>
        <v>42111.64583</v>
      </c>
      <c r="C181" s="2">
        <f>IFERROR(__xludf.DUMMYFUNCTION("""COMPUTED_VALUE"""),1998.0)</f>
        <v>1998</v>
      </c>
    </row>
    <row r="182" ht="15.75" customHeight="1">
      <c r="B182" s="3">
        <f>IFERROR(__xludf.DUMMYFUNCTION("""COMPUTED_VALUE"""),42118.64583333333)</f>
        <v>42118.64583</v>
      </c>
      <c r="C182" s="2">
        <f>IFERROR(__xludf.DUMMYFUNCTION("""COMPUTED_VALUE"""),1819.5)</f>
        <v>1819.5</v>
      </c>
    </row>
    <row r="183" ht="15.75" customHeight="1">
      <c r="B183" s="3">
        <f>IFERROR(__xludf.DUMMYFUNCTION("""COMPUTED_VALUE"""),42124.64583333333)</f>
        <v>42124.64583</v>
      </c>
      <c r="C183" s="2">
        <f>IFERROR(__xludf.DUMMYFUNCTION("""COMPUTED_VALUE"""),1785.0)</f>
        <v>1785</v>
      </c>
    </row>
    <row r="184" ht="15.75" customHeight="1">
      <c r="B184" s="3">
        <f>IFERROR(__xludf.DUMMYFUNCTION("""COMPUTED_VALUE"""),42132.64583333333)</f>
        <v>42132.64583</v>
      </c>
      <c r="C184" s="2">
        <f>IFERROR(__xludf.DUMMYFUNCTION("""COMPUTED_VALUE"""),1829.7)</f>
        <v>1829.7</v>
      </c>
    </row>
    <row r="185" ht="15.75" customHeight="1">
      <c r="B185" s="3">
        <f>IFERROR(__xludf.DUMMYFUNCTION("""COMPUTED_VALUE"""),42139.64583333333)</f>
        <v>42139.64583</v>
      </c>
      <c r="C185" s="2">
        <f>IFERROR(__xludf.DUMMYFUNCTION("""COMPUTED_VALUE"""),1804.95)</f>
        <v>1804.95</v>
      </c>
    </row>
    <row r="186" ht="15.75" customHeight="1">
      <c r="B186" s="3">
        <f>IFERROR(__xludf.DUMMYFUNCTION("""COMPUTED_VALUE"""),42146.64583333333)</f>
        <v>42146.64583</v>
      </c>
      <c r="C186" s="2">
        <f>IFERROR(__xludf.DUMMYFUNCTION("""COMPUTED_VALUE"""),1746.9)</f>
        <v>1746.9</v>
      </c>
    </row>
    <row r="187" ht="15.75" customHeight="1">
      <c r="B187" s="3">
        <f>IFERROR(__xludf.DUMMYFUNCTION("""COMPUTED_VALUE"""),42153.64583333333)</f>
        <v>42153.64583</v>
      </c>
      <c r="C187" s="2">
        <f>IFERROR(__xludf.DUMMYFUNCTION("""COMPUTED_VALUE"""),1854.9)</f>
        <v>1854.9</v>
      </c>
    </row>
    <row r="188" ht="15.75" customHeight="1">
      <c r="B188" s="3">
        <f>IFERROR(__xludf.DUMMYFUNCTION("""COMPUTED_VALUE"""),42160.64583333333)</f>
        <v>42160.64583</v>
      </c>
      <c r="C188" s="2">
        <f>IFERROR(__xludf.DUMMYFUNCTION("""COMPUTED_VALUE"""),1826.4)</f>
        <v>1826.4</v>
      </c>
    </row>
    <row r="189" ht="15.75" customHeight="1">
      <c r="B189" s="3">
        <f>IFERROR(__xludf.DUMMYFUNCTION("""COMPUTED_VALUE"""),42167.64583333333)</f>
        <v>42167.64583</v>
      </c>
      <c r="C189" s="2">
        <f>IFERROR(__xludf.DUMMYFUNCTION("""COMPUTED_VALUE"""),1793.1)</f>
        <v>1793.1</v>
      </c>
    </row>
    <row r="190" ht="15.75" customHeight="1">
      <c r="B190" s="3">
        <f>IFERROR(__xludf.DUMMYFUNCTION("""COMPUTED_VALUE"""),42174.64583333333)</f>
        <v>42174.64583</v>
      </c>
      <c r="C190" s="2">
        <f>IFERROR(__xludf.DUMMYFUNCTION("""COMPUTED_VALUE"""),1822.5)</f>
        <v>1822.5</v>
      </c>
    </row>
    <row r="191" ht="15.75" customHeight="1">
      <c r="B191" s="3">
        <f>IFERROR(__xludf.DUMMYFUNCTION("""COMPUTED_VALUE"""),42181.64583333333)</f>
        <v>42181.64583</v>
      </c>
      <c r="C191" s="2">
        <f>IFERROR(__xludf.DUMMYFUNCTION("""COMPUTED_VALUE"""),1852.0)</f>
        <v>1852</v>
      </c>
    </row>
    <row r="192" ht="15.75" customHeight="1">
      <c r="B192" s="3">
        <f>IFERROR(__xludf.DUMMYFUNCTION("""COMPUTED_VALUE"""),42188.64583333333)</f>
        <v>42188.64583</v>
      </c>
      <c r="C192" s="2">
        <f>IFERROR(__xludf.DUMMYFUNCTION("""COMPUTED_VALUE"""),1918.55)</f>
        <v>1918.55</v>
      </c>
    </row>
    <row r="193" ht="15.75" customHeight="1">
      <c r="B193" s="3">
        <f>IFERROR(__xludf.DUMMYFUNCTION("""COMPUTED_VALUE"""),42195.64583333333)</f>
        <v>42195.64583</v>
      </c>
      <c r="C193" s="2">
        <f>IFERROR(__xludf.DUMMYFUNCTION("""COMPUTED_VALUE"""),1926.0)</f>
        <v>1926</v>
      </c>
    </row>
    <row r="194" ht="15.75" customHeight="1">
      <c r="B194" s="3">
        <f>IFERROR(__xludf.DUMMYFUNCTION("""COMPUTED_VALUE"""),42202.64583333333)</f>
        <v>42202.64583</v>
      </c>
      <c r="C194" s="2">
        <f>IFERROR(__xludf.DUMMYFUNCTION("""COMPUTED_VALUE"""),1983.0)</f>
        <v>1983</v>
      </c>
    </row>
    <row r="195" ht="15.75" customHeight="1">
      <c r="B195" s="3">
        <f>IFERROR(__xludf.DUMMYFUNCTION("""COMPUTED_VALUE"""),42209.64583333333)</f>
        <v>42209.64583</v>
      </c>
      <c r="C195" s="2">
        <f>IFERROR(__xludf.DUMMYFUNCTION("""COMPUTED_VALUE"""),1983.5)</f>
        <v>1983.5</v>
      </c>
    </row>
    <row r="196" ht="15.75" customHeight="1">
      <c r="B196" s="3">
        <f>IFERROR(__xludf.DUMMYFUNCTION("""COMPUTED_VALUE"""),42216.64583333333)</f>
        <v>42216.64583</v>
      </c>
      <c r="C196" s="2">
        <f>IFERROR(__xludf.DUMMYFUNCTION("""COMPUTED_VALUE"""),1707.7)</f>
        <v>1707.7</v>
      </c>
    </row>
    <row r="197" ht="15.75" customHeight="1">
      <c r="B197" s="3">
        <f>IFERROR(__xludf.DUMMYFUNCTION("""COMPUTED_VALUE"""),42223.64583333333)</f>
        <v>42223.64583</v>
      </c>
      <c r="C197" s="2">
        <f>IFERROR(__xludf.DUMMYFUNCTION("""COMPUTED_VALUE"""),1716.9)</f>
        <v>1716.9</v>
      </c>
    </row>
    <row r="198" ht="15.75" customHeight="1">
      <c r="B198" s="3">
        <f>IFERROR(__xludf.DUMMYFUNCTION("""COMPUTED_VALUE"""),42230.64583333333)</f>
        <v>42230.64583</v>
      </c>
      <c r="C198" s="2">
        <f>IFERROR(__xludf.DUMMYFUNCTION("""COMPUTED_VALUE"""),1798.0)</f>
        <v>1798</v>
      </c>
    </row>
    <row r="199" ht="15.75" customHeight="1">
      <c r="B199" s="3">
        <f>IFERROR(__xludf.DUMMYFUNCTION("""COMPUTED_VALUE"""),42237.64583333333)</f>
        <v>42237.64583</v>
      </c>
      <c r="C199" s="2">
        <f>IFERROR(__xludf.DUMMYFUNCTION("""COMPUTED_VALUE"""),1942.6)</f>
        <v>1942.6</v>
      </c>
    </row>
    <row r="200" ht="15.75" customHeight="1">
      <c r="B200" s="3">
        <f>IFERROR(__xludf.DUMMYFUNCTION("""COMPUTED_VALUE"""),42244.64583333333)</f>
        <v>42244.64583</v>
      </c>
      <c r="C200" s="2">
        <f>IFERROR(__xludf.DUMMYFUNCTION("""COMPUTED_VALUE"""),1935.25)</f>
        <v>1935.25</v>
      </c>
    </row>
    <row r="201" ht="15.75" customHeight="1">
      <c r="B201" s="3">
        <f>IFERROR(__xludf.DUMMYFUNCTION("""COMPUTED_VALUE"""),42251.64583333333)</f>
        <v>42251.64583</v>
      </c>
      <c r="C201" s="2">
        <f>IFERROR(__xludf.DUMMYFUNCTION("""COMPUTED_VALUE"""),1945.0)</f>
        <v>1945</v>
      </c>
    </row>
    <row r="202" ht="15.75" customHeight="1">
      <c r="B202" s="3">
        <f>IFERROR(__xludf.DUMMYFUNCTION("""COMPUTED_VALUE"""),42258.64583333333)</f>
        <v>42258.64583</v>
      </c>
      <c r="C202" s="2">
        <f>IFERROR(__xludf.DUMMYFUNCTION("""COMPUTED_VALUE"""),1877.0)</f>
        <v>1877</v>
      </c>
    </row>
    <row r="203" ht="15.75" customHeight="1">
      <c r="B203" s="3">
        <f>IFERROR(__xludf.DUMMYFUNCTION("""COMPUTED_VALUE"""),42265.64583333333)</f>
        <v>42265.64583</v>
      </c>
      <c r="C203" s="2">
        <f>IFERROR(__xludf.DUMMYFUNCTION("""COMPUTED_VALUE"""),1910.0)</f>
        <v>1910</v>
      </c>
    </row>
    <row r="204" ht="15.75" customHeight="1">
      <c r="B204" s="3">
        <f>IFERROR(__xludf.DUMMYFUNCTION("""COMPUTED_VALUE"""),42271.64583333333)</f>
        <v>42271.64583</v>
      </c>
      <c r="C204" s="2">
        <f>IFERROR(__xludf.DUMMYFUNCTION("""COMPUTED_VALUE"""),2002.8)</f>
        <v>2002.8</v>
      </c>
    </row>
    <row r="205" ht="15.75" customHeight="1">
      <c r="B205" s="3">
        <f>IFERROR(__xludf.DUMMYFUNCTION("""COMPUTED_VALUE"""),42278.64583333333)</f>
        <v>42278.64583</v>
      </c>
      <c r="C205" s="2">
        <f>IFERROR(__xludf.DUMMYFUNCTION("""COMPUTED_VALUE"""),2128.0)</f>
        <v>2128</v>
      </c>
    </row>
    <row r="206" ht="15.75" customHeight="1">
      <c r="B206" s="3">
        <f>IFERROR(__xludf.DUMMYFUNCTION("""COMPUTED_VALUE"""),42286.64583333333)</f>
        <v>42286.64583</v>
      </c>
      <c r="C206" s="2">
        <f>IFERROR(__xludf.DUMMYFUNCTION("""COMPUTED_VALUE"""),2129.0)</f>
        <v>2129</v>
      </c>
    </row>
    <row r="207" ht="15.75" customHeight="1">
      <c r="B207" s="3">
        <f>IFERROR(__xludf.DUMMYFUNCTION("""COMPUTED_VALUE"""),42293.64583333333)</f>
        <v>42293.64583</v>
      </c>
      <c r="C207" s="2">
        <f>IFERROR(__xludf.DUMMYFUNCTION("""COMPUTED_VALUE"""),2112.0)</f>
        <v>2112</v>
      </c>
    </row>
    <row r="208" ht="15.75" customHeight="1">
      <c r="B208" s="3">
        <f>IFERROR(__xludf.DUMMYFUNCTION("""COMPUTED_VALUE"""),42300.64583333333)</f>
        <v>42300.64583</v>
      </c>
      <c r="C208" s="2">
        <f>IFERROR(__xludf.DUMMYFUNCTION("""COMPUTED_VALUE"""),2104.0)</f>
        <v>2104</v>
      </c>
    </row>
    <row r="209" ht="15.75" customHeight="1">
      <c r="B209" s="3">
        <f>IFERROR(__xludf.DUMMYFUNCTION("""COMPUTED_VALUE"""),42307.64583333333)</f>
        <v>42307.64583</v>
      </c>
      <c r="C209" s="2">
        <f>IFERROR(__xludf.DUMMYFUNCTION("""COMPUTED_VALUE"""),2096.85)</f>
        <v>2096.85</v>
      </c>
    </row>
    <row r="210" ht="15.75" customHeight="1">
      <c r="B210" s="3">
        <f>IFERROR(__xludf.DUMMYFUNCTION("""COMPUTED_VALUE"""),42314.64583333333)</f>
        <v>42314.64583</v>
      </c>
      <c r="C210" s="2">
        <f>IFERROR(__xludf.DUMMYFUNCTION("""COMPUTED_VALUE"""),1935.2)</f>
        <v>1935.2</v>
      </c>
    </row>
    <row r="211" ht="15.75" customHeight="1">
      <c r="B211" s="3">
        <f>IFERROR(__xludf.DUMMYFUNCTION("""COMPUTED_VALUE"""),42321.64583333333)</f>
        <v>42321.64583</v>
      </c>
      <c r="C211" s="2">
        <f>IFERROR(__xludf.DUMMYFUNCTION("""COMPUTED_VALUE"""),1883.7)</f>
        <v>1883.7</v>
      </c>
    </row>
    <row r="212" ht="15.75" customHeight="1">
      <c r="B212" s="3">
        <f>IFERROR(__xludf.DUMMYFUNCTION("""COMPUTED_VALUE"""),42328.64583333333)</f>
        <v>42328.64583</v>
      </c>
      <c r="C212" s="2">
        <f>IFERROR(__xludf.DUMMYFUNCTION("""COMPUTED_VALUE"""),1833.75)</f>
        <v>1833.75</v>
      </c>
    </row>
    <row r="213" ht="15.75" customHeight="1">
      <c r="B213" s="3">
        <f>IFERROR(__xludf.DUMMYFUNCTION("""COMPUTED_VALUE"""),42335.64583333333)</f>
        <v>42335.64583</v>
      </c>
      <c r="C213" s="2">
        <f>IFERROR(__xludf.DUMMYFUNCTION("""COMPUTED_VALUE"""),1868.0)</f>
        <v>1868</v>
      </c>
    </row>
    <row r="214" ht="15.75" customHeight="1">
      <c r="B214" s="3">
        <f>IFERROR(__xludf.DUMMYFUNCTION("""COMPUTED_VALUE"""),42342.64583333333)</f>
        <v>42342.64583</v>
      </c>
      <c r="C214" s="2">
        <f>IFERROR(__xludf.DUMMYFUNCTION("""COMPUTED_VALUE"""),1879.0)</f>
        <v>1879</v>
      </c>
    </row>
    <row r="215" ht="15.75" customHeight="1">
      <c r="B215" s="3">
        <f>IFERROR(__xludf.DUMMYFUNCTION("""COMPUTED_VALUE"""),42349.64583333333)</f>
        <v>42349.64583</v>
      </c>
      <c r="C215" s="2">
        <f>IFERROR(__xludf.DUMMYFUNCTION("""COMPUTED_VALUE"""),1836.0)</f>
        <v>1836</v>
      </c>
    </row>
    <row r="216" ht="15.75" customHeight="1">
      <c r="B216" s="3">
        <f>IFERROR(__xludf.DUMMYFUNCTION("""COMPUTED_VALUE"""),42356.64583333333)</f>
        <v>42356.64583</v>
      </c>
      <c r="C216" s="2">
        <f>IFERROR(__xludf.DUMMYFUNCTION("""COMPUTED_VALUE"""),1846.6)</f>
        <v>1846.6</v>
      </c>
    </row>
    <row r="217" ht="15.75" customHeight="1">
      <c r="B217" s="3">
        <f>IFERROR(__xludf.DUMMYFUNCTION("""COMPUTED_VALUE"""),42362.64583333333)</f>
        <v>42362.64583</v>
      </c>
      <c r="C217" s="2">
        <f>IFERROR(__xludf.DUMMYFUNCTION("""COMPUTED_VALUE"""),1822.05)</f>
        <v>1822.05</v>
      </c>
    </row>
    <row r="218" ht="15.75" customHeight="1">
      <c r="B218" s="3">
        <f>IFERROR(__xludf.DUMMYFUNCTION("""COMPUTED_VALUE"""),42370.64583333333)</f>
        <v>42370.64583</v>
      </c>
      <c r="C218" s="2">
        <f>IFERROR(__xludf.DUMMYFUNCTION("""COMPUTED_VALUE"""),1865.0)</f>
        <v>1865</v>
      </c>
    </row>
    <row r="219" ht="15.75" customHeight="1"/>
    <row r="220" ht="15.75" customHeight="1"/>
    <row r="221" ht="15.75" customHeight="1">
      <c r="B221" s="2" t="str">
        <f>IFERROR(__xludf.DUMMYFUNCTION("GOOGLEFINANCE(""NSE:LUPIN"", ""high"",DATE(2016,1,1),DATE(2017,1,1),""weekly"")"),"Date")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IFERROR(__xludf.DUMMYFUNCTION("""COMPUTED_VALUE"""),42377.64583333333)</f>
        <v>42377.64583</v>
      </c>
      <c r="C222" s="2">
        <f>IFERROR(__xludf.DUMMYFUNCTION("""COMPUTED_VALUE"""),1837.85)</f>
        <v>1837.85</v>
      </c>
    </row>
    <row r="223" ht="15.75" customHeight="1">
      <c r="B223" s="3">
        <f>IFERROR(__xludf.DUMMYFUNCTION("""COMPUTED_VALUE"""),42384.64583333333)</f>
        <v>42384.64583</v>
      </c>
      <c r="C223" s="2">
        <f>IFERROR(__xludf.DUMMYFUNCTION("""COMPUTED_VALUE"""),1725.0)</f>
        <v>1725</v>
      </c>
    </row>
    <row r="224" ht="15.75" customHeight="1">
      <c r="B224" s="3">
        <f>IFERROR(__xludf.DUMMYFUNCTION("""COMPUTED_VALUE"""),42391.64583333333)</f>
        <v>42391.64583</v>
      </c>
      <c r="C224" s="2">
        <f>IFERROR(__xludf.DUMMYFUNCTION("""COMPUTED_VALUE"""),1734.6)</f>
        <v>1734.6</v>
      </c>
    </row>
    <row r="225" ht="15.75" customHeight="1">
      <c r="B225" s="3">
        <f>IFERROR(__xludf.DUMMYFUNCTION("""COMPUTED_VALUE"""),42398.64583333333)</f>
        <v>42398.64583</v>
      </c>
      <c r="C225" s="2">
        <f>IFERROR(__xludf.DUMMYFUNCTION("""COMPUTED_VALUE"""),1737.4)</f>
        <v>1737.4</v>
      </c>
    </row>
    <row r="226" ht="15.75" customHeight="1">
      <c r="B226" s="3">
        <f>IFERROR(__xludf.DUMMYFUNCTION("""COMPUTED_VALUE"""),42405.64583333333)</f>
        <v>42405.64583</v>
      </c>
      <c r="C226" s="2">
        <f>IFERROR(__xludf.DUMMYFUNCTION("""COMPUTED_VALUE"""),1817.0)</f>
        <v>1817</v>
      </c>
    </row>
    <row r="227" ht="15.75" customHeight="1">
      <c r="B227" s="3">
        <f>IFERROR(__xludf.DUMMYFUNCTION("""COMPUTED_VALUE"""),42412.64583333333)</f>
        <v>42412.64583</v>
      </c>
      <c r="C227" s="2">
        <f>IFERROR(__xludf.DUMMYFUNCTION("""COMPUTED_VALUE"""),1911.9)</f>
        <v>1911.9</v>
      </c>
    </row>
    <row r="228" ht="15.75" customHeight="1">
      <c r="B228" s="3">
        <f>IFERROR(__xludf.DUMMYFUNCTION("""COMPUTED_VALUE"""),42419.64583333333)</f>
        <v>42419.64583</v>
      </c>
      <c r="C228" s="2">
        <f>IFERROR(__xludf.DUMMYFUNCTION("""COMPUTED_VALUE"""),1837.3)</f>
        <v>1837.3</v>
      </c>
    </row>
    <row r="229" ht="15.75" customHeight="1">
      <c r="B229" s="3">
        <f>IFERROR(__xludf.DUMMYFUNCTION("""COMPUTED_VALUE"""),42426.64583333333)</f>
        <v>42426.64583</v>
      </c>
      <c r="C229" s="2">
        <f>IFERROR(__xludf.DUMMYFUNCTION("""COMPUTED_VALUE"""),1820.1)</f>
        <v>1820.1</v>
      </c>
    </row>
    <row r="230" ht="15.75" customHeight="1">
      <c r="B230" s="3">
        <f>IFERROR(__xludf.DUMMYFUNCTION("""COMPUTED_VALUE"""),42433.64583333333)</f>
        <v>42433.64583</v>
      </c>
      <c r="C230" s="2">
        <f>IFERROR(__xludf.DUMMYFUNCTION("""COMPUTED_VALUE"""),1819.0)</f>
        <v>1819</v>
      </c>
    </row>
    <row r="231" ht="15.75" customHeight="1">
      <c r="B231" s="3">
        <f>IFERROR(__xludf.DUMMYFUNCTION("""COMPUTED_VALUE"""),42440.64583333333)</f>
        <v>42440.64583</v>
      </c>
      <c r="C231" s="2">
        <f>IFERROR(__xludf.DUMMYFUNCTION("""COMPUTED_VALUE"""),1863.0)</f>
        <v>1863</v>
      </c>
    </row>
    <row r="232" ht="15.75" customHeight="1">
      <c r="B232" s="3">
        <f>IFERROR(__xludf.DUMMYFUNCTION("""COMPUTED_VALUE"""),42447.64583333333)</f>
        <v>42447.64583</v>
      </c>
      <c r="C232" s="2">
        <f>IFERROR(__xludf.DUMMYFUNCTION("""COMPUTED_VALUE"""),1874.6)</f>
        <v>1874.6</v>
      </c>
    </row>
    <row r="233" ht="15.75" customHeight="1">
      <c r="B233" s="3">
        <f>IFERROR(__xludf.DUMMYFUNCTION("""COMPUTED_VALUE"""),42452.64583333333)</f>
        <v>42452.64583</v>
      </c>
      <c r="C233" s="2">
        <f>IFERROR(__xludf.DUMMYFUNCTION("""COMPUTED_VALUE"""),1572.0)</f>
        <v>1572</v>
      </c>
    </row>
    <row r="234" ht="15.75" customHeight="1">
      <c r="B234" s="3">
        <f>IFERROR(__xludf.DUMMYFUNCTION("""COMPUTED_VALUE"""),42461.64583333333)</f>
        <v>42461.64583</v>
      </c>
      <c r="C234" s="2">
        <f>IFERROR(__xludf.DUMMYFUNCTION("""COMPUTED_VALUE"""),1548.0)</f>
        <v>1548</v>
      </c>
    </row>
    <row r="235" ht="15.75" customHeight="1">
      <c r="B235" s="3">
        <f>IFERROR(__xludf.DUMMYFUNCTION("""COMPUTED_VALUE"""),42468.64583333333)</f>
        <v>42468.64583</v>
      </c>
      <c r="C235" s="2">
        <f>IFERROR(__xludf.DUMMYFUNCTION("""COMPUTED_VALUE"""),1554.8)</f>
        <v>1554.8</v>
      </c>
    </row>
    <row r="236" ht="15.75" customHeight="1">
      <c r="B236" s="3">
        <f>IFERROR(__xludf.DUMMYFUNCTION("""COMPUTED_VALUE"""),42473.64583333333)</f>
        <v>42473.64583</v>
      </c>
      <c r="C236" s="2">
        <f>IFERROR(__xludf.DUMMYFUNCTION("""COMPUTED_VALUE"""),1568.7)</f>
        <v>1568.7</v>
      </c>
    </row>
    <row r="237" ht="15.75" customHeight="1">
      <c r="B237" s="3">
        <f>IFERROR(__xludf.DUMMYFUNCTION("""COMPUTED_VALUE"""),42482.64583333333)</f>
        <v>42482.64583</v>
      </c>
      <c r="C237" s="2">
        <f>IFERROR(__xludf.DUMMYFUNCTION("""COMPUTED_VALUE"""),1598.7)</f>
        <v>1598.7</v>
      </c>
    </row>
    <row r="238" ht="15.75" customHeight="1">
      <c r="B238" s="3">
        <f>IFERROR(__xludf.DUMMYFUNCTION("""COMPUTED_VALUE"""),42489.64583333333)</f>
        <v>42489.64583</v>
      </c>
      <c r="C238" s="2">
        <f>IFERROR(__xludf.DUMMYFUNCTION("""COMPUTED_VALUE"""),1617.85)</f>
        <v>1617.85</v>
      </c>
    </row>
    <row r="239" ht="15.75" customHeight="1">
      <c r="B239" s="3">
        <f>IFERROR(__xludf.DUMMYFUNCTION("""COMPUTED_VALUE"""),42496.64583333333)</f>
        <v>42496.64583</v>
      </c>
      <c r="C239" s="2">
        <f>IFERROR(__xludf.DUMMYFUNCTION("""COMPUTED_VALUE"""),1632.0)</f>
        <v>1632</v>
      </c>
    </row>
    <row r="240" ht="15.75" customHeight="1">
      <c r="B240" s="3">
        <f>IFERROR(__xludf.DUMMYFUNCTION("""COMPUTED_VALUE"""),42503.64583333333)</f>
        <v>42503.64583</v>
      </c>
      <c r="C240" s="2">
        <f>IFERROR(__xludf.DUMMYFUNCTION("""COMPUTED_VALUE"""),1623.85)</f>
        <v>1623.85</v>
      </c>
    </row>
    <row r="241" ht="15.75" customHeight="1">
      <c r="B241" s="3">
        <f>IFERROR(__xludf.DUMMYFUNCTION("""COMPUTED_VALUE"""),42510.64583333333)</f>
        <v>42510.64583</v>
      </c>
      <c r="C241" s="2">
        <f>IFERROR(__xludf.DUMMYFUNCTION("""COMPUTED_VALUE"""),1689.0)</f>
        <v>1689</v>
      </c>
    </row>
    <row r="242" ht="15.75" customHeight="1">
      <c r="B242" s="3">
        <f>IFERROR(__xludf.DUMMYFUNCTION("""COMPUTED_VALUE"""),42517.64583333333)</f>
        <v>42517.64583</v>
      </c>
      <c r="C242" s="2">
        <f>IFERROR(__xludf.DUMMYFUNCTION("""COMPUTED_VALUE"""),1535.45)</f>
        <v>1535.45</v>
      </c>
    </row>
    <row r="243" ht="15.75" customHeight="1">
      <c r="B243" s="3">
        <f>IFERROR(__xludf.DUMMYFUNCTION("""COMPUTED_VALUE"""),42524.64583333333)</f>
        <v>42524.64583</v>
      </c>
      <c r="C243" s="2">
        <f>IFERROR(__xludf.DUMMYFUNCTION("""COMPUTED_VALUE"""),1500.0)</f>
        <v>1500</v>
      </c>
    </row>
    <row r="244" ht="15.75" customHeight="1">
      <c r="B244" s="3">
        <f>IFERROR(__xludf.DUMMYFUNCTION("""COMPUTED_VALUE"""),42531.64583333333)</f>
        <v>42531.64583</v>
      </c>
      <c r="C244" s="2">
        <f>IFERROR(__xludf.DUMMYFUNCTION("""COMPUTED_VALUE"""),1465.0)</f>
        <v>1465</v>
      </c>
    </row>
    <row r="245" ht="15.75" customHeight="1">
      <c r="B245" s="3">
        <f>IFERROR(__xludf.DUMMYFUNCTION("""COMPUTED_VALUE"""),42538.64583333333)</f>
        <v>42538.64583</v>
      </c>
      <c r="C245" s="2">
        <f>IFERROR(__xludf.DUMMYFUNCTION("""COMPUTED_VALUE"""),1477.0)</f>
        <v>1477</v>
      </c>
    </row>
    <row r="246" ht="15.75" customHeight="1">
      <c r="B246" s="3">
        <f>IFERROR(__xludf.DUMMYFUNCTION("""COMPUTED_VALUE"""),42545.64583333333)</f>
        <v>42545.64583</v>
      </c>
      <c r="C246" s="2">
        <f>IFERROR(__xludf.DUMMYFUNCTION("""COMPUTED_VALUE"""),1494.8)</f>
        <v>1494.8</v>
      </c>
    </row>
    <row r="247" ht="15.75" customHeight="1">
      <c r="B247" s="3">
        <f>IFERROR(__xludf.DUMMYFUNCTION("""COMPUTED_VALUE"""),42552.64583333333)</f>
        <v>42552.64583</v>
      </c>
      <c r="C247" s="2">
        <f>IFERROR(__xludf.DUMMYFUNCTION("""COMPUTED_VALUE"""),1558.95)</f>
        <v>1558.95</v>
      </c>
    </row>
    <row r="248" ht="15.75" customHeight="1">
      <c r="B248" s="3">
        <f>IFERROR(__xludf.DUMMYFUNCTION("""COMPUTED_VALUE"""),42559.64583333333)</f>
        <v>42559.64583</v>
      </c>
      <c r="C248" s="2">
        <f>IFERROR(__xludf.DUMMYFUNCTION("""COMPUTED_VALUE"""),1712.3)</f>
        <v>1712.3</v>
      </c>
    </row>
    <row r="249" ht="15.75" customHeight="1">
      <c r="B249" s="3">
        <f>IFERROR(__xludf.DUMMYFUNCTION("""COMPUTED_VALUE"""),42566.64583333333)</f>
        <v>42566.64583</v>
      </c>
      <c r="C249" s="2">
        <f>IFERROR(__xludf.DUMMYFUNCTION("""COMPUTED_VALUE"""),1687.95)</f>
        <v>1687.95</v>
      </c>
    </row>
    <row r="250" ht="15.75" customHeight="1">
      <c r="B250" s="3">
        <f>IFERROR(__xludf.DUMMYFUNCTION("""COMPUTED_VALUE"""),42573.64583333333)</f>
        <v>42573.64583</v>
      </c>
      <c r="C250" s="2">
        <f>IFERROR(__xludf.DUMMYFUNCTION("""COMPUTED_VALUE"""),1736.7)</f>
        <v>1736.7</v>
      </c>
    </row>
    <row r="251" ht="15.75" customHeight="1">
      <c r="B251" s="3">
        <f>IFERROR(__xludf.DUMMYFUNCTION("""COMPUTED_VALUE"""),42580.64583333333)</f>
        <v>42580.64583</v>
      </c>
      <c r="C251" s="2">
        <f>IFERROR(__xludf.DUMMYFUNCTION("""COMPUTED_VALUE"""),1750.0)</f>
        <v>1750</v>
      </c>
    </row>
    <row r="252" ht="15.75" customHeight="1">
      <c r="B252" s="3">
        <f>IFERROR(__xludf.DUMMYFUNCTION("""COMPUTED_VALUE"""),42587.64583333333)</f>
        <v>42587.64583</v>
      </c>
      <c r="C252" s="2">
        <f>IFERROR(__xludf.DUMMYFUNCTION("""COMPUTED_VALUE"""),1747.9)</f>
        <v>1747.9</v>
      </c>
    </row>
    <row r="253" ht="15.75" customHeight="1">
      <c r="B253" s="3">
        <f>IFERROR(__xludf.DUMMYFUNCTION("""COMPUTED_VALUE"""),42594.64583333333)</f>
        <v>42594.64583</v>
      </c>
      <c r="C253" s="2">
        <f>IFERROR(__xludf.DUMMYFUNCTION("""COMPUTED_VALUE"""),1728.25)</f>
        <v>1728.25</v>
      </c>
    </row>
    <row r="254" ht="15.75" customHeight="1">
      <c r="B254" s="3">
        <f>IFERROR(__xludf.DUMMYFUNCTION("""COMPUTED_VALUE"""),42601.64583333333)</f>
        <v>42601.64583</v>
      </c>
      <c r="C254" s="2">
        <f>IFERROR(__xludf.DUMMYFUNCTION("""COMPUTED_VALUE"""),1607.95)</f>
        <v>1607.95</v>
      </c>
    </row>
    <row r="255" ht="15.75" customHeight="1">
      <c r="B255" s="3">
        <f>IFERROR(__xludf.DUMMYFUNCTION("""COMPUTED_VALUE"""),42608.64583333333)</f>
        <v>42608.64583</v>
      </c>
      <c r="C255" s="2">
        <f>IFERROR(__xludf.DUMMYFUNCTION("""COMPUTED_VALUE"""),1567.95)</f>
        <v>1567.95</v>
      </c>
    </row>
    <row r="256" ht="15.75" customHeight="1">
      <c r="B256" s="3">
        <f>IFERROR(__xludf.DUMMYFUNCTION("""COMPUTED_VALUE"""),42615.64583333333)</f>
        <v>42615.64583</v>
      </c>
      <c r="C256" s="2">
        <f>IFERROR(__xludf.DUMMYFUNCTION("""COMPUTED_VALUE"""),1531.0)</f>
        <v>1531</v>
      </c>
    </row>
    <row r="257" ht="15.75" customHeight="1">
      <c r="B257" s="3">
        <f>IFERROR(__xludf.DUMMYFUNCTION("""COMPUTED_VALUE"""),42622.64583333333)</f>
        <v>42622.64583</v>
      </c>
      <c r="C257" s="2">
        <f>IFERROR(__xludf.DUMMYFUNCTION("""COMPUTED_VALUE"""),1588.4)</f>
        <v>1588.4</v>
      </c>
    </row>
    <row r="258" ht="15.75" customHeight="1">
      <c r="B258" s="3">
        <f>IFERROR(__xludf.DUMMYFUNCTION("""COMPUTED_VALUE"""),42629.64583333333)</f>
        <v>42629.64583</v>
      </c>
      <c r="C258" s="2">
        <f>IFERROR(__xludf.DUMMYFUNCTION("""COMPUTED_VALUE"""),1561.8)</f>
        <v>1561.8</v>
      </c>
    </row>
    <row r="259" ht="15.75" customHeight="1">
      <c r="B259" s="3">
        <f>IFERROR(__xludf.DUMMYFUNCTION("""COMPUTED_VALUE"""),42636.64583333333)</f>
        <v>42636.64583</v>
      </c>
      <c r="C259" s="2">
        <f>IFERROR(__xludf.DUMMYFUNCTION("""COMPUTED_VALUE"""),1561.8)</f>
        <v>1561.8</v>
      </c>
    </row>
    <row r="260" ht="15.75" customHeight="1">
      <c r="B260" s="3">
        <f>IFERROR(__xludf.DUMMYFUNCTION("""COMPUTED_VALUE"""),42643.64583333333)</f>
        <v>42643.64583</v>
      </c>
      <c r="C260" s="2">
        <f>IFERROR(__xludf.DUMMYFUNCTION("""COMPUTED_VALUE"""),1531.8)</f>
        <v>1531.8</v>
      </c>
    </row>
    <row r="261" ht="15.75" customHeight="1">
      <c r="B261" s="3">
        <f>IFERROR(__xludf.DUMMYFUNCTION("""COMPUTED_VALUE"""),42650.64583333333)</f>
        <v>42650.64583</v>
      </c>
      <c r="C261" s="2">
        <f>IFERROR(__xludf.DUMMYFUNCTION("""COMPUTED_VALUE"""),1508.0)</f>
        <v>1508</v>
      </c>
    </row>
    <row r="262" ht="15.75" customHeight="1">
      <c r="B262" s="3">
        <f>IFERROR(__xludf.DUMMYFUNCTION("""COMPUTED_VALUE"""),42657.64583333333)</f>
        <v>42657.64583</v>
      </c>
      <c r="C262" s="2">
        <f>IFERROR(__xludf.DUMMYFUNCTION("""COMPUTED_VALUE"""),1524.9)</f>
        <v>1524.9</v>
      </c>
    </row>
    <row r="263" ht="15.75" customHeight="1">
      <c r="B263" s="3">
        <f>IFERROR(__xludf.DUMMYFUNCTION("""COMPUTED_VALUE"""),42664.64583333333)</f>
        <v>42664.64583</v>
      </c>
      <c r="C263" s="2">
        <f>IFERROR(__xludf.DUMMYFUNCTION("""COMPUTED_VALUE"""),1521.45)</f>
        <v>1521.45</v>
      </c>
    </row>
    <row r="264" ht="15.75" customHeight="1">
      <c r="B264" s="3">
        <f>IFERROR(__xludf.DUMMYFUNCTION("""COMPUTED_VALUE"""),42671.64583333333)</f>
        <v>42671.64583</v>
      </c>
      <c r="C264" s="2">
        <f>IFERROR(__xludf.DUMMYFUNCTION("""COMPUTED_VALUE"""),1544.0)</f>
        <v>1544</v>
      </c>
    </row>
    <row r="265" ht="15.75" customHeight="1">
      <c r="B265" s="3">
        <f>IFERROR(__xludf.DUMMYFUNCTION("""COMPUTED_VALUE"""),42678.64583333333)</f>
        <v>42678.64583</v>
      </c>
      <c r="C265" s="2">
        <f>IFERROR(__xludf.DUMMYFUNCTION("""COMPUTED_VALUE"""),1544.0)</f>
        <v>1544</v>
      </c>
    </row>
    <row r="266" ht="15.75" customHeight="1">
      <c r="B266" s="3">
        <f>IFERROR(__xludf.DUMMYFUNCTION("""COMPUTED_VALUE"""),42685.64583333333)</f>
        <v>42685.64583</v>
      </c>
      <c r="C266" s="2">
        <f>IFERROR(__xludf.DUMMYFUNCTION("""COMPUTED_VALUE"""),1565.0)</f>
        <v>1565</v>
      </c>
    </row>
    <row r="267" ht="15.75" customHeight="1">
      <c r="B267" s="3">
        <f>IFERROR(__xludf.DUMMYFUNCTION("""COMPUTED_VALUE"""),42692.64583333333)</f>
        <v>42692.64583</v>
      </c>
      <c r="C267" s="2">
        <f>IFERROR(__xludf.DUMMYFUNCTION("""COMPUTED_VALUE"""),1466.15)</f>
        <v>1466.15</v>
      </c>
    </row>
    <row r="268" ht="15.75" customHeight="1">
      <c r="B268" s="3">
        <f>IFERROR(__xludf.DUMMYFUNCTION("""COMPUTED_VALUE"""),42699.64583333333)</f>
        <v>42699.64583</v>
      </c>
      <c r="C268" s="2">
        <f>IFERROR(__xludf.DUMMYFUNCTION("""COMPUTED_VALUE"""),1518.8)</f>
        <v>1518.8</v>
      </c>
    </row>
    <row r="269" ht="15.75" customHeight="1">
      <c r="B269" s="3">
        <f>IFERROR(__xludf.DUMMYFUNCTION("""COMPUTED_VALUE"""),42706.64583333333)</f>
        <v>42706.64583</v>
      </c>
      <c r="C269" s="2">
        <f>IFERROR(__xludf.DUMMYFUNCTION("""COMPUTED_VALUE"""),1547.1)</f>
        <v>1547.1</v>
      </c>
    </row>
    <row r="270" ht="15.75" customHeight="1">
      <c r="B270" s="3">
        <f>IFERROR(__xludf.DUMMYFUNCTION("""COMPUTED_VALUE"""),42713.64583333333)</f>
        <v>42713.64583</v>
      </c>
      <c r="C270" s="2">
        <f>IFERROR(__xludf.DUMMYFUNCTION("""COMPUTED_VALUE"""),1548.0)</f>
        <v>1548</v>
      </c>
    </row>
    <row r="271" ht="15.75" customHeight="1">
      <c r="B271" s="3">
        <f>IFERROR(__xludf.DUMMYFUNCTION("""COMPUTED_VALUE"""),42720.64583333333)</f>
        <v>42720.64583</v>
      </c>
      <c r="C271" s="2">
        <f>IFERROR(__xludf.DUMMYFUNCTION("""COMPUTED_VALUE"""),1524.75)</f>
        <v>1524.75</v>
      </c>
    </row>
    <row r="272" ht="15.75" customHeight="1">
      <c r="B272" s="3">
        <f>IFERROR(__xludf.DUMMYFUNCTION("""COMPUTED_VALUE"""),42727.64583333333)</f>
        <v>42727.64583</v>
      </c>
      <c r="C272" s="2">
        <f>IFERROR(__xludf.DUMMYFUNCTION("""COMPUTED_VALUE"""),1494.0)</f>
        <v>1494</v>
      </c>
    </row>
    <row r="273" ht="15.75" customHeight="1">
      <c r="B273" s="3">
        <f>IFERROR(__xludf.DUMMYFUNCTION("""COMPUTED_VALUE"""),42734.64583333333)</f>
        <v>42734.64583</v>
      </c>
      <c r="C273" s="2">
        <f>IFERROR(__xludf.DUMMYFUNCTION("""COMPUTED_VALUE"""),1489.95)</f>
        <v>1489.95</v>
      </c>
    </row>
    <row r="274" ht="15.75" customHeight="1"/>
    <row r="275" ht="15.75" customHeight="1"/>
    <row r="276" ht="15.75" customHeight="1">
      <c r="B276" s="2" t="str">
        <f>IFERROR(__xludf.DUMMYFUNCTION("GOOGLEFINANCE(""NSE:LUPIN"", ""high"",DATE(2017,1,1),DATE(2018,1,1),""weekly"")"),"Date")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IFERROR(__xludf.DUMMYFUNCTION("""COMPUTED_VALUE"""),42741.64583333333)</f>
        <v>42741.64583</v>
      </c>
      <c r="C277" s="2">
        <f>IFERROR(__xludf.DUMMYFUNCTION("""COMPUTED_VALUE"""),1527.8)</f>
        <v>1527.8</v>
      </c>
    </row>
    <row r="278" ht="15.75" customHeight="1">
      <c r="B278" s="3">
        <f>IFERROR(__xludf.DUMMYFUNCTION("""COMPUTED_VALUE"""),42748.64583333333)</f>
        <v>42748.64583</v>
      </c>
      <c r="C278" s="2">
        <f>IFERROR(__xludf.DUMMYFUNCTION("""COMPUTED_VALUE"""),1525.5)</f>
        <v>1525.5</v>
      </c>
    </row>
    <row r="279" ht="15.75" customHeight="1">
      <c r="B279" s="3">
        <f>IFERROR(__xludf.DUMMYFUNCTION("""COMPUTED_VALUE"""),42755.64583333333)</f>
        <v>42755.64583</v>
      </c>
      <c r="C279" s="2">
        <f>IFERROR(__xludf.DUMMYFUNCTION("""COMPUTED_VALUE"""),1513.0)</f>
        <v>1513</v>
      </c>
    </row>
    <row r="280" ht="15.75" customHeight="1">
      <c r="B280" s="3">
        <f>IFERROR(__xludf.DUMMYFUNCTION("""COMPUTED_VALUE"""),42762.64583333333)</f>
        <v>42762.64583</v>
      </c>
      <c r="C280" s="2">
        <f>IFERROR(__xludf.DUMMYFUNCTION("""COMPUTED_VALUE"""),1529.8)</f>
        <v>1529.8</v>
      </c>
    </row>
    <row r="281" ht="15.75" customHeight="1">
      <c r="B281" s="3">
        <f>IFERROR(__xludf.DUMMYFUNCTION("""COMPUTED_VALUE"""),42769.64583333333)</f>
        <v>42769.64583</v>
      </c>
      <c r="C281" s="2">
        <f>IFERROR(__xludf.DUMMYFUNCTION("""COMPUTED_VALUE"""),1510.05)</f>
        <v>1510.05</v>
      </c>
    </row>
    <row r="282" ht="15.75" customHeight="1">
      <c r="B282" s="3">
        <f>IFERROR(__xludf.DUMMYFUNCTION("""COMPUTED_VALUE"""),42776.64583333333)</f>
        <v>42776.64583</v>
      </c>
      <c r="C282" s="2">
        <f>IFERROR(__xludf.DUMMYFUNCTION("""COMPUTED_VALUE"""),1573.6)</f>
        <v>1573.6</v>
      </c>
    </row>
    <row r="283" ht="15.75" customHeight="1">
      <c r="B283" s="3">
        <f>IFERROR(__xludf.DUMMYFUNCTION("""COMPUTED_VALUE"""),42783.64583333333)</f>
        <v>42783.64583</v>
      </c>
      <c r="C283" s="2">
        <f>IFERROR(__xludf.DUMMYFUNCTION("""COMPUTED_VALUE"""),1479.0)</f>
        <v>1479</v>
      </c>
    </row>
    <row r="284" ht="15.75" customHeight="1">
      <c r="B284" s="3">
        <f>IFERROR(__xludf.DUMMYFUNCTION("""COMPUTED_VALUE"""),42789.64583333333)</f>
        <v>42789.64583</v>
      </c>
      <c r="C284" s="2">
        <f>IFERROR(__xludf.DUMMYFUNCTION("""COMPUTED_VALUE"""),1476.0)</f>
        <v>1476</v>
      </c>
    </row>
    <row r="285" ht="15.75" customHeight="1">
      <c r="B285" s="3">
        <f>IFERROR(__xludf.DUMMYFUNCTION("""COMPUTED_VALUE"""),42797.64583333333)</f>
        <v>42797.64583</v>
      </c>
      <c r="C285" s="2">
        <f>IFERROR(__xludf.DUMMYFUNCTION("""COMPUTED_VALUE"""),1483.45)</f>
        <v>1483.45</v>
      </c>
    </row>
    <row r="286" ht="15.75" customHeight="1">
      <c r="B286" s="3">
        <f>IFERROR(__xludf.DUMMYFUNCTION("""COMPUTED_VALUE"""),42804.64583333333)</f>
        <v>42804.64583</v>
      </c>
      <c r="C286" s="2">
        <f>IFERROR(__xludf.DUMMYFUNCTION("""COMPUTED_VALUE"""),1482.45)</f>
        <v>1482.45</v>
      </c>
    </row>
    <row r="287" ht="15.75" customHeight="1">
      <c r="B287" s="3">
        <f>IFERROR(__xludf.DUMMYFUNCTION("""COMPUTED_VALUE"""),42811.64583333333)</f>
        <v>42811.64583</v>
      </c>
      <c r="C287" s="2">
        <f>IFERROR(__xludf.DUMMYFUNCTION("""COMPUTED_VALUE"""),1475.45)</f>
        <v>1475.45</v>
      </c>
    </row>
    <row r="288" ht="15.75" customHeight="1">
      <c r="B288" s="3">
        <f>IFERROR(__xludf.DUMMYFUNCTION("""COMPUTED_VALUE"""),42818.64583333333)</f>
        <v>42818.64583</v>
      </c>
      <c r="C288" s="2">
        <f>IFERROR(__xludf.DUMMYFUNCTION("""COMPUTED_VALUE"""),1498.0)</f>
        <v>1498</v>
      </c>
    </row>
    <row r="289" ht="15.75" customHeight="1">
      <c r="B289" s="3">
        <f>IFERROR(__xludf.DUMMYFUNCTION("""COMPUTED_VALUE"""),42825.64583333333)</f>
        <v>42825.64583</v>
      </c>
      <c r="C289" s="2">
        <f>IFERROR(__xludf.DUMMYFUNCTION("""COMPUTED_VALUE"""),1486.9)</f>
        <v>1486.9</v>
      </c>
    </row>
    <row r="290" ht="15.75" customHeight="1">
      <c r="B290" s="3">
        <f>IFERROR(__xludf.DUMMYFUNCTION("""COMPUTED_VALUE"""),42832.64583333333)</f>
        <v>42832.64583</v>
      </c>
      <c r="C290" s="2">
        <f>IFERROR(__xludf.DUMMYFUNCTION("""COMPUTED_VALUE"""),1457.05)</f>
        <v>1457.05</v>
      </c>
    </row>
    <row r="291" ht="15.75" customHeight="1">
      <c r="B291" s="3">
        <f>IFERROR(__xludf.DUMMYFUNCTION("""COMPUTED_VALUE"""),42838.64583333333)</f>
        <v>42838.64583</v>
      </c>
      <c r="C291" s="2">
        <f>IFERROR(__xludf.DUMMYFUNCTION("""COMPUTED_VALUE"""),1454.9)</f>
        <v>1454.9</v>
      </c>
    </row>
    <row r="292" ht="15.75" customHeight="1">
      <c r="B292" s="3">
        <f>IFERROR(__xludf.DUMMYFUNCTION("""COMPUTED_VALUE"""),42846.64583333333)</f>
        <v>42846.64583</v>
      </c>
      <c r="C292" s="2">
        <f>IFERROR(__xludf.DUMMYFUNCTION("""COMPUTED_VALUE"""),1442.45)</f>
        <v>1442.45</v>
      </c>
    </row>
    <row r="293" ht="15.75" customHeight="1">
      <c r="B293" s="3">
        <f>IFERROR(__xludf.DUMMYFUNCTION("""COMPUTED_VALUE"""),42853.64583333333)</f>
        <v>42853.64583</v>
      </c>
      <c r="C293" s="2">
        <f>IFERROR(__xludf.DUMMYFUNCTION("""COMPUTED_VALUE"""),1405.0)</f>
        <v>1405</v>
      </c>
    </row>
    <row r="294" ht="15.75" customHeight="1">
      <c r="B294" s="3">
        <f>IFERROR(__xludf.DUMMYFUNCTION("""COMPUTED_VALUE"""),42860.64583333333)</f>
        <v>42860.64583</v>
      </c>
      <c r="C294" s="2">
        <f>IFERROR(__xludf.DUMMYFUNCTION("""COMPUTED_VALUE"""),1354.0)</f>
        <v>1354</v>
      </c>
    </row>
    <row r="295" ht="15.75" customHeight="1">
      <c r="B295" s="3">
        <f>IFERROR(__xludf.DUMMYFUNCTION("""COMPUTED_VALUE"""),42867.64583333333)</f>
        <v>42867.64583</v>
      </c>
      <c r="C295" s="2">
        <f>IFERROR(__xludf.DUMMYFUNCTION("""COMPUTED_VALUE"""),1285.0)</f>
        <v>1285</v>
      </c>
    </row>
    <row r="296" ht="15.75" customHeight="1">
      <c r="B296" s="3">
        <f>IFERROR(__xludf.DUMMYFUNCTION("""COMPUTED_VALUE"""),42874.64583333333)</f>
        <v>42874.64583</v>
      </c>
      <c r="C296" s="2">
        <f>IFERROR(__xludf.DUMMYFUNCTION("""COMPUTED_VALUE"""),1322.35)</f>
        <v>1322.35</v>
      </c>
    </row>
    <row r="297" ht="15.75" customHeight="1">
      <c r="B297" s="3">
        <f>IFERROR(__xludf.DUMMYFUNCTION("""COMPUTED_VALUE"""),42881.64583333333)</f>
        <v>42881.64583</v>
      </c>
      <c r="C297" s="2">
        <f>IFERROR(__xludf.DUMMYFUNCTION("""COMPUTED_VALUE"""),1327.0)</f>
        <v>1327</v>
      </c>
    </row>
    <row r="298" ht="15.75" customHeight="1">
      <c r="B298" s="3">
        <f>IFERROR(__xludf.DUMMYFUNCTION("""COMPUTED_VALUE"""),42888.64583333333)</f>
        <v>42888.64583</v>
      </c>
      <c r="C298" s="2">
        <f>IFERROR(__xludf.DUMMYFUNCTION("""COMPUTED_VALUE"""),1188.9)</f>
        <v>1188.9</v>
      </c>
    </row>
    <row r="299" ht="15.75" customHeight="1">
      <c r="B299" s="3">
        <f>IFERROR(__xludf.DUMMYFUNCTION("""COMPUTED_VALUE"""),42895.64583333333)</f>
        <v>42895.64583</v>
      </c>
      <c r="C299" s="2">
        <f>IFERROR(__xludf.DUMMYFUNCTION("""COMPUTED_VALUE"""),1178.4)</f>
        <v>1178.4</v>
      </c>
    </row>
    <row r="300" ht="15.75" customHeight="1">
      <c r="B300" s="3">
        <f>IFERROR(__xludf.DUMMYFUNCTION("""COMPUTED_VALUE"""),42902.64583333333)</f>
        <v>42902.64583</v>
      </c>
      <c r="C300" s="2">
        <f>IFERROR(__xludf.DUMMYFUNCTION("""COMPUTED_VALUE"""),1194.0)</f>
        <v>1194</v>
      </c>
    </row>
    <row r="301" ht="15.75" customHeight="1">
      <c r="B301" s="3">
        <f>IFERROR(__xludf.DUMMYFUNCTION("""COMPUTED_VALUE"""),42909.64583333333)</f>
        <v>42909.64583</v>
      </c>
      <c r="C301" s="2">
        <f>IFERROR(__xludf.DUMMYFUNCTION("""COMPUTED_VALUE"""),1141.5)</f>
        <v>1141.5</v>
      </c>
    </row>
    <row r="302" ht="15.75" customHeight="1">
      <c r="B302" s="3">
        <f>IFERROR(__xludf.DUMMYFUNCTION("""COMPUTED_VALUE"""),42916.64583333333)</f>
        <v>42916.64583</v>
      </c>
      <c r="C302" s="2">
        <f>IFERROR(__xludf.DUMMYFUNCTION("""COMPUTED_VALUE"""),1069.8)</f>
        <v>1069.8</v>
      </c>
    </row>
    <row r="303" ht="15.75" customHeight="1">
      <c r="B303" s="3">
        <f>IFERROR(__xludf.DUMMYFUNCTION("""COMPUTED_VALUE"""),42923.64583333333)</f>
        <v>42923.64583</v>
      </c>
      <c r="C303" s="2">
        <f>IFERROR(__xludf.DUMMYFUNCTION("""COMPUTED_VALUE"""),1137.0)</f>
        <v>1137</v>
      </c>
    </row>
    <row r="304" ht="15.75" customHeight="1">
      <c r="B304" s="3">
        <f>IFERROR(__xludf.DUMMYFUNCTION("""COMPUTED_VALUE"""),42930.64583333333)</f>
        <v>42930.64583</v>
      </c>
      <c r="C304" s="2">
        <f>IFERROR(__xludf.DUMMYFUNCTION("""COMPUTED_VALUE"""),1170.0)</f>
        <v>1170</v>
      </c>
    </row>
    <row r="305" ht="15.75" customHeight="1">
      <c r="B305" s="3">
        <f>IFERROR(__xludf.DUMMYFUNCTION("""COMPUTED_VALUE"""),42937.64583333333)</f>
        <v>42937.64583</v>
      </c>
      <c r="C305" s="2">
        <f>IFERROR(__xludf.DUMMYFUNCTION("""COMPUTED_VALUE"""),1177.45)</f>
        <v>1177.45</v>
      </c>
    </row>
    <row r="306" ht="15.75" customHeight="1">
      <c r="B306" s="3">
        <f>IFERROR(__xludf.DUMMYFUNCTION("""COMPUTED_VALUE"""),42944.64583333333)</f>
        <v>42944.64583</v>
      </c>
      <c r="C306" s="2">
        <f>IFERROR(__xludf.DUMMYFUNCTION("""COMPUTED_VALUE"""),1175.2)</f>
        <v>1175.2</v>
      </c>
    </row>
    <row r="307" ht="15.75" customHeight="1">
      <c r="B307" s="3">
        <f>IFERROR(__xludf.DUMMYFUNCTION("""COMPUTED_VALUE"""),42951.64583333333)</f>
        <v>42951.64583</v>
      </c>
      <c r="C307" s="2">
        <f>IFERROR(__xludf.DUMMYFUNCTION("""COMPUTED_VALUE"""),1089.9)</f>
        <v>1089.9</v>
      </c>
    </row>
    <row r="308" ht="15.75" customHeight="1">
      <c r="B308" s="3">
        <f>IFERROR(__xludf.DUMMYFUNCTION("""COMPUTED_VALUE"""),42958.64583333333)</f>
        <v>42958.64583</v>
      </c>
      <c r="C308" s="2">
        <f>IFERROR(__xludf.DUMMYFUNCTION("""COMPUTED_VALUE"""),1004.0)</f>
        <v>1004</v>
      </c>
    </row>
    <row r="309" ht="15.75" customHeight="1">
      <c r="B309" s="3">
        <f>IFERROR(__xludf.DUMMYFUNCTION("""COMPUTED_VALUE"""),42965.64583333333)</f>
        <v>42965.64583</v>
      </c>
      <c r="C309" s="2">
        <f>IFERROR(__xludf.DUMMYFUNCTION("""COMPUTED_VALUE"""),974.05)</f>
        <v>974.05</v>
      </c>
    </row>
    <row r="310" ht="15.75" customHeight="1">
      <c r="B310" s="3">
        <f>IFERROR(__xludf.DUMMYFUNCTION("""COMPUTED_VALUE"""),42971.64583333333)</f>
        <v>42971.64583</v>
      </c>
      <c r="C310" s="2">
        <f>IFERROR(__xludf.DUMMYFUNCTION("""COMPUTED_VALUE"""),999.8)</f>
        <v>999.8</v>
      </c>
    </row>
    <row r="311" ht="15.75" customHeight="1">
      <c r="B311" s="3">
        <f>IFERROR(__xludf.DUMMYFUNCTION("""COMPUTED_VALUE"""),42979.64583333333)</f>
        <v>42979.64583</v>
      </c>
      <c r="C311" s="2">
        <f>IFERROR(__xludf.DUMMYFUNCTION("""COMPUTED_VALUE"""),1009.4)</f>
        <v>1009.4</v>
      </c>
    </row>
    <row r="312" ht="15.75" customHeight="1">
      <c r="B312" s="3">
        <f>IFERROR(__xludf.DUMMYFUNCTION("""COMPUTED_VALUE"""),42986.64583333333)</f>
        <v>42986.64583</v>
      </c>
      <c r="C312" s="2">
        <f>IFERROR(__xludf.DUMMYFUNCTION("""COMPUTED_VALUE"""),1006.45)</f>
        <v>1006.45</v>
      </c>
    </row>
    <row r="313" ht="15.75" customHeight="1">
      <c r="B313" s="3">
        <f>IFERROR(__xludf.DUMMYFUNCTION("""COMPUTED_VALUE"""),42993.64583333333)</f>
        <v>42993.64583</v>
      </c>
      <c r="C313" s="2">
        <f>IFERROR(__xludf.DUMMYFUNCTION("""COMPUTED_VALUE"""),1017.75)</f>
        <v>1017.75</v>
      </c>
    </row>
    <row r="314" ht="15.75" customHeight="1">
      <c r="B314" s="3">
        <f>IFERROR(__xludf.DUMMYFUNCTION("""COMPUTED_VALUE"""),43000.64583333333)</f>
        <v>43000.64583</v>
      </c>
      <c r="C314" s="2">
        <f>IFERROR(__xludf.DUMMYFUNCTION("""COMPUTED_VALUE"""),1044.7)</f>
        <v>1044.7</v>
      </c>
    </row>
    <row r="315" ht="15.75" customHeight="1">
      <c r="B315" s="3">
        <f>IFERROR(__xludf.DUMMYFUNCTION("""COMPUTED_VALUE"""),43007.64583333333)</f>
        <v>43007.64583</v>
      </c>
      <c r="C315" s="2">
        <f>IFERROR(__xludf.DUMMYFUNCTION("""COMPUTED_VALUE"""),1017.8)</f>
        <v>1017.8</v>
      </c>
    </row>
    <row r="316" ht="15.75" customHeight="1">
      <c r="B316" s="3">
        <f>IFERROR(__xludf.DUMMYFUNCTION("""COMPUTED_VALUE"""),43014.64583333333)</f>
        <v>43014.64583</v>
      </c>
      <c r="C316" s="2">
        <f>IFERROR(__xludf.DUMMYFUNCTION("""COMPUTED_VALUE"""),1044.9)</f>
        <v>1044.9</v>
      </c>
    </row>
    <row r="317" ht="15.75" customHeight="1">
      <c r="B317" s="3">
        <f>IFERROR(__xludf.DUMMYFUNCTION("""COMPUTED_VALUE"""),43021.64583333333)</f>
        <v>43021.64583</v>
      </c>
      <c r="C317" s="2">
        <f>IFERROR(__xludf.DUMMYFUNCTION("""COMPUTED_VALUE"""),1071.0)</f>
        <v>1071</v>
      </c>
    </row>
    <row r="318" ht="15.75" customHeight="1">
      <c r="B318" s="3">
        <f>IFERROR(__xludf.DUMMYFUNCTION("""COMPUTED_VALUE"""),43027.83333333333)</f>
        <v>43027.83333</v>
      </c>
      <c r="C318" s="2">
        <f>IFERROR(__xludf.DUMMYFUNCTION("""COMPUTED_VALUE"""),1075.0)</f>
        <v>1075</v>
      </c>
    </row>
    <row r="319" ht="15.75" customHeight="1">
      <c r="B319" s="3">
        <f>IFERROR(__xludf.DUMMYFUNCTION("""COMPUTED_VALUE"""),43035.64583333333)</f>
        <v>43035.64583</v>
      </c>
      <c r="C319" s="2">
        <f>IFERROR(__xludf.DUMMYFUNCTION("""COMPUTED_VALUE"""),1058.3)</f>
        <v>1058.3</v>
      </c>
    </row>
    <row r="320" ht="15.75" customHeight="1">
      <c r="B320" s="3">
        <f>IFERROR(__xludf.DUMMYFUNCTION("""COMPUTED_VALUE"""),43042.64583333333)</f>
        <v>43042.64583</v>
      </c>
      <c r="C320" s="2">
        <f>IFERROR(__xludf.DUMMYFUNCTION("""COMPUTED_VALUE"""),1090.0)</f>
        <v>1090</v>
      </c>
    </row>
    <row r="321" ht="15.75" customHeight="1">
      <c r="B321" s="3">
        <f>IFERROR(__xludf.DUMMYFUNCTION("""COMPUTED_VALUE"""),43049.64583333333)</f>
        <v>43049.64583</v>
      </c>
      <c r="C321" s="2">
        <f>IFERROR(__xludf.DUMMYFUNCTION("""COMPUTED_VALUE"""),1055.7)</f>
        <v>1055.7</v>
      </c>
    </row>
    <row r="322" ht="15.75" customHeight="1">
      <c r="B322" s="3">
        <f>IFERROR(__xludf.DUMMYFUNCTION("""COMPUTED_VALUE"""),43056.64583333333)</f>
        <v>43056.64583</v>
      </c>
      <c r="C322" s="2">
        <f>IFERROR(__xludf.DUMMYFUNCTION("""COMPUTED_VALUE"""),845.0)</f>
        <v>845</v>
      </c>
    </row>
    <row r="323" ht="15.75" customHeight="1">
      <c r="B323" s="3">
        <f>IFERROR(__xludf.DUMMYFUNCTION("""COMPUTED_VALUE"""),43063.64583333333)</f>
        <v>43063.64583</v>
      </c>
      <c r="C323" s="2">
        <f>IFERROR(__xludf.DUMMYFUNCTION("""COMPUTED_VALUE"""),849.5)</f>
        <v>849.5</v>
      </c>
    </row>
    <row r="324" ht="15.75" customHeight="1">
      <c r="B324" s="3">
        <f>IFERROR(__xludf.DUMMYFUNCTION("""COMPUTED_VALUE"""),43070.64583333333)</f>
        <v>43070.64583</v>
      </c>
      <c r="C324" s="2">
        <f>IFERROR(__xludf.DUMMYFUNCTION("""COMPUTED_VALUE"""),839.9)</f>
        <v>839.9</v>
      </c>
    </row>
    <row r="325" ht="15.75" customHeight="1">
      <c r="B325" s="3">
        <f>IFERROR(__xludf.DUMMYFUNCTION("""COMPUTED_VALUE"""),43077.64583333333)</f>
        <v>43077.64583</v>
      </c>
      <c r="C325" s="2">
        <f>IFERROR(__xludf.DUMMYFUNCTION("""COMPUTED_VALUE"""),829.0)</f>
        <v>829</v>
      </c>
    </row>
    <row r="326" ht="15.75" customHeight="1">
      <c r="B326" s="3">
        <f>IFERROR(__xludf.DUMMYFUNCTION("""COMPUTED_VALUE"""),43084.64583333333)</f>
        <v>43084.64583</v>
      </c>
      <c r="C326" s="2">
        <f>IFERROR(__xludf.DUMMYFUNCTION("""COMPUTED_VALUE"""),869.0)</f>
        <v>869</v>
      </c>
    </row>
    <row r="327" ht="15.75" customHeight="1">
      <c r="B327" s="3">
        <f>IFERROR(__xludf.DUMMYFUNCTION("""COMPUTED_VALUE"""),43091.64583333333)</f>
        <v>43091.64583</v>
      </c>
      <c r="C327" s="2">
        <f>IFERROR(__xludf.DUMMYFUNCTION("""COMPUTED_VALUE"""),888.8)</f>
        <v>888.8</v>
      </c>
    </row>
    <row r="328" ht="15.75" customHeight="1">
      <c r="B328" s="3">
        <f>IFERROR(__xludf.DUMMYFUNCTION("""COMPUTED_VALUE"""),43098.64583333333)</f>
        <v>43098.64583</v>
      </c>
      <c r="C328" s="2">
        <f>IFERROR(__xludf.DUMMYFUNCTION("""COMPUTED_VALUE"""),899.9)</f>
        <v>899.9</v>
      </c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IFERROR(__xludf.DUMMYFUNCTION("GOOGLEFINANCE(""NSE:ULTRACEMCO"", ""high"",DATE(2012,1,1),DATE(2013,1,1),""weekly"")"),"Date")</f>
        <v>Date</v>
      </c>
      <c r="C1" s="2" t="str">
        <f>IFERROR(__xludf.DUMMYFUNCTION("""COMPUTED_VALUE"""),"High")</f>
        <v>High</v>
      </c>
    </row>
    <row r="2">
      <c r="A2" s="2" t="s">
        <v>11</v>
      </c>
      <c r="B2" s="3">
        <f>IFERROR(__xludf.DUMMYFUNCTION("""COMPUTED_VALUE"""),40921.645833333336)</f>
        <v>40921.64583</v>
      </c>
      <c r="C2" s="2">
        <f>IFERROR(__xludf.DUMMYFUNCTION("""COMPUTED_VALUE"""),1176.9)</f>
        <v>1176.9</v>
      </c>
    </row>
    <row r="3">
      <c r="A3" s="2" t="s">
        <v>12</v>
      </c>
      <c r="B3" s="3">
        <f>IFERROR(__xludf.DUMMYFUNCTION("""COMPUTED_VALUE"""),40928.645833333336)</f>
        <v>40928.64583</v>
      </c>
      <c r="C3" s="2">
        <f>IFERROR(__xludf.DUMMYFUNCTION("""COMPUTED_VALUE"""),1234.9)</f>
        <v>1234.9</v>
      </c>
    </row>
    <row r="4">
      <c r="A4" s="2" t="s">
        <v>13</v>
      </c>
      <c r="B4" s="3">
        <f>IFERROR(__xludf.DUMMYFUNCTION("""COMPUTED_VALUE"""),40935.645833333336)</f>
        <v>40935.64583</v>
      </c>
      <c r="C4" s="2">
        <f>IFERROR(__xludf.DUMMYFUNCTION("""COMPUTED_VALUE"""),1280.0)</f>
        <v>1280</v>
      </c>
    </row>
    <row r="5">
      <c r="A5" s="2" t="s">
        <v>14</v>
      </c>
      <c r="B5" s="3">
        <f>IFERROR(__xludf.DUMMYFUNCTION("""COMPUTED_VALUE"""),40942.645833333336)</f>
        <v>40942.64583</v>
      </c>
      <c r="C5" s="2">
        <f>IFERROR(__xludf.DUMMYFUNCTION("""COMPUTED_VALUE"""),1280.0)</f>
        <v>1280</v>
      </c>
    </row>
    <row r="6">
      <c r="A6" s="2" t="s">
        <v>15</v>
      </c>
      <c r="B6" s="3">
        <f>IFERROR(__xludf.DUMMYFUNCTION("""COMPUTED_VALUE"""),40949.645833333336)</f>
        <v>40949.64583</v>
      </c>
      <c r="C6" s="2">
        <f>IFERROR(__xludf.DUMMYFUNCTION("""COMPUTED_VALUE"""),1420.0)</f>
        <v>1420</v>
      </c>
    </row>
    <row r="7">
      <c r="A7" s="2" t="s">
        <v>16</v>
      </c>
      <c r="B7" s="3">
        <f>IFERROR(__xludf.DUMMYFUNCTION("""COMPUTED_VALUE"""),40956.645833333336)</f>
        <v>40956.64583</v>
      </c>
      <c r="C7" s="2">
        <f>IFERROR(__xludf.DUMMYFUNCTION("""COMPUTED_VALUE"""),1491.9)</f>
        <v>1491.9</v>
      </c>
    </row>
    <row r="8">
      <c r="A8" s="2" t="s">
        <v>17</v>
      </c>
      <c r="B8" s="3">
        <f>IFERROR(__xludf.DUMMYFUNCTION("""COMPUTED_VALUE"""),40963.645833333336)</f>
        <v>40963.64583</v>
      </c>
      <c r="C8" s="2">
        <f>IFERROR(__xludf.DUMMYFUNCTION("""COMPUTED_VALUE"""),1494.7)</f>
        <v>1494.7</v>
      </c>
    </row>
    <row r="9">
      <c r="A9" s="2" t="s">
        <v>18</v>
      </c>
      <c r="B9" s="3">
        <f>IFERROR(__xludf.DUMMYFUNCTION("""COMPUTED_VALUE"""),40977.645833333336)</f>
        <v>40977.64583</v>
      </c>
      <c r="C9" s="2">
        <f>IFERROR(__xludf.DUMMYFUNCTION("""COMPUTED_VALUE"""),1484.0)</f>
        <v>1484</v>
      </c>
    </row>
    <row r="10">
      <c r="A10" s="2" t="s">
        <v>19</v>
      </c>
      <c r="B10" s="3">
        <f>IFERROR(__xludf.DUMMYFUNCTION("""COMPUTED_VALUE"""),40984.645833333336)</f>
        <v>40984.64583</v>
      </c>
      <c r="C10" s="2">
        <f>IFERROR(__xludf.DUMMYFUNCTION("""COMPUTED_VALUE"""),1520.0)</f>
        <v>1520</v>
      </c>
    </row>
    <row r="11">
      <c r="B11" s="3">
        <f>IFERROR(__xludf.DUMMYFUNCTION("""COMPUTED_VALUE"""),40991.645833333336)</f>
        <v>40991.64583</v>
      </c>
      <c r="C11" s="2">
        <f>IFERROR(__xludf.DUMMYFUNCTION("""COMPUTED_VALUE"""),1544.7)</f>
        <v>1544.7</v>
      </c>
    </row>
    <row r="12">
      <c r="B12" s="3">
        <f>IFERROR(__xludf.DUMMYFUNCTION("""COMPUTED_VALUE"""),40998.645833333336)</f>
        <v>40998.64583</v>
      </c>
      <c r="C12" s="2">
        <f>IFERROR(__xludf.DUMMYFUNCTION("""COMPUTED_VALUE"""),1529.0)</f>
        <v>1529</v>
      </c>
    </row>
    <row r="13">
      <c r="B13" s="3">
        <f>IFERROR(__xludf.DUMMYFUNCTION("""COMPUTED_VALUE"""),41003.645833333336)</f>
        <v>41003.64583</v>
      </c>
      <c r="C13" s="2">
        <f>IFERROR(__xludf.DUMMYFUNCTION("""COMPUTED_VALUE"""),1533.0)</f>
        <v>1533</v>
      </c>
    </row>
    <row r="14">
      <c r="B14" s="3">
        <f>IFERROR(__xludf.DUMMYFUNCTION("""COMPUTED_VALUE"""),41012.645833333336)</f>
        <v>41012.64583</v>
      </c>
      <c r="C14" s="2">
        <f>IFERROR(__xludf.DUMMYFUNCTION("""COMPUTED_VALUE"""),1521.5)</f>
        <v>1521.5</v>
      </c>
    </row>
    <row r="15">
      <c r="B15" s="3">
        <f>IFERROR(__xludf.DUMMYFUNCTION("""COMPUTED_VALUE"""),41019.645833333336)</f>
        <v>41019.64583</v>
      </c>
      <c r="C15" s="2">
        <f>IFERROR(__xludf.DUMMYFUNCTION("""COMPUTED_VALUE"""),1528.65)</f>
        <v>1528.65</v>
      </c>
    </row>
    <row r="16">
      <c r="B16" s="3">
        <f>IFERROR(__xludf.DUMMYFUNCTION("""COMPUTED_VALUE"""),41033.645833333336)</f>
        <v>41033.64583</v>
      </c>
      <c r="C16" s="2">
        <f>IFERROR(__xludf.DUMMYFUNCTION("""COMPUTED_VALUE"""),1435.0)</f>
        <v>1435</v>
      </c>
    </row>
    <row r="17">
      <c r="B17" s="3">
        <f>IFERROR(__xludf.DUMMYFUNCTION("""COMPUTED_VALUE"""),41040.645833333336)</f>
        <v>41040.64583</v>
      </c>
      <c r="C17" s="2">
        <f>IFERROR(__xludf.DUMMYFUNCTION("""COMPUTED_VALUE"""),1434.0)</f>
        <v>1434</v>
      </c>
    </row>
    <row r="18">
      <c r="B18" s="3">
        <f>IFERROR(__xludf.DUMMYFUNCTION("""COMPUTED_VALUE"""),41047.645833333336)</f>
        <v>41047.64583</v>
      </c>
      <c r="C18" s="2">
        <f>IFERROR(__xludf.DUMMYFUNCTION("""COMPUTED_VALUE"""),1423.9)</f>
        <v>1423.9</v>
      </c>
    </row>
    <row r="19">
      <c r="B19" s="3">
        <f>IFERROR(__xludf.DUMMYFUNCTION("""COMPUTED_VALUE"""),41054.645833333336)</f>
        <v>41054.64583</v>
      </c>
      <c r="C19" s="2">
        <f>IFERROR(__xludf.DUMMYFUNCTION("""COMPUTED_VALUE"""),1458.3)</f>
        <v>1458.3</v>
      </c>
    </row>
    <row r="20">
      <c r="B20" s="3">
        <f>IFERROR(__xludf.DUMMYFUNCTION("""COMPUTED_VALUE"""),41061.645833333336)</f>
        <v>41061.64583</v>
      </c>
      <c r="C20" s="2">
        <f>IFERROR(__xludf.DUMMYFUNCTION("""COMPUTED_VALUE"""),1489.85)</f>
        <v>1489.85</v>
      </c>
    </row>
    <row r="21" ht="15.75" customHeight="1">
      <c r="B21" s="3">
        <f>IFERROR(__xludf.DUMMYFUNCTION("""COMPUTED_VALUE"""),41068.645833333336)</f>
        <v>41068.64583</v>
      </c>
      <c r="C21" s="2">
        <f>IFERROR(__xludf.DUMMYFUNCTION("""COMPUTED_VALUE"""),1469.7)</f>
        <v>1469.7</v>
      </c>
    </row>
    <row r="22" ht="15.75" customHeight="1">
      <c r="B22" s="3">
        <f>IFERROR(__xludf.DUMMYFUNCTION("""COMPUTED_VALUE"""),41075.645833333336)</f>
        <v>41075.64583</v>
      </c>
      <c r="C22" s="2">
        <f>IFERROR(__xludf.DUMMYFUNCTION("""COMPUTED_VALUE"""),1461.75)</f>
        <v>1461.75</v>
      </c>
    </row>
    <row r="23" ht="15.75" customHeight="1">
      <c r="B23" s="3">
        <f>IFERROR(__xludf.DUMMYFUNCTION("""COMPUTED_VALUE"""),41082.645833333336)</f>
        <v>41082.64583</v>
      </c>
      <c r="C23" s="2">
        <f>IFERROR(__xludf.DUMMYFUNCTION("""COMPUTED_VALUE"""),1479.0)</f>
        <v>1479</v>
      </c>
    </row>
    <row r="24" ht="15.75" customHeight="1">
      <c r="B24" s="3">
        <f>IFERROR(__xludf.DUMMYFUNCTION("""COMPUTED_VALUE"""),41089.645833333336)</f>
        <v>41089.64583</v>
      </c>
      <c r="C24" s="2">
        <f>IFERROR(__xludf.DUMMYFUNCTION("""COMPUTED_VALUE"""),1549.0)</f>
        <v>1549</v>
      </c>
    </row>
    <row r="25" ht="15.75" customHeight="1">
      <c r="B25" s="3">
        <f>IFERROR(__xludf.DUMMYFUNCTION("""COMPUTED_VALUE"""),41096.645833333336)</f>
        <v>41096.64583</v>
      </c>
      <c r="C25" s="2">
        <f>IFERROR(__xludf.DUMMYFUNCTION("""COMPUTED_VALUE"""),1554.0)</f>
        <v>1554</v>
      </c>
    </row>
    <row r="26" ht="15.75" customHeight="1">
      <c r="B26" s="3">
        <f>IFERROR(__xludf.DUMMYFUNCTION("""COMPUTED_VALUE"""),41103.645833333336)</f>
        <v>41103.64583</v>
      </c>
      <c r="C26" s="2">
        <f>IFERROR(__xludf.DUMMYFUNCTION("""COMPUTED_VALUE"""),1598.9)</f>
        <v>1598.9</v>
      </c>
    </row>
    <row r="27" ht="15.75" customHeight="1">
      <c r="B27" s="3">
        <f>IFERROR(__xludf.DUMMYFUNCTION("""COMPUTED_VALUE"""),41110.645833333336)</f>
        <v>41110.64583</v>
      </c>
      <c r="C27" s="2">
        <f>IFERROR(__xludf.DUMMYFUNCTION("""COMPUTED_VALUE"""),1599.9)</f>
        <v>1599.9</v>
      </c>
    </row>
    <row r="28" ht="15.75" customHeight="1">
      <c r="B28" s="3">
        <f>IFERROR(__xludf.DUMMYFUNCTION("""COMPUTED_VALUE"""),41117.645833333336)</f>
        <v>41117.64583</v>
      </c>
      <c r="C28" s="2">
        <f>IFERROR(__xludf.DUMMYFUNCTION("""COMPUTED_VALUE"""),1641.3)</f>
        <v>1641.3</v>
      </c>
    </row>
    <row r="29" ht="15.75" customHeight="1">
      <c r="B29" s="3">
        <f>IFERROR(__xludf.DUMMYFUNCTION("""COMPUTED_VALUE"""),41124.645833333336)</f>
        <v>41124.64583</v>
      </c>
      <c r="C29" s="2">
        <f>IFERROR(__xludf.DUMMYFUNCTION("""COMPUTED_VALUE"""),1651.0)</f>
        <v>1651</v>
      </c>
    </row>
    <row r="30" ht="15.75" customHeight="1">
      <c r="B30" s="3">
        <f>IFERROR(__xludf.DUMMYFUNCTION("""COMPUTED_VALUE"""),41131.645833333336)</f>
        <v>41131.64583</v>
      </c>
      <c r="C30" s="2">
        <f>IFERROR(__xludf.DUMMYFUNCTION("""COMPUTED_VALUE"""),1679.0)</f>
        <v>1679</v>
      </c>
    </row>
    <row r="31" ht="15.75" customHeight="1">
      <c r="B31" s="3">
        <f>IFERROR(__xludf.DUMMYFUNCTION("""COMPUTED_VALUE"""),41138.645833333336)</f>
        <v>41138.64583</v>
      </c>
      <c r="C31" s="2">
        <f>IFERROR(__xludf.DUMMYFUNCTION("""COMPUTED_VALUE"""),1736.0)</f>
        <v>1736</v>
      </c>
    </row>
    <row r="32" ht="15.75" customHeight="1">
      <c r="B32" s="3">
        <f>IFERROR(__xludf.DUMMYFUNCTION("""COMPUTED_VALUE"""),41145.645833333336)</f>
        <v>41145.64583</v>
      </c>
      <c r="C32" s="2">
        <f>IFERROR(__xludf.DUMMYFUNCTION("""COMPUTED_VALUE"""),1748.5)</f>
        <v>1748.5</v>
      </c>
    </row>
    <row r="33" ht="15.75" customHeight="1">
      <c r="B33" s="3">
        <f>IFERROR(__xludf.DUMMYFUNCTION("""COMPUTED_VALUE"""),41152.645833333336)</f>
        <v>41152.64583</v>
      </c>
      <c r="C33" s="2">
        <f>IFERROR(__xludf.DUMMYFUNCTION("""COMPUTED_VALUE"""),1770.4)</f>
        <v>1770.4</v>
      </c>
    </row>
    <row r="34" ht="15.75" customHeight="1">
      <c r="B34" s="3">
        <f>IFERROR(__xludf.DUMMYFUNCTION("""COMPUTED_VALUE"""),41166.645833333336)</f>
        <v>41166.64583</v>
      </c>
      <c r="C34" s="2">
        <f>IFERROR(__xludf.DUMMYFUNCTION("""COMPUTED_VALUE"""),1783.6)</f>
        <v>1783.6</v>
      </c>
    </row>
    <row r="35" ht="15.75" customHeight="1">
      <c r="B35" s="3">
        <f>IFERROR(__xludf.DUMMYFUNCTION("""COMPUTED_VALUE"""),41173.645833333336)</f>
        <v>41173.64583</v>
      </c>
      <c r="C35" s="2">
        <f>IFERROR(__xludf.DUMMYFUNCTION("""COMPUTED_VALUE"""),1867.0)</f>
        <v>1867</v>
      </c>
    </row>
    <row r="36" ht="15.75" customHeight="1">
      <c r="B36" s="3">
        <f>IFERROR(__xludf.DUMMYFUNCTION("""COMPUTED_VALUE"""),41180.645833333336)</f>
        <v>41180.64583</v>
      </c>
      <c r="C36" s="2">
        <f>IFERROR(__xludf.DUMMYFUNCTION("""COMPUTED_VALUE"""),2009.7)</f>
        <v>2009.7</v>
      </c>
    </row>
    <row r="37" ht="15.75" customHeight="1">
      <c r="B37" s="3">
        <f>IFERROR(__xludf.DUMMYFUNCTION("""COMPUTED_VALUE"""),41187.645833333336)</f>
        <v>41187.64583</v>
      </c>
      <c r="C37" s="2">
        <f>IFERROR(__xludf.DUMMYFUNCTION("""COMPUTED_VALUE"""),2059.75)</f>
        <v>2059.75</v>
      </c>
    </row>
    <row r="38" ht="15.75" customHeight="1">
      <c r="B38" s="3">
        <f>IFERROR(__xludf.DUMMYFUNCTION("""COMPUTED_VALUE"""),41194.645833333336)</f>
        <v>41194.64583</v>
      </c>
      <c r="C38" s="2">
        <f>IFERROR(__xludf.DUMMYFUNCTION("""COMPUTED_VALUE"""),2074.95)</f>
        <v>2074.95</v>
      </c>
    </row>
    <row r="39" ht="15.75" customHeight="1">
      <c r="B39" s="3">
        <f>IFERROR(__xludf.DUMMYFUNCTION("""COMPUTED_VALUE"""),41201.645833333336)</f>
        <v>41201.64583</v>
      </c>
      <c r="C39" s="2">
        <f>IFERROR(__xludf.DUMMYFUNCTION("""COMPUTED_VALUE"""),2058.9)</f>
        <v>2058.9</v>
      </c>
    </row>
    <row r="40" ht="15.75" customHeight="1">
      <c r="B40" s="3">
        <f>IFERROR(__xludf.DUMMYFUNCTION("""COMPUTED_VALUE"""),41208.645833333336)</f>
        <v>41208.64583</v>
      </c>
      <c r="C40" s="2">
        <f>IFERROR(__xludf.DUMMYFUNCTION("""COMPUTED_VALUE"""),2052.0)</f>
        <v>2052</v>
      </c>
    </row>
    <row r="41" ht="15.75" customHeight="1">
      <c r="B41" s="3">
        <f>IFERROR(__xludf.DUMMYFUNCTION("""COMPUTED_VALUE"""),41215.645833333336)</f>
        <v>41215.64583</v>
      </c>
      <c r="C41" s="2">
        <f>IFERROR(__xludf.DUMMYFUNCTION("""COMPUTED_VALUE"""),2046.35)</f>
        <v>2046.35</v>
      </c>
    </row>
    <row r="42" ht="15.75" customHeight="1">
      <c r="B42" s="3">
        <f>IFERROR(__xludf.DUMMYFUNCTION("""COMPUTED_VALUE"""),41222.645833333336)</f>
        <v>41222.64583</v>
      </c>
      <c r="C42" s="2">
        <f>IFERROR(__xludf.DUMMYFUNCTION("""COMPUTED_VALUE"""),2055.15)</f>
        <v>2055.15</v>
      </c>
    </row>
    <row r="43" ht="15.75" customHeight="1">
      <c r="B43" s="3">
        <f>IFERROR(__xludf.DUMMYFUNCTION("""COMPUTED_VALUE"""),41229.645833333336)</f>
        <v>41229.64583</v>
      </c>
      <c r="C43" s="2">
        <f>IFERROR(__xludf.DUMMYFUNCTION("""COMPUTED_VALUE"""),2041.9)</f>
        <v>2041.9</v>
      </c>
    </row>
    <row r="44" ht="15.75" customHeight="1">
      <c r="B44" s="3">
        <f>IFERROR(__xludf.DUMMYFUNCTION("""COMPUTED_VALUE"""),41236.645833333336)</f>
        <v>41236.64583</v>
      </c>
      <c r="C44" s="2">
        <f>IFERROR(__xludf.DUMMYFUNCTION("""COMPUTED_VALUE"""),1940.15)</f>
        <v>1940.15</v>
      </c>
    </row>
    <row r="45" ht="15.75" customHeight="1">
      <c r="B45" s="3">
        <f>IFERROR(__xludf.DUMMYFUNCTION("""COMPUTED_VALUE"""),41243.645833333336)</f>
        <v>41243.64583</v>
      </c>
      <c r="C45" s="2">
        <f>IFERROR(__xludf.DUMMYFUNCTION("""COMPUTED_VALUE"""),2154.2)</f>
        <v>2154.2</v>
      </c>
    </row>
    <row r="46" ht="15.75" customHeight="1">
      <c r="B46" s="3">
        <f>IFERROR(__xludf.DUMMYFUNCTION("""COMPUTED_VALUE"""),41250.645833333336)</f>
        <v>41250.64583</v>
      </c>
      <c r="C46" s="2">
        <f>IFERROR(__xludf.DUMMYFUNCTION("""COMPUTED_VALUE"""),2016.75)</f>
        <v>2016.75</v>
      </c>
    </row>
    <row r="47" ht="15.75" customHeight="1">
      <c r="B47" s="3">
        <f>IFERROR(__xludf.DUMMYFUNCTION("""COMPUTED_VALUE"""),41257.645833333336)</f>
        <v>41257.64583</v>
      </c>
      <c r="C47" s="2">
        <f>IFERROR(__xludf.DUMMYFUNCTION("""COMPUTED_VALUE"""),2000.0)</f>
        <v>2000</v>
      </c>
    </row>
    <row r="48" ht="15.75" customHeight="1">
      <c r="B48" s="3">
        <f>IFERROR(__xludf.DUMMYFUNCTION("""COMPUTED_VALUE"""),41264.645833333336)</f>
        <v>41264.64583</v>
      </c>
      <c r="C48" s="2">
        <f>IFERROR(__xludf.DUMMYFUNCTION("""COMPUTED_VALUE"""),2033.0)</f>
        <v>2033</v>
      </c>
    </row>
    <row r="49" ht="15.75" customHeight="1">
      <c r="B49" s="3">
        <f>IFERROR(__xludf.DUMMYFUNCTION("""COMPUTED_VALUE"""),41271.645833333336)</f>
        <v>41271.64583</v>
      </c>
      <c r="C49" s="2">
        <f>IFERROR(__xludf.DUMMYFUNCTION("""COMPUTED_VALUE"""),2008.35)</f>
        <v>2008.35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2" t="str">
        <f>IFERROR(__xludf.DUMMYFUNCTION("GOOGLEFINANCE(""NSE:ULTRACEMCO"", ""high"",DATE(2013,1,1),DATE(2014,1,1),""weekly"")"),"Date")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IFERROR(__xludf.DUMMYFUNCTION("""COMPUTED_VALUE"""),41278.645833333336)</f>
        <v>41278.64583</v>
      </c>
      <c r="C57" s="2">
        <f>IFERROR(__xludf.DUMMYFUNCTION("""COMPUTED_VALUE"""),2056.0)</f>
        <v>2056</v>
      </c>
    </row>
    <row r="58" ht="15.75" customHeight="1">
      <c r="B58" s="3">
        <f>IFERROR(__xludf.DUMMYFUNCTION("""COMPUTED_VALUE"""),41285.645833333336)</f>
        <v>41285.64583</v>
      </c>
      <c r="C58" s="2">
        <f>IFERROR(__xludf.DUMMYFUNCTION("""COMPUTED_VALUE"""),2046.5)</f>
        <v>2046.5</v>
      </c>
    </row>
    <row r="59" ht="15.75" customHeight="1">
      <c r="B59" s="3">
        <f>IFERROR(__xludf.DUMMYFUNCTION("""COMPUTED_VALUE"""),41292.645833333336)</f>
        <v>41292.64583</v>
      </c>
      <c r="C59" s="2">
        <f>IFERROR(__xludf.DUMMYFUNCTION("""COMPUTED_VALUE"""),1935.0)</f>
        <v>1935</v>
      </c>
    </row>
    <row r="60" ht="15.75" customHeight="1">
      <c r="B60" s="3">
        <f>IFERROR(__xludf.DUMMYFUNCTION("""COMPUTED_VALUE"""),41299.645833333336)</f>
        <v>41299.64583</v>
      </c>
      <c r="C60" s="2">
        <f>IFERROR(__xludf.DUMMYFUNCTION("""COMPUTED_VALUE"""),1989.5)</f>
        <v>1989.5</v>
      </c>
    </row>
    <row r="61" ht="15.75" customHeight="1">
      <c r="B61" s="3">
        <f>IFERROR(__xludf.DUMMYFUNCTION("""COMPUTED_VALUE"""),41306.645833333336)</f>
        <v>41306.64583</v>
      </c>
      <c r="C61" s="2">
        <f>IFERROR(__xludf.DUMMYFUNCTION("""COMPUTED_VALUE"""),1960.0)</f>
        <v>1960</v>
      </c>
    </row>
    <row r="62" ht="15.75" customHeight="1">
      <c r="B62" s="3">
        <f>IFERROR(__xludf.DUMMYFUNCTION("""COMPUTED_VALUE"""),41313.645833333336)</f>
        <v>41313.64583</v>
      </c>
      <c r="C62" s="2">
        <f>IFERROR(__xludf.DUMMYFUNCTION("""COMPUTED_VALUE"""),1980.0)</f>
        <v>1980</v>
      </c>
    </row>
    <row r="63" ht="15.75" customHeight="1">
      <c r="B63" s="3">
        <f>IFERROR(__xludf.DUMMYFUNCTION("""COMPUTED_VALUE"""),41320.645833333336)</f>
        <v>41320.64583</v>
      </c>
      <c r="C63" s="2">
        <f>IFERROR(__xludf.DUMMYFUNCTION("""COMPUTED_VALUE"""),1967.0)</f>
        <v>1967</v>
      </c>
    </row>
    <row r="64" ht="15.75" customHeight="1">
      <c r="B64" s="3">
        <f>IFERROR(__xludf.DUMMYFUNCTION("""COMPUTED_VALUE"""),41327.645833333336)</f>
        <v>41327.64583</v>
      </c>
      <c r="C64" s="2">
        <f>IFERROR(__xludf.DUMMYFUNCTION("""COMPUTED_VALUE"""),1966.0)</f>
        <v>1966</v>
      </c>
    </row>
    <row r="65" ht="15.75" customHeight="1">
      <c r="B65" s="3">
        <f>IFERROR(__xludf.DUMMYFUNCTION("""COMPUTED_VALUE"""),41334.645833333336)</f>
        <v>41334.64583</v>
      </c>
      <c r="C65" s="2">
        <f>IFERROR(__xludf.DUMMYFUNCTION("""COMPUTED_VALUE"""),1970.1)</f>
        <v>1970.1</v>
      </c>
    </row>
    <row r="66" ht="15.75" customHeight="1">
      <c r="B66" s="3">
        <f>IFERROR(__xludf.DUMMYFUNCTION("""COMPUTED_VALUE"""),41341.645833333336)</f>
        <v>41341.64583</v>
      </c>
      <c r="C66" s="2">
        <f>IFERROR(__xludf.DUMMYFUNCTION("""COMPUTED_VALUE"""),1919.0)</f>
        <v>1919</v>
      </c>
    </row>
    <row r="67" ht="15.75" customHeight="1">
      <c r="B67" s="3">
        <f>IFERROR(__xludf.DUMMYFUNCTION("""COMPUTED_VALUE"""),41348.645833333336)</f>
        <v>41348.64583</v>
      </c>
      <c r="C67" s="2">
        <f>IFERROR(__xludf.DUMMYFUNCTION("""COMPUTED_VALUE"""),1941.0)</f>
        <v>1941</v>
      </c>
    </row>
    <row r="68" ht="15.75" customHeight="1">
      <c r="B68" s="3">
        <f>IFERROR(__xludf.DUMMYFUNCTION("""COMPUTED_VALUE"""),41355.645833333336)</f>
        <v>41355.64583</v>
      </c>
      <c r="C68" s="2">
        <f>IFERROR(__xludf.DUMMYFUNCTION("""COMPUTED_VALUE"""),1937.5)</f>
        <v>1937.5</v>
      </c>
    </row>
    <row r="69" ht="15.75" customHeight="1">
      <c r="B69" s="3">
        <f>IFERROR(__xludf.DUMMYFUNCTION("""COMPUTED_VALUE"""),41361.645833333336)</f>
        <v>41361.64583</v>
      </c>
      <c r="C69" s="2">
        <f>IFERROR(__xludf.DUMMYFUNCTION("""COMPUTED_VALUE"""),1893.95)</f>
        <v>1893.95</v>
      </c>
    </row>
    <row r="70" ht="15.75" customHeight="1">
      <c r="B70" s="3">
        <f>IFERROR(__xludf.DUMMYFUNCTION("""COMPUTED_VALUE"""),41369.645833333336)</f>
        <v>41369.64583</v>
      </c>
      <c r="C70" s="2">
        <f>IFERROR(__xludf.DUMMYFUNCTION("""COMPUTED_VALUE"""),1882.8)</f>
        <v>1882.8</v>
      </c>
    </row>
    <row r="71" ht="15.75" customHeight="1">
      <c r="B71" s="3">
        <f>IFERROR(__xludf.DUMMYFUNCTION("""COMPUTED_VALUE"""),41376.645833333336)</f>
        <v>41376.64583</v>
      </c>
      <c r="C71" s="2">
        <f>IFERROR(__xludf.DUMMYFUNCTION("""COMPUTED_VALUE"""),1831.7)</f>
        <v>1831.7</v>
      </c>
    </row>
    <row r="72" ht="15.75" customHeight="1">
      <c r="B72" s="3">
        <f>IFERROR(__xludf.DUMMYFUNCTION("""COMPUTED_VALUE"""),41382.645833333336)</f>
        <v>41382.64583</v>
      </c>
      <c r="C72" s="2">
        <f>IFERROR(__xludf.DUMMYFUNCTION("""COMPUTED_VALUE"""),1935.0)</f>
        <v>1935</v>
      </c>
    </row>
    <row r="73" ht="15.75" customHeight="1">
      <c r="B73" s="3">
        <f>IFERROR(__xludf.DUMMYFUNCTION("""COMPUTED_VALUE"""),41390.645833333336)</f>
        <v>41390.64583</v>
      </c>
      <c r="C73" s="2">
        <f>IFERROR(__xludf.DUMMYFUNCTION("""COMPUTED_VALUE"""),1940.0)</f>
        <v>1940</v>
      </c>
    </row>
    <row r="74" ht="15.75" customHeight="1">
      <c r="B74" s="3">
        <f>IFERROR(__xludf.DUMMYFUNCTION("""COMPUTED_VALUE"""),41397.645833333336)</f>
        <v>41397.64583</v>
      </c>
      <c r="C74" s="2">
        <f>IFERROR(__xludf.DUMMYFUNCTION("""COMPUTED_VALUE"""),1930.0)</f>
        <v>1930</v>
      </c>
    </row>
    <row r="75" ht="15.75" customHeight="1">
      <c r="B75" s="3">
        <f>IFERROR(__xludf.DUMMYFUNCTION("""COMPUTED_VALUE"""),41411.645833333336)</f>
        <v>41411.64583</v>
      </c>
      <c r="C75" s="2">
        <f>IFERROR(__xludf.DUMMYFUNCTION("""COMPUTED_VALUE"""),2035.0)</f>
        <v>2035</v>
      </c>
    </row>
    <row r="76" ht="15.75" customHeight="1">
      <c r="B76" s="3">
        <f>IFERROR(__xludf.DUMMYFUNCTION("""COMPUTED_VALUE"""),41418.645833333336)</f>
        <v>41418.64583</v>
      </c>
      <c r="C76" s="2">
        <f>IFERROR(__xludf.DUMMYFUNCTION("""COMPUTED_VALUE"""),2069.05)</f>
        <v>2069.05</v>
      </c>
    </row>
    <row r="77" ht="15.75" customHeight="1">
      <c r="B77" s="3">
        <f>IFERROR(__xludf.DUMMYFUNCTION("""COMPUTED_VALUE"""),41425.645833333336)</f>
        <v>41425.64583</v>
      </c>
      <c r="C77" s="2">
        <f>IFERROR(__xludf.DUMMYFUNCTION("""COMPUTED_VALUE"""),2025.0)</f>
        <v>2025</v>
      </c>
    </row>
    <row r="78" ht="15.75" customHeight="1">
      <c r="B78" s="3">
        <f>IFERROR(__xludf.DUMMYFUNCTION("""COMPUTED_VALUE"""),41432.645833333336)</f>
        <v>41432.64583</v>
      </c>
      <c r="C78" s="2">
        <f>IFERROR(__xludf.DUMMYFUNCTION("""COMPUTED_VALUE"""),1905.0)</f>
        <v>1905</v>
      </c>
    </row>
    <row r="79" ht="15.75" customHeight="1">
      <c r="B79" s="3">
        <f>IFERROR(__xludf.DUMMYFUNCTION("""COMPUTED_VALUE"""),41439.645833333336)</f>
        <v>41439.64583</v>
      </c>
      <c r="C79" s="2">
        <f>IFERROR(__xludf.DUMMYFUNCTION("""COMPUTED_VALUE"""),1905.4)</f>
        <v>1905.4</v>
      </c>
    </row>
    <row r="80" ht="15.75" customHeight="1">
      <c r="B80" s="3">
        <f>IFERROR(__xludf.DUMMYFUNCTION("""COMPUTED_VALUE"""),41446.645833333336)</f>
        <v>41446.64583</v>
      </c>
      <c r="C80" s="2">
        <f>IFERROR(__xludf.DUMMYFUNCTION("""COMPUTED_VALUE"""),1917.6)</f>
        <v>1917.6</v>
      </c>
    </row>
    <row r="81" ht="15.75" customHeight="1">
      <c r="B81" s="3">
        <f>IFERROR(__xludf.DUMMYFUNCTION("""COMPUTED_VALUE"""),41453.645833333336)</f>
        <v>41453.64583</v>
      </c>
      <c r="C81" s="2">
        <f>IFERROR(__xludf.DUMMYFUNCTION("""COMPUTED_VALUE"""),1900.0)</f>
        <v>1900</v>
      </c>
    </row>
    <row r="82" ht="15.75" customHeight="1">
      <c r="B82" s="3">
        <f>IFERROR(__xludf.DUMMYFUNCTION("""COMPUTED_VALUE"""),41460.645833333336)</f>
        <v>41460.64583</v>
      </c>
      <c r="C82" s="2">
        <f>IFERROR(__xludf.DUMMYFUNCTION("""COMPUTED_VALUE"""),1949.0)</f>
        <v>1949</v>
      </c>
    </row>
    <row r="83" ht="15.75" customHeight="1">
      <c r="B83" s="3">
        <f>IFERROR(__xludf.DUMMYFUNCTION("""COMPUTED_VALUE"""),41467.645833333336)</f>
        <v>41467.64583</v>
      </c>
      <c r="C83" s="2">
        <f>IFERROR(__xludf.DUMMYFUNCTION("""COMPUTED_VALUE"""),1999.95)</f>
        <v>1999.95</v>
      </c>
    </row>
    <row r="84" ht="15.75" customHeight="1">
      <c r="B84" s="3">
        <f>IFERROR(__xludf.DUMMYFUNCTION("""COMPUTED_VALUE"""),41474.645833333336)</f>
        <v>41474.64583</v>
      </c>
      <c r="C84" s="2">
        <f>IFERROR(__xludf.DUMMYFUNCTION("""COMPUTED_VALUE"""),1972.0)</f>
        <v>1972</v>
      </c>
    </row>
    <row r="85" ht="15.75" customHeight="1">
      <c r="B85" s="3">
        <f>IFERROR(__xludf.DUMMYFUNCTION("""COMPUTED_VALUE"""),41481.645833333336)</f>
        <v>41481.64583</v>
      </c>
      <c r="C85" s="2">
        <f>IFERROR(__xludf.DUMMYFUNCTION("""COMPUTED_VALUE"""),1943.0)</f>
        <v>1943</v>
      </c>
    </row>
    <row r="86" ht="15.75" customHeight="1">
      <c r="B86" s="3">
        <f>IFERROR(__xludf.DUMMYFUNCTION("""COMPUTED_VALUE"""),41488.645833333336)</f>
        <v>41488.64583</v>
      </c>
      <c r="C86" s="2">
        <f>IFERROR(__xludf.DUMMYFUNCTION("""COMPUTED_VALUE"""),1895.0)</f>
        <v>1895</v>
      </c>
    </row>
    <row r="87" ht="15.75" customHeight="1">
      <c r="B87" s="3">
        <f>IFERROR(__xludf.DUMMYFUNCTION("""COMPUTED_VALUE"""),41494.645833333336)</f>
        <v>41494.64583</v>
      </c>
      <c r="C87" s="2">
        <f>IFERROR(__xludf.DUMMYFUNCTION("""COMPUTED_VALUE"""),1795.65)</f>
        <v>1795.65</v>
      </c>
    </row>
    <row r="88" ht="15.75" customHeight="1">
      <c r="B88" s="3">
        <f>IFERROR(__xludf.DUMMYFUNCTION("""COMPUTED_VALUE"""),41502.645833333336)</f>
        <v>41502.64583</v>
      </c>
      <c r="C88" s="2">
        <f>IFERROR(__xludf.DUMMYFUNCTION("""COMPUTED_VALUE"""),1749.7)</f>
        <v>1749.7</v>
      </c>
    </row>
    <row r="89" ht="15.75" customHeight="1">
      <c r="B89" s="3">
        <f>IFERROR(__xludf.DUMMYFUNCTION("""COMPUTED_VALUE"""),41509.645833333336)</f>
        <v>41509.64583</v>
      </c>
      <c r="C89" s="2">
        <f>IFERROR(__xludf.DUMMYFUNCTION("""COMPUTED_VALUE"""),1694.0)</f>
        <v>1694</v>
      </c>
    </row>
    <row r="90" ht="15.75" customHeight="1">
      <c r="B90" s="3">
        <f>IFERROR(__xludf.DUMMYFUNCTION("""COMPUTED_VALUE"""),41516.645833333336)</f>
        <v>41516.64583</v>
      </c>
      <c r="C90" s="2">
        <f>IFERROR(__xludf.DUMMYFUNCTION("""COMPUTED_VALUE"""),1610.8)</f>
        <v>1610.8</v>
      </c>
    </row>
    <row r="91" ht="15.75" customHeight="1">
      <c r="B91" s="3">
        <f>IFERROR(__xludf.DUMMYFUNCTION("""COMPUTED_VALUE"""),41523.645833333336)</f>
        <v>41523.64583</v>
      </c>
      <c r="C91" s="2">
        <f>IFERROR(__xludf.DUMMYFUNCTION("""COMPUTED_VALUE"""),1624.9)</f>
        <v>1624.9</v>
      </c>
    </row>
    <row r="92" ht="15.75" customHeight="1">
      <c r="B92" s="3">
        <f>IFERROR(__xludf.DUMMYFUNCTION("""COMPUTED_VALUE"""),41530.645833333336)</f>
        <v>41530.64583</v>
      </c>
      <c r="C92" s="2">
        <f>IFERROR(__xludf.DUMMYFUNCTION("""COMPUTED_VALUE"""),1828.0)</f>
        <v>1828</v>
      </c>
    </row>
    <row r="93" ht="15.75" customHeight="1">
      <c r="B93" s="3">
        <f>IFERROR(__xludf.DUMMYFUNCTION("""COMPUTED_VALUE"""),41537.645833333336)</f>
        <v>41537.64583</v>
      </c>
      <c r="C93" s="2">
        <f>IFERROR(__xludf.DUMMYFUNCTION("""COMPUTED_VALUE"""),1884.95)</f>
        <v>1884.95</v>
      </c>
    </row>
    <row r="94" ht="15.75" customHeight="1">
      <c r="B94" s="3">
        <f>IFERROR(__xludf.DUMMYFUNCTION("""COMPUTED_VALUE"""),41544.645833333336)</f>
        <v>41544.64583</v>
      </c>
      <c r="C94" s="2">
        <f>IFERROR(__xludf.DUMMYFUNCTION("""COMPUTED_VALUE"""),1875.0)</f>
        <v>1875</v>
      </c>
    </row>
    <row r="95" ht="15.75" customHeight="1">
      <c r="B95" s="3">
        <f>IFERROR(__xludf.DUMMYFUNCTION("""COMPUTED_VALUE"""),41551.645833333336)</f>
        <v>41551.64583</v>
      </c>
      <c r="C95" s="2">
        <f>IFERROR(__xludf.DUMMYFUNCTION("""COMPUTED_VALUE"""),1941.8)</f>
        <v>1941.8</v>
      </c>
    </row>
    <row r="96" ht="15.75" customHeight="1">
      <c r="B96" s="3">
        <f>IFERROR(__xludf.DUMMYFUNCTION("""COMPUTED_VALUE"""),41558.645833333336)</f>
        <v>41558.64583</v>
      </c>
      <c r="C96" s="2">
        <f>IFERROR(__xludf.DUMMYFUNCTION("""COMPUTED_VALUE"""),2000.0)</f>
        <v>2000</v>
      </c>
    </row>
    <row r="97" ht="15.75" customHeight="1">
      <c r="B97" s="3">
        <f>IFERROR(__xludf.DUMMYFUNCTION("""COMPUTED_VALUE"""),41565.645833333336)</f>
        <v>41565.64583</v>
      </c>
      <c r="C97" s="2">
        <f>IFERROR(__xludf.DUMMYFUNCTION("""COMPUTED_VALUE"""),1999.0)</f>
        <v>1999</v>
      </c>
    </row>
    <row r="98" ht="15.75" customHeight="1">
      <c r="B98" s="3">
        <f>IFERROR(__xludf.DUMMYFUNCTION("""COMPUTED_VALUE"""),41572.645833333336)</f>
        <v>41572.64583</v>
      </c>
      <c r="C98" s="2">
        <f>IFERROR(__xludf.DUMMYFUNCTION("""COMPUTED_VALUE"""),1984.8)</f>
        <v>1984.8</v>
      </c>
    </row>
    <row r="99" ht="15.75" customHeight="1">
      <c r="B99" s="3">
        <f>IFERROR(__xludf.DUMMYFUNCTION("""COMPUTED_VALUE"""),41579.645833333336)</f>
        <v>41579.64583</v>
      </c>
      <c r="C99" s="2">
        <f>IFERROR(__xludf.DUMMYFUNCTION("""COMPUTED_VALUE"""),2009.0)</f>
        <v>2009</v>
      </c>
    </row>
    <row r="100" ht="15.75" customHeight="1">
      <c r="B100" s="3">
        <f>IFERROR(__xludf.DUMMYFUNCTION("""COMPUTED_VALUE"""),41586.645833333336)</f>
        <v>41586.64583</v>
      </c>
      <c r="C100" s="2">
        <f>IFERROR(__xludf.DUMMYFUNCTION("""COMPUTED_VALUE"""),1990.0)</f>
        <v>1990</v>
      </c>
    </row>
    <row r="101" ht="15.75" customHeight="1">
      <c r="B101" s="3">
        <f>IFERROR(__xludf.DUMMYFUNCTION("""COMPUTED_VALUE"""),41592.645833333336)</f>
        <v>41592.64583</v>
      </c>
      <c r="C101" s="2">
        <f>IFERROR(__xludf.DUMMYFUNCTION("""COMPUTED_VALUE"""),1923.0)</f>
        <v>1923</v>
      </c>
    </row>
    <row r="102" ht="15.75" customHeight="1">
      <c r="B102" s="3">
        <f>IFERROR(__xludf.DUMMYFUNCTION("""COMPUTED_VALUE"""),41600.645833333336)</f>
        <v>41600.64583</v>
      </c>
      <c r="C102" s="2">
        <f>IFERROR(__xludf.DUMMYFUNCTION("""COMPUTED_VALUE"""),1953.9)</f>
        <v>1953.9</v>
      </c>
    </row>
    <row r="103" ht="15.75" customHeight="1">
      <c r="B103" s="3">
        <f>IFERROR(__xludf.DUMMYFUNCTION("""COMPUTED_VALUE"""),41607.645833333336)</f>
        <v>41607.64583</v>
      </c>
      <c r="C103" s="2">
        <f>IFERROR(__xludf.DUMMYFUNCTION("""COMPUTED_VALUE"""),1931.9)</f>
        <v>1931.9</v>
      </c>
    </row>
    <row r="104" ht="15.75" customHeight="1">
      <c r="B104" s="3">
        <f>IFERROR(__xludf.DUMMYFUNCTION("""COMPUTED_VALUE"""),41614.645833333336)</f>
        <v>41614.64583</v>
      </c>
      <c r="C104" s="2">
        <f>IFERROR(__xludf.DUMMYFUNCTION("""COMPUTED_VALUE"""),1934.95)</f>
        <v>1934.95</v>
      </c>
    </row>
    <row r="105" ht="15.75" customHeight="1">
      <c r="B105" s="3">
        <f>IFERROR(__xludf.DUMMYFUNCTION("""COMPUTED_VALUE"""),41621.645833333336)</f>
        <v>41621.64583</v>
      </c>
      <c r="C105" s="2">
        <f>IFERROR(__xludf.DUMMYFUNCTION("""COMPUTED_VALUE"""),1961.45)</f>
        <v>1961.45</v>
      </c>
    </row>
    <row r="106" ht="15.75" customHeight="1">
      <c r="B106" s="3">
        <f>IFERROR(__xludf.DUMMYFUNCTION("""COMPUTED_VALUE"""),41628.645833333336)</f>
        <v>41628.64583</v>
      </c>
      <c r="C106" s="2">
        <f>IFERROR(__xludf.DUMMYFUNCTION("""COMPUTED_VALUE"""),1820.0)</f>
        <v>1820</v>
      </c>
    </row>
    <row r="107" ht="15.75" customHeight="1">
      <c r="B107" s="3">
        <f>IFERROR(__xludf.DUMMYFUNCTION("""COMPUTED_VALUE"""),41635.645833333336)</f>
        <v>41635.64583</v>
      </c>
      <c r="C107" s="2">
        <f>IFERROR(__xludf.DUMMYFUNCTION("""COMPUTED_VALUE"""),1815.0)</f>
        <v>1815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IFERROR(__xludf.DUMMYFUNCTION("GOOGLEFINANCE(""NSE:ULTRACEMCO"", ""high"",DATE(2014,1,1),DATE(2015,1,1),""weekly"")"),"Date")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IFERROR(__xludf.DUMMYFUNCTION("""COMPUTED_VALUE"""),41642.645833333336)</f>
        <v>41642.64583</v>
      </c>
      <c r="C112" s="2">
        <f>IFERROR(__xludf.DUMMYFUNCTION("""COMPUTED_VALUE"""),1788.0)</f>
        <v>1788</v>
      </c>
    </row>
    <row r="113" ht="15.75" customHeight="1">
      <c r="B113" s="3">
        <f>IFERROR(__xludf.DUMMYFUNCTION("""COMPUTED_VALUE"""),41649.645833333336)</f>
        <v>41649.64583</v>
      </c>
      <c r="C113" s="2">
        <f>IFERROR(__xludf.DUMMYFUNCTION("""COMPUTED_VALUE"""),1734.65)</f>
        <v>1734.65</v>
      </c>
    </row>
    <row r="114" ht="15.75" customHeight="1">
      <c r="B114" s="3">
        <f>IFERROR(__xludf.DUMMYFUNCTION("""COMPUTED_VALUE"""),41656.645833333336)</f>
        <v>41656.64583</v>
      </c>
      <c r="C114" s="2">
        <f>IFERROR(__xludf.DUMMYFUNCTION("""COMPUTED_VALUE"""),1756.0)</f>
        <v>1756</v>
      </c>
    </row>
    <row r="115" ht="15.75" customHeight="1">
      <c r="B115" s="3">
        <f>IFERROR(__xludf.DUMMYFUNCTION("""COMPUTED_VALUE"""),41663.645833333336)</f>
        <v>41663.64583</v>
      </c>
      <c r="C115" s="2">
        <f>IFERROR(__xludf.DUMMYFUNCTION("""COMPUTED_VALUE"""),1732.0)</f>
        <v>1732</v>
      </c>
    </row>
    <row r="116" ht="15.75" customHeight="1">
      <c r="B116" s="3">
        <f>IFERROR(__xludf.DUMMYFUNCTION("""COMPUTED_VALUE"""),41670.645833333336)</f>
        <v>41670.64583</v>
      </c>
      <c r="C116" s="2">
        <f>IFERROR(__xludf.DUMMYFUNCTION("""COMPUTED_VALUE"""),1729.0)</f>
        <v>1729</v>
      </c>
    </row>
    <row r="117" ht="15.75" customHeight="1">
      <c r="B117" s="3">
        <f>IFERROR(__xludf.DUMMYFUNCTION("""COMPUTED_VALUE"""),41677.645833333336)</f>
        <v>41677.64583</v>
      </c>
      <c r="C117" s="2">
        <f>IFERROR(__xludf.DUMMYFUNCTION("""COMPUTED_VALUE"""),1739.0)</f>
        <v>1739</v>
      </c>
    </row>
    <row r="118" ht="15.75" customHeight="1">
      <c r="B118" s="3">
        <f>IFERROR(__xludf.DUMMYFUNCTION("""COMPUTED_VALUE"""),41684.645833333336)</f>
        <v>41684.64583</v>
      </c>
      <c r="C118" s="2">
        <f>IFERROR(__xludf.DUMMYFUNCTION("""COMPUTED_VALUE"""),1750.25)</f>
        <v>1750.25</v>
      </c>
    </row>
    <row r="119" ht="15.75" customHeight="1">
      <c r="B119" s="3">
        <f>IFERROR(__xludf.DUMMYFUNCTION("""COMPUTED_VALUE"""),41691.645833333336)</f>
        <v>41691.64583</v>
      </c>
      <c r="C119" s="2">
        <f>IFERROR(__xludf.DUMMYFUNCTION("""COMPUTED_VALUE"""),1813.3)</f>
        <v>1813.3</v>
      </c>
    </row>
    <row r="120" ht="15.75" customHeight="1">
      <c r="B120" s="3">
        <f>IFERROR(__xludf.DUMMYFUNCTION("""COMPUTED_VALUE"""),41698.645833333336)</f>
        <v>41698.64583</v>
      </c>
      <c r="C120" s="2">
        <f>IFERROR(__xludf.DUMMYFUNCTION("""COMPUTED_VALUE"""),1879.0)</f>
        <v>1879</v>
      </c>
    </row>
    <row r="121" ht="15.75" customHeight="1">
      <c r="B121" s="3">
        <f>IFERROR(__xludf.DUMMYFUNCTION("""COMPUTED_VALUE"""),41705.645833333336)</f>
        <v>41705.64583</v>
      </c>
      <c r="C121" s="2">
        <f>IFERROR(__xludf.DUMMYFUNCTION("""COMPUTED_VALUE"""),1998.0)</f>
        <v>1998</v>
      </c>
    </row>
    <row r="122" ht="15.75" customHeight="1">
      <c r="B122" s="3">
        <f>IFERROR(__xludf.DUMMYFUNCTION("""COMPUTED_VALUE"""),41712.645833333336)</f>
        <v>41712.64583</v>
      </c>
      <c r="C122" s="2">
        <f>IFERROR(__xludf.DUMMYFUNCTION("""COMPUTED_VALUE"""),2019.9)</f>
        <v>2019.9</v>
      </c>
    </row>
    <row r="123" ht="15.75" customHeight="1">
      <c r="B123" s="3">
        <f>IFERROR(__xludf.DUMMYFUNCTION("""COMPUTED_VALUE"""),41726.645833333336)</f>
        <v>41726.64583</v>
      </c>
      <c r="C123" s="2">
        <f>IFERROR(__xludf.DUMMYFUNCTION("""COMPUTED_VALUE"""),2161.8)</f>
        <v>2161.8</v>
      </c>
    </row>
    <row r="124" ht="15.75" customHeight="1">
      <c r="B124" s="3">
        <f>IFERROR(__xludf.DUMMYFUNCTION("""COMPUTED_VALUE"""),41733.645833333336)</f>
        <v>41733.64583</v>
      </c>
      <c r="C124" s="2">
        <f>IFERROR(__xludf.DUMMYFUNCTION("""COMPUTED_VALUE"""),2195.0)</f>
        <v>2195</v>
      </c>
    </row>
    <row r="125" ht="15.75" customHeight="1">
      <c r="B125" s="3">
        <f>IFERROR(__xludf.DUMMYFUNCTION("""COMPUTED_VALUE"""),41740.645833333336)</f>
        <v>41740.64583</v>
      </c>
      <c r="C125" s="2">
        <f>IFERROR(__xludf.DUMMYFUNCTION("""COMPUTED_VALUE"""),2280.0)</f>
        <v>2280</v>
      </c>
    </row>
    <row r="126" ht="15.75" customHeight="1">
      <c r="B126" s="3">
        <f>IFERROR(__xludf.DUMMYFUNCTION("""COMPUTED_VALUE"""),41746.645833333336)</f>
        <v>41746.64583</v>
      </c>
      <c r="C126" s="2">
        <f>IFERROR(__xludf.DUMMYFUNCTION("""COMPUTED_VALUE"""),2260.0)</f>
        <v>2260</v>
      </c>
    </row>
    <row r="127" ht="15.75" customHeight="1">
      <c r="B127" s="3">
        <f>IFERROR(__xludf.DUMMYFUNCTION("""COMPUTED_VALUE"""),41754.645833333336)</f>
        <v>41754.64583</v>
      </c>
      <c r="C127" s="2">
        <f>IFERROR(__xludf.DUMMYFUNCTION("""COMPUTED_VALUE"""),2239.8)</f>
        <v>2239.8</v>
      </c>
    </row>
    <row r="128" ht="15.75" customHeight="1">
      <c r="B128" s="3">
        <f>IFERROR(__xludf.DUMMYFUNCTION("""COMPUTED_VALUE"""),41761.645833333336)</f>
        <v>41761.64583</v>
      </c>
      <c r="C128" s="2">
        <f>IFERROR(__xludf.DUMMYFUNCTION("""COMPUTED_VALUE"""),2113.9)</f>
        <v>2113.9</v>
      </c>
    </row>
    <row r="129" ht="15.75" customHeight="1">
      <c r="B129" s="3">
        <f>IFERROR(__xludf.DUMMYFUNCTION("""COMPUTED_VALUE"""),41768.645833333336)</f>
        <v>41768.64583</v>
      </c>
      <c r="C129" s="2">
        <f>IFERROR(__xludf.DUMMYFUNCTION("""COMPUTED_VALUE"""),2085.65)</f>
        <v>2085.65</v>
      </c>
    </row>
    <row r="130" ht="15.75" customHeight="1">
      <c r="B130" s="3">
        <f>IFERROR(__xludf.DUMMYFUNCTION("""COMPUTED_VALUE"""),41775.645833333336)</f>
        <v>41775.64583</v>
      </c>
      <c r="C130" s="2">
        <f>IFERROR(__xludf.DUMMYFUNCTION("""COMPUTED_VALUE"""),2554.0)</f>
        <v>2554</v>
      </c>
    </row>
    <row r="131" ht="15.75" customHeight="1">
      <c r="B131" s="3">
        <f>IFERROR(__xludf.DUMMYFUNCTION("""COMPUTED_VALUE"""),41782.645833333336)</f>
        <v>41782.64583</v>
      </c>
      <c r="C131" s="2">
        <f>IFERROR(__xludf.DUMMYFUNCTION("""COMPUTED_VALUE"""),2371.65)</f>
        <v>2371.65</v>
      </c>
    </row>
    <row r="132" ht="15.75" customHeight="1">
      <c r="B132" s="3">
        <f>IFERROR(__xludf.DUMMYFUNCTION("""COMPUTED_VALUE"""),41789.645833333336)</f>
        <v>41789.64583</v>
      </c>
      <c r="C132" s="2">
        <f>IFERROR(__xludf.DUMMYFUNCTION("""COMPUTED_VALUE"""),2472.6)</f>
        <v>2472.6</v>
      </c>
    </row>
    <row r="133" ht="15.75" customHeight="1">
      <c r="B133" s="3">
        <f>IFERROR(__xludf.DUMMYFUNCTION("""COMPUTED_VALUE"""),41796.645833333336)</f>
        <v>41796.64583</v>
      </c>
      <c r="C133" s="2">
        <f>IFERROR(__xludf.DUMMYFUNCTION("""COMPUTED_VALUE"""),2709.0)</f>
        <v>2709</v>
      </c>
    </row>
    <row r="134" ht="15.75" customHeight="1">
      <c r="B134" s="3">
        <f>IFERROR(__xludf.DUMMYFUNCTION("""COMPUTED_VALUE"""),41803.645833333336)</f>
        <v>41803.64583</v>
      </c>
      <c r="C134" s="2">
        <f>IFERROR(__xludf.DUMMYFUNCTION("""COMPUTED_VALUE"""),2847.0)</f>
        <v>2847</v>
      </c>
    </row>
    <row r="135" ht="15.75" customHeight="1">
      <c r="B135" s="3">
        <f>IFERROR(__xludf.DUMMYFUNCTION("""COMPUTED_VALUE"""),41810.645833333336)</f>
        <v>41810.64583</v>
      </c>
      <c r="C135" s="2">
        <f>IFERROR(__xludf.DUMMYFUNCTION("""COMPUTED_VALUE"""),2872.0)</f>
        <v>2872</v>
      </c>
    </row>
    <row r="136" ht="15.75" customHeight="1">
      <c r="B136" s="3">
        <f>IFERROR(__xludf.DUMMYFUNCTION("""COMPUTED_VALUE"""),41817.645833333336)</f>
        <v>41817.64583</v>
      </c>
      <c r="C136" s="2">
        <f>IFERROR(__xludf.DUMMYFUNCTION("""COMPUTED_VALUE"""),2755.0)</f>
        <v>2755</v>
      </c>
    </row>
    <row r="137" ht="15.75" customHeight="1">
      <c r="B137" s="3">
        <f>IFERROR(__xludf.DUMMYFUNCTION("""COMPUTED_VALUE"""),41824.645833333336)</f>
        <v>41824.64583</v>
      </c>
      <c r="C137" s="2">
        <f>IFERROR(__xludf.DUMMYFUNCTION("""COMPUTED_VALUE"""),2673.0)</f>
        <v>2673</v>
      </c>
    </row>
    <row r="138" ht="15.75" customHeight="1">
      <c r="B138" s="3">
        <f>IFERROR(__xludf.DUMMYFUNCTION("""COMPUTED_VALUE"""),41831.645833333336)</f>
        <v>41831.64583</v>
      </c>
      <c r="C138" s="2">
        <f>IFERROR(__xludf.DUMMYFUNCTION("""COMPUTED_VALUE"""),2615.9)</f>
        <v>2615.9</v>
      </c>
    </row>
    <row r="139" ht="15.75" customHeight="1">
      <c r="B139" s="3">
        <f>IFERROR(__xludf.DUMMYFUNCTION("""COMPUTED_VALUE"""),41838.645833333336)</f>
        <v>41838.64583</v>
      </c>
      <c r="C139" s="2">
        <f>IFERROR(__xludf.DUMMYFUNCTION("""COMPUTED_VALUE"""),2605.75)</f>
        <v>2605.75</v>
      </c>
    </row>
    <row r="140" ht="15.75" customHeight="1">
      <c r="B140" s="3">
        <f>IFERROR(__xludf.DUMMYFUNCTION("""COMPUTED_VALUE"""),41845.645833333336)</f>
        <v>41845.64583</v>
      </c>
      <c r="C140" s="2">
        <f>IFERROR(__xludf.DUMMYFUNCTION("""COMPUTED_VALUE"""),2540.3)</f>
        <v>2540.3</v>
      </c>
    </row>
    <row r="141" ht="15.75" customHeight="1">
      <c r="B141" s="3">
        <f>IFERROR(__xludf.DUMMYFUNCTION("""COMPUTED_VALUE"""),41852.645833333336)</f>
        <v>41852.64583</v>
      </c>
      <c r="C141" s="2">
        <f>IFERROR(__xludf.DUMMYFUNCTION("""COMPUTED_VALUE"""),2511.95)</f>
        <v>2511.95</v>
      </c>
    </row>
    <row r="142" ht="15.75" customHeight="1">
      <c r="B142" s="3">
        <f>IFERROR(__xludf.DUMMYFUNCTION("""COMPUTED_VALUE"""),41859.645833333336)</f>
        <v>41859.64583</v>
      </c>
      <c r="C142" s="2">
        <f>IFERROR(__xludf.DUMMYFUNCTION("""COMPUTED_VALUE"""),2618.9)</f>
        <v>2618.9</v>
      </c>
    </row>
    <row r="143" ht="15.75" customHeight="1">
      <c r="B143" s="3">
        <f>IFERROR(__xludf.DUMMYFUNCTION("""COMPUTED_VALUE"""),41865.645833333336)</f>
        <v>41865.64583</v>
      </c>
      <c r="C143" s="2">
        <f>IFERROR(__xludf.DUMMYFUNCTION("""COMPUTED_VALUE"""),2640.0)</f>
        <v>2640</v>
      </c>
    </row>
    <row r="144" ht="15.75" customHeight="1">
      <c r="B144" s="3">
        <f>IFERROR(__xludf.DUMMYFUNCTION("""COMPUTED_VALUE"""),41873.645833333336)</f>
        <v>41873.64583</v>
      </c>
      <c r="C144" s="2">
        <f>IFERROR(__xludf.DUMMYFUNCTION("""COMPUTED_VALUE"""),2733.3)</f>
        <v>2733.3</v>
      </c>
    </row>
    <row r="145" ht="15.75" customHeight="1">
      <c r="B145" s="3">
        <f>IFERROR(__xludf.DUMMYFUNCTION("""COMPUTED_VALUE"""),41879.645833333336)</f>
        <v>41879.64583</v>
      </c>
      <c r="C145" s="2">
        <f>IFERROR(__xludf.DUMMYFUNCTION("""COMPUTED_VALUE"""),2668.0)</f>
        <v>2668</v>
      </c>
    </row>
    <row r="146" ht="15.75" customHeight="1">
      <c r="B146" s="3">
        <f>IFERROR(__xludf.DUMMYFUNCTION("""COMPUTED_VALUE"""),41887.645833333336)</f>
        <v>41887.64583</v>
      </c>
      <c r="C146" s="2">
        <f>IFERROR(__xludf.DUMMYFUNCTION("""COMPUTED_VALUE"""),2743.0)</f>
        <v>2743</v>
      </c>
    </row>
    <row r="147" ht="15.75" customHeight="1">
      <c r="B147" s="3">
        <f>IFERROR(__xludf.DUMMYFUNCTION("""COMPUTED_VALUE"""),41894.645833333336)</f>
        <v>41894.64583</v>
      </c>
      <c r="C147" s="2">
        <f>IFERROR(__xludf.DUMMYFUNCTION("""COMPUTED_VALUE"""),2767.0)</f>
        <v>2767</v>
      </c>
    </row>
    <row r="148" ht="15.75" customHeight="1">
      <c r="B148" s="3">
        <f>IFERROR(__xludf.DUMMYFUNCTION("""COMPUTED_VALUE"""),41901.645833333336)</f>
        <v>41901.64583</v>
      </c>
      <c r="C148" s="2">
        <f>IFERROR(__xludf.DUMMYFUNCTION("""COMPUTED_VALUE"""),2666.1)</f>
        <v>2666.1</v>
      </c>
    </row>
    <row r="149" ht="15.75" customHeight="1">
      <c r="B149" s="3">
        <f>IFERROR(__xludf.DUMMYFUNCTION("""COMPUTED_VALUE"""),41908.645833333336)</f>
        <v>41908.64583</v>
      </c>
      <c r="C149" s="2">
        <f>IFERROR(__xludf.DUMMYFUNCTION("""COMPUTED_VALUE"""),2669.0)</f>
        <v>2669</v>
      </c>
    </row>
    <row r="150" ht="15.75" customHeight="1">
      <c r="B150" s="3">
        <f>IFERROR(__xludf.DUMMYFUNCTION("""COMPUTED_VALUE"""),41913.645833333336)</f>
        <v>41913.64583</v>
      </c>
      <c r="C150" s="2">
        <f>IFERROR(__xludf.DUMMYFUNCTION("""COMPUTED_VALUE"""),2660.0)</f>
        <v>2660</v>
      </c>
    </row>
    <row r="151" ht="15.75" customHeight="1">
      <c r="B151" s="3">
        <f>IFERROR(__xludf.DUMMYFUNCTION("""COMPUTED_VALUE"""),41922.645833333336)</f>
        <v>41922.64583</v>
      </c>
      <c r="C151" s="2">
        <f>IFERROR(__xludf.DUMMYFUNCTION("""COMPUTED_VALUE"""),2627.2)</f>
        <v>2627.2</v>
      </c>
    </row>
    <row r="152" ht="15.75" customHeight="1">
      <c r="B152" s="3">
        <f>IFERROR(__xludf.DUMMYFUNCTION("""COMPUTED_VALUE"""),41929.645833333336)</f>
        <v>41929.64583</v>
      </c>
      <c r="C152" s="2">
        <f>IFERROR(__xludf.DUMMYFUNCTION("""COMPUTED_VALUE"""),2499.0)</f>
        <v>2499</v>
      </c>
    </row>
    <row r="153" ht="15.75" customHeight="1">
      <c r="B153" s="3">
        <f>IFERROR(__xludf.DUMMYFUNCTION("""COMPUTED_VALUE"""),41935.645833333336)</f>
        <v>41935.64583</v>
      </c>
      <c r="C153" s="2">
        <f>IFERROR(__xludf.DUMMYFUNCTION("""COMPUTED_VALUE"""),2469.0)</f>
        <v>2469</v>
      </c>
    </row>
    <row r="154" ht="15.75" customHeight="1">
      <c r="B154" s="3">
        <f>IFERROR(__xludf.DUMMYFUNCTION("""COMPUTED_VALUE"""),41943.645833333336)</f>
        <v>41943.64583</v>
      </c>
      <c r="C154" s="2">
        <f>IFERROR(__xludf.DUMMYFUNCTION("""COMPUTED_VALUE"""),2560.0)</f>
        <v>2560</v>
      </c>
    </row>
    <row r="155" ht="15.75" customHeight="1">
      <c r="B155" s="3">
        <f>IFERROR(__xludf.DUMMYFUNCTION("""COMPUTED_VALUE"""),41950.645833333336)</f>
        <v>41950.64583</v>
      </c>
      <c r="C155" s="2">
        <f>IFERROR(__xludf.DUMMYFUNCTION("""COMPUTED_VALUE"""),2599.0)</f>
        <v>2599</v>
      </c>
    </row>
    <row r="156" ht="15.75" customHeight="1">
      <c r="B156" s="3">
        <f>IFERROR(__xludf.DUMMYFUNCTION("""COMPUTED_VALUE"""),41957.64583333333)</f>
        <v>41957.64583</v>
      </c>
      <c r="C156" s="2">
        <f>IFERROR(__xludf.DUMMYFUNCTION("""COMPUTED_VALUE"""),2669.0)</f>
        <v>2669</v>
      </c>
    </row>
    <row r="157" ht="15.75" customHeight="1">
      <c r="B157" s="3">
        <f>IFERROR(__xludf.DUMMYFUNCTION("""COMPUTED_VALUE"""),41964.64583333333)</f>
        <v>41964.64583</v>
      </c>
      <c r="C157" s="2">
        <f>IFERROR(__xludf.DUMMYFUNCTION("""COMPUTED_VALUE"""),2636.6)</f>
        <v>2636.6</v>
      </c>
    </row>
    <row r="158" ht="15.75" customHeight="1">
      <c r="B158" s="3">
        <f>IFERROR(__xludf.DUMMYFUNCTION("""COMPUTED_VALUE"""),41971.64583333333)</f>
        <v>41971.64583</v>
      </c>
      <c r="C158" s="2">
        <f>IFERROR(__xludf.DUMMYFUNCTION("""COMPUTED_VALUE"""),2543.95)</f>
        <v>2543.95</v>
      </c>
    </row>
    <row r="159" ht="15.75" customHeight="1">
      <c r="B159" s="3">
        <f>IFERROR(__xludf.DUMMYFUNCTION("""COMPUTED_VALUE"""),41978.64583333333)</f>
        <v>41978.64583</v>
      </c>
      <c r="C159" s="2">
        <f>IFERROR(__xludf.DUMMYFUNCTION("""COMPUTED_VALUE"""),2514.0)</f>
        <v>2514</v>
      </c>
    </row>
    <row r="160" ht="15.75" customHeight="1">
      <c r="B160" s="3">
        <f>IFERROR(__xludf.DUMMYFUNCTION("""COMPUTED_VALUE"""),41985.64583333333)</f>
        <v>41985.64583</v>
      </c>
      <c r="C160" s="2">
        <f>IFERROR(__xludf.DUMMYFUNCTION("""COMPUTED_VALUE"""),2541.65)</f>
        <v>2541.65</v>
      </c>
    </row>
    <row r="161" ht="15.75" customHeight="1">
      <c r="B161" s="3">
        <f>IFERROR(__xludf.DUMMYFUNCTION("""COMPUTED_VALUE"""),41992.64583333333)</f>
        <v>41992.64583</v>
      </c>
      <c r="C161" s="2">
        <f>IFERROR(__xludf.DUMMYFUNCTION("""COMPUTED_VALUE"""),2572.0)</f>
        <v>2572</v>
      </c>
    </row>
    <row r="162" ht="15.75" customHeight="1">
      <c r="B162" s="3">
        <f>IFERROR(__xludf.DUMMYFUNCTION("""COMPUTED_VALUE"""),41999.64583333333)</f>
        <v>41999.64583</v>
      </c>
      <c r="C162" s="2">
        <f>IFERROR(__xludf.DUMMYFUNCTION("""COMPUTED_VALUE"""),2664.0)</f>
        <v>2664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IFERROR(__xludf.DUMMYFUNCTION("GOOGLEFINANCE(""NSE:ULTRACEMCO"", ""high"",DATE(2015,1,1),DATE(2016,1,1),""weekly"")"),"Date")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IFERROR(__xludf.DUMMYFUNCTION("""COMPUTED_VALUE"""),42006.64583333333)</f>
        <v>42006.64583</v>
      </c>
      <c r="C167" s="2">
        <f>IFERROR(__xludf.DUMMYFUNCTION("""COMPUTED_VALUE"""),2752.5)</f>
        <v>2752.5</v>
      </c>
    </row>
    <row r="168" ht="15.75" customHeight="1">
      <c r="B168" s="3">
        <f>IFERROR(__xludf.DUMMYFUNCTION("""COMPUTED_VALUE"""),42013.64583333333)</f>
        <v>42013.64583</v>
      </c>
      <c r="C168" s="2">
        <f>IFERROR(__xludf.DUMMYFUNCTION("""COMPUTED_VALUE"""),2775.4)</f>
        <v>2775.4</v>
      </c>
    </row>
    <row r="169" ht="15.75" customHeight="1">
      <c r="B169" s="3">
        <f>IFERROR(__xludf.DUMMYFUNCTION("""COMPUTED_VALUE"""),42020.64583333333)</f>
        <v>42020.64583</v>
      </c>
      <c r="C169" s="2">
        <f>IFERROR(__xludf.DUMMYFUNCTION("""COMPUTED_VALUE"""),3139.95)</f>
        <v>3139.95</v>
      </c>
    </row>
    <row r="170" ht="15.75" customHeight="1">
      <c r="B170" s="3">
        <f>IFERROR(__xludf.DUMMYFUNCTION("""COMPUTED_VALUE"""),42027.64583333333)</f>
        <v>42027.64583</v>
      </c>
      <c r="C170" s="2">
        <f>IFERROR(__xludf.DUMMYFUNCTION("""COMPUTED_VALUE"""),3185.75)</f>
        <v>3185.75</v>
      </c>
    </row>
    <row r="171" ht="15.75" customHeight="1">
      <c r="B171" s="3">
        <f>IFERROR(__xludf.DUMMYFUNCTION("""COMPUTED_VALUE"""),42034.64583333333)</f>
        <v>42034.64583</v>
      </c>
      <c r="C171" s="2">
        <f>IFERROR(__xludf.DUMMYFUNCTION("""COMPUTED_VALUE"""),3199.9)</f>
        <v>3199.9</v>
      </c>
    </row>
    <row r="172" ht="15.75" customHeight="1">
      <c r="B172" s="3">
        <f>IFERROR(__xludf.DUMMYFUNCTION("""COMPUTED_VALUE"""),42041.64583333333)</f>
        <v>42041.64583</v>
      </c>
      <c r="C172" s="2">
        <f>IFERROR(__xludf.DUMMYFUNCTION("""COMPUTED_VALUE"""),3188.0)</f>
        <v>3188</v>
      </c>
    </row>
    <row r="173" ht="15.75" customHeight="1">
      <c r="B173" s="3">
        <f>IFERROR(__xludf.DUMMYFUNCTION("""COMPUTED_VALUE"""),42048.64583333333)</f>
        <v>42048.64583</v>
      </c>
      <c r="C173" s="2">
        <f>IFERROR(__xludf.DUMMYFUNCTION("""COMPUTED_VALUE"""),3144.75)</f>
        <v>3144.75</v>
      </c>
    </row>
    <row r="174" ht="15.75" customHeight="1">
      <c r="B174" s="3">
        <f>IFERROR(__xludf.DUMMYFUNCTION("""COMPUTED_VALUE"""),42055.64583333333)</f>
        <v>42055.64583</v>
      </c>
      <c r="C174" s="2">
        <f>IFERROR(__xludf.DUMMYFUNCTION("""COMPUTED_VALUE"""),3150.0)</f>
        <v>3150</v>
      </c>
    </row>
    <row r="175" ht="15.75" customHeight="1">
      <c r="B175" s="3">
        <f>IFERROR(__xludf.DUMMYFUNCTION("""COMPUTED_VALUE"""),42068.64583333333)</f>
        <v>42068.64583</v>
      </c>
      <c r="C175" s="2">
        <f>IFERROR(__xludf.DUMMYFUNCTION("""COMPUTED_VALUE"""),3398.0)</f>
        <v>3398</v>
      </c>
    </row>
    <row r="176" ht="15.75" customHeight="1">
      <c r="B176" s="3">
        <f>IFERROR(__xludf.DUMMYFUNCTION("""COMPUTED_VALUE"""),42076.64583333333)</f>
        <v>42076.64583</v>
      </c>
      <c r="C176" s="2">
        <f>IFERROR(__xludf.DUMMYFUNCTION("""COMPUTED_VALUE"""),3190.0)</f>
        <v>3190</v>
      </c>
    </row>
    <row r="177" ht="15.75" customHeight="1">
      <c r="B177" s="3">
        <f>IFERROR(__xludf.DUMMYFUNCTION("""COMPUTED_VALUE"""),42083.64583333333)</f>
        <v>42083.64583</v>
      </c>
      <c r="C177" s="2">
        <f>IFERROR(__xludf.DUMMYFUNCTION("""COMPUTED_VALUE"""),2993.3)</f>
        <v>2993.3</v>
      </c>
    </row>
    <row r="178" ht="15.75" customHeight="1">
      <c r="B178" s="3">
        <f>IFERROR(__xludf.DUMMYFUNCTION("""COMPUTED_VALUE"""),42090.64583333333)</f>
        <v>42090.64583</v>
      </c>
      <c r="C178" s="2">
        <f>IFERROR(__xludf.DUMMYFUNCTION("""COMPUTED_VALUE"""),2878.55)</f>
        <v>2878.55</v>
      </c>
    </row>
    <row r="179" ht="15.75" customHeight="1">
      <c r="B179" s="3">
        <f>IFERROR(__xludf.DUMMYFUNCTION("""COMPUTED_VALUE"""),42095.64583333333)</f>
        <v>42095.64583</v>
      </c>
      <c r="C179" s="2">
        <f>IFERROR(__xludf.DUMMYFUNCTION("""COMPUTED_VALUE"""),2967.5)</f>
        <v>2967.5</v>
      </c>
    </row>
    <row r="180" ht="15.75" customHeight="1">
      <c r="B180" s="3">
        <f>IFERROR(__xludf.DUMMYFUNCTION("""COMPUTED_VALUE"""),42104.64583333333)</f>
        <v>42104.64583</v>
      </c>
      <c r="C180" s="2">
        <f>IFERROR(__xludf.DUMMYFUNCTION("""COMPUTED_VALUE"""),3022.5)</f>
        <v>3022.5</v>
      </c>
    </row>
    <row r="181" ht="15.75" customHeight="1">
      <c r="B181" s="3">
        <f>IFERROR(__xludf.DUMMYFUNCTION("""COMPUTED_VALUE"""),42111.64583333333)</f>
        <v>42111.64583</v>
      </c>
      <c r="C181" s="2">
        <f>IFERROR(__xludf.DUMMYFUNCTION("""COMPUTED_VALUE"""),3029.9)</f>
        <v>3029.9</v>
      </c>
    </row>
    <row r="182" ht="15.75" customHeight="1">
      <c r="B182" s="3">
        <f>IFERROR(__xludf.DUMMYFUNCTION("""COMPUTED_VALUE"""),42118.64583333333)</f>
        <v>42118.64583</v>
      </c>
      <c r="C182" s="2">
        <f>IFERROR(__xludf.DUMMYFUNCTION("""COMPUTED_VALUE"""),2850.0)</f>
        <v>2850</v>
      </c>
    </row>
    <row r="183" ht="15.75" customHeight="1">
      <c r="B183" s="3">
        <f>IFERROR(__xludf.DUMMYFUNCTION("""COMPUTED_VALUE"""),42124.64583333333)</f>
        <v>42124.64583</v>
      </c>
      <c r="C183" s="2">
        <f>IFERROR(__xludf.DUMMYFUNCTION("""COMPUTED_VALUE"""),2796.0)</f>
        <v>2796</v>
      </c>
    </row>
    <row r="184" ht="15.75" customHeight="1">
      <c r="B184" s="3">
        <f>IFERROR(__xludf.DUMMYFUNCTION("""COMPUTED_VALUE"""),42132.64583333333)</f>
        <v>42132.64583</v>
      </c>
      <c r="C184" s="2">
        <f>IFERROR(__xludf.DUMMYFUNCTION("""COMPUTED_VALUE"""),2748.0)</f>
        <v>2748</v>
      </c>
    </row>
    <row r="185" ht="15.75" customHeight="1">
      <c r="B185" s="3">
        <f>IFERROR(__xludf.DUMMYFUNCTION("""COMPUTED_VALUE"""),42139.64583333333)</f>
        <v>42139.64583</v>
      </c>
      <c r="C185" s="2">
        <f>IFERROR(__xludf.DUMMYFUNCTION("""COMPUTED_VALUE"""),2859.9)</f>
        <v>2859.9</v>
      </c>
    </row>
    <row r="186" ht="15.75" customHeight="1">
      <c r="B186" s="3">
        <f>IFERROR(__xludf.DUMMYFUNCTION("""COMPUTED_VALUE"""),42146.64583333333)</f>
        <v>42146.64583</v>
      </c>
      <c r="C186" s="2">
        <f>IFERROR(__xludf.DUMMYFUNCTION("""COMPUTED_VALUE"""),3109.85)</f>
        <v>3109.85</v>
      </c>
    </row>
    <row r="187" ht="15.75" customHeight="1">
      <c r="B187" s="3">
        <f>IFERROR(__xludf.DUMMYFUNCTION("""COMPUTED_VALUE"""),42153.64583333333)</f>
        <v>42153.64583</v>
      </c>
      <c r="C187" s="2">
        <f>IFERROR(__xludf.DUMMYFUNCTION("""COMPUTED_VALUE"""),2998.95)</f>
        <v>2998.95</v>
      </c>
    </row>
    <row r="188" ht="15.75" customHeight="1">
      <c r="B188" s="3">
        <f>IFERROR(__xludf.DUMMYFUNCTION("""COMPUTED_VALUE"""),42160.64583333333)</f>
        <v>42160.64583</v>
      </c>
      <c r="C188" s="2">
        <f>IFERROR(__xludf.DUMMYFUNCTION("""COMPUTED_VALUE"""),3024.0)</f>
        <v>3024</v>
      </c>
    </row>
    <row r="189" ht="15.75" customHeight="1">
      <c r="B189" s="3">
        <f>IFERROR(__xludf.DUMMYFUNCTION("""COMPUTED_VALUE"""),42167.64583333333)</f>
        <v>42167.64583</v>
      </c>
      <c r="C189" s="2">
        <f>IFERROR(__xludf.DUMMYFUNCTION("""COMPUTED_VALUE"""),2846.0)</f>
        <v>2846</v>
      </c>
    </row>
    <row r="190" ht="15.75" customHeight="1">
      <c r="B190" s="3">
        <f>IFERROR(__xludf.DUMMYFUNCTION("""COMPUTED_VALUE"""),42174.64583333333)</f>
        <v>42174.64583</v>
      </c>
      <c r="C190" s="2">
        <f>IFERROR(__xludf.DUMMYFUNCTION("""COMPUTED_VALUE"""),2828.0)</f>
        <v>2828</v>
      </c>
    </row>
    <row r="191" ht="15.75" customHeight="1">
      <c r="B191" s="3">
        <f>IFERROR(__xludf.DUMMYFUNCTION("""COMPUTED_VALUE"""),42181.64583333333)</f>
        <v>42181.64583</v>
      </c>
      <c r="C191" s="2">
        <f>IFERROR(__xludf.DUMMYFUNCTION("""COMPUTED_VALUE"""),2969.9)</f>
        <v>2969.9</v>
      </c>
    </row>
    <row r="192" ht="15.75" customHeight="1">
      <c r="B192" s="3">
        <f>IFERROR(__xludf.DUMMYFUNCTION("""COMPUTED_VALUE"""),42188.64583333333)</f>
        <v>42188.64583</v>
      </c>
      <c r="C192" s="2">
        <f>IFERROR(__xludf.DUMMYFUNCTION("""COMPUTED_VALUE"""),3078.95)</f>
        <v>3078.95</v>
      </c>
    </row>
    <row r="193" ht="15.75" customHeight="1">
      <c r="B193" s="3">
        <f>IFERROR(__xludf.DUMMYFUNCTION("""COMPUTED_VALUE"""),42195.64583333333)</f>
        <v>42195.64583</v>
      </c>
      <c r="C193" s="2">
        <f>IFERROR(__xludf.DUMMYFUNCTION("""COMPUTED_VALUE"""),3184.2)</f>
        <v>3184.2</v>
      </c>
    </row>
    <row r="194" ht="15.75" customHeight="1">
      <c r="B194" s="3">
        <f>IFERROR(__xludf.DUMMYFUNCTION("""COMPUTED_VALUE"""),42202.64583333333)</f>
        <v>42202.64583</v>
      </c>
      <c r="C194" s="2">
        <f>IFERROR(__xludf.DUMMYFUNCTION("""COMPUTED_VALUE"""),3248.0)</f>
        <v>3248</v>
      </c>
    </row>
    <row r="195" ht="15.75" customHeight="1">
      <c r="B195" s="3">
        <f>IFERROR(__xludf.DUMMYFUNCTION("""COMPUTED_VALUE"""),42209.64583333333)</f>
        <v>42209.64583</v>
      </c>
      <c r="C195" s="2">
        <f>IFERROR(__xludf.DUMMYFUNCTION("""COMPUTED_VALUE"""),3369.0)</f>
        <v>3369</v>
      </c>
    </row>
    <row r="196" ht="15.75" customHeight="1">
      <c r="B196" s="3">
        <f>IFERROR(__xludf.DUMMYFUNCTION("""COMPUTED_VALUE"""),42216.64583333333)</f>
        <v>42216.64583</v>
      </c>
      <c r="C196" s="2">
        <f>IFERROR(__xludf.DUMMYFUNCTION("""COMPUTED_VALUE"""),3240.15)</f>
        <v>3240.15</v>
      </c>
    </row>
    <row r="197" ht="15.75" customHeight="1">
      <c r="B197" s="3">
        <f>IFERROR(__xludf.DUMMYFUNCTION("""COMPUTED_VALUE"""),42223.64583333333)</f>
        <v>42223.64583</v>
      </c>
      <c r="C197" s="2">
        <f>IFERROR(__xludf.DUMMYFUNCTION("""COMPUTED_VALUE"""),3256.0)</f>
        <v>3256</v>
      </c>
    </row>
    <row r="198" ht="15.75" customHeight="1">
      <c r="B198" s="3">
        <f>IFERROR(__xludf.DUMMYFUNCTION("""COMPUTED_VALUE"""),42230.64583333333)</f>
        <v>42230.64583</v>
      </c>
      <c r="C198" s="2">
        <f>IFERROR(__xludf.DUMMYFUNCTION("""COMPUTED_VALUE"""),3228.85)</f>
        <v>3228.85</v>
      </c>
    </row>
    <row r="199" ht="15.75" customHeight="1">
      <c r="B199" s="3">
        <f>IFERROR(__xludf.DUMMYFUNCTION("""COMPUTED_VALUE"""),42237.64583333333)</f>
        <v>42237.64583</v>
      </c>
      <c r="C199" s="2">
        <f>IFERROR(__xludf.DUMMYFUNCTION("""COMPUTED_VALUE"""),3182.25)</f>
        <v>3182.25</v>
      </c>
    </row>
    <row r="200" ht="15.75" customHeight="1">
      <c r="B200" s="3">
        <f>IFERROR(__xludf.DUMMYFUNCTION("""COMPUTED_VALUE"""),42244.64583333333)</f>
        <v>42244.64583</v>
      </c>
      <c r="C200" s="2">
        <f>IFERROR(__xludf.DUMMYFUNCTION("""COMPUTED_VALUE"""),2968.9)</f>
        <v>2968.9</v>
      </c>
    </row>
    <row r="201" ht="15.75" customHeight="1">
      <c r="B201" s="3">
        <f>IFERROR(__xludf.DUMMYFUNCTION("""COMPUTED_VALUE"""),42251.64583333333)</f>
        <v>42251.64583</v>
      </c>
      <c r="C201" s="2">
        <f>IFERROR(__xludf.DUMMYFUNCTION("""COMPUTED_VALUE"""),3022.0)</f>
        <v>3022</v>
      </c>
    </row>
    <row r="202" ht="15.75" customHeight="1">
      <c r="B202" s="3">
        <f>IFERROR(__xludf.DUMMYFUNCTION("""COMPUTED_VALUE"""),42258.64583333333)</f>
        <v>42258.64583</v>
      </c>
      <c r="C202" s="2">
        <f>IFERROR(__xludf.DUMMYFUNCTION("""COMPUTED_VALUE"""),2999.0)</f>
        <v>2999</v>
      </c>
    </row>
    <row r="203" ht="15.75" customHeight="1">
      <c r="B203" s="3">
        <f>IFERROR(__xludf.DUMMYFUNCTION("""COMPUTED_VALUE"""),42265.64583333333)</f>
        <v>42265.64583</v>
      </c>
      <c r="C203" s="2">
        <f>IFERROR(__xludf.DUMMYFUNCTION("""COMPUTED_VALUE"""),3018.95)</f>
        <v>3018.95</v>
      </c>
    </row>
    <row r="204" ht="15.75" customHeight="1">
      <c r="B204" s="3">
        <f>IFERROR(__xludf.DUMMYFUNCTION("""COMPUTED_VALUE"""),42271.64583333333)</f>
        <v>42271.64583</v>
      </c>
      <c r="C204" s="2">
        <f>IFERROR(__xludf.DUMMYFUNCTION("""COMPUTED_VALUE"""),2936.25)</f>
        <v>2936.25</v>
      </c>
    </row>
    <row r="205" ht="15.75" customHeight="1">
      <c r="B205" s="3">
        <f>IFERROR(__xludf.DUMMYFUNCTION("""COMPUTED_VALUE"""),42278.64583333333)</f>
        <v>42278.64583</v>
      </c>
      <c r="C205" s="2">
        <f>IFERROR(__xludf.DUMMYFUNCTION("""COMPUTED_VALUE"""),2790.05)</f>
        <v>2790.05</v>
      </c>
    </row>
    <row r="206" ht="15.75" customHeight="1">
      <c r="B206" s="3">
        <f>IFERROR(__xludf.DUMMYFUNCTION("""COMPUTED_VALUE"""),42286.64583333333)</f>
        <v>42286.64583</v>
      </c>
      <c r="C206" s="2">
        <f>IFERROR(__xludf.DUMMYFUNCTION("""COMPUTED_VALUE"""),2879.05)</f>
        <v>2879.05</v>
      </c>
    </row>
    <row r="207" ht="15.75" customHeight="1">
      <c r="B207" s="3">
        <f>IFERROR(__xludf.DUMMYFUNCTION("""COMPUTED_VALUE"""),42300.64583333333)</f>
        <v>42300.64583</v>
      </c>
      <c r="C207" s="2">
        <f>IFERROR(__xludf.DUMMYFUNCTION("""COMPUTED_VALUE"""),2996.0)</f>
        <v>2996</v>
      </c>
    </row>
    <row r="208" ht="15.75" customHeight="1">
      <c r="B208" s="3">
        <f>IFERROR(__xludf.DUMMYFUNCTION("""COMPUTED_VALUE"""),42307.64583333333)</f>
        <v>42307.64583</v>
      </c>
      <c r="C208" s="2">
        <f>IFERROR(__xludf.DUMMYFUNCTION("""COMPUTED_VALUE"""),2945.05)</f>
        <v>2945.05</v>
      </c>
    </row>
    <row r="209" ht="15.75" customHeight="1">
      <c r="B209" s="3">
        <f>IFERROR(__xludf.DUMMYFUNCTION("""COMPUTED_VALUE"""),42314.64583333333)</f>
        <v>42314.64583</v>
      </c>
      <c r="C209" s="2">
        <f>IFERROR(__xludf.DUMMYFUNCTION("""COMPUTED_VALUE"""),3044.9)</f>
        <v>3044.9</v>
      </c>
    </row>
    <row r="210" ht="15.75" customHeight="1">
      <c r="B210" s="3">
        <f>IFERROR(__xludf.DUMMYFUNCTION("""COMPUTED_VALUE"""),42321.64583333333)</f>
        <v>42321.64583</v>
      </c>
      <c r="C210" s="2">
        <f>IFERROR(__xludf.DUMMYFUNCTION("""COMPUTED_VALUE"""),2777.0)</f>
        <v>2777</v>
      </c>
    </row>
    <row r="211" ht="15.75" customHeight="1">
      <c r="B211" s="3">
        <f>IFERROR(__xludf.DUMMYFUNCTION("""COMPUTED_VALUE"""),42328.64583333333)</f>
        <v>42328.64583</v>
      </c>
      <c r="C211" s="2">
        <f>IFERROR(__xludf.DUMMYFUNCTION("""COMPUTED_VALUE"""),2794.95)</f>
        <v>2794.95</v>
      </c>
    </row>
    <row r="212" ht="15.75" customHeight="1">
      <c r="B212" s="3">
        <f>IFERROR(__xludf.DUMMYFUNCTION("""COMPUTED_VALUE"""),42335.64583333333)</f>
        <v>42335.64583</v>
      </c>
      <c r="C212" s="2">
        <f>IFERROR(__xludf.DUMMYFUNCTION("""COMPUTED_VALUE"""),2847.0)</f>
        <v>2847</v>
      </c>
    </row>
    <row r="213" ht="15.75" customHeight="1">
      <c r="B213" s="3">
        <f>IFERROR(__xludf.DUMMYFUNCTION("""COMPUTED_VALUE"""),42342.64583333333)</f>
        <v>42342.64583</v>
      </c>
      <c r="C213" s="2">
        <f>IFERROR(__xludf.DUMMYFUNCTION("""COMPUTED_VALUE"""),2895.8)</f>
        <v>2895.8</v>
      </c>
    </row>
    <row r="214" ht="15.75" customHeight="1">
      <c r="B214" s="3">
        <f>IFERROR(__xludf.DUMMYFUNCTION("""COMPUTED_VALUE"""),42349.64583333333)</f>
        <v>42349.64583</v>
      </c>
      <c r="C214" s="2">
        <f>IFERROR(__xludf.DUMMYFUNCTION("""COMPUTED_VALUE"""),2897.0)</f>
        <v>2897</v>
      </c>
    </row>
    <row r="215" ht="15.75" customHeight="1">
      <c r="B215" s="3">
        <f>IFERROR(__xludf.DUMMYFUNCTION("""COMPUTED_VALUE"""),42356.64583333333)</f>
        <v>42356.64583</v>
      </c>
      <c r="C215" s="2">
        <f>IFERROR(__xludf.DUMMYFUNCTION("""COMPUTED_VALUE"""),2905.15)</f>
        <v>2905.15</v>
      </c>
    </row>
    <row r="216" ht="15.75" customHeight="1">
      <c r="B216" s="3">
        <f>IFERROR(__xludf.DUMMYFUNCTION("""COMPUTED_VALUE"""),42362.64583333333)</f>
        <v>42362.64583</v>
      </c>
      <c r="C216" s="2">
        <f>IFERROR(__xludf.DUMMYFUNCTION("""COMPUTED_VALUE"""),2828.5)</f>
        <v>2828.5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IFERROR(__xludf.DUMMYFUNCTION("GOOGLEFINANCE(""NSE:ULTRACEMCO"", ""high"",DATE(2016,1,1),DATE(2017,1,1),""weekly"")"),"Date")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IFERROR(__xludf.DUMMYFUNCTION("""COMPUTED_VALUE"""),42377.64583333333)</f>
        <v>42377.64583</v>
      </c>
      <c r="C222" s="2">
        <f>IFERROR(__xludf.DUMMYFUNCTION("""COMPUTED_VALUE"""),2828.85)</f>
        <v>2828.85</v>
      </c>
    </row>
    <row r="223" ht="15.75" customHeight="1">
      <c r="B223" s="3">
        <f>IFERROR(__xludf.DUMMYFUNCTION("""COMPUTED_VALUE"""),42384.64583333333)</f>
        <v>42384.64583</v>
      </c>
      <c r="C223" s="2">
        <f>IFERROR(__xludf.DUMMYFUNCTION("""COMPUTED_VALUE"""),2738.0)</f>
        <v>2738</v>
      </c>
    </row>
    <row r="224" ht="15.75" customHeight="1">
      <c r="B224" s="3">
        <f>IFERROR(__xludf.DUMMYFUNCTION("""COMPUTED_VALUE"""),42391.64583333333)</f>
        <v>42391.64583</v>
      </c>
      <c r="C224" s="2">
        <f>IFERROR(__xludf.DUMMYFUNCTION("""COMPUTED_VALUE"""),2740.0)</f>
        <v>2740</v>
      </c>
    </row>
    <row r="225" ht="15.75" customHeight="1">
      <c r="B225" s="3">
        <f>IFERROR(__xludf.DUMMYFUNCTION("""COMPUTED_VALUE"""),42398.64583333333)</f>
        <v>42398.64583</v>
      </c>
      <c r="C225" s="2">
        <f>IFERROR(__xludf.DUMMYFUNCTION("""COMPUTED_VALUE"""),2852.3)</f>
        <v>2852.3</v>
      </c>
    </row>
    <row r="226" ht="15.75" customHeight="1">
      <c r="B226" s="3">
        <f>IFERROR(__xludf.DUMMYFUNCTION("""COMPUTED_VALUE"""),42405.64583333333)</f>
        <v>42405.64583</v>
      </c>
      <c r="C226" s="2">
        <f>IFERROR(__xludf.DUMMYFUNCTION("""COMPUTED_VALUE"""),2860.55)</f>
        <v>2860.55</v>
      </c>
    </row>
    <row r="227" ht="15.75" customHeight="1">
      <c r="B227" s="3">
        <f>IFERROR(__xludf.DUMMYFUNCTION("""COMPUTED_VALUE"""),42419.64583333333)</f>
        <v>42419.64583</v>
      </c>
      <c r="C227" s="2">
        <f>IFERROR(__xludf.DUMMYFUNCTION("""COMPUTED_VALUE"""),2864.9)</f>
        <v>2864.9</v>
      </c>
    </row>
    <row r="228" ht="15.75" customHeight="1">
      <c r="B228" s="3">
        <f>IFERROR(__xludf.DUMMYFUNCTION("""COMPUTED_VALUE"""),42426.64583333333)</f>
        <v>42426.64583</v>
      </c>
      <c r="C228" s="2">
        <f>IFERROR(__xludf.DUMMYFUNCTION("""COMPUTED_VALUE"""),2936.45)</f>
        <v>2936.45</v>
      </c>
    </row>
    <row r="229" ht="15.75" customHeight="1">
      <c r="B229" s="3">
        <f>IFERROR(__xludf.DUMMYFUNCTION("""COMPUTED_VALUE"""),42433.64583333333)</f>
        <v>42433.64583</v>
      </c>
      <c r="C229" s="2">
        <f>IFERROR(__xludf.DUMMYFUNCTION("""COMPUTED_VALUE"""),3010.0)</f>
        <v>3010</v>
      </c>
    </row>
    <row r="230" ht="15.75" customHeight="1">
      <c r="B230" s="3">
        <f>IFERROR(__xludf.DUMMYFUNCTION("""COMPUTED_VALUE"""),42440.64583333333)</f>
        <v>42440.64583</v>
      </c>
      <c r="C230" s="2">
        <f>IFERROR(__xludf.DUMMYFUNCTION("""COMPUTED_VALUE"""),3020.0)</f>
        <v>3020</v>
      </c>
    </row>
    <row r="231" ht="15.75" customHeight="1">
      <c r="B231" s="3">
        <f>IFERROR(__xludf.DUMMYFUNCTION("""COMPUTED_VALUE"""),42447.64583333333)</f>
        <v>42447.64583</v>
      </c>
      <c r="C231" s="2">
        <f>IFERROR(__xludf.DUMMYFUNCTION("""COMPUTED_VALUE"""),3117.7)</f>
        <v>3117.7</v>
      </c>
    </row>
    <row r="232" ht="15.75" customHeight="1">
      <c r="B232" s="3">
        <f>IFERROR(__xludf.DUMMYFUNCTION("""COMPUTED_VALUE"""),42452.64583333333)</f>
        <v>42452.64583</v>
      </c>
      <c r="C232" s="2">
        <f>IFERROR(__xludf.DUMMYFUNCTION("""COMPUTED_VALUE"""),3265.0)</f>
        <v>3265</v>
      </c>
    </row>
    <row r="233" ht="15.75" customHeight="1">
      <c r="B233" s="3">
        <f>IFERROR(__xludf.DUMMYFUNCTION("""COMPUTED_VALUE"""),42461.64583333333)</f>
        <v>42461.64583</v>
      </c>
      <c r="C233" s="2">
        <f>IFERROR(__xludf.DUMMYFUNCTION("""COMPUTED_VALUE"""),3260.0)</f>
        <v>3260</v>
      </c>
    </row>
    <row r="234" ht="15.75" customHeight="1">
      <c r="B234" s="3">
        <f>IFERROR(__xludf.DUMMYFUNCTION("""COMPUTED_VALUE"""),42468.64583333333)</f>
        <v>42468.64583</v>
      </c>
      <c r="C234" s="2">
        <f>IFERROR(__xludf.DUMMYFUNCTION("""COMPUTED_VALUE"""),3229.7)</f>
        <v>3229.7</v>
      </c>
    </row>
    <row r="235" ht="15.75" customHeight="1">
      <c r="B235" s="3">
        <f>IFERROR(__xludf.DUMMYFUNCTION("""COMPUTED_VALUE"""),42473.64583333333)</f>
        <v>42473.64583</v>
      </c>
      <c r="C235" s="2">
        <f>IFERROR(__xludf.DUMMYFUNCTION("""COMPUTED_VALUE"""),3314.9)</f>
        <v>3314.9</v>
      </c>
    </row>
    <row r="236" ht="15.75" customHeight="1">
      <c r="B236" s="3">
        <f>IFERROR(__xludf.DUMMYFUNCTION("""COMPUTED_VALUE"""),42482.64583333333)</f>
        <v>42482.64583</v>
      </c>
      <c r="C236" s="2">
        <f>IFERROR(__xludf.DUMMYFUNCTION("""COMPUTED_VALUE"""),3454.9)</f>
        <v>3454.9</v>
      </c>
    </row>
    <row r="237" ht="15.75" customHeight="1">
      <c r="B237" s="3">
        <f>IFERROR(__xludf.DUMMYFUNCTION("""COMPUTED_VALUE"""),42489.64583333333)</f>
        <v>42489.64583</v>
      </c>
      <c r="C237" s="2">
        <f>IFERROR(__xludf.DUMMYFUNCTION("""COMPUTED_VALUE"""),3327.6)</f>
        <v>3327.6</v>
      </c>
    </row>
    <row r="238" ht="15.75" customHeight="1">
      <c r="B238" s="3">
        <f>IFERROR(__xludf.DUMMYFUNCTION("""COMPUTED_VALUE"""),42496.64583333333)</f>
        <v>42496.64583</v>
      </c>
      <c r="C238" s="2">
        <f>IFERROR(__xludf.DUMMYFUNCTION("""COMPUTED_VALUE"""),3245.3)</f>
        <v>3245.3</v>
      </c>
    </row>
    <row r="239" ht="15.75" customHeight="1">
      <c r="B239" s="3">
        <f>IFERROR(__xludf.DUMMYFUNCTION("""COMPUTED_VALUE"""),42503.64583333333)</f>
        <v>42503.64583</v>
      </c>
      <c r="C239" s="2">
        <f>IFERROR(__xludf.DUMMYFUNCTION("""COMPUTED_VALUE"""),3232.9)</f>
        <v>3232.9</v>
      </c>
    </row>
    <row r="240" ht="15.75" customHeight="1">
      <c r="B240" s="3">
        <f>IFERROR(__xludf.DUMMYFUNCTION("""COMPUTED_VALUE"""),42510.64583333333)</f>
        <v>42510.64583</v>
      </c>
      <c r="C240" s="2">
        <f>IFERROR(__xludf.DUMMYFUNCTION("""COMPUTED_VALUE"""),3269.5)</f>
        <v>3269.5</v>
      </c>
    </row>
    <row r="241" ht="15.75" customHeight="1">
      <c r="B241" s="3">
        <f>IFERROR(__xludf.DUMMYFUNCTION("""COMPUTED_VALUE"""),42517.64583333333)</f>
        <v>42517.64583</v>
      </c>
      <c r="C241" s="2">
        <f>IFERROR(__xludf.DUMMYFUNCTION("""COMPUTED_VALUE"""),3255.0)</f>
        <v>3255</v>
      </c>
    </row>
    <row r="242" ht="15.75" customHeight="1">
      <c r="B242" s="3">
        <f>IFERROR(__xludf.DUMMYFUNCTION("""COMPUTED_VALUE"""),42524.64583333333)</f>
        <v>42524.64583</v>
      </c>
      <c r="C242" s="2">
        <f>IFERROR(__xludf.DUMMYFUNCTION("""COMPUTED_VALUE"""),3259.75)</f>
        <v>3259.75</v>
      </c>
    </row>
    <row r="243" ht="15.75" customHeight="1">
      <c r="B243" s="3">
        <f>IFERROR(__xludf.DUMMYFUNCTION("""COMPUTED_VALUE"""),42531.64583333333)</f>
        <v>42531.64583</v>
      </c>
      <c r="C243" s="2">
        <f>IFERROR(__xludf.DUMMYFUNCTION("""COMPUTED_VALUE"""),3400.0)</f>
        <v>3400</v>
      </c>
    </row>
    <row r="244" ht="15.75" customHeight="1">
      <c r="B244" s="3">
        <f>IFERROR(__xludf.DUMMYFUNCTION("""COMPUTED_VALUE"""),42538.64583333333)</f>
        <v>42538.64583</v>
      </c>
      <c r="C244" s="2">
        <f>IFERROR(__xludf.DUMMYFUNCTION("""COMPUTED_VALUE"""),3408.0)</f>
        <v>3408</v>
      </c>
    </row>
    <row r="245" ht="15.75" customHeight="1">
      <c r="B245" s="3">
        <f>IFERROR(__xludf.DUMMYFUNCTION("""COMPUTED_VALUE"""),42545.64583333333)</f>
        <v>42545.64583</v>
      </c>
      <c r="C245" s="2">
        <f>IFERROR(__xludf.DUMMYFUNCTION("""COMPUTED_VALUE"""),3375.0)</f>
        <v>3375</v>
      </c>
    </row>
    <row r="246" ht="15.75" customHeight="1">
      <c r="B246" s="3">
        <f>IFERROR(__xludf.DUMMYFUNCTION("""COMPUTED_VALUE"""),42552.64583333333)</f>
        <v>42552.64583</v>
      </c>
      <c r="C246" s="2">
        <f>IFERROR(__xludf.DUMMYFUNCTION("""COMPUTED_VALUE"""),3485.0)</f>
        <v>3485</v>
      </c>
    </row>
    <row r="247" ht="15.75" customHeight="1">
      <c r="B247" s="3">
        <f>IFERROR(__xludf.DUMMYFUNCTION("""COMPUTED_VALUE"""),42559.64583333333)</f>
        <v>42559.64583</v>
      </c>
      <c r="C247" s="2">
        <f>IFERROR(__xludf.DUMMYFUNCTION("""COMPUTED_VALUE"""),3475.0)</f>
        <v>3475</v>
      </c>
    </row>
    <row r="248" ht="15.75" customHeight="1">
      <c r="B248" s="3">
        <f>IFERROR(__xludf.DUMMYFUNCTION("""COMPUTED_VALUE"""),42566.64583333333)</f>
        <v>42566.64583</v>
      </c>
      <c r="C248" s="2">
        <f>IFERROR(__xludf.DUMMYFUNCTION("""COMPUTED_VALUE"""),3559.25)</f>
        <v>3559.25</v>
      </c>
    </row>
    <row r="249" ht="15.75" customHeight="1">
      <c r="B249" s="3">
        <f>IFERROR(__xludf.DUMMYFUNCTION("""COMPUTED_VALUE"""),42573.64583333333)</f>
        <v>42573.64583</v>
      </c>
      <c r="C249" s="2">
        <f>IFERROR(__xludf.DUMMYFUNCTION("""COMPUTED_VALUE"""),3665.0)</f>
        <v>3665</v>
      </c>
    </row>
    <row r="250" ht="15.75" customHeight="1">
      <c r="B250" s="3">
        <f>IFERROR(__xludf.DUMMYFUNCTION("""COMPUTED_VALUE"""),42580.64583333333)</f>
        <v>42580.64583</v>
      </c>
      <c r="C250" s="2">
        <f>IFERROR(__xludf.DUMMYFUNCTION("""COMPUTED_VALUE"""),3739.4)</f>
        <v>3739.4</v>
      </c>
    </row>
    <row r="251" ht="15.75" customHeight="1">
      <c r="B251" s="3">
        <f>IFERROR(__xludf.DUMMYFUNCTION("""COMPUTED_VALUE"""),42587.64583333333)</f>
        <v>42587.64583</v>
      </c>
      <c r="C251" s="2">
        <f>IFERROR(__xludf.DUMMYFUNCTION("""COMPUTED_VALUE"""),3843.0)</f>
        <v>3843</v>
      </c>
    </row>
    <row r="252" ht="15.75" customHeight="1">
      <c r="B252" s="3">
        <f>IFERROR(__xludf.DUMMYFUNCTION("""COMPUTED_VALUE"""),42594.64583333333)</f>
        <v>42594.64583</v>
      </c>
      <c r="C252" s="2">
        <f>IFERROR(__xludf.DUMMYFUNCTION("""COMPUTED_VALUE"""),3838.0)</f>
        <v>3838</v>
      </c>
    </row>
    <row r="253" ht="15.75" customHeight="1">
      <c r="B253" s="3">
        <f>IFERROR(__xludf.DUMMYFUNCTION("""COMPUTED_VALUE"""),42601.64583333333)</f>
        <v>42601.64583</v>
      </c>
      <c r="C253" s="2">
        <f>IFERROR(__xludf.DUMMYFUNCTION("""COMPUTED_VALUE"""),3954.95)</f>
        <v>3954.95</v>
      </c>
    </row>
    <row r="254" ht="15.75" customHeight="1">
      <c r="B254" s="3">
        <f>IFERROR(__xludf.DUMMYFUNCTION("""COMPUTED_VALUE"""),42608.64583333333)</f>
        <v>42608.64583</v>
      </c>
      <c r="C254" s="2">
        <f>IFERROR(__xludf.DUMMYFUNCTION("""COMPUTED_VALUE"""),3926.95)</f>
        <v>3926.95</v>
      </c>
    </row>
    <row r="255" ht="15.75" customHeight="1">
      <c r="B255" s="3">
        <f>IFERROR(__xludf.DUMMYFUNCTION("""COMPUTED_VALUE"""),42615.64583333333)</f>
        <v>42615.64583</v>
      </c>
      <c r="C255" s="2">
        <f>IFERROR(__xludf.DUMMYFUNCTION("""COMPUTED_VALUE"""),4094.95)</f>
        <v>4094.95</v>
      </c>
    </row>
    <row r="256" ht="15.75" customHeight="1">
      <c r="B256" s="3">
        <f>IFERROR(__xludf.DUMMYFUNCTION("""COMPUTED_VALUE"""),42622.64583333333)</f>
        <v>42622.64583</v>
      </c>
      <c r="C256" s="2">
        <f>IFERROR(__xludf.DUMMYFUNCTION("""COMPUTED_VALUE"""),4129.7)</f>
        <v>4129.7</v>
      </c>
    </row>
    <row r="257" ht="15.75" customHeight="1">
      <c r="B257" s="3">
        <f>IFERROR(__xludf.DUMMYFUNCTION("""COMPUTED_VALUE"""),42629.64583333333)</f>
        <v>42629.64583</v>
      </c>
      <c r="C257" s="2">
        <f>IFERROR(__xludf.DUMMYFUNCTION("""COMPUTED_VALUE"""),4028.0)</f>
        <v>4028</v>
      </c>
    </row>
    <row r="258" ht="15.75" customHeight="1">
      <c r="B258" s="3">
        <f>IFERROR(__xludf.DUMMYFUNCTION("""COMPUTED_VALUE"""),42636.64583333333)</f>
        <v>42636.64583</v>
      </c>
      <c r="C258" s="2">
        <f>IFERROR(__xludf.DUMMYFUNCTION("""COMPUTED_VALUE"""),4030.0)</f>
        <v>4030</v>
      </c>
    </row>
    <row r="259" ht="15.75" customHeight="1">
      <c r="B259" s="3">
        <f>IFERROR(__xludf.DUMMYFUNCTION("""COMPUTED_VALUE"""),42643.64583333333)</f>
        <v>42643.64583</v>
      </c>
      <c r="C259" s="2">
        <f>IFERROR(__xludf.DUMMYFUNCTION("""COMPUTED_VALUE"""),4000.3)</f>
        <v>4000.3</v>
      </c>
    </row>
    <row r="260" ht="15.75" customHeight="1">
      <c r="B260" s="3">
        <f>IFERROR(__xludf.DUMMYFUNCTION("""COMPUTED_VALUE"""),42650.64583333333)</f>
        <v>42650.64583</v>
      </c>
      <c r="C260" s="2">
        <f>IFERROR(__xludf.DUMMYFUNCTION("""COMPUTED_VALUE"""),4044.75)</f>
        <v>4044.75</v>
      </c>
    </row>
    <row r="261" ht="15.75" customHeight="1">
      <c r="B261" s="3">
        <f>IFERROR(__xludf.DUMMYFUNCTION("""COMPUTED_VALUE"""),42657.64583333333)</f>
        <v>42657.64583</v>
      </c>
      <c r="C261" s="2">
        <f>IFERROR(__xludf.DUMMYFUNCTION("""COMPUTED_VALUE"""),4057.95)</f>
        <v>4057.95</v>
      </c>
    </row>
    <row r="262" ht="15.75" customHeight="1">
      <c r="B262" s="3">
        <f>IFERROR(__xludf.DUMMYFUNCTION("""COMPUTED_VALUE"""),42664.64583333333)</f>
        <v>42664.64583</v>
      </c>
      <c r="C262" s="2">
        <f>IFERROR(__xludf.DUMMYFUNCTION("""COMPUTED_VALUE"""),4074.7)</f>
        <v>4074.7</v>
      </c>
    </row>
    <row r="263" ht="15.75" customHeight="1">
      <c r="B263" s="3">
        <f>IFERROR(__xludf.DUMMYFUNCTION("""COMPUTED_VALUE"""),42671.64583333333)</f>
        <v>42671.64583</v>
      </c>
      <c r="C263" s="2">
        <f>IFERROR(__xludf.DUMMYFUNCTION("""COMPUTED_VALUE"""),4031.85)</f>
        <v>4031.85</v>
      </c>
    </row>
    <row r="264" ht="15.75" customHeight="1">
      <c r="B264" s="3">
        <f>IFERROR(__xludf.DUMMYFUNCTION("""COMPUTED_VALUE"""),42678.64583333333)</f>
        <v>42678.64583</v>
      </c>
      <c r="C264" s="2">
        <f>IFERROR(__xludf.DUMMYFUNCTION("""COMPUTED_VALUE"""),3999.0)</f>
        <v>3999</v>
      </c>
    </row>
    <row r="265" ht="15.75" customHeight="1">
      <c r="B265" s="3">
        <f>IFERROR(__xludf.DUMMYFUNCTION("""COMPUTED_VALUE"""),42685.64583333333)</f>
        <v>42685.64583</v>
      </c>
      <c r="C265" s="2">
        <f>IFERROR(__xludf.DUMMYFUNCTION("""COMPUTED_VALUE"""),3969.0)</f>
        <v>3969</v>
      </c>
    </row>
    <row r="266" ht="15.75" customHeight="1">
      <c r="B266" s="3">
        <f>IFERROR(__xludf.DUMMYFUNCTION("""COMPUTED_VALUE"""),42692.64583333333)</f>
        <v>42692.64583</v>
      </c>
      <c r="C266" s="2">
        <f>IFERROR(__xludf.DUMMYFUNCTION("""COMPUTED_VALUE"""),3615.0)</f>
        <v>3615</v>
      </c>
    </row>
    <row r="267" ht="15.75" customHeight="1">
      <c r="B267" s="3">
        <f>IFERROR(__xludf.DUMMYFUNCTION("""COMPUTED_VALUE"""),42699.64583333333)</f>
        <v>42699.64583</v>
      </c>
      <c r="C267" s="2">
        <f>IFERROR(__xludf.DUMMYFUNCTION("""COMPUTED_VALUE"""),3509.95)</f>
        <v>3509.95</v>
      </c>
    </row>
    <row r="268" ht="15.75" customHeight="1">
      <c r="B268" s="3">
        <f>IFERROR(__xludf.DUMMYFUNCTION("""COMPUTED_VALUE"""),42706.64583333333)</f>
        <v>42706.64583</v>
      </c>
      <c r="C268" s="2">
        <f>IFERROR(__xludf.DUMMYFUNCTION("""COMPUTED_VALUE"""),3640.0)</f>
        <v>3640</v>
      </c>
    </row>
    <row r="269" ht="15.75" customHeight="1">
      <c r="B269" s="3">
        <f>IFERROR(__xludf.DUMMYFUNCTION("""COMPUTED_VALUE"""),42713.64583333333)</f>
        <v>42713.64583</v>
      </c>
      <c r="C269" s="2">
        <f>IFERROR(__xludf.DUMMYFUNCTION("""COMPUTED_VALUE"""),3668.0)</f>
        <v>3668</v>
      </c>
    </row>
    <row r="270" ht="15.75" customHeight="1">
      <c r="B270" s="3">
        <f>IFERROR(__xludf.DUMMYFUNCTION("""COMPUTED_VALUE"""),42720.64583333333)</f>
        <v>42720.64583</v>
      </c>
      <c r="C270" s="2">
        <f>IFERROR(__xludf.DUMMYFUNCTION("""COMPUTED_VALUE"""),3576.05)</f>
        <v>3576.05</v>
      </c>
    </row>
    <row r="271" ht="15.75" customHeight="1">
      <c r="B271" s="3">
        <f>IFERROR(__xludf.DUMMYFUNCTION("""COMPUTED_VALUE"""),42727.64583333333)</f>
        <v>42727.64583</v>
      </c>
      <c r="C271" s="2">
        <f>IFERROR(__xludf.DUMMYFUNCTION("""COMPUTED_VALUE"""),3211.45)</f>
        <v>3211.45</v>
      </c>
    </row>
    <row r="272" ht="15.75" customHeight="1">
      <c r="B272" s="3">
        <f>IFERROR(__xludf.DUMMYFUNCTION("""COMPUTED_VALUE"""),42734.64583333333)</f>
        <v>42734.64583</v>
      </c>
      <c r="C272" s="2">
        <f>IFERROR(__xludf.DUMMYFUNCTION("""COMPUTED_VALUE"""),3283.65)</f>
        <v>3283.65</v>
      </c>
    </row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IFERROR(__xludf.DUMMYFUNCTION("GOOGLEFINANCE(""NSE:ULTRACEMCO"", ""high"",DATE(2017,1,1),DATE(2018,1,1),""weekly"")"),"Date")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IFERROR(__xludf.DUMMYFUNCTION("""COMPUTED_VALUE"""),42741.64583333333)</f>
        <v>42741.64583</v>
      </c>
      <c r="C277" s="2">
        <f>IFERROR(__xludf.DUMMYFUNCTION("""COMPUTED_VALUE"""),3399.0)</f>
        <v>3399</v>
      </c>
    </row>
    <row r="278" ht="15.75" customHeight="1">
      <c r="B278" s="3">
        <f>IFERROR(__xludf.DUMMYFUNCTION("""COMPUTED_VALUE"""),42748.64583333333)</f>
        <v>42748.64583</v>
      </c>
      <c r="C278" s="2">
        <f>IFERROR(__xludf.DUMMYFUNCTION("""COMPUTED_VALUE"""),3395.0)</f>
        <v>3395</v>
      </c>
    </row>
    <row r="279" ht="15.75" customHeight="1">
      <c r="B279" s="3">
        <f>IFERROR(__xludf.DUMMYFUNCTION("""COMPUTED_VALUE"""),42755.64583333333)</f>
        <v>42755.64583</v>
      </c>
      <c r="C279" s="2">
        <f>IFERROR(__xludf.DUMMYFUNCTION("""COMPUTED_VALUE"""),3531.05)</f>
        <v>3531.05</v>
      </c>
    </row>
    <row r="280" ht="15.75" customHeight="1">
      <c r="B280" s="3">
        <f>IFERROR(__xludf.DUMMYFUNCTION("""COMPUTED_VALUE"""),42762.64583333333)</f>
        <v>42762.64583</v>
      </c>
      <c r="C280" s="2">
        <f>IFERROR(__xludf.DUMMYFUNCTION("""COMPUTED_VALUE"""),3764.0)</f>
        <v>3764</v>
      </c>
    </row>
    <row r="281" ht="15.75" customHeight="1">
      <c r="B281" s="3">
        <f>IFERROR(__xludf.DUMMYFUNCTION("""COMPUTED_VALUE"""),42769.64583333333)</f>
        <v>42769.64583</v>
      </c>
      <c r="C281" s="2">
        <f>IFERROR(__xludf.DUMMYFUNCTION("""COMPUTED_VALUE"""),3800.5)</f>
        <v>3800.5</v>
      </c>
    </row>
    <row r="282" ht="15.75" customHeight="1">
      <c r="B282" s="3">
        <f>IFERROR(__xludf.DUMMYFUNCTION("""COMPUTED_VALUE"""),42776.64583333333)</f>
        <v>42776.64583</v>
      </c>
      <c r="C282" s="2">
        <f>IFERROR(__xludf.DUMMYFUNCTION("""COMPUTED_VALUE"""),3803.95)</f>
        <v>3803.95</v>
      </c>
    </row>
    <row r="283" ht="15.75" customHeight="1">
      <c r="B283" s="3">
        <f>IFERROR(__xludf.DUMMYFUNCTION("""COMPUTED_VALUE"""),42783.64583333333)</f>
        <v>42783.64583</v>
      </c>
      <c r="C283" s="2">
        <f>IFERROR(__xludf.DUMMYFUNCTION("""COMPUTED_VALUE"""),3800.5)</f>
        <v>3800.5</v>
      </c>
    </row>
    <row r="284" ht="15.75" customHeight="1">
      <c r="B284" s="3">
        <f>IFERROR(__xludf.DUMMYFUNCTION("""COMPUTED_VALUE"""),42789.64583333333)</f>
        <v>42789.64583</v>
      </c>
      <c r="C284" s="2">
        <f>IFERROR(__xludf.DUMMYFUNCTION("""COMPUTED_VALUE"""),3805.0)</f>
        <v>3805</v>
      </c>
    </row>
    <row r="285" ht="15.75" customHeight="1">
      <c r="B285" s="3">
        <f>IFERROR(__xludf.DUMMYFUNCTION("""COMPUTED_VALUE"""),42797.64583333333)</f>
        <v>42797.64583</v>
      </c>
      <c r="C285" s="2">
        <f>IFERROR(__xludf.DUMMYFUNCTION("""COMPUTED_VALUE"""),3862.0)</f>
        <v>3862</v>
      </c>
    </row>
    <row r="286" ht="15.75" customHeight="1">
      <c r="B286" s="3">
        <f>IFERROR(__xludf.DUMMYFUNCTION("""COMPUTED_VALUE"""),42804.64583333333)</f>
        <v>42804.64583</v>
      </c>
      <c r="C286" s="2">
        <f>IFERROR(__xludf.DUMMYFUNCTION("""COMPUTED_VALUE"""),3889.0)</f>
        <v>3889</v>
      </c>
    </row>
    <row r="287" ht="15.75" customHeight="1">
      <c r="B287" s="3">
        <f>IFERROR(__xludf.DUMMYFUNCTION("""COMPUTED_VALUE"""),42811.64583333333)</f>
        <v>42811.64583</v>
      </c>
      <c r="C287" s="2">
        <f>IFERROR(__xludf.DUMMYFUNCTION("""COMPUTED_VALUE"""),4093.95)</f>
        <v>4093.95</v>
      </c>
    </row>
    <row r="288" ht="15.75" customHeight="1">
      <c r="B288" s="3">
        <f>IFERROR(__xludf.DUMMYFUNCTION("""COMPUTED_VALUE"""),42818.64583333333)</f>
        <v>42818.64583</v>
      </c>
      <c r="C288" s="2">
        <f>IFERROR(__xludf.DUMMYFUNCTION("""COMPUTED_VALUE"""),4042.0)</f>
        <v>4042</v>
      </c>
    </row>
    <row r="289" ht="15.75" customHeight="1">
      <c r="B289" s="3">
        <f>IFERROR(__xludf.DUMMYFUNCTION("""COMPUTED_VALUE"""),42825.64583333333)</f>
        <v>42825.64583</v>
      </c>
      <c r="C289" s="2">
        <f>IFERROR(__xludf.DUMMYFUNCTION("""COMPUTED_VALUE"""),4055.0)</f>
        <v>4055</v>
      </c>
    </row>
    <row r="290" ht="15.75" customHeight="1">
      <c r="B290" s="3">
        <f>IFERROR(__xludf.DUMMYFUNCTION("""COMPUTED_VALUE"""),42832.64583333333)</f>
        <v>42832.64583</v>
      </c>
      <c r="C290" s="2">
        <f>IFERROR(__xludf.DUMMYFUNCTION("""COMPUTED_VALUE"""),4152.75)</f>
        <v>4152.75</v>
      </c>
    </row>
    <row r="291" ht="15.75" customHeight="1">
      <c r="B291" s="3">
        <f>IFERROR(__xludf.DUMMYFUNCTION("""COMPUTED_VALUE"""),42838.64583333333)</f>
        <v>42838.64583</v>
      </c>
      <c r="C291" s="2">
        <f>IFERROR(__xludf.DUMMYFUNCTION("""COMPUTED_VALUE"""),4107.65)</f>
        <v>4107.65</v>
      </c>
    </row>
    <row r="292" ht="15.75" customHeight="1">
      <c r="B292" s="3">
        <f>IFERROR(__xludf.DUMMYFUNCTION("""COMPUTED_VALUE"""),42846.64583333333)</f>
        <v>42846.64583</v>
      </c>
      <c r="C292" s="2">
        <f>IFERROR(__xludf.DUMMYFUNCTION("""COMPUTED_VALUE"""),4063.95)</f>
        <v>4063.95</v>
      </c>
    </row>
    <row r="293" ht="15.75" customHeight="1">
      <c r="B293" s="3">
        <f>IFERROR(__xludf.DUMMYFUNCTION("""COMPUTED_VALUE"""),42853.64583333333)</f>
        <v>42853.64583</v>
      </c>
      <c r="C293" s="2">
        <f>IFERROR(__xludf.DUMMYFUNCTION("""COMPUTED_VALUE"""),4275.0)</f>
        <v>4275</v>
      </c>
    </row>
    <row r="294" ht="15.75" customHeight="1">
      <c r="B294" s="3">
        <f>IFERROR(__xludf.DUMMYFUNCTION("""COMPUTED_VALUE"""),42860.64583333333)</f>
        <v>42860.64583</v>
      </c>
      <c r="C294" s="2">
        <f>IFERROR(__xludf.DUMMYFUNCTION("""COMPUTED_VALUE"""),4355.0)</f>
        <v>4355</v>
      </c>
    </row>
    <row r="295" ht="15.75" customHeight="1">
      <c r="B295" s="3">
        <f>IFERROR(__xludf.DUMMYFUNCTION("""COMPUTED_VALUE"""),42867.64583333333)</f>
        <v>42867.64583</v>
      </c>
      <c r="C295" s="2">
        <f>IFERROR(__xludf.DUMMYFUNCTION("""COMPUTED_VALUE"""),4460.0)</f>
        <v>4460</v>
      </c>
    </row>
    <row r="296" ht="15.75" customHeight="1">
      <c r="B296" s="3">
        <f>IFERROR(__xludf.DUMMYFUNCTION("""COMPUTED_VALUE"""),42874.64583333333)</f>
        <v>42874.64583</v>
      </c>
      <c r="C296" s="2">
        <f>IFERROR(__xludf.DUMMYFUNCTION("""COMPUTED_VALUE"""),4533.1)</f>
        <v>4533.1</v>
      </c>
    </row>
    <row r="297" ht="15.75" customHeight="1">
      <c r="B297" s="3">
        <f>IFERROR(__xludf.DUMMYFUNCTION("""COMPUTED_VALUE"""),42881.64583333333)</f>
        <v>42881.64583</v>
      </c>
      <c r="C297" s="2">
        <f>IFERROR(__xludf.DUMMYFUNCTION("""COMPUTED_VALUE"""),4405.05)</f>
        <v>4405.05</v>
      </c>
    </row>
    <row r="298" ht="15.75" customHeight="1">
      <c r="B298" s="3">
        <f>IFERROR(__xludf.DUMMYFUNCTION("""COMPUTED_VALUE"""),42888.64583333333)</f>
        <v>42888.64583</v>
      </c>
      <c r="C298" s="2">
        <f>IFERROR(__xludf.DUMMYFUNCTION("""COMPUTED_VALUE"""),4259.95)</f>
        <v>4259.95</v>
      </c>
    </row>
    <row r="299" ht="15.75" customHeight="1">
      <c r="B299" s="3">
        <f>IFERROR(__xludf.DUMMYFUNCTION("""COMPUTED_VALUE"""),42895.64583333333)</f>
        <v>42895.64583</v>
      </c>
      <c r="C299" s="2">
        <f>IFERROR(__xludf.DUMMYFUNCTION("""COMPUTED_VALUE"""),4261.9)</f>
        <v>4261.9</v>
      </c>
    </row>
    <row r="300" ht="15.75" customHeight="1">
      <c r="B300" s="3">
        <f>IFERROR(__xludf.DUMMYFUNCTION("""COMPUTED_VALUE"""),42902.64583333333)</f>
        <v>42902.64583</v>
      </c>
      <c r="C300" s="2">
        <f>IFERROR(__xludf.DUMMYFUNCTION("""COMPUTED_VALUE"""),4136.6)</f>
        <v>4136.6</v>
      </c>
    </row>
    <row r="301" ht="15.75" customHeight="1">
      <c r="B301" s="3">
        <f>IFERROR(__xludf.DUMMYFUNCTION("""COMPUTED_VALUE"""),42909.64583333333)</f>
        <v>42909.64583</v>
      </c>
      <c r="C301" s="2">
        <f>IFERROR(__xludf.DUMMYFUNCTION("""COMPUTED_VALUE"""),4149.35)</f>
        <v>4149.35</v>
      </c>
    </row>
    <row r="302" ht="15.75" customHeight="1">
      <c r="B302" s="3">
        <f>IFERROR(__xludf.DUMMYFUNCTION("""COMPUTED_VALUE"""),42916.64583333333)</f>
        <v>42916.64583</v>
      </c>
      <c r="C302" s="2">
        <f>IFERROR(__xludf.DUMMYFUNCTION("""COMPUTED_VALUE"""),4015.05)</f>
        <v>4015.05</v>
      </c>
    </row>
    <row r="303" ht="15.75" customHeight="1">
      <c r="B303" s="3">
        <f>IFERROR(__xludf.DUMMYFUNCTION("""COMPUTED_VALUE"""),42923.64583333333)</f>
        <v>42923.64583</v>
      </c>
      <c r="C303" s="2">
        <f>IFERROR(__xludf.DUMMYFUNCTION("""COMPUTED_VALUE"""),4142.0)</f>
        <v>4142</v>
      </c>
    </row>
    <row r="304" ht="15.75" customHeight="1">
      <c r="B304" s="3">
        <f>IFERROR(__xludf.DUMMYFUNCTION("""COMPUTED_VALUE"""),42930.64583333333)</f>
        <v>42930.64583</v>
      </c>
      <c r="C304" s="2">
        <f>IFERROR(__xludf.DUMMYFUNCTION("""COMPUTED_VALUE"""),4237.9)</f>
        <v>4237.9</v>
      </c>
    </row>
    <row r="305" ht="15.75" customHeight="1">
      <c r="B305" s="3">
        <f>IFERROR(__xludf.DUMMYFUNCTION("""COMPUTED_VALUE"""),42937.64583333333)</f>
        <v>42937.64583</v>
      </c>
      <c r="C305" s="2">
        <f>IFERROR(__xludf.DUMMYFUNCTION("""COMPUTED_VALUE"""),4454.1)</f>
        <v>4454.1</v>
      </c>
    </row>
    <row r="306" ht="15.75" customHeight="1">
      <c r="B306" s="3">
        <f>IFERROR(__xludf.DUMMYFUNCTION("""COMPUTED_VALUE"""),42944.64583333333)</f>
        <v>42944.64583</v>
      </c>
      <c r="C306" s="2">
        <f>IFERROR(__xludf.DUMMYFUNCTION("""COMPUTED_VALUE"""),4224.0)</f>
        <v>4224</v>
      </c>
    </row>
    <row r="307" ht="15.75" customHeight="1">
      <c r="B307" s="3">
        <f>IFERROR(__xludf.DUMMYFUNCTION("""COMPUTED_VALUE"""),42951.64583333333)</f>
        <v>42951.64583</v>
      </c>
      <c r="C307" s="2">
        <f>IFERROR(__xludf.DUMMYFUNCTION("""COMPUTED_VALUE"""),4138.7)</f>
        <v>4138.7</v>
      </c>
    </row>
    <row r="308" ht="15.75" customHeight="1">
      <c r="B308" s="3">
        <f>IFERROR(__xludf.DUMMYFUNCTION("""COMPUTED_VALUE"""),42958.64583333333)</f>
        <v>42958.64583</v>
      </c>
      <c r="C308" s="2">
        <f>IFERROR(__xludf.DUMMYFUNCTION("""COMPUTED_VALUE"""),4114.75)</f>
        <v>4114.75</v>
      </c>
    </row>
    <row r="309" ht="15.75" customHeight="1">
      <c r="B309" s="3">
        <f>IFERROR(__xludf.DUMMYFUNCTION("""COMPUTED_VALUE"""),42965.64583333333)</f>
        <v>42965.64583</v>
      </c>
      <c r="C309" s="2">
        <f>IFERROR(__xludf.DUMMYFUNCTION("""COMPUTED_VALUE"""),4038.6)</f>
        <v>4038.6</v>
      </c>
    </row>
    <row r="310" ht="15.75" customHeight="1">
      <c r="B310" s="3">
        <f>IFERROR(__xludf.DUMMYFUNCTION("""COMPUTED_VALUE"""),42971.64583333333)</f>
        <v>42971.64583</v>
      </c>
      <c r="C310" s="2">
        <f>IFERROR(__xludf.DUMMYFUNCTION("""COMPUTED_VALUE"""),4058.35)</f>
        <v>4058.35</v>
      </c>
    </row>
    <row r="311" ht="15.75" customHeight="1">
      <c r="B311" s="3">
        <f>IFERROR(__xludf.DUMMYFUNCTION("""COMPUTED_VALUE"""),42979.64583333333)</f>
        <v>42979.64583</v>
      </c>
      <c r="C311" s="2">
        <f>IFERROR(__xludf.DUMMYFUNCTION("""COMPUTED_VALUE"""),4039.85)</f>
        <v>4039.85</v>
      </c>
    </row>
    <row r="312" ht="15.75" customHeight="1">
      <c r="B312" s="3">
        <f>IFERROR(__xludf.DUMMYFUNCTION("""COMPUTED_VALUE"""),42986.64583333333)</f>
        <v>42986.64583</v>
      </c>
      <c r="C312" s="2">
        <f>IFERROR(__xludf.DUMMYFUNCTION("""COMPUTED_VALUE"""),4179.9)</f>
        <v>4179.9</v>
      </c>
    </row>
    <row r="313" ht="15.75" customHeight="1">
      <c r="B313" s="3">
        <f>IFERROR(__xludf.DUMMYFUNCTION("""COMPUTED_VALUE"""),42993.64583333333)</f>
        <v>42993.64583</v>
      </c>
      <c r="C313" s="2">
        <f>IFERROR(__xludf.DUMMYFUNCTION("""COMPUTED_VALUE"""),4233.0)</f>
        <v>4233</v>
      </c>
    </row>
    <row r="314" ht="15.75" customHeight="1">
      <c r="B314" s="3">
        <f>IFERROR(__xludf.DUMMYFUNCTION("""COMPUTED_VALUE"""),43000.64583333333)</f>
        <v>43000.64583</v>
      </c>
      <c r="C314" s="2">
        <f>IFERROR(__xludf.DUMMYFUNCTION("""COMPUTED_VALUE"""),4244.0)</f>
        <v>4244</v>
      </c>
    </row>
    <row r="315" ht="15.75" customHeight="1">
      <c r="B315" s="3">
        <f>IFERROR(__xludf.DUMMYFUNCTION("""COMPUTED_VALUE"""),43007.64583333333)</f>
        <v>43007.64583</v>
      </c>
      <c r="C315" s="2">
        <f>IFERROR(__xludf.DUMMYFUNCTION("""COMPUTED_VALUE"""),3999.0)</f>
        <v>3999</v>
      </c>
    </row>
    <row r="316" ht="15.75" customHeight="1">
      <c r="B316" s="3">
        <f>IFERROR(__xludf.DUMMYFUNCTION("""COMPUTED_VALUE"""),43014.64583333333)</f>
        <v>43014.64583</v>
      </c>
      <c r="C316" s="2">
        <f>IFERROR(__xludf.DUMMYFUNCTION("""COMPUTED_VALUE"""),3950.35)</f>
        <v>3950.35</v>
      </c>
    </row>
    <row r="317" ht="15.75" customHeight="1">
      <c r="B317" s="3">
        <f>IFERROR(__xludf.DUMMYFUNCTION("""COMPUTED_VALUE"""),43021.64583333333)</f>
        <v>43021.64583</v>
      </c>
      <c r="C317" s="2">
        <f>IFERROR(__xludf.DUMMYFUNCTION("""COMPUTED_VALUE"""),4020.0)</f>
        <v>4020</v>
      </c>
    </row>
    <row r="318" ht="15.75" customHeight="1">
      <c r="B318" s="3">
        <f>IFERROR(__xludf.DUMMYFUNCTION("""COMPUTED_VALUE"""),43027.83333333333)</f>
        <v>43027.83333</v>
      </c>
      <c r="C318" s="2">
        <f>IFERROR(__xludf.DUMMYFUNCTION("""COMPUTED_VALUE"""),4188.65)</f>
        <v>4188.65</v>
      </c>
    </row>
    <row r="319" ht="15.75" customHeight="1">
      <c r="B319" s="3">
        <f>IFERROR(__xludf.DUMMYFUNCTION("""COMPUTED_VALUE"""),43035.64583333333)</f>
        <v>43035.64583</v>
      </c>
      <c r="C319" s="2">
        <f>IFERROR(__xludf.DUMMYFUNCTION("""COMPUTED_VALUE"""),4510.0)</f>
        <v>4510</v>
      </c>
    </row>
    <row r="320" ht="15.75" customHeight="1">
      <c r="B320" s="3">
        <f>IFERROR(__xludf.DUMMYFUNCTION("""COMPUTED_VALUE"""),43042.64583333333)</f>
        <v>43042.64583</v>
      </c>
      <c r="C320" s="2">
        <f>IFERROR(__xludf.DUMMYFUNCTION("""COMPUTED_VALUE"""),4486.0)</f>
        <v>4486</v>
      </c>
    </row>
    <row r="321" ht="15.75" customHeight="1">
      <c r="B321" s="3">
        <f>IFERROR(__xludf.DUMMYFUNCTION("""COMPUTED_VALUE"""),43049.64583333333)</f>
        <v>43049.64583</v>
      </c>
      <c r="C321" s="2">
        <f>IFERROR(__xludf.DUMMYFUNCTION("""COMPUTED_VALUE"""),4490.9)</f>
        <v>4490.9</v>
      </c>
    </row>
    <row r="322" ht="15.75" customHeight="1">
      <c r="B322" s="3">
        <f>IFERROR(__xludf.DUMMYFUNCTION("""COMPUTED_VALUE"""),43056.64583333333)</f>
        <v>43056.64583</v>
      </c>
      <c r="C322" s="2">
        <f>IFERROR(__xludf.DUMMYFUNCTION("""COMPUTED_VALUE"""),4484.9)</f>
        <v>4484.9</v>
      </c>
    </row>
    <row r="323" ht="15.75" customHeight="1">
      <c r="B323" s="3">
        <f>IFERROR(__xludf.DUMMYFUNCTION("""COMPUTED_VALUE"""),43063.64583333333)</f>
        <v>43063.64583</v>
      </c>
      <c r="C323" s="2">
        <f>IFERROR(__xludf.DUMMYFUNCTION("""COMPUTED_VALUE"""),4259.5)</f>
        <v>4259.5</v>
      </c>
    </row>
    <row r="324" ht="15.75" customHeight="1">
      <c r="B324" s="3">
        <f>IFERROR(__xludf.DUMMYFUNCTION("""COMPUTED_VALUE"""),43070.64583333333)</f>
        <v>43070.64583</v>
      </c>
      <c r="C324" s="2">
        <f>IFERROR(__xludf.DUMMYFUNCTION("""COMPUTED_VALUE"""),4321.8)</f>
        <v>4321.8</v>
      </c>
    </row>
    <row r="325" ht="15.75" customHeight="1">
      <c r="B325" s="3">
        <f>IFERROR(__xludf.DUMMYFUNCTION("""COMPUTED_VALUE"""),43077.64583333333)</f>
        <v>43077.64583</v>
      </c>
      <c r="C325" s="2">
        <f>IFERROR(__xludf.DUMMYFUNCTION("""COMPUTED_VALUE"""),4197.75)</f>
        <v>4197.75</v>
      </c>
    </row>
    <row r="326" ht="15.75" customHeight="1">
      <c r="B326" s="3">
        <f>IFERROR(__xludf.DUMMYFUNCTION("""COMPUTED_VALUE"""),43084.64583333333)</f>
        <v>43084.64583</v>
      </c>
      <c r="C326" s="2">
        <f>IFERROR(__xludf.DUMMYFUNCTION("""COMPUTED_VALUE"""),4349.0)</f>
        <v>4349</v>
      </c>
    </row>
    <row r="327" ht="15.75" customHeight="1">
      <c r="B327" s="3">
        <f>IFERROR(__xludf.DUMMYFUNCTION("""COMPUTED_VALUE"""),43091.64583333333)</f>
        <v>43091.64583</v>
      </c>
      <c r="C327" s="2">
        <f>IFERROR(__xludf.DUMMYFUNCTION("""COMPUTED_VALUE"""),4383.4)</f>
        <v>4383.4</v>
      </c>
    </row>
    <row r="328" ht="15.75" customHeight="1">
      <c r="B328" s="3">
        <f>IFERROR(__xludf.DUMMYFUNCTION("""COMPUTED_VALUE"""),43098.64583333333)</f>
        <v>43098.64583</v>
      </c>
      <c r="C328" s="2">
        <f>IFERROR(__xludf.DUMMYFUNCTION("""COMPUTED_VALUE"""),4365.9)</f>
        <v>4365.9</v>
      </c>
    </row>
    <row r="329" ht="15.75" customHeight="1"/>
    <row r="330" ht="15.75" customHeight="1"/>
    <row r="331" ht="15.75" customHeight="1">
      <c r="B331" s="2" t="str">
        <f>IFERROR(__xludf.DUMMYFUNCTION("GOOGLEFINANCE(""NSE:ULTRACEMCO"", ""high"",DATE(2018,1,1),DATE(2019,1,1),""weekly"")"),"Date")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IFERROR(__xludf.DUMMYFUNCTION("""COMPUTED_VALUE"""),43105.64583333333)</f>
        <v>43105.64583</v>
      </c>
      <c r="C332" s="2">
        <f>IFERROR(__xludf.DUMMYFUNCTION("""COMPUTED_VALUE"""),4412.0)</f>
        <v>4412</v>
      </c>
    </row>
    <row r="333" ht="15.75" customHeight="1">
      <c r="B333" s="3">
        <f>IFERROR(__xludf.DUMMYFUNCTION("""COMPUTED_VALUE"""),43112.64583333333)</f>
        <v>43112.64583</v>
      </c>
      <c r="C333" s="2">
        <f>IFERROR(__xludf.DUMMYFUNCTION("""COMPUTED_VALUE"""),4478.0)</f>
        <v>4478</v>
      </c>
    </row>
    <row r="334" ht="15.75" customHeight="1">
      <c r="B334" s="3">
        <f>IFERROR(__xludf.DUMMYFUNCTION("""COMPUTED_VALUE"""),43119.64583333333)</f>
        <v>43119.64583</v>
      </c>
      <c r="C334" s="2">
        <f>IFERROR(__xludf.DUMMYFUNCTION("""COMPUTED_VALUE"""),4599.9)</f>
        <v>4599.9</v>
      </c>
    </row>
    <row r="335" ht="15.75" customHeight="1">
      <c r="B335" s="3">
        <f>IFERROR(__xludf.DUMMYFUNCTION("""COMPUTED_VALUE"""),43125.64583333333)</f>
        <v>43125.64583</v>
      </c>
      <c r="C335" s="2">
        <f>IFERROR(__xludf.DUMMYFUNCTION("""COMPUTED_VALUE"""),4407.05)</f>
        <v>4407.05</v>
      </c>
    </row>
    <row r="336" ht="15.75" customHeight="1">
      <c r="B336" s="3">
        <f>IFERROR(__xludf.DUMMYFUNCTION("""COMPUTED_VALUE"""),43133.64583333333)</f>
        <v>43133.64583</v>
      </c>
      <c r="C336" s="2">
        <f>IFERROR(__xludf.DUMMYFUNCTION("""COMPUTED_VALUE"""),4425.0)</f>
        <v>4425</v>
      </c>
    </row>
    <row r="337" ht="15.75" customHeight="1">
      <c r="B337" s="3">
        <f>IFERROR(__xludf.DUMMYFUNCTION("""COMPUTED_VALUE"""),43140.64583333333)</f>
        <v>43140.64583</v>
      </c>
      <c r="C337" s="2">
        <f>IFERROR(__xludf.DUMMYFUNCTION("""COMPUTED_VALUE"""),4181.9)</f>
        <v>4181.9</v>
      </c>
    </row>
    <row r="338" ht="15.75" customHeight="1">
      <c r="B338" s="3">
        <f>IFERROR(__xludf.DUMMYFUNCTION("""COMPUTED_VALUE"""),43147.64583333333)</f>
        <v>43147.64583</v>
      </c>
      <c r="C338" s="2">
        <f>IFERROR(__xludf.DUMMYFUNCTION("""COMPUTED_VALUE"""),4259.9)</f>
        <v>4259.9</v>
      </c>
    </row>
    <row r="339" ht="15.75" customHeight="1">
      <c r="B339" s="3">
        <f>IFERROR(__xludf.DUMMYFUNCTION("""COMPUTED_VALUE"""),43154.64583333333)</f>
        <v>43154.64583</v>
      </c>
      <c r="C339" s="2">
        <f>IFERROR(__xludf.DUMMYFUNCTION("""COMPUTED_VALUE"""),4215.0)</f>
        <v>4215</v>
      </c>
    </row>
    <row r="340" ht="15.75" customHeight="1">
      <c r="B340" s="3">
        <f>IFERROR(__xludf.DUMMYFUNCTION("""COMPUTED_VALUE"""),43160.64583333333)</f>
        <v>43160.64583</v>
      </c>
      <c r="C340" s="2">
        <f>IFERROR(__xludf.DUMMYFUNCTION("""COMPUTED_VALUE"""),4193.95)</f>
        <v>4193.95</v>
      </c>
    </row>
    <row r="341" ht="15.75" customHeight="1">
      <c r="B341" s="3">
        <f>IFERROR(__xludf.DUMMYFUNCTION("""COMPUTED_VALUE"""),43168.64583333333)</f>
        <v>43168.64583</v>
      </c>
      <c r="C341" s="2">
        <f>IFERROR(__xludf.DUMMYFUNCTION("""COMPUTED_VALUE"""),4174.65)</f>
        <v>4174.65</v>
      </c>
    </row>
    <row r="342" ht="15.75" customHeight="1">
      <c r="B342" s="3">
        <f>IFERROR(__xludf.DUMMYFUNCTION("""COMPUTED_VALUE"""),43175.64583333333)</f>
        <v>43175.64583</v>
      </c>
      <c r="C342" s="2">
        <f>IFERROR(__xludf.DUMMYFUNCTION("""COMPUTED_VALUE"""),4244.0)</f>
        <v>4244</v>
      </c>
    </row>
    <row r="343" ht="15.75" customHeight="1">
      <c r="B343" s="3">
        <f>IFERROR(__xludf.DUMMYFUNCTION("""COMPUTED_VALUE"""),43182.64583333333)</f>
        <v>43182.64583</v>
      </c>
      <c r="C343" s="2">
        <f>IFERROR(__xludf.DUMMYFUNCTION("""COMPUTED_VALUE"""),4065.5)</f>
        <v>4065.5</v>
      </c>
    </row>
    <row r="344" ht="15.75" customHeight="1">
      <c r="B344" s="3">
        <f>IFERROR(__xludf.DUMMYFUNCTION("""COMPUTED_VALUE"""),43187.64583333333)</f>
        <v>43187.64583</v>
      </c>
      <c r="C344" s="2">
        <f>IFERROR(__xludf.DUMMYFUNCTION("""COMPUTED_VALUE"""),3990.05)</f>
        <v>3990.05</v>
      </c>
    </row>
    <row r="345" ht="15.75" customHeight="1">
      <c r="B345" s="3">
        <f>IFERROR(__xludf.DUMMYFUNCTION("""COMPUTED_VALUE"""),43196.64583333333)</f>
        <v>43196.64583</v>
      </c>
      <c r="C345" s="2">
        <f>IFERROR(__xludf.DUMMYFUNCTION("""COMPUTED_VALUE"""),4123.0)</f>
        <v>4123</v>
      </c>
    </row>
    <row r="346" ht="15.75" customHeight="1">
      <c r="B346" s="3">
        <f>IFERROR(__xludf.DUMMYFUNCTION("""COMPUTED_VALUE"""),43203.64583333333)</f>
        <v>43203.64583</v>
      </c>
      <c r="C346" s="2">
        <f>IFERROR(__xludf.DUMMYFUNCTION("""COMPUTED_VALUE"""),3974.95)</f>
        <v>3974.95</v>
      </c>
    </row>
    <row r="347" ht="15.75" customHeight="1">
      <c r="B347" s="3">
        <f>IFERROR(__xludf.DUMMYFUNCTION("""COMPUTED_VALUE"""),43210.64583333333)</f>
        <v>43210.64583</v>
      </c>
      <c r="C347" s="2">
        <f>IFERROR(__xludf.DUMMYFUNCTION("""COMPUTED_VALUE"""),4163.5)</f>
        <v>4163.5</v>
      </c>
    </row>
    <row r="348" ht="15.75" customHeight="1">
      <c r="B348" s="3">
        <f>IFERROR(__xludf.DUMMYFUNCTION("""COMPUTED_VALUE"""),43217.64583333333)</f>
        <v>43217.64583</v>
      </c>
      <c r="C348" s="2">
        <f>IFERROR(__xludf.DUMMYFUNCTION("""COMPUTED_VALUE"""),4175.0)</f>
        <v>4175</v>
      </c>
    </row>
    <row r="349" ht="15.75" customHeight="1">
      <c r="B349" s="3">
        <f>IFERROR(__xludf.DUMMYFUNCTION("""COMPUTED_VALUE"""),43224.64583333333)</f>
        <v>43224.64583</v>
      </c>
      <c r="C349" s="2">
        <f>IFERROR(__xludf.DUMMYFUNCTION("""COMPUTED_VALUE"""),4127.95)</f>
        <v>4127.95</v>
      </c>
    </row>
    <row r="350" ht="15.75" customHeight="1">
      <c r="B350" s="3">
        <f>IFERROR(__xludf.DUMMYFUNCTION("""COMPUTED_VALUE"""),43231.64583333333)</f>
        <v>43231.64583</v>
      </c>
      <c r="C350" s="2">
        <f>IFERROR(__xludf.DUMMYFUNCTION("""COMPUTED_VALUE"""),4085.0)</f>
        <v>4085</v>
      </c>
    </row>
    <row r="351" ht="15.75" customHeight="1">
      <c r="B351" s="3">
        <f>IFERROR(__xludf.DUMMYFUNCTION("""COMPUTED_VALUE"""),43238.64583333333)</f>
        <v>43238.64583</v>
      </c>
      <c r="C351" s="2">
        <f>IFERROR(__xludf.DUMMYFUNCTION("""COMPUTED_VALUE"""),4155.0)</f>
        <v>4155</v>
      </c>
    </row>
    <row r="352" ht="15.75" customHeight="1">
      <c r="B352" s="3">
        <f>IFERROR(__xludf.DUMMYFUNCTION("""COMPUTED_VALUE"""),43245.64583333333)</f>
        <v>43245.64583</v>
      </c>
      <c r="C352" s="2">
        <f>IFERROR(__xludf.DUMMYFUNCTION("""COMPUTED_VALUE"""),4019.0)</f>
        <v>4019</v>
      </c>
    </row>
    <row r="353" ht="15.75" customHeight="1">
      <c r="B353" s="3">
        <f>IFERROR(__xludf.DUMMYFUNCTION("""COMPUTED_VALUE"""),43252.64583333333)</f>
        <v>43252.64583</v>
      </c>
      <c r="C353" s="2">
        <f>IFERROR(__xludf.DUMMYFUNCTION("""COMPUTED_VALUE"""),3775.0)</f>
        <v>3775</v>
      </c>
    </row>
    <row r="354" ht="15.75" customHeight="1">
      <c r="B354" s="3">
        <f>IFERROR(__xludf.DUMMYFUNCTION("""COMPUTED_VALUE"""),43259.64583333333)</f>
        <v>43259.64583</v>
      </c>
      <c r="C354" s="2">
        <f>IFERROR(__xludf.DUMMYFUNCTION("""COMPUTED_VALUE"""),3734.75)</f>
        <v>3734.75</v>
      </c>
    </row>
    <row r="355" ht="15.75" customHeight="1">
      <c r="B355" s="3">
        <f>IFERROR(__xludf.DUMMYFUNCTION("""COMPUTED_VALUE"""),43266.64583333333)</f>
        <v>43266.64583</v>
      </c>
      <c r="C355" s="2">
        <f>IFERROR(__xludf.DUMMYFUNCTION("""COMPUTED_VALUE"""),3835.0)</f>
        <v>3835</v>
      </c>
    </row>
    <row r="356" ht="15.75" customHeight="1">
      <c r="B356" s="3">
        <f>IFERROR(__xludf.DUMMYFUNCTION("""COMPUTED_VALUE"""),43273.64583333333)</f>
        <v>43273.64583</v>
      </c>
      <c r="C356" s="2">
        <f>IFERROR(__xludf.DUMMYFUNCTION("""COMPUTED_VALUE"""),3708.0)</f>
        <v>3708</v>
      </c>
    </row>
    <row r="357" ht="15.75" customHeight="1">
      <c r="B357" s="3">
        <f>IFERROR(__xludf.DUMMYFUNCTION("""COMPUTED_VALUE"""),43280.64583333333)</f>
        <v>43280.64583</v>
      </c>
      <c r="C357" s="2">
        <f>IFERROR(__xludf.DUMMYFUNCTION("""COMPUTED_VALUE"""),3863.95)</f>
        <v>3863.95</v>
      </c>
    </row>
    <row r="358" ht="15.75" customHeight="1">
      <c r="B358" s="3">
        <f>IFERROR(__xludf.DUMMYFUNCTION("""COMPUTED_VALUE"""),43287.64583333333)</f>
        <v>43287.64583</v>
      </c>
      <c r="C358" s="2">
        <f>IFERROR(__xludf.DUMMYFUNCTION("""COMPUTED_VALUE"""),3998.0)</f>
        <v>3998</v>
      </c>
    </row>
    <row r="359" ht="15.75" customHeight="1">
      <c r="B359" s="3">
        <f>IFERROR(__xludf.DUMMYFUNCTION("""COMPUTED_VALUE"""),43294.64583333333)</f>
        <v>43294.64583</v>
      </c>
      <c r="C359" s="2">
        <f>IFERROR(__xludf.DUMMYFUNCTION("""COMPUTED_VALUE"""),4050.0)</f>
        <v>4050</v>
      </c>
    </row>
    <row r="360" ht="15.75" customHeight="1">
      <c r="B360" s="3">
        <f>IFERROR(__xludf.DUMMYFUNCTION("""COMPUTED_VALUE"""),43301.64583333333)</f>
        <v>43301.64583</v>
      </c>
      <c r="C360" s="2">
        <f>IFERROR(__xludf.DUMMYFUNCTION("""COMPUTED_VALUE"""),3977.6)</f>
        <v>3977.6</v>
      </c>
    </row>
    <row r="361" ht="15.75" customHeight="1">
      <c r="B361" s="3">
        <f>IFERROR(__xludf.DUMMYFUNCTION("""COMPUTED_VALUE"""),43308.64583333333)</f>
        <v>43308.64583</v>
      </c>
      <c r="C361" s="2">
        <f>IFERROR(__xludf.DUMMYFUNCTION("""COMPUTED_VALUE"""),4230.0)</f>
        <v>4230</v>
      </c>
    </row>
    <row r="362" ht="15.75" customHeight="1">
      <c r="B362" s="3">
        <f>IFERROR(__xludf.DUMMYFUNCTION("""COMPUTED_VALUE"""),43315.64583333333)</f>
        <v>43315.64583</v>
      </c>
      <c r="C362" s="2">
        <f>IFERROR(__xludf.DUMMYFUNCTION("""COMPUTED_VALUE"""),4250.0)</f>
        <v>4250</v>
      </c>
    </row>
    <row r="363" ht="15.75" customHeight="1">
      <c r="B363" s="3">
        <f>IFERROR(__xludf.DUMMYFUNCTION("""COMPUTED_VALUE"""),43322.64583333333)</f>
        <v>43322.64583</v>
      </c>
      <c r="C363" s="2">
        <f>IFERROR(__xludf.DUMMYFUNCTION("""COMPUTED_VALUE"""),4333.2)</f>
        <v>4333.2</v>
      </c>
    </row>
    <row r="364" ht="15.75" customHeight="1">
      <c r="B364" s="3">
        <f>IFERROR(__xludf.DUMMYFUNCTION("""COMPUTED_VALUE"""),43329.64583333333)</f>
        <v>43329.64583</v>
      </c>
      <c r="C364" s="2">
        <f>IFERROR(__xludf.DUMMYFUNCTION("""COMPUTED_VALUE"""),4339.95)</f>
        <v>4339.95</v>
      </c>
    </row>
    <row r="365" ht="15.75" customHeight="1">
      <c r="B365" s="3">
        <f>IFERROR(__xludf.DUMMYFUNCTION("""COMPUTED_VALUE"""),43336.64583333333)</f>
        <v>43336.64583</v>
      </c>
      <c r="C365" s="2">
        <f>IFERROR(__xludf.DUMMYFUNCTION("""COMPUTED_VALUE"""),4399.0)</f>
        <v>4399</v>
      </c>
    </row>
    <row r="366" ht="15.75" customHeight="1">
      <c r="B366" s="3">
        <f>IFERROR(__xludf.DUMMYFUNCTION("""COMPUTED_VALUE"""),43343.64583333333)</f>
        <v>43343.64583</v>
      </c>
      <c r="C366" s="2">
        <f>IFERROR(__xludf.DUMMYFUNCTION("""COMPUTED_VALUE"""),4493.65)</f>
        <v>4493.65</v>
      </c>
    </row>
    <row r="367" ht="15.75" customHeight="1">
      <c r="B367" s="3">
        <f>IFERROR(__xludf.DUMMYFUNCTION("""COMPUTED_VALUE"""),43350.64583333333)</f>
        <v>43350.64583</v>
      </c>
      <c r="C367" s="2">
        <f>IFERROR(__xludf.DUMMYFUNCTION("""COMPUTED_VALUE"""),4470.0)</f>
        <v>4470</v>
      </c>
    </row>
    <row r="368" ht="15.75" customHeight="1">
      <c r="B368" s="3">
        <f>IFERROR(__xludf.DUMMYFUNCTION("""COMPUTED_VALUE"""),43357.64583333333)</f>
        <v>43357.64583</v>
      </c>
      <c r="C368" s="2">
        <f>IFERROR(__xludf.DUMMYFUNCTION("""COMPUTED_VALUE"""),4260.0)</f>
        <v>4260</v>
      </c>
    </row>
    <row r="369" ht="15.75" customHeight="1">
      <c r="B369" s="3">
        <f>IFERROR(__xludf.DUMMYFUNCTION("""COMPUTED_VALUE"""),43364.64583333333)</f>
        <v>43364.64583</v>
      </c>
      <c r="C369" s="2">
        <f>IFERROR(__xludf.DUMMYFUNCTION("""COMPUTED_VALUE"""),4174.95)</f>
        <v>4174.95</v>
      </c>
    </row>
    <row r="370" ht="15.75" customHeight="1">
      <c r="B370" s="3">
        <f>IFERROR(__xludf.DUMMYFUNCTION("""COMPUTED_VALUE"""),43371.64583333333)</f>
        <v>43371.64583</v>
      </c>
      <c r="C370" s="2">
        <f>IFERROR(__xludf.DUMMYFUNCTION("""COMPUTED_VALUE"""),4213.7)</f>
        <v>4213.7</v>
      </c>
    </row>
    <row r="371" ht="15.75" customHeight="1">
      <c r="B371" s="3">
        <f>IFERROR(__xludf.DUMMYFUNCTION("""COMPUTED_VALUE"""),43378.64583333333)</f>
        <v>43378.64583</v>
      </c>
      <c r="C371" s="2">
        <f>IFERROR(__xludf.DUMMYFUNCTION("""COMPUTED_VALUE"""),4050.0)</f>
        <v>4050</v>
      </c>
    </row>
    <row r="372" ht="15.75" customHeight="1">
      <c r="B372" s="3">
        <f>IFERROR(__xludf.DUMMYFUNCTION("""COMPUTED_VALUE"""),43385.64583333333)</f>
        <v>43385.64583</v>
      </c>
      <c r="C372" s="2">
        <f>IFERROR(__xludf.DUMMYFUNCTION("""COMPUTED_VALUE"""),3865.95)</f>
        <v>3865.95</v>
      </c>
    </row>
    <row r="373" ht="15.75" customHeight="1">
      <c r="B373" s="3">
        <f>IFERROR(__xludf.DUMMYFUNCTION("""COMPUTED_VALUE"""),43392.64583333333)</f>
        <v>43392.64583</v>
      </c>
      <c r="C373" s="2">
        <f>IFERROR(__xludf.DUMMYFUNCTION("""COMPUTED_VALUE"""),3820.0)</f>
        <v>3820</v>
      </c>
    </row>
    <row r="374" ht="15.75" customHeight="1">
      <c r="B374" s="3">
        <f>IFERROR(__xludf.DUMMYFUNCTION("""COMPUTED_VALUE"""),43399.64583333333)</f>
        <v>43399.64583</v>
      </c>
      <c r="C374" s="2">
        <f>IFERROR(__xludf.DUMMYFUNCTION("""COMPUTED_VALUE"""),3598.0)</f>
        <v>3598</v>
      </c>
    </row>
    <row r="375" ht="15.75" customHeight="1">
      <c r="B375" s="3">
        <f>IFERROR(__xludf.DUMMYFUNCTION("""COMPUTED_VALUE"""),43406.64583333333)</f>
        <v>43406.64583</v>
      </c>
      <c r="C375" s="2">
        <f>IFERROR(__xludf.DUMMYFUNCTION("""COMPUTED_VALUE"""),3867.0)</f>
        <v>3867</v>
      </c>
    </row>
    <row r="376" ht="15.75" customHeight="1">
      <c r="B376" s="3">
        <f>IFERROR(__xludf.DUMMYFUNCTION("""COMPUTED_VALUE"""),43413.64583333333)</f>
        <v>43413.64583</v>
      </c>
      <c r="C376" s="2">
        <f>IFERROR(__xludf.DUMMYFUNCTION("""COMPUTED_VALUE"""),3828.15)</f>
        <v>3828.15</v>
      </c>
    </row>
    <row r="377" ht="15.75" customHeight="1">
      <c r="B377" s="3">
        <f>IFERROR(__xludf.DUMMYFUNCTION("""COMPUTED_VALUE"""),43420.64583333333)</f>
        <v>43420.64583</v>
      </c>
      <c r="C377" s="2">
        <f>IFERROR(__xludf.DUMMYFUNCTION("""COMPUTED_VALUE"""),3980.0)</f>
        <v>3980</v>
      </c>
    </row>
    <row r="378" ht="15.75" customHeight="1">
      <c r="B378" s="3">
        <f>IFERROR(__xludf.DUMMYFUNCTION("""COMPUTED_VALUE"""),43426.64583333333)</f>
        <v>43426.64583</v>
      </c>
      <c r="C378" s="2">
        <f>IFERROR(__xludf.DUMMYFUNCTION("""COMPUTED_VALUE"""),4054.0)</f>
        <v>4054</v>
      </c>
    </row>
    <row r="379" ht="15.75" customHeight="1">
      <c r="B379" s="3">
        <f>IFERROR(__xludf.DUMMYFUNCTION("""COMPUTED_VALUE"""),43434.64583333333)</f>
        <v>43434.64583</v>
      </c>
      <c r="C379" s="2">
        <f>IFERROR(__xludf.DUMMYFUNCTION("""COMPUTED_VALUE"""),4081.0)</f>
        <v>4081</v>
      </c>
    </row>
    <row r="380" ht="15.75" customHeight="1">
      <c r="B380" s="3">
        <f>IFERROR(__xludf.DUMMYFUNCTION("""COMPUTED_VALUE"""),43441.64583333333)</f>
        <v>43441.64583</v>
      </c>
      <c r="C380" s="2">
        <f>IFERROR(__xludf.DUMMYFUNCTION("""COMPUTED_VALUE"""),4105.25)</f>
        <v>4105.25</v>
      </c>
    </row>
    <row r="381" ht="15.75" customHeight="1">
      <c r="B381" s="3">
        <f>IFERROR(__xludf.DUMMYFUNCTION("""COMPUTED_VALUE"""),43448.64583333333)</f>
        <v>43448.64583</v>
      </c>
      <c r="C381" s="2">
        <f>IFERROR(__xludf.DUMMYFUNCTION("""COMPUTED_VALUE"""),4043.8)</f>
        <v>4043.8</v>
      </c>
    </row>
    <row r="382" ht="15.75" customHeight="1">
      <c r="B382" s="3">
        <f>IFERROR(__xludf.DUMMYFUNCTION("""COMPUTED_VALUE"""),43455.64583333333)</f>
        <v>43455.64583</v>
      </c>
      <c r="C382" s="2">
        <f>IFERROR(__xludf.DUMMYFUNCTION("""COMPUTED_VALUE"""),4173.75)</f>
        <v>4173.75</v>
      </c>
    </row>
    <row r="383" ht="15.75" customHeight="1">
      <c r="B383" s="3">
        <f>IFERROR(__xludf.DUMMYFUNCTION("""COMPUTED_VALUE"""),43462.64583333333)</f>
        <v>43462.64583</v>
      </c>
      <c r="C383" s="2">
        <f>IFERROR(__xludf.DUMMYFUNCTION("""COMPUTED_VALUE"""),4022.0)</f>
        <v>4022</v>
      </c>
    </row>
    <row r="384" ht="15.75" customHeight="1"/>
    <row r="385" ht="15.75" customHeight="1"/>
    <row r="386" ht="15.75" customHeight="1">
      <c r="B386" s="2" t="str">
        <f>IFERROR(__xludf.DUMMYFUNCTION("GOOGLEFINANCE(""NSE:ULTRACEMCO"", ""high"",DATE(2019,1,1),DATE(2020,1,1),""weekly"")"),"Date")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IFERROR(__xludf.DUMMYFUNCTION("""COMPUTED_VALUE"""),43469.64583333333)</f>
        <v>43469.64583</v>
      </c>
      <c r="C387" s="2">
        <f>IFERROR(__xludf.DUMMYFUNCTION("""COMPUTED_VALUE"""),4032.75)</f>
        <v>4032.75</v>
      </c>
    </row>
    <row r="388" ht="15.75" customHeight="1">
      <c r="B388" s="3">
        <f>IFERROR(__xludf.DUMMYFUNCTION("""COMPUTED_VALUE"""),43476.64583333333)</f>
        <v>43476.64583</v>
      </c>
      <c r="C388" s="2">
        <f>IFERROR(__xludf.DUMMYFUNCTION("""COMPUTED_VALUE"""),3985.4)</f>
        <v>3985.4</v>
      </c>
    </row>
    <row r="389" ht="15.75" customHeight="1">
      <c r="B389" s="3">
        <f>IFERROR(__xludf.DUMMYFUNCTION("""COMPUTED_VALUE"""),43483.64583333333)</f>
        <v>43483.64583</v>
      </c>
      <c r="C389" s="2">
        <f>IFERROR(__xludf.DUMMYFUNCTION("""COMPUTED_VALUE"""),3914.75)</f>
        <v>3914.75</v>
      </c>
    </row>
    <row r="390" ht="15.75" customHeight="1">
      <c r="B390" s="3">
        <f>IFERROR(__xludf.DUMMYFUNCTION("""COMPUTED_VALUE"""),43490.64583333333)</f>
        <v>43490.64583</v>
      </c>
      <c r="C390" s="2">
        <f>IFERROR(__xludf.DUMMYFUNCTION("""COMPUTED_VALUE"""),3887.0)</f>
        <v>3887</v>
      </c>
    </row>
    <row r="391" ht="15.75" customHeight="1">
      <c r="B391" s="3">
        <f>IFERROR(__xludf.DUMMYFUNCTION("""COMPUTED_VALUE"""),43497.64583333333)</f>
        <v>43497.64583</v>
      </c>
      <c r="C391" s="2">
        <f>IFERROR(__xludf.DUMMYFUNCTION("""COMPUTED_VALUE"""),3540.0)</f>
        <v>3540</v>
      </c>
    </row>
    <row r="392" ht="15.75" customHeight="1">
      <c r="B392" s="3">
        <f>IFERROR(__xludf.DUMMYFUNCTION("""COMPUTED_VALUE"""),43504.64583333333)</f>
        <v>43504.64583</v>
      </c>
      <c r="C392" s="2">
        <f>IFERROR(__xludf.DUMMYFUNCTION("""COMPUTED_VALUE"""),3606.85)</f>
        <v>3606.85</v>
      </c>
    </row>
    <row r="393" ht="15.75" customHeight="1">
      <c r="B393" s="3">
        <f>IFERROR(__xludf.DUMMYFUNCTION("""COMPUTED_VALUE"""),43511.64583333333)</f>
        <v>43511.64583</v>
      </c>
      <c r="C393" s="2">
        <f>IFERROR(__xludf.DUMMYFUNCTION("""COMPUTED_VALUE"""),3565.6)</f>
        <v>3565.6</v>
      </c>
    </row>
    <row r="394" ht="15.75" customHeight="1">
      <c r="B394" s="3">
        <f>IFERROR(__xludf.DUMMYFUNCTION("""COMPUTED_VALUE"""),43518.64583333333)</f>
        <v>43518.64583</v>
      </c>
      <c r="C394" s="2">
        <f>IFERROR(__xludf.DUMMYFUNCTION("""COMPUTED_VALUE"""),3664.5)</f>
        <v>3664.5</v>
      </c>
    </row>
    <row r="395" ht="15.75" customHeight="1">
      <c r="B395" s="3">
        <f>IFERROR(__xludf.DUMMYFUNCTION("""COMPUTED_VALUE"""),43525.64583333333)</f>
        <v>43525.64583</v>
      </c>
      <c r="C395" s="2">
        <f>IFERROR(__xludf.DUMMYFUNCTION("""COMPUTED_VALUE"""),3915.0)</f>
        <v>3915</v>
      </c>
    </row>
    <row r="396" ht="15.75" customHeight="1">
      <c r="B396" s="3">
        <f>IFERROR(__xludf.DUMMYFUNCTION("""COMPUTED_VALUE"""),43532.64583333333)</f>
        <v>43532.64583</v>
      </c>
      <c r="C396" s="2">
        <f>IFERROR(__xludf.DUMMYFUNCTION("""COMPUTED_VALUE"""),4020.0)</f>
        <v>4020</v>
      </c>
    </row>
    <row r="397" ht="15.75" customHeight="1">
      <c r="B397" s="3">
        <f>IFERROR(__xludf.DUMMYFUNCTION("""COMPUTED_VALUE"""),43539.64583333333)</f>
        <v>43539.64583</v>
      </c>
      <c r="C397" s="2">
        <f>IFERROR(__xludf.DUMMYFUNCTION("""COMPUTED_VALUE"""),4147.95)</f>
        <v>4147.95</v>
      </c>
    </row>
    <row r="398" ht="15.75" customHeight="1">
      <c r="B398" s="3">
        <f>IFERROR(__xludf.DUMMYFUNCTION("""COMPUTED_VALUE"""),43546.64583333333)</f>
        <v>43546.64583</v>
      </c>
      <c r="C398" s="2">
        <f>IFERROR(__xludf.DUMMYFUNCTION("""COMPUTED_VALUE"""),4012.0)</f>
        <v>4012</v>
      </c>
    </row>
    <row r="399" ht="15.75" customHeight="1">
      <c r="B399" s="3">
        <f>IFERROR(__xludf.DUMMYFUNCTION("""COMPUTED_VALUE"""),43553.64583333333)</f>
        <v>43553.64583</v>
      </c>
      <c r="C399" s="2">
        <f>IFERROR(__xludf.DUMMYFUNCTION("""COMPUTED_VALUE"""),4010.0)</f>
        <v>4010</v>
      </c>
    </row>
    <row r="400" ht="15.75" customHeight="1">
      <c r="B400" s="3">
        <f>IFERROR(__xludf.DUMMYFUNCTION("""COMPUTED_VALUE"""),43560.64583333333)</f>
        <v>43560.64583</v>
      </c>
      <c r="C400" s="2">
        <f>IFERROR(__xludf.DUMMYFUNCTION("""COMPUTED_VALUE"""),4206.0)</f>
        <v>4206</v>
      </c>
    </row>
    <row r="401" ht="15.75" customHeight="1">
      <c r="B401" s="3">
        <f>IFERROR(__xludf.DUMMYFUNCTION("""COMPUTED_VALUE"""),43567.64583333333)</f>
        <v>43567.64583</v>
      </c>
      <c r="C401" s="2">
        <f>IFERROR(__xludf.DUMMYFUNCTION("""COMPUTED_VALUE"""),4235.45)</f>
        <v>4235.45</v>
      </c>
    </row>
    <row r="402" ht="15.75" customHeight="1">
      <c r="B402" s="3">
        <f>IFERROR(__xludf.DUMMYFUNCTION("""COMPUTED_VALUE"""),43573.64583333333)</f>
        <v>43573.64583</v>
      </c>
      <c r="C402" s="2">
        <f>IFERROR(__xludf.DUMMYFUNCTION("""COMPUTED_VALUE"""),4285.0)</f>
        <v>4285</v>
      </c>
    </row>
    <row r="403" ht="15.75" customHeight="1">
      <c r="B403" s="3">
        <f>IFERROR(__xludf.DUMMYFUNCTION("""COMPUTED_VALUE"""),43581.64583333333)</f>
        <v>43581.64583</v>
      </c>
      <c r="C403" s="2">
        <f>IFERROR(__xludf.DUMMYFUNCTION("""COMPUTED_VALUE"""),4686.6)</f>
        <v>4686.6</v>
      </c>
    </row>
    <row r="404" ht="15.75" customHeight="1">
      <c r="B404" s="3">
        <f>IFERROR(__xludf.DUMMYFUNCTION("""COMPUTED_VALUE"""),43588.64583333333)</f>
        <v>43588.64583</v>
      </c>
      <c r="C404" s="2">
        <f>IFERROR(__xludf.DUMMYFUNCTION("""COMPUTED_VALUE"""),4649.05)</f>
        <v>4649.05</v>
      </c>
    </row>
    <row r="405" ht="15.75" customHeight="1">
      <c r="B405" s="3">
        <f>IFERROR(__xludf.DUMMYFUNCTION("""COMPUTED_VALUE"""),43595.64583333333)</f>
        <v>43595.64583</v>
      </c>
      <c r="C405" s="2">
        <f>IFERROR(__xludf.DUMMYFUNCTION("""COMPUTED_VALUE"""),4560.0)</f>
        <v>4560</v>
      </c>
    </row>
    <row r="406" ht="15.75" customHeight="1">
      <c r="B406" s="3">
        <f>IFERROR(__xludf.DUMMYFUNCTION("""COMPUTED_VALUE"""),43602.64583333333)</f>
        <v>43602.64583</v>
      </c>
      <c r="C406" s="2">
        <f>IFERROR(__xludf.DUMMYFUNCTION("""COMPUTED_VALUE"""),4525.0)</f>
        <v>4525</v>
      </c>
    </row>
    <row r="407" ht="15.75" customHeight="1">
      <c r="B407" s="3">
        <f>IFERROR(__xludf.DUMMYFUNCTION("""COMPUTED_VALUE"""),43609.64583333333)</f>
        <v>43609.64583</v>
      </c>
      <c r="C407" s="2">
        <f>IFERROR(__xludf.DUMMYFUNCTION("""COMPUTED_VALUE"""),4884.0)</f>
        <v>4884</v>
      </c>
    </row>
    <row r="408" ht="15.75" customHeight="1">
      <c r="B408" s="3">
        <f>IFERROR(__xludf.DUMMYFUNCTION("""COMPUTED_VALUE"""),43616.64583333333)</f>
        <v>43616.64583</v>
      </c>
      <c r="C408" s="2">
        <f>IFERROR(__xludf.DUMMYFUNCTION("""COMPUTED_VALUE"""),4904.95)</f>
        <v>4904.95</v>
      </c>
    </row>
    <row r="409" ht="15.75" customHeight="1">
      <c r="B409" s="3">
        <f>IFERROR(__xludf.DUMMYFUNCTION("""COMPUTED_VALUE"""),43623.64583333333)</f>
        <v>43623.64583</v>
      </c>
      <c r="C409" s="2">
        <f>IFERROR(__xludf.DUMMYFUNCTION("""COMPUTED_VALUE"""),4792.7)</f>
        <v>4792.7</v>
      </c>
    </row>
    <row r="410" ht="15.75" customHeight="1">
      <c r="B410" s="3">
        <f>IFERROR(__xludf.DUMMYFUNCTION("""COMPUTED_VALUE"""),43630.64583333333)</f>
        <v>43630.64583</v>
      </c>
      <c r="C410" s="2">
        <f>IFERROR(__xludf.DUMMYFUNCTION("""COMPUTED_VALUE"""),4628.0)</f>
        <v>4628</v>
      </c>
    </row>
    <row r="411" ht="15.75" customHeight="1">
      <c r="B411" s="3">
        <f>IFERROR(__xludf.DUMMYFUNCTION("""COMPUTED_VALUE"""),43637.64583333333)</f>
        <v>43637.64583</v>
      </c>
      <c r="C411" s="2">
        <f>IFERROR(__xludf.DUMMYFUNCTION("""COMPUTED_VALUE"""),4646.9)</f>
        <v>4646.9</v>
      </c>
    </row>
    <row r="412" ht="15.75" customHeight="1">
      <c r="B412" s="3">
        <f>IFERROR(__xludf.DUMMYFUNCTION("""COMPUTED_VALUE"""),43644.64583333333)</f>
        <v>43644.64583</v>
      </c>
      <c r="C412" s="2">
        <f>IFERROR(__xludf.DUMMYFUNCTION("""COMPUTED_VALUE"""),4656.9)</f>
        <v>4656.9</v>
      </c>
    </row>
    <row r="413" ht="15.75" customHeight="1">
      <c r="B413" s="3">
        <f>IFERROR(__xludf.DUMMYFUNCTION("""COMPUTED_VALUE"""),43651.64583333333)</f>
        <v>43651.64583</v>
      </c>
      <c r="C413" s="2">
        <f>IFERROR(__xludf.DUMMYFUNCTION("""COMPUTED_VALUE"""),4707.0)</f>
        <v>4707</v>
      </c>
    </row>
    <row r="414" ht="15.75" customHeight="1">
      <c r="B414" s="3">
        <f>IFERROR(__xludf.DUMMYFUNCTION("""COMPUTED_VALUE"""),43658.64583333333)</f>
        <v>43658.64583</v>
      </c>
      <c r="C414" s="2">
        <f>IFERROR(__xludf.DUMMYFUNCTION("""COMPUTED_VALUE"""),4618.9)</f>
        <v>4618.9</v>
      </c>
    </row>
    <row r="415" ht="15.75" customHeight="1">
      <c r="B415" s="3">
        <f>IFERROR(__xludf.DUMMYFUNCTION("""COMPUTED_VALUE"""),43665.64583333333)</f>
        <v>43665.64583</v>
      </c>
      <c r="C415" s="2">
        <f>IFERROR(__xludf.DUMMYFUNCTION("""COMPUTED_VALUE"""),4710.0)</f>
        <v>4710</v>
      </c>
    </row>
    <row r="416" ht="15.75" customHeight="1">
      <c r="B416" s="3">
        <f>IFERROR(__xludf.DUMMYFUNCTION("""COMPUTED_VALUE"""),43672.64583333333)</f>
        <v>43672.64583</v>
      </c>
      <c r="C416" s="2">
        <f>IFERROR(__xludf.DUMMYFUNCTION("""COMPUTED_VALUE"""),4619.9)</f>
        <v>4619.9</v>
      </c>
    </row>
    <row r="417" ht="15.75" customHeight="1">
      <c r="B417" s="3">
        <f>IFERROR(__xludf.DUMMYFUNCTION("""COMPUTED_VALUE"""),43679.64583333333)</f>
        <v>43679.64583</v>
      </c>
      <c r="C417" s="2">
        <f>IFERROR(__xludf.DUMMYFUNCTION("""COMPUTED_VALUE"""),4529.0)</f>
        <v>4529</v>
      </c>
    </row>
    <row r="418" ht="15.75" customHeight="1">
      <c r="B418" s="3">
        <f>IFERROR(__xludf.DUMMYFUNCTION("""COMPUTED_VALUE"""),43686.64583333333)</f>
        <v>43686.64583</v>
      </c>
      <c r="C418" s="2">
        <f>IFERROR(__xludf.DUMMYFUNCTION("""COMPUTED_VALUE"""),4423.3)</f>
        <v>4423.3</v>
      </c>
    </row>
    <row r="419" ht="15.75" customHeight="1">
      <c r="B419" s="3">
        <f>IFERROR(__xludf.DUMMYFUNCTION("""COMPUTED_VALUE"""),43693.64583333333)</f>
        <v>43693.64583</v>
      </c>
      <c r="C419" s="2">
        <f>IFERROR(__xludf.DUMMYFUNCTION("""COMPUTED_VALUE"""),4300.0)</f>
        <v>4300</v>
      </c>
    </row>
    <row r="420" ht="15.75" customHeight="1">
      <c r="B420" s="3">
        <f>IFERROR(__xludf.DUMMYFUNCTION("""COMPUTED_VALUE"""),43700.64583333333)</f>
        <v>43700.64583</v>
      </c>
      <c r="C420" s="2">
        <f>IFERROR(__xludf.DUMMYFUNCTION("""COMPUTED_VALUE"""),4269.0)</f>
        <v>4269</v>
      </c>
    </row>
    <row r="421" ht="15.75" customHeight="1">
      <c r="B421" s="3">
        <f>IFERROR(__xludf.DUMMYFUNCTION("""COMPUTED_VALUE"""),43707.64583333333)</f>
        <v>43707.64583</v>
      </c>
      <c r="C421" s="2">
        <f>IFERROR(__xludf.DUMMYFUNCTION("""COMPUTED_VALUE"""),4242.95)</f>
        <v>4242.95</v>
      </c>
    </row>
    <row r="422" ht="15.75" customHeight="1">
      <c r="B422" s="3">
        <f>IFERROR(__xludf.DUMMYFUNCTION("""COMPUTED_VALUE"""),43714.64583333333)</f>
        <v>43714.64583</v>
      </c>
      <c r="C422" s="2">
        <f>IFERROR(__xludf.DUMMYFUNCTION("""COMPUTED_VALUE"""),4013.6)</f>
        <v>4013.6</v>
      </c>
    </row>
    <row r="423" ht="15.75" customHeight="1">
      <c r="B423" s="3">
        <f>IFERROR(__xludf.DUMMYFUNCTION("""COMPUTED_VALUE"""),43721.64583333333)</f>
        <v>43721.64583</v>
      </c>
      <c r="C423" s="2">
        <f>IFERROR(__xludf.DUMMYFUNCTION("""COMPUTED_VALUE"""),4047.25)</f>
        <v>4047.25</v>
      </c>
    </row>
    <row r="424" ht="15.75" customHeight="1">
      <c r="B424" s="3">
        <f>IFERROR(__xludf.DUMMYFUNCTION("""COMPUTED_VALUE"""),43728.64583333333)</f>
        <v>43728.64583</v>
      </c>
      <c r="C424" s="2">
        <f>IFERROR(__xludf.DUMMYFUNCTION("""COMPUTED_VALUE"""),4323.95)</f>
        <v>4323.95</v>
      </c>
    </row>
    <row r="425" ht="15.75" customHeight="1">
      <c r="B425" s="3">
        <f>IFERROR(__xludf.DUMMYFUNCTION("""COMPUTED_VALUE"""),43735.64583333333)</f>
        <v>43735.64583</v>
      </c>
      <c r="C425" s="2">
        <f>IFERROR(__xludf.DUMMYFUNCTION("""COMPUTED_VALUE"""),4447.85)</f>
        <v>4447.85</v>
      </c>
    </row>
    <row r="426" ht="15.75" customHeight="1">
      <c r="B426" s="3">
        <f>IFERROR(__xludf.DUMMYFUNCTION("""COMPUTED_VALUE"""),43742.64583333333)</f>
        <v>43742.64583</v>
      </c>
      <c r="C426" s="2">
        <f>IFERROR(__xludf.DUMMYFUNCTION("""COMPUTED_VALUE"""),4410.0)</f>
        <v>4410</v>
      </c>
    </row>
    <row r="427" ht="15.75" customHeight="1">
      <c r="B427" s="3">
        <f>IFERROR(__xludf.DUMMYFUNCTION("""COMPUTED_VALUE"""),43749.64583333333)</f>
        <v>43749.64583</v>
      </c>
      <c r="C427" s="2">
        <f>IFERROR(__xludf.DUMMYFUNCTION("""COMPUTED_VALUE"""),4099.9)</f>
        <v>4099.9</v>
      </c>
    </row>
    <row r="428" ht="15.75" customHeight="1">
      <c r="B428" s="3">
        <f>IFERROR(__xludf.DUMMYFUNCTION("""COMPUTED_VALUE"""),43756.64583333333)</f>
        <v>43756.64583</v>
      </c>
      <c r="C428" s="2">
        <f>IFERROR(__xludf.DUMMYFUNCTION("""COMPUTED_VALUE"""),4363.0)</f>
        <v>4363</v>
      </c>
    </row>
    <row r="429" ht="15.75" customHeight="1">
      <c r="B429" s="3">
        <f>IFERROR(__xludf.DUMMYFUNCTION("""COMPUTED_VALUE"""),43763.79166666667)</f>
        <v>43763.79167</v>
      </c>
      <c r="C429" s="2">
        <f>IFERROR(__xludf.DUMMYFUNCTION("""COMPUTED_VALUE"""),4409.9)</f>
        <v>4409.9</v>
      </c>
    </row>
    <row r="430" ht="15.75" customHeight="1">
      <c r="B430" s="3">
        <f>IFERROR(__xludf.DUMMYFUNCTION("""COMPUTED_VALUE"""),43770.64583333333)</f>
        <v>43770.64583</v>
      </c>
      <c r="C430" s="2">
        <f>IFERROR(__xludf.DUMMYFUNCTION("""COMPUTED_VALUE"""),4275.0)</f>
        <v>4275</v>
      </c>
    </row>
    <row r="431" ht="15.75" customHeight="1">
      <c r="B431" s="3">
        <f>IFERROR(__xludf.DUMMYFUNCTION("""COMPUTED_VALUE"""),43777.64583333333)</f>
        <v>43777.64583</v>
      </c>
      <c r="C431" s="2">
        <f>IFERROR(__xludf.DUMMYFUNCTION("""COMPUTED_VALUE"""),4296.7)</f>
        <v>4296.7</v>
      </c>
    </row>
    <row r="432" ht="15.75" customHeight="1">
      <c r="B432" s="3">
        <f>IFERROR(__xludf.DUMMYFUNCTION("""COMPUTED_VALUE"""),43784.64583333333)</f>
        <v>43784.64583</v>
      </c>
      <c r="C432" s="2">
        <f>IFERROR(__xludf.DUMMYFUNCTION("""COMPUTED_VALUE"""),4180.0)</f>
        <v>4180</v>
      </c>
    </row>
    <row r="433" ht="15.75" customHeight="1">
      <c r="B433" s="3">
        <f>IFERROR(__xludf.DUMMYFUNCTION("""COMPUTED_VALUE"""),43791.64583333333)</f>
        <v>43791.64583</v>
      </c>
      <c r="C433" s="2">
        <f>IFERROR(__xludf.DUMMYFUNCTION("""COMPUTED_VALUE"""),4145.3)</f>
        <v>4145.3</v>
      </c>
    </row>
    <row r="434" ht="15.75" customHeight="1">
      <c r="B434" s="3">
        <f>IFERROR(__xludf.DUMMYFUNCTION("""COMPUTED_VALUE"""),43798.64583333333)</f>
        <v>43798.64583</v>
      </c>
      <c r="C434" s="2">
        <f>IFERROR(__xludf.DUMMYFUNCTION("""COMPUTED_VALUE"""),4337.5)</f>
        <v>4337.5</v>
      </c>
    </row>
    <row r="435" ht="15.75" customHeight="1">
      <c r="B435" s="3">
        <f>IFERROR(__xludf.DUMMYFUNCTION("""COMPUTED_VALUE"""),43805.64583333333)</f>
        <v>43805.64583</v>
      </c>
      <c r="C435" s="2">
        <f>IFERROR(__xludf.DUMMYFUNCTION("""COMPUTED_VALUE"""),4320.0)</f>
        <v>4320</v>
      </c>
    </row>
    <row r="436" ht="15.75" customHeight="1">
      <c r="B436" s="3">
        <f>IFERROR(__xludf.DUMMYFUNCTION("""COMPUTED_VALUE"""),43812.64583333333)</f>
        <v>43812.64583</v>
      </c>
      <c r="C436" s="2">
        <f>IFERROR(__xludf.DUMMYFUNCTION("""COMPUTED_VALUE"""),4192.0)</f>
        <v>4192</v>
      </c>
    </row>
    <row r="437" ht="15.75" customHeight="1">
      <c r="B437" s="3">
        <f>IFERROR(__xludf.DUMMYFUNCTION("""COMPUTED_VALUE"""),43819.64583333333)</f>
        <v>43819.64583</v>
      </c>
      <c r="C437" s="2">
        <f>IFERROR(__xludf.DUMMYFUNCTION("""COMPUTED_VALUE"""),4146.75)</f>
        <v>4146.75</v>
      </c>
    </row>
    <row r="438" ht="15.75" customHeight="1">
      <c r="B438" s="3">
        <f>IFERROR(__xludf.DUMMYFUNCTION("""COMPUTED_VALUE"""),43826.64583333333)</f>
        <v>43826.64583</v>
      </c>
      <c r="C438" s="2">
        <f>IFERROR(__xludf.DUMMYFUNCTION("""COMPUTED_VALUE"""),4168.0)</f>
        <v>4168</v>
      </c>
    </row>
    <row r="439" ht="15.75" customHeight="1"/>
    <row r="440" ht="15.75" customHeight="1"/>
    <row r="441" ht="15.75" customHeight="1">
      <c r="B441" s="2" t="str">
        <f>IFERROR(__xludf.DUMMYFUNCTION("GOOGLEFINANCE(""NSE:ULTRACEMCO"", ""high"",DATE(2020,1,1),DATE(2021,1,1),""weekly"")"),"Date")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IFERROR(__xludf.DUMMYFUNCTION("""COMPUTED_VALUE"""),43833.64583333333)</f>
        <v>43833.64583</v>
      </c>
      <c r="C442" s="2">
        <f>IFERROR(__xludf.DUMMYFUNCTION("""COMPUTED_VALUE"""),4258.0)</f>
        <v>4258</v>
      </c>
    </row>
    <row r="443" ht="15.75" customHeight="1">
      <c r="B443" s="3">
        <f>IFERROR(__xludf.DUMMYFUNCTION("""COMPUTED_VALUE"""),43840.64583333333)</f>
        <v>43840.64583</v>
      </c>
      <c r="C443" s="2">
        <f>IFERROR(__xludf.DUMMYFUNCTION("""COMPUTED_VALUE"""),4464.05)</f>
        <v>4464.05</v>
      </c>
    </row>
    <row r="444" ht="15.75" customHeight="1">
      <c r="B444" s="3">
        <f>IFERROR(__xludf.DUMMYFUNCTION("""COMPUTED_VALUE"""),43847.64583333333)</f>
        <v>43847.64583</v>
      </c>
      <c r="C444" s="2">
        <f>IFERROR(__xludf.DUMMYFUNCTION("""COMPUTED_VALUE"""),4554.9)</f>
        <v>4554.9</v>
      </c>
    </row>
    <row r="445" ht="15.75" customHeight="1">
      <c r="B445" s="3">
        <f>IFERROR(__xludf.DUMMYFUNCTION("""COMPUTED_VALUE"""),43854.64583333333)</f>
        <v>43854.64583</v>
      </c>
      <c r="C445" s="2">
        <f>IFERROR(__xludf.DUMMYFUNCTION("""COMPUTED_VALUE"""),4679.7)</f>
        <v>4679.7</v>
      </c>
    </row>
    <row r="446" ht="15.75" customHeight="1">
      <c r="B446" s="3">
        <f>IFERROR(__xludf.DUMMYFUNCTION("""COMPUTED_VALUE"""),43862.70833333333)</f>
        <v>43862.70833</v>
      </c>
      <c r="C446" s="2">
        <f>IFERROR(__xludf.DUMMYFUNCTION("""COMPUTED_VALUE"""),4754.1)</f>
        <v>4754.1</v>
      </c>
    </row>
    <row r="447" ht="15.75" customHeight="1">
      <c r="B447" s="3">
        <f>IFERROR(__xludf.DUMMYFUNCTION("""COMPUTED_VALUE"""),43868.64583333333)</f>
        <v>43868.64583</v>
      </c>
      <c r="C447" s="2">
        <f>IFERROR(__xludf.DUMMYFUNCTION("""COMPUTED_VALUE"""),4547.0)</f>
        <v>4547</v>
      </c>
    </row>
    <row r="448" ht="15.75" customHeight="1">
      <c r="B448" s="3">
        <f>IFERROR(__xludf.DUMMYFUNCTION("""COMPUTED_VALUE"""),43875.64583333333)</f>
        <v>43875.64583</v>
      </c>
      <c r="C448" s="2">
        <f>IFERROR(__xludf.DUMMYFUNCTION("""COMPUTED_VALUE"""),4538.95)</f>
        <v>4538.95</v>
      </c>
    </row>
    <row r="449" ht="15.75" customHeight="1">
      <c r="B449" s="3">
        <f>IFERROR(__xludf.DUMMYFUNCTION("""COMPUTED_VALUE"""),43881.64583333333)</f>
        <v>43881.64583</v>
      </c>
      <c r="C449" s="2">
        <f>IFERROR(__xludf.DUMMYFUNCTION("""COMPUTED_VALUE"""),4530.0)</f>
        <v>4530</v>
      </c>
    </row>
    <row r="450" ht="15.75" customHeight="1">
      <c r="B450" s="3">
        <f>IFERROR(__xludf.DUMMYFUNCTION("""COMPUTED_VALUE"""),43889.64583333333)</f>
        <v>43889.64583</v>
      </c>
      <c r="C450" s="2">
        <f>IFERROR(__xludf.DUMMYFUNCTION("""COMPUTED_VALUE"""),4455.0)</f>
        <v>4455</v>
      </c>
    </row>
    <row r="451" ht="15.75" customHeight="1">
      <c r="B451" s="3">
        <f>IFERROR(__xludf.DUMMYFUNCTION("""COMPUTED_VALUE"""),43896.64583333333)</f>
        <v>43896.64583</v>
      </c>
      <c r="C451" s="2">
        <f>IFERROR(__xludf.DUMMYFUNCTION("""COMPUTED_VALUE"""),4329.0)</f>
        <v>4329</v>
      </c>
    </row>
    <row r="452" ht="15.75" customHeight="1">
      <c r="B452" s="3">
        <f>IFERROR(__xludf.DUMMYFUNCTION("""COMPUTED_VALUE"""),43903.64583333333)</f>
        <v>43903.64583</v>
      </c>
      <c r="C452" s="2">
        <f>IFERROR(__xludf.DUMMYFUNCTION("""COMPUTED_VALUE"""),4164.55)</f>
        <v>4164.55</v>
      </c>
    </row>
    <row r="453" ht="15.75" customHeight="1">
      <c r="B453" s="3">
        <f>IFERROR(__xludf.DUMMYFUNCTION("""COMPUTED_VALUE"""),43910.64583333333)</f>
        <v>43910.64583</v>
      </c>
      <c r="C453" s="2">
        <f>IFERROR(__xludf.DUMMYFUNCTION("""COMPUTED_VALUE"""),3660.0)</f>
        <v>3660</v>
      </c>
    </row>
    <row r="454" ht="15.75" customHeight="1">
      <c r="B454" s="3">
        <f>IFERROR(__xludf.DUMMYFUNCTION("""COMPUTED_VALUE"""),43917.64583333333)</f>
        <v>43917.64583</v>
      </c>
      <c r="C454" s="2">
        <f>IFERROR(__xludf.DUMMYFUNCTION("""COMPUTED_VALUE"""),3390.0)</f>
        <v>3390</v>
      </c>
    </row>
    <row r="455" ht="15.75" customHeight="1">
      <c r="B455" s="3">
        <f>IFERROR(__xludf.DUMMYFUNCTION("""COMPUTED_VALUE"""),43924.64583333333)</f>
        <v>43924.64583</v>
      </c>
      <c r="C455" s="2">
        <f>IFERROR(__xludf.DUMMYFUNCTION("""COMPUTED_VALUE"""),3279.05)</f>
        <v>3279.05</v>
      </c>
    </row>
    <row r="456" ht="15.75" customHeight="1">
      <c r="B456" s="3">
        <f>IFERROR(__xludf.DUMMYFUNCTION("""COMPUTED_VALUE"""),43930.64583333333)</f>
        <v>43930.64583</v>
      </c>
      <c r="C456" s="2">
        <f>IFERROR(__xludf.DUMMYFUNCTION("""COMPUTED_VALUE"""),3389.8)</f>
        <v>3389.8</v>
      </c>
    </row>
    <row r="457" ht="15.75" customHeight="1">
      <c r="B457" s="3">
        <f>IFERROR(__xludf.DUMMYFUNCTION("""COMPUTED_VALUE"""),43938.64583333333)</f>
        <v>43938.64583</v>
      </c>
      <c r="C457" s="2">
        <f>IFERROR(__xludf.DUMMYFUNCTION("""COMPUTED_VALUE"""),3674.0)</f>
        <v>3674</v>
      </c>
    </row>
    <row r="458" ht="15.75" customHeight="1">
      <c r="B458" s="3">
        <f>IFERROR(__xludf.DUMMYFUNCTION("""COMPUTED_VALUE"""),43945.64583333333)</f>
        <v>43945.64583</v>
      </c>
      <c r="C458" s="2">
        <f>IFERROR(__xludf.DUMMYFUNCTION("""COMPUTED_VALUE"""),3570.0)</f>
        <v>3570</v>
      </c>
    </row>
    <row r="459" ht="15.75" customHeight="1">
      <c r="B459" s="3">
        <f>IFERROR(__xludf.DUMMYFUNCTION("""COMPUTED_VALUE"""),43951.64583333333)</f>
        <v>43951.64583</v>
      </c>
      <c r="C459" s="2">
        <f>IFERROR(__xludf.DUMMYFUNCTION("""COMPUTED_VALUE"""),3565.95)</f>
        <v>3565.95</v>
      </c>
    </row>
    <row r="460" ht="15.75" customHeight="1">
      <c r="B460" s="3">
        <f>IFERROR(__xludf.DUMMYFUNCTION("""COMPUTED_VALUE"""),43959.64583333333)</f>
        <v>43959.64583</v>
      </c>
      <c r="C460" s="2">
        <f>IFERROR(__xludf.DUMMYFUNCTION("""COMPUTED_VALUE"""),3461.7)</f>
        <v>3461.7</v>
      </c>
    </row>
    <row r="461" ht="15.75" customHeight="1">
      <c r="B461" s="3">
        <f>IFERROR(__xludf.DUMMYFUNCTION("""COMPUTED_VALUE"""),43966.64583333333)</f>
        <v>43966.64583</v>
      </c>
      <c r="C461" s="2">
        <f>IFERROR(__xludf.DUMMYFUNCTION("""COMPUTED_VALUE"""),3633.8)</f>
        <v>3633.8</v>
      </c>
    </row>
    <row r="462" ht="15.75" customHeight="1">
      <c r="B462" s="3">
        <f>IFERROR(__xludf.DUMMYFUNCTION("""COMPUTED_VALUE"""),43973.64583333333)</f>
        <v>43973.64583</v>
      </c>
      <c r="C462" s="2">
        <f>IFERROR(__xludf.DUMMYFUNCTION("""COMPUTED_VALUE"""),3668.0)</f>
        <v>3668</v>
      </c>
    </row>
    <row r="463" ht="15.75" customHeight="1">
      <c r="B463" s="3">
        <f>IFERROR(__xludf.DUMMYFUNCTION("""COMPUTED_VALUE"""),43980.64583333333)</f>
        <v>43980.64583</v>
      </c>
      <c r="C463" s="2">
        <f>IFERROR(__xludf.DUMMYFUNCTION("""COMPUTED_VALUE"""),3940.0)</f>
        <v>3940</v>
      </c>
    </row>
    <row r="464" ht="15.75" customHeight="1">
      <c r="B464" s="3">
        <f>IFERROR(__xludf.DUMMYFUNCTION("""COMPUTED_VALUE"""),43987.64583333333)</f>
        <v>43987.64583</v>
      </c>
      <c r="C464" s="2">
        <f>IFERROR(__xludf.DUMMYFUNCTION("""COMPUTED_VALUE"""),3955.0)</f>
        <v>3955</v>
      </c>
    </row>
    <row r="465" ht="15.75" customHeight="1">
      <c r="B465" s="3">
        <f>IFERROR(__xludf.DUMMYFUNCTION("""COMPUTED_VALUE"""),43994.64583333333)</f>
        <v>43994.64583</v>
      </c>
      <c r="C465" s="2">
        <f>IFERROR(__xludf.DUMMYFUNCTION("""COMPUTED_VALUE"""),3910.0)</f>
        <v>3910</v>
      </c>
    </row>
    <row r="466" ht="15.75" customHeight="1">
      <c r="B466" s="3">
        <f>IFERROR(__xludf.DUMMYFUNCTION("""COMPUTED_VALUE"""),44001.64583333333)</f>
        <v>44001.64583</v>
      </c>
      <c r="C466" s="2">
        <f>IFERROR(__xludf.DUMMYFUNCTION("""COMPUTED_VALUE"""),3904.45)</f>
        <v>3904.45</v>
      </c>
    </row>
    <row r="467" ht="15.75" customHeight="1">
      <c r="B467" s="3">
        <f>IFERROR(__xludf.DUMMYFUNCTION("""COMPUTED_VALUE"""),44008.64583333333)</f>
        <v>44008.64583</v>
      </c>
      <c r="C467" s="2">
        <f>IFERROR(__xludf.DUMMYFUNCTION("""COMPUTED_VALUE"""),4016.0)</f>
        <v>4016</v>
      </c>
    </row>
    <row r="468" ht="15.75" customHeight="1">
      <c r="B468" s="3">
        <f>IFERROR(__xludf.DUMMYFUNCTION("""COMPUTED_VALUE"""),44015.64583333333)</f>
        <v>44015.64583</v>
      </c>
      <c r="C468" s="2">
        <f>IFERROR(__xludf.DUMMYFUNCTION("""COMPUTED_VALUE"""),3960.0)</f>
        <v>3960</v>
      </c>
    </row>
    <row r="469" ht="15.75" customHeight="1">
      <c r="B469" s="3">
        <f>IFERROR(__xludf.DUMMYFUNCTION("""COMPUTED_VALUE"""),44022.64583333333)</f>
        <v>44022.64583</v>
      </c>
      <c r="C469" s="2">
        <f>IFERROR(__xludf.DUMMYFUNCTION("""COMPUTED_VALUE"""),3947.85)</f>
        <v>3947.85</v>
      </c>
    </row>
    <row r="470" ht="15.75" customHeight="1">
      <c r="B470" s="3">
        <f>IFERROR(__xludf.DUMMYFUNCTION("""COMPUTED_VALUE"""),44029.64583333333)</f>
        <v>44029.64583</v>
      </c>
      <c r="C470" s="2">
        <f>IFERROR(__xludf.DUMMYFUNCTION("""COMPUTED_VALUE"""),3869.0)</f>
        <v>3869</v>
      </c>
    </row>
    <row r="471" ht="15.75" customHeight="1">
      <c r="B471" s="3">
        <f>IFERROR(__xludf.DUMMYFUNCTION("""COMPUTED_VALUE"""),44036.64583333333)</f>
        <v>44036.64583</v>
      </c>
      <c r="C471" s="2">
        <f>IFERROR(__xludf.DUMMYFUNCTION("""COMPUTED_VALUE"""),3955.0)</f>
        <v>3955</v>
      </c>
    </row>
    <row r="472" ht="15.75" customHeight="1">
      <c r="B472" s="3">
        <f>IFERROR(__xludf.DUMMYFUNCTION("""COMPUTED_VALUE"""),44043.64583333333)</f>
        <v>44043.64583</v>
      </c>
      <c r="C472" s="2">
        <f>IFERROR(__xludf.DUMMYFUNCTION("""COMPUTED_VALUE"""),4287.35)</f>
        <v>4287.35</v>
      </c>
    </row>
    <row r="473" ht="15.75" customHeight="1">
      <c r="B473" s="3">
        <f>IFERROR(__xludf.DUMMYFUNCTION("""COMPUTED_VALUE"""),44050.64583333333)</f>
        <v>44050.64583</v>
      </c>
      <c r="C473" s="2">
        <f>IFERROR(__xludf.DUMMYFUNCTION("""COMPUTED_VALUE"""),4155.0)</f>
        <v>4155</v>
      </c>
    </row>
    <row r="474" ht="15.75" customHeight="1">
      <c r="B474" s="3">
        <f>IFERROR(__xludf.DUMMYFUNCTION("""COMPUTED_VALUE"""),44057.64583333333)</f>
        <v>44057.64583</v>
      </c>
      <c r="C474" s="2">
        <f>IFERROR(__xludf.DUMMYFUNCTION("""COMPUTED_VALUE"""),4090.9)</f>
        <v>4090.9</v>
      </c>
    </row>
    <row r="475" ht="15.75" customHeight="1">
      <c r="B475" s="3">
        <f>IFERROR(__xludf.DUMMYFUNCTION("""COMPUTED_VALUE"""),44064.64583333333)</f>
        <v>44064.64583</v>
      </c>
      <c r="C475" s="2">
        <f>IFERROR(__xludf.DUMMYFUNCTION("""COMPUTED_VALUE"""),4216.0)</f>
        <v>4216</v>
      </c>
    </row>
    <row r="476" ht="15.75" customHeight="1">
      <c r="B476" s="3">
        <f>IFERROR(__xludf.DUMMYFUNCTION("""COMPUTED_VALUE"""),44071.64583333333)</f>
        <v>44071.64583</v>
      </c>
      <c r="C476" s="2">
        <f>IFERROR(__xludf.DUMMYFUNCTION("""COMPUTED_VALUE"""),4224.0)</f>
        <v>4224</v>
      </c>
    </row>
    <row r="477" ht="15.75" customHeight="1">
      <c r="B477" s="3">
        <f>IFERROR(__xludf.DUMMYFUNCTION("""COMPUTED_VALUE"""),44078.64583333333)</f>
        <v>44078.64583</v>
      </c>
      <c r="C477" s="2">
        <f>IFERROR(__xludf.DUMMYFUNCTION("""COMPUTED_VALUE"""),4086.3)</f>
        <v>4086.3</v>
      </c>
    </row>
    <row r="478" ht="15.75" customHeight="1">
      <c r="B478" s="3">
        <f>IFERROR(__xludf.DUMMYFUNCTION("""COMPUTED_VALUE"""),44085.64583333333)</f>
        <v>44085.64583</v>
      </c>
      <c r="C478" s="2">
        <f>IFERROR(__xludf.DUMMYFUNCTION("""COMPUTED_VALUE"""),3990.0)</f>
        <v>3990</v>
      </c>
    </row>
    <row r="479" ht="15.75" customHeight="1">
      <c r="B479" s="3">
        <f>IFERROR(__xludf.DUMMYFUNCTION("""COMPUTED_VALUE"""),44092.64583333333)</f>
        <v>44092.64583</v>
      </c>
      <c r="C479" s="2">
        <f>IFERROR(__xludf.DUMMYFUNCTION("""COMPUTED_VALUE"""),4023.4)</f>
        <v>4023.4</v>
      </c>
    </row>
    <row r="480" ht="15.75" customHeight="1">
      <c r="B480" s="3">
        <f>IFERROR(__xludf.DUMMYFUNCTION("""COMPUTED_VALUE"""),44099.64583333333)</f>
        <v>44099.64583</v>
      </c>
      <c r="C480" s="2">
        <f>IFERROR(__xludf.DUMMYFUNCTION("""COMPUTED_VALUE"""),4003.6)</f>
        <v>4003.6</v>
      </c>
    </row>
    <row r="481" ht="15.75" customHeight="1">
      <c r="B481" s="3">
        <f>IFERROR(__xludf.DUMMYFUNCTION("""COMPUTED_VALUE"""),44105.64583333333)</f>
        <v>44105.64583</v>
      </c>
      <c r="C481" s="2">
        <f>IFERROR(__xludf.DUMMYFUNCTION("""COMPUTED_VALUE"""),4120.0)</f>
        <v>4120</v>
      </c>
    </row>
    <row r="482" ht="15.75" customHeight="1">
      <c r="B482" s="3">
        <f>IFERROR(__xludf.DUMMYFUNCTION("""COMPUTED_VALUE"""),44113.64583333333)</f>
        <v>44113.64583</v>
      </c>
      <c r="C482" s="2">
        <f>IFERROR(__xludf.DUMMYFUNCTION("""COMPUTED_VALUE"""),4374.95)</f>
        <v>4374.95</v>
      </c>
    </row>
    <row r="483" ht="15.75" customHeight="1">
      <c r="B483" s="3">
        <f>IFERROR(__xludf.DUMMYFUNCTION("""COMPUTED_VALUE"""),44120.64583333333)</f>
        <v>44120.64583</v>
      </c>
      <c r="C483" s="2">
        <f>IFERROR(__xludf.DUMMYFUNCTION("""COMPUTED_VALUE"""),4525.0)</f>
        <v>4525</v>
      </c>
    </row>
    <row r="484" ht="15.75" customHeight="1">
      <c r="B484" s="3">
        <f>IFERROR(__xludf.DUMMYFUNCTION("""COMPUTED_VALUE"""),44127.64583333333)</f>
        <v>44127.64583</v>
      </c>
      <c r="C484" s="2">
        <f>IFERROR(__xludf.DUMMYFUNCTION("""COMPUTED_VALUE"""),4735.55)</f>
        <v>4735.55</v>
      </c>
    </row>
    <row r="485" ht="15.75" customHeight="1">
      <c r="B485" s="3">
        <f>IFERROR(__xludf.DUMMYFUNCTION("""COMPUTED_VALUE"""),44134.64583333333)</f>
        <v>44134.64583</v>
      </c>
      <c r="C485" s="2">
        <f>IFERROR(__xludf.DUMMYFUNCTION("""COMPUTED_VALUE"""),4671.0)</f>
        <v>4671</v>
      </c>
    </row>
    <row r="486" ht="15.75" customHeight="1">
      <c r="B486" s="3">
        <f>IFERROR(__xludf.DUMMYFUNCTION("""COMPUTED_VALUE"""),44141.64583333333)</f>
        <v>44141.64583</v>
      </c>
      <c r="C486" s="2">
        <f>IFERROR(__xludf.DUMMYFUNCTION("""COMPUTED_VALUE"""),4634.15)</f>
        <v>4634.15</v>
      </c>
    </row>
    <row r="487" ht="15.75" customHeight="1">
      <c r="B487" s="3">
        <f>IFERROR(__xludf.DUMMYFUNCTION("""COMPUTED_VALUE"""),44155.64583333333)</f>
        <v>44155.64583</v>
      </c>
      <c r="C487" s="2">
        <f>IFERROR(__xludf.DUMMYFUNCTION("""COMPUTED_VALUE"""),4979.0)</f>
        <v>4979</v>
      </c>
    </row>
    <row r="488" ht="15.75" customHeight="1">
      <c r="B488" s="3">
        <f>IFERROR(__xludf.DUMMYFUNCTION("""COMPUTED_VALUE"""),44162.64583333333)</f>
        <v>44162.64583</v>
      </c>
      <c r="C488" s="2">
        <f>IFERROR(__xludf.DUMMYFUNCTION("""COMPUTED_VALUE"""),4929.0)</f>
        <v>4929</v>
      </c>
    </row>
    <row r="489" ht="15.75" customHeight="1">
      <c r="B489" s="3">
        <f>IFERROR(__xludf.DUMMYFUNCTION("""COMPUTED_VALUE"""),44169.64583333333)</f>
        <v>44169.64583</v>
      </c>
      <c r="C489" s="2">
        <f>IFERROR(__xludf.DUMMYFUNCTION("""COMPUTED_VALUE"""),5199.0)</f>
        <v>5199</v>
      </c>
    </row>
    <row r="490" ht="15.75" customHeight="1">
      <c r="B490" s="3">
        <f>IFERROR(__xludf.DUMMYFUNCTION("""COMPUTED_VALUE"""),44176.64583333333)</f>
        <v>44176.64583</v>
      </c>
      <c r="C490" s="2">
        <f>IFERROR(__xludf.DUMMYFUNCTION("""COMPUTED_VALUE"""),5259.0)</f>
        <v>5259</v>
      </c>
    </row>
    <row r="491" ht="15.75" customHeight="1">
      <c r="B491" s="3">
        <f>IFERROR(__xludf.DUMMYFUNCTION("""COMPUTED_VALUE"""),44183.64583333333)</f>
        <v>44183.64583</v>
      </c>
      <c r="C491" s="2">
        <f>IFERROR(__xludf.DUMMYFUNCTION("""COMPUTED_VALUE"""),5230.0)</f>
        <v>5230</v>
      </c>
    </row>
    <row r="492" ht="15.75" customHeight="1">
      <c r="B492" s="3">
        <f>IFERROR(__xludf.DUMMYFUNCTION("""COMPUTED_VALUE"""),44189.64583333333)</f>
        <v>44189.64583</v>
      </c>
      <c r="C492" s="2">
        <f>IFERROR(__xludf.DUMMYFUNCTION("""COMPUTED_VALUE"""),5190.0)</f>
        <v>5190</v>
      </c>
    </row>
    <row r="493" ht="15.75" customHeight="1">
      <c r="B493" s="3">
        <f>IFERROR(__xludf.DUMMYFUNCTION("""COMPUTED_VALUE"""),44197.64583333333)</f>
        <v>44197.64583</v>
      </c>
      <c r="C493" s="2">
        <f>IFERROR(__xludf.DUMMYFUNCTION("""COMPUTED_VALUE"""),5400.0)</f>
        <v>5400</v>
      </c>
    </row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IFERROR(__xludf.DUMMYFUNCTION("GOOGLEFINANCE(""NSE:TATAMOTORS"",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IFERROR(__xludf.DUMMYFUNCTION("""COMPUTED_VALUE"""),19.71)</f>
        <v>19.71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IFERROR(__xludf.DUMMYFUNCTION("""COMPUTED_VALUE"""),21.81)</f>
        <v>21.81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IFERROR(__xludf.DUMMYFUNCTION("""COMPUTED_VALUE"""),25.76)</f>
        <v>25.76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IFERROR(__xludf.DUMMYFUNCTION("""COMPUTED_VALUE"""),24.18)</f>
        <v>24.18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IFERROR(__xludf.DUMMYFUNCTION("""COMPUTED_VALUE"""),24.73)</f>
        <v>24.73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IFERROR(__xludf.DUMMYFUNCTION("""COMPUTED_VALUE"""),27.34)</f>
        <v>27.34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IFERROR(__xludf.DUMMYFUNCTION("""COMPUTED_VALUE"""),29.31)</f>
        <v>29.31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IFERROR(__xludf.DUMMYFUNCTION("""COMPUTED_VALUE"""),27.65)</f>
        <v>27.65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IFERROR(__xludf.DUMMYFUNCTION("""COMPUTED_VALUE"""),28.42)</f>
        <v>28.42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IFERROR(__xludf.DUMMYFUNCTION("""COMPUTED_VALUE"""),28.24)</f>
        <v>28.24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IFERROR(__xludf.DUMMYFUNCTION("""COMPUTED_VALUE"""),26.26)</f>
        <v>26.26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IFERROR(__xludf.DUMMYFUNCTION("""COMPUTED_VALUE"""),27.31)</f>
        <v>27.31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IFERROR(__xludf.DUMMYFUNCTION("""COMPUTED_VALUE"""),24.22)</f>
        <v>24.22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IFERROR(__xludf.DUMMYFUNCTION("""COMPUTED_VALUE"""),24.73)</f>
        <v>24.73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IFERROR(__xludf.DUMMYFUNCTION("""COMPUTED_VALUE"""),26.16)</f>
        <v>26.16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IFERROR(__xludf.DUMMYFUNCTION("""COMPUTED_VALUE"""),26.14)</f>
        <v>26.14</v>
      </c>
    </row>
    <row r="18">
      <c r="A18" s="2" t="s">
        <v>17</v>
      </c>
      <c r="B18" s="3">
        <f>IFERROR(__xludf.DUMMYFUNCTION("""COMPUTED_VALUE"""),37372.645833333336)</f>
        <v>37372.64583</v>
      </c>
      <c r="C18" s="2">
        <f>IFERROR(__xludf.DUMMYFUNCTION("""COMPUTED_VALUE"""),25.53)</f>
        <v>25.53</v>
      </c>
    </row>
    <row r="19">
      <c r="A19" s="2" t="s">
        <v>18</v>
      </c>
      <c r="B19" s="3">
        <f>IFERROR(__xludf.DUMMYFUNCTION("""COMPUTED_VALUE"""),37379.645833333336)</f>
        <v>37379.64583</v>
      </c>
      <c r="C19" s="2">
        <f>IFERROR(__xludf.DUMMYFUNCTION("""COMPUTED_VALUE"""),25.21)</f>
        <v>25.21</v>
      </c>
    </row>
    <row r="20">
      <c r="A20" s="2" t="s">
        <v>19</v>
      </c>
      <c r="B20" s="3">
        <f>IFERROR(__xludf.DUMMYFUNCTION("""COMPUTED_VALUE"""),37386.645833333336)</f>
        <v>37386.64583</v>
      </c>
      <c r="C20" s="2">
        <f>IFERROR(__xludf.DUMMYFUNCTION("""COMPUTED_VALUE"""),27.38)</f>
        <v>27.38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IFERROR(__xludf.DUMMYFUNCTION("""COMPUTED_VALUE"""),28.21)</f>
        <v>28.21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IFERROR(__xludf.DUMMYFUNCTION("""COMPUTED_VALUE"""),25.92)</f>
        <v>25.92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IFERROR(__xludf.DUMMYFUNCTION("""COMPUTED_VALUE"""),24.44)</f>
        <v>24.44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IFERROR(__xludf.DUMMYFUNCTION("""COMPUTED_VALUE"""),27.88)</f>
        <v>27.88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IFERROR(__xludf.DUMMYFUNCTION("""COMPUTED_VALUE"""),30.46)</f>
        <v>30.46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IFERROR(__xludf.DUMMYFUNCTION("""COMPUTED_VALUE"""),29.79)</f>
        <v>29.79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IFERROR(__xludf.DUMMYFUNCTION("""COMPUTED_VALUE"""),29.93)</f>
        <v>29.93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IFERROR(__xludf.DUMMYFUNCTION("""COMPUTED_VALUE"""),31.3)</f>
        <v>31.3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IFERROR(__xludf.DUMMYFUNCTION("""COMPUTED_VALUE"""),31.54)</f>
        <v>31.54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IFERROR(__xludf.DUMMYFUNCTION("""COMPUTED_VALUE"""),29.78)</f>
        <v>29.78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IFERROR(__xludf.DUMMYFUNCTION("""COMPUTED_VALUE"""),28.93)</f>
        <v>28.93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IFERROR(__xludf.DUMMYFUNCTION("""COMPUTED_VALUE"""),25.45)</f>
        <v>25.45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IFERROR(__xludf.DUMMYFUNCTION("""COMPUTED_VALUE"""),26.06)</f>
        <v>26.06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IFERROR(__xludf.DUMMYFUNCTION("""COMPUTED_VALUE"""),25.74)</f>
        <v>25.74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IFERROR(__xludf.DUMMYFUNCTION("""COMPUTED_VALUE"""),26.05)</f>
        <v>26.05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IFERROR(__xludf.DUMMYFUNCTION("""COMPUTED_VALUE"""),26.9)</f>
        <v>26.9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IFERROR(__xludf.DUMMYFUNCTION("""COMPUTED_VALUE"""),27.65)</f>
        <v>27.65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IFERROR(__xludf.DUMMYFUNCTION("""COMPUTED_VALUE"""),26.9)</f>
        <v>26.9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IFERROR(__xludf.DUMMYFUNCTION("""COMPUTED_VALUE"""),28.8)</f>
        <v>28.8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IFERROR(__xludf.DUMMYFUNCTION("""COMPUTED_VALUE"""),25.78)</f>
        <v>25.78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IFERROR(__xludf.DUMMYFUNCTION("""COMPUTED_VALUE"""),25.54)</f>
        <v>25.54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IFERROR(__xludf.DUMMYFUNCTION("""COMPUTED_VALUE"""),26.86)</f>
        <v>26.86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IFERROR(__xludf.DUMMYFUNCTION("""COMPUTED_VALUE"""),27.45)</f>
        <v>27.45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IFERROR(__xludf.DUMMYFUNCTION("""COMPUTED_VALUE"""),27.21)</f>
        <v>27.21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IFERROR(__xludf.DUMMYFUNCTION("""COMPUTED_VALUE"""),28.58)</f>
        <v>28.58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IFERROR(__xludf.DUMMYFUNCTION("""COMPUTED_VALUE"""),28.59)</f>
        <v>28.59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IFERROR(__xludf.DUMMYFUNCTION("""COMPUTED_VALUE"""),30.72)</f>
        <v>30.72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IFERROR(__xludf.DUMMYFUNCTION("""COMPUTED_VALUE"""),31.87)</f>
        <v>31.87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IFERROR(__xludf.DUMMYFUNCTION("""COMPUTED_VALUE"""),32.58)</f>
        <v>32.58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IFERROR(__xludf.DUMMYFUNCTION("""COMPUTED_VALUE"""),32.92)</f>
        <v>32.92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IFERROR(__xludf.DUMMYFUNCTION("""COMPUTED_VALUE"""),33.11)</f>
        <v>33.11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IFERROR(__xludf.DUMMYFUNCTION("""COMPUTED_VALUE"""),32.08)</f>
        <v>32.08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IFERROR(__xludf.DUMMYFUNCTION("""COMPUTED_VALUE"""),31.29)</f>
        <v>31.29</v>
      </c>
    </row>
    <row r="54" ht="15.75" customHeight="1"/>
    <row r="55" ht="15.75" customHeight="1"/>
    <row r="56" ht="15.75" customHeight="1">
      <c r="B56" s="2" t="str">
        <f>IFERROR(__xludf.DUMMYFUNCTION("GOOGLEFINANCE(""NSE:TATAMOTORS"",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IFERROR(__xludf.DUMMYFUNCTION("""COMPUTED_VALUE"""),31.3)</f>
        <v>31.3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IFERROR(__xludf.DUMMYFUNCTION("""COMPUTED_VALUE"""),31.66)</f>
        <v>31.66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IFERROR(__xludf.DUMMYFUNCTION("""COMPUTED_VALUE"""),33.03)</f>
        <v>33.03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IFERROR(__xludf.DUMMYFUNCTION("""COMPUTED_VALUE"""),32.4)</f>
        <v>32.4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IFERROR(__xludf.DUMMYFUNCTION("""COMPUTED_VALUE"""),30.15)</f>
        <v>30.15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IFERROR(__xludf.DUMMYFUNCTION("""COMPUTED_VALUE"""),31.58)</f>
        <v>31.58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IFERROR(__xludf.DUMMYFUNCTION("""COMPUTED_VALUE"""),31.36)</f>
        <v>31.36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IFERROR(__xludf.DUMMYFUNCTION("""COMPUTED_VALUE"""),31.29)</f>
        <v>31.29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IFERROR(__xludf.DUMMYFUNCTION("""COMPUTED_VALUE"""),31.96)</f>
        <v>31.96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IFERROR(__xludf.DUMMYFUNCTION("""COMPUTED_VALUE"""),31.77)</f>
        <v>31.77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IFERROR(__xludf.DUMMYFUNCTION("""COMPUTED_VALUE"""),30.03)</f>
        <v>30.03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IFERROR(__xludf.DUMMYFUNCTION("""COMPUTED_VALUE"""),31.05)</f>
        <v>31.05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IFERROR(__xludf.DUMMYFUNCTION("""COMPUTED_VALUE"""),34.37)</f>
        <v>34.37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IFERROR(__xludf.DUMMYFUNCTION("""COMPUTED_VALUE"""),32.27)</f>
        <v>32.27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IFERROR(__xludf.DUMMYFUNCTION("""COMPUTED_VALUE"""),30.72)</f>
        <v>30.72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IFERROR(__xludf.DUMMYFUNCTION("""COMPUTED_VALUE"""),29.9)</f>
        <v>29.9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IFERROR(__xludf.DUMMYFUNCTION("""COMPUTED_VALUE"""),29.72)</f>
        <v>29.72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IFERROR(__xludf.DUMMYFUNCTION("""COMPUTED_VALUE"""),30.84)</f>
        <v>30.84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IFERROR(__xludf.DUMMYFUNCTION("""COMPUTED_VALUE"""),30.75)</f>
        <v>30.75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IFERROR(__xludf.DUMMYFUNCTION("""COMPUTED_VALUE"""),33.01)</f>
        <v>33.01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IFERROR(__xludf.DUMMYFUNCTION("""COMPUTED_VALUE"""),33.65)</f>
        <v>33.65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IFERROR(__xludf.DUMMYFUNCTION("""COMPUTED_VALUE"""),35.12)</f>
        <v>35.12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IFERROR(__xludf.DUMMYFUNCTION("""COMPUTED_VALUE"""),35.61)</f>
        <v>35.61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IFERROR(__xludf.DUMMYFUNCTION("""COMPUTED_VALUE"""),37.76)</f>
        <v>37.76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IFERROR(__xludf.DUMMYFUNCTION("""COMPUTED_VALUE"""),39.13)</f>
        <v>39.13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IFERROR(__xludf.DUMMYFUNCTION("""COMPUTED_VALUE"""),39.72)</f>
        <v>39.72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IFERROR(__xludf.DUMMYFUNCTION("""COMPUTED_VALUE"""),41.87)</f>
        <v>41.87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IFERROR(__xludf.DUMMYFUNCTION("""COMPUTED_VALUE"""),43.42)</f>
        <v>43.42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IFERROR(__xludf.DUMMYFUNCTION("""COMPUTED_VALUE"""),43.63)</f>
        <v>43.63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IFERROR(__xludf.DUMMYFUNCTION("""COMPUTED_VALUE"""),45.79)</f>
        <v>45.79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IFERROR(__xludf.DUMMYFUNCTION("""COMPUTED_VALUE"""),47.34)</f>
        <v>47.34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IFERROR(__xludf.DUMMYFUNCTION("""COMPUTED_VALUE"""),48.83)</f>
        <v>48.83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IFERROR(__xludf.DUMMYFUNCTION("""COMPUTED_VALUE"""),50.54)</f>
        <v>50.54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IFERROR(__xludf.DUMMYFUNCTION("""COMPUTED_VALUE"""),54.56)</f>
        <v>54.56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IFERROR(__xludf.DUMMYFUNCTION("""COMPUTED_VALUE"""),55.37)</f>
        <v>55.37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IFERROR(__xludf.DUMMYFUNCTION("""COMPUTED_VALUE"""),55.8)</f>
        <v>55.8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IFERROR(__xludf.DUMMYFUNCTION("""COMPUTED_VALUE"""),55.04)</f>
        <v>55.04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IFERROR(__xludf.DUMMYFUNCTION("""COMPUTED_VALUE"""),57.97)</f>
        <v>57.97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IFERROR(__xludf.DUMMYFUNCTION("""COMPUTED_VALUE"""),61.05)</f>
        <v>61.05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IFERROR(__xludf.DUMMYFUNCTION("""COMPUTED_VALUE"""),81.13)</f>
        <v>81.13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IFERROR(__xludf.DUMMYFUNCTION("""COMPUTED_VALUE"""),75.23)</f>
        <v>75.23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IFERROR(__xludf.DUMMYFUNCTION("""COMPUTED_VALUE"""),74.09)</f>
        <v>74.09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IFERROR(__xludf.DUMMYFUNCTION("""COMPUTED_VALUE"""),78.67)</f>
        <v>78.67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IFERROR(__xludf.DUMMYFUNCTION("""COMPUTED_VALUE"""),75.7)</f>
        <v>75.7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IFERROR(__xludf.DUMMYFUNCTION("""COMPUTED_VALUE"""),79.13)</f>
        <v>79.13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IFERROR(__xludf.DUMMYFUNCTION("""COMPUTED_VALUE"""),82.39)</f>
        <v>82.39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IFERROR(__xludf.DUMMYFUNCTION("""COMPUTED_VALUE"""),81.76)</f>
        <v>81.76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IFERROR(__xludf.DUMMYFUNCTION("""COMPUTED_VALUE"""),83.76)</f>
        <v>83.76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IFERROR(__xludf.DUMMYFUNCTION("""COMPUTED_VALUE"""),84.21)</f>
        <v>84.21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IFERROR(__xludf.DUMMYFUNCTION("GOOGLEFINANCE(""NSE:TATAMOTORS"",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IFERROR(__xludf.DUMMYFUNCTION("""COMPUTED_VALUE"""),87.9)</f>
        <v>87.9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IFERROR(__xludf.DUMMYFUNCTION("""COMPUTED_VALUE"""),90.98)</f>
        <v>90.98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IFERROR(__xludf.DUMMYFUNCTION("""COMPUTED_VALUE"""),98.34)</f>
        <v>98.34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IFERROR(__xludf.DUMMYFUNCTION("""COMPUTED_VALUE"""),99.07)</f>
        <v>99.07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IFERROR(__xludf.DUMMYFUNCTION("""COMPUTED_VALUE"""),103.21)</f>
        <v>103.21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IFERROR(__xludf.DUMMYFUNCTION("""COMPUTED_VALUE"""),105.32)</f>
        <v>105.32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IFERROR(__xludf.DUMMYFUNCTION("""COMPUTED_VALUE"""),106.07)</f>
        <v>106.07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IFERROR(__xludf.DUMMYFUNCTION("""COMPUTED_VALUE"""),108.9)</f>
        <v>108.9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IFERROR(__xludf.DUMMYFUNCTION("""COMPUTED_VALUE"""),106.55)</f>
        <v>106.55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IFERROR(__xludf.DUMMYFUNCTION("""COMPUTED_VALUE"""),103.49)</f>
        <v>103.49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IFERROR(__xludf.DUMMYFUNCTION("""COMPUTED_VALUE"""),103.67)</f>
        <v>103.67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IFERROR(__xludf.DUMMYFUNCTION("""COMPUTED_VALUE"""),94.67)</f>
        <v>94.67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IFERROR(__xludf.DUMMYFUNCTION("""COMPUTED_VALUE"""),89.52)</f>
        <v>89.52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IFERROR(__xludf.DUMMYFUNCTION("""COMPUTED_VALUE"""),95.42)</f>
        <v>95.42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IFERROR(__xludf.DUMMYFUNCTION("""COMPUTED_VALUE"""),98.81)</f>
        <v>98.81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IFERROR(__xludf.DUMMYFUNCTION("""COMPUTED_VALUE"""),100.8)</f>
        <v>100.8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IFERROR(__xludf.DUMMYFUNCTION("""COMPUTED_VALUE"""),97.38)</f>
        <v>97.38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IFERROR(__xludf.DUMMYFUNCTION("""COMPUTED_VALUE"""),93.76)</f>
        <v>93.76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IFERROR(__xludf.DUMMYFUNCTION("""COMPUTED_VALUE"""),89.71)</f>
        <v>89.71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IFERROR(__xludf.DUMMYFUNCTION("""COMPUTED_VALUE"""),90.7)</f>
        <v>90.7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IFERROR(__xludf.DUMMYFUNCTION("""COMPUTED_VALUE"""),85.3)</f>
        <v>85.3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IFERROR(__xludf.DUMMYFUNCTION("""COMPUTED_VALUE"""),78.17)</f>
        <v>78.17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IFERROR(__xludf.DUMMYFUNCTION("""COMPUTED_VALUE"""),79.41)</f>
        <v>79.41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IFERROR(__xludf.DUMMYFUNCTION("""COMPUTED_VALUE"""),77.3)</f>
        <v>77.3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IFERROR(__xludf.DUMMYFUNCTION("""COMPUTED_VALUE"""),77.7)</f>
        <v>77.7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IFERROR(__xludf.DUMMYFUNCTION("""COMPUTED_VALUE"""),74.79)</f>
        <v>74.79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IFERROR(__xludf.DUMMYFUNCTION("""COMPUTED_VALUE"""),79.63)</f>
        <v>79.63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IFERROR(__xludf.DUMMYFUNCTION("""COMPUTED_VALUE"""),81.61)</f>
        <v>81.61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IFERROR(__xludf.DUMMYFUNCTION("""COMPUTED_VALUE"""),79.78)</f>
        <v>79.78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IFERROR(__xludf.DUMMYFUNCTION("""COMPUTED_VALUE"""),81.62)</f>
        <v>81.62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IFERROR(__xludf.DUMMYFUNCTION("""COMPUTED_VALUE"""),83.81)</f>
        <v>83.81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IFERROR(__xludf.DUMMYFUNCTION("""COMPUTED_VALUE"""),83.49)</f>
        <v>83.49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IFERROR(__xludf.DUMMYFUNCTION("""COMPUTED_VALUE"""),79.63)</f>
        <v>79.63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IFERROR(__xludf.DUMMYFUNCTION("""COMPUTED_VALUE"""),74.18)</f>
        <v>74.18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IFERROR(__xludf.DUMMYFUNCTION("""COMPUTED_VALUE"""),75.28)</f>
        <v>75.28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IFERROR(__xludf.DUMMYFUNCTION("""COMPUTED_VALUE"""),76.74)</f>
        <v>76.74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IFERROR(__xludf.DUMMYFUNCTION("""COMPUTED_VALUE"""),77.85)</f>
        <v>77.85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IFERROR(__xludf.DUMMYFUNCTION("""COMPUTED_VALUE"""),80.13)</f>
        <v>80.13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IFERROR(__xludf.DUMMYFUNCTION("""COMPUTED_VALUE"""),80.47)</f>
        <v>80.47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IFERROR(__xludf.DUMMYFUNCTION("""COMPUTED_VALUE"""),81.95)</f>
        <v>81.95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IFERROR(__xludf.DUMMYFUNCTION("""COMPUTED_VALUE"""),81.04)</f>
        <v>81.04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IFERROR(__xludf.DUMMYFUNCTION("""COMPUTED_VALUE"""),82.0)</f>
        <v>82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IFERROR(__xludf.DUMMYFUNCTION("""COMPUTED_VALUE"""),81.34)</f>
        <v>81.34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IFERROR(__xludf.DUMMYFUNCTION("""COMPUTED_VALUE"""),83.35)</f>
        <v>83.35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IFERROR(__xludf.DUMMYFUNCTION("""COMPUTED_VALUE"""),85.93)</f>
        <v>85.93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IFERROR(__xludf.DUMMYFUNCTION("""COMPUTED_VALUE"""),90.02)</f>
        <v>90.02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IFERROR(__xludf.DUMMYFUNCTION("""COMPUTED_VALUE"""),96.02)</f>
        <v>96.02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IFERROR(__xludf.DUMMYFUNCTION("""COMPUTED_VALUE"""),96.03)</f>
        <v>96.03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IFERROR(__xludf.DUMMYFUNCTION("""COMPUTED_VALUE"""),96.62)</f>
        <v>96.62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IFERROR(__xludf.DUMMYFUNCTION("""COMPUTED_VALUE"""),98.53)</f>
        <v>98.53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IFERROR(__xludf.DUMMYFUNCTION("""COMPUTED_VALUE"""),98.87)</f>
        <v>98.87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IFERROR(__xludf.DUMMYFUNCTION("GOOGLEFINANCE(""NSE:TATAMOTORS"",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IFERROR(__xludf.DUMMYFUNCTION("""COMPUTED_VALUE"""),100.43)</f>
        <v>100.43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IFERROR(__xludf.DUMMYFUNCTION("""COMPUTED_VALUE"""),95.28)</f>
        <v>95.28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IFERROR(__xludf.DUMMYFUNCTION("""COMPUTED_VALUE"""),92.31)</f>
        <v>92.31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IFERROR(__xludf.DUMMYFUNCTION("""COMPUTED_VALUE"""),94.14)</f>
        <v>94.14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IFERROR(__xludf.DUMMYFUNCTION("""COMPUTED_VALUE"""),96.98)</f>
        <v>96.98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IFERROR(__xludf.DUMMYFUNCTION("""COMPUTED_VALUE"""),96.62)</f>
        <v>96.62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IFERROR(__xludf.DUMMYFUNCTION("""COMPUTED_VALUE"""),97.92)</f>
        <v>97.92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IFERROR(__xludf.DUMMYFUNCTION("""COMPUTED_VALUE"""),93.28)</f>
        <v>93.28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IFERROR(__xludf.DUMMYFUNCTION("""COMPUTED_VALUE"""),93.43)</f>
        <v>93.43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IFERROR(__xludf.DUMMYFUNCTION("""COMPUTED_VALUE"""),94.12)</f>
        <v>94.12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IFERROR(__xludf.DUMMYFUNCTION("""COMPUTED_VALUE"""),89.67)</f>
        <v>89.67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IFERROR(__xludf.DUMMYFUNCTION("""COMPUTED_VALUE"""),88.48)</f>
        <v>88.48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IFERROR(__xludf.DUMMYFUNCTION("""COMPUTED_VALUE"""),83.06)</f>
        <v>83.06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IFERROR(__xludf.DUMMYFUNCTION("""COMPUTED_VALUE"""),82.87)</f>
        <v>82.87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IFERROR(__xludf.DUMMYFUNCTION("""COMPUTED_VALUE"""),81.97)</f>
        <v>81.97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IFERROR(__xludf.DUMMYFUNCTION("""COMPUTED_VALUE"""),85.35)</f>
        <v>85.35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IFERROR(__xludf.DUMMYFUNCTION("""COMPUTED_VALUE"""),85.54)</f>
        <v>85.54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IFERROR(__xludf.DUMMYFUNCTION("""COMPUTED_VALUE"""),81.92)</f>
        <v>81.92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IFERROR(__xludf.DUMMYFUNCTION("""COMPUTED_VALUE"""),83.86)</f>
        <v>83.86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IFERROR(__xludf.DUMMYFUNCTION("""COMPUTED_VALUE"""),86.77)</f>
        <v>86.77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IFERROR(__xludf.DUMMYFUNCTION("""COMPUTED_VALUE"""),86.59)</f>
        <v>86.59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IFERROR(__xludf.DUMMYFUNCTION("""COMPUTED_VALUE"""),84.38)</f>
        <v>84.38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IFERROR(__xludf.DUMMYFUNCTION("""COMPUTED_VALUE"""),81.92)</f>
        <v>81.92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IFERROR(__xludf.DUMMYFUNCTION("""COMPUTED_VALUE"""),82.76)</f>
        <v>82.76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IFERROR(__xludf.DUMMYFUNCTION("""COMPUTED_VALUE"""),85.26)</f>
        <v>85.26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IFERROR(__xludf.DUMMYFUNCTION("""COMPUTED_VALUE"""),86.25)</f>
        <v>86.25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IFERROR(__xludf.DUMMYFUNCTION("""COMPUTED_VALUE"""),90.3)</f>
        <v>90.3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IFERROR(__xludf.DUMMYFUNCTION("""COMPUTED_VALUE"""),91.65)</f>
        <v>91.65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IFERROR(__xludf.DUMMYFUNCTION("""COMPUTED_VALUE"""),93.85)</f>
        <v>93.85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IFERROR(__xludf.DUMMYFUNCTION("""COMPUTED_VALUE"""),101.47)</f>
        <v>101.47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IFERROR(__xludf.DUMMYFUNCTION("""COMPUTED_VALUE"""),97.13)</f>
        <v>97.13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IFERROR(__xludf.DUMMYFUNCTION("""COMPUTED_VALUE"""),96.62)</f>
        <v>96.62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IFERROR(__xludf.DUMMYFUNCTION("""COMPUTED_VALUE"""),94.46)</f>
        <v>94.46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IFERROR(__xludf.DUMMYFUNCTION("""COMPUTED_VALUE"""),95.24)</f>
        <v>95.24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IFERROR(__xludf.DUMMYFUNCTION("""COMPUTED_VALUE"""),98.46)</f>
        <v>98.46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IFERROR(__xludf.DUMMYFUNCTION("""COMPUTED_VALUE"""),101.36)</f>
        <v>101.36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IFERROR(__xludf.DUMMYFUNCTION("""COMPUTED_VALUE"""),102.5)</f>
        <v>102.5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IFERROR(__xludf.DUMMYFUNCTION("""COMPUTED_VALUE"""),104.93)</f>
        <v>104.93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IFERROR(__xludf.DUMMYFUNCTION("""COMPUTED_VALUE"""),110.08)</f>
        <v>110.08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IFERROR(__xludf.DUMMYFUNCTION("""COMPUTED_VALUE"""),107.39)</f>
        <v>107.39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IFERROR(__xludf.DUMMYFUNCTION("""COMPUTED_VALUE"""),103.68)</f>
        <v>103.68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IFERROR(__xludf.DUMMYFUNCTION("""COMPUTED_VALUE"""),100.33)</f>
        <v>100.33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IFERROR(__xludf.DUMMYFUNCTION("""COMPUTED_VALUE"""),93.18)</f>
        <v>93.18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IFERROR(__xludf.DUMMYFUNCTION("""COMPUTED_VALUE"""),98.53)</f>
        <v>98.53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IFERROR(__xludf.DUMMYFUNCTION("""COMPUTED_VALUE"""),104.64)</f>
        <v>104.64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IFERROR(__xludf.DUMMYFUNCTION("""COMPUTED_VALUE"""),112.58)</f>
        <v>112.58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IFERROR(__xludf.DUMMYFUNCTION("""COMPUTED_VALUE"""),110.54)</f>
        <v>110.54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IFERROR(__xludf.DUMMYFUNCTION("""COMPUTED_VALUE"""),121.44)</f>
        <v>121.44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IFERROR(__xludf.DUMMYFUNCTION("""COMPUTED_VALUE"""),122.91)</f>
        <v>122.91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IFERROR(__xludf.DUMMYFUNCTION("""COMPUTED_VALUE"""),127.08)</f>
        <v>127.08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IFERROR(__xludf.DUMMYFUNCTION("GOOGLEFINANCE(""NSE:TATAMOTORS"",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IFERROR(__xludf.DUMMYFUNCTION("""COMPUTED_VALUE"""),129.65)</f>
        <v>129.65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IFERROR(__xludf.DUMMYFUNCTION("""COMPUTED_VALUE"""),125.4)</f>
        <v>125.4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IFERROR(__xludf.DUMMYFUNCTION("""COMPUTED_VALUE"""),126.93)</f>
        <v>126.93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IFERROR(__xludf.DUMMYFUNCTION("""COMPUTED_VALUE"""),133.07)</f>
        <v>133.07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IFERROR(__xludf.DUMMYFUNCTION("""COMPUTED_VALUE"""),140.16)</f>
        <v>140.16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IFERROR(__xludf.DUMMYFUNCTION("""COMPUTED_VALUE"""),147.12)</f>
        <v>147.12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IFERROR(__xludf.DUMMYFUNCTION("""COMPUTED_VALUE"""),155.05)</f>
        <v>155.05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IFERROR(__xludf.DUMMYFUNCTION("""COMPUTED_VALUE"""),152.76)</f>
        <v>152.76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IFERROR(__xludf.DUMMYFUNCTION("""COMPUTED_VALUE"""),173.76)</f>
        <v>173.76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IFERROR(__xludf.DUMMYFUNCTION("""COMPUTED_VALUE"""),179.84)</f>
        <v>179.84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IFERROR(__xludf.DUMMYFUNCTION("""COMPUTED_VALUE"""),180.23)</f>
        <v>180.23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IFERROR(__xludf.DUMMYFUNCTION("""COMPUTED_VALUE"""),180.83)</f>
        <v>180.83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IFERROR(__xludf.DUMMYFUNCTION("""COMPUTED_VALUE"""),178.92)</f>
        <v>178.92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IFERROR(__xludf.DUMMYFUNCTION("""COMPUTED_VALUE"""),186.18)</f>
        <v>186.18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IFERROR(__xludf.DUMMYFUNCTION("""COMPUTED_VALUE"""),182.13)</f>
        <v>182.13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IFERROR(__xludf.DUMMYFUNCTION("""COMPUTED_VALUE"""),187.87)</f>
        <v>187.87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IFERROR(__xludf.DUMMYFUNCTION("""COMPUTED_VALUE"""),188.04)</f>
        <v>188.04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IFERROR(__xludf.DUMMYFUNCTION("""COMPUTED_VALUE"""),190.53)</f>
        <v>190.53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IFERROR(__xludf.DUMMYFUNCTION("""COMPUTED_VALUE"""),187.13)</f>
        <v>187.13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IFERROR(__xludf.DUMMYFUNCTION("""COMPUTED_VALUE"""),175.29)</f>
        <v>175.29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IFERROR(__xludf.DUMMYFUNCTION("""COMPUTED_VALUE"""),159.33)</f>
        <v>159.33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IFERROR(__xludf.DUMMYFUNCTION("""COMPUTED_VALUE"""),155.2)</f>
        <v>155.2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IFERROR(__xludf.DUMMYFUNCTION("""COMPUTED_VALUE"""),145.5)</f>
        <v>145.5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IFERROR(__xludf.DUMMYFUNCTION("""COMPUTED_VALUE"""),152.45)</f>
        <v>152.45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IFERROR(__xludf.DUMMYFUNCTION("""COMPUTED_VALUE"""),156.73)</f>
        <v>156.73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IFERROR(__xludf.DUMMYFUNCTION("""COMPUTED_VALUE"""),154.78)</f>
        <v>154.78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IFERROR(__xludf.DUMMYFUNCTION("""COMPUTED_VALUE"""),151.17)</f>
        <v>151.17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IFERROR(__xludf.DUMMYFUNCTION("""COMPUTED_VALUE"""),141.26)</f>
        <v>141.26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IFERROR(__xludf.DUMMYFUNCTION("""COMPUTED_VALUE"""),143.02)</f>
        <v>143.02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IFERROR(__xludf.DUMMYFUNCTION("""COMPUTED_VALUE"""),150.66)</f>
        <v>150.66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IFERROR(__xludf.DUMMYFUNCTION("""COMPUTED_VALUE"""),154.9)</f>
        <v>154.9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IFERROR(__xludf.DUMMYFUNCTION("""COMPUTED_VALUE"""),163.62)</f>
        <v>163.62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IFERROR(__xludf.DUMMYFUNCTION("""COMPUTED_VALUE"""),165.74)</f>
        <v>165.74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IFERROR(__xludf.DUMMYFUNCTION("""COMPUTED_VALUE"""),166.32)</f>
        <v>166.32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IFERROR(__xludf.DUMMYFUNCTION("""COMPUTED_VALUE"""),172.96)</f>
        <v>172.96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IFERROR(__xludf.DUMMYFUNCTION("""COMPUTED_VALUE"""),172.22)</f>
        <v>172.22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IFERROR(__xludf.DUMMYFUNCTION("""COMPUTED_VALUE"""),166.89)</f>
        <v>166.89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IFERROR(__xludf.DUMMYFUNCTION("""COMPUTED_VALUE"""),165.46)</f>
        <v>165.46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IFERROR(__xludf.DUMMYFUNCTION("""COMPUTED_VALUE"""),172.23)</f>
        <v>172.23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IFERROR(__xludf.DUMMYFUNCTION("""COMPUTED_VALUE"""),175.19)</f>
        <v>175.19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IFERROR(__xludf.DUMMYFUNCTION("""COMPUTED_VALUE"""),170.71)</f>
        <v>170.71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IFERROR(__xludf.DUMMYFUNCTION("""COMPUTED_VALUE"""),171.76)</f>
        <v>171.76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IFERROR(__xludf.DUMMYFUNCTION("""COMPUTED_VALUE"""),158.66)</f>
        <v>158.66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IFERROR(__xludf.DUMMYFUNCTION("""COMPUTED_VALUE"""),160.37)</f>
        <v>160.37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IFERROR(__xludf.DUMMYFUNCTION("""COMPUTED_VALUE"""),161.04)</f>
        <v>161.04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IFERROR(__xludf.DUMMYFUNCTION("""COMPUTED_VALUE"""),172.43)</f>
        <v>172.43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IFERROR(__xludf.DUMMYFUNCTION("""COMPUTED_VALUE"""),171.09)</f>
        <v>171.09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IFERROR(__xludf.DUMMYFUNCTION("""COMPUTED_VALUE"""),166.09)</f>
        <v>166.09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IFERROR(__xludf.DUMMYFUNCTION("""COMPUTED_VALUE"""),171.05)</f>
        <v>171.05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IFERROR(__xludf.DUMMYFUNCTION("""COMPUTED_VALUE"""),176.62)</f>
        <v>176.62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IFERROR(__xludf.DUMMYFUNCTION("GOOGLEFINANCE(""NSE:TATAMOTORS"",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IFERROR(__xludf.DUMMYFUNCTION("""COMPUTED_VALUE"""),188.73)</f>
        <v>188.73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IFERROR(__xludf.DUMMYFUNCTION("""COMPUTED_VALUE"""),180.43)</f>
        <v>180.43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IFERROR(__xludf.DUMMYFUNCTION("""COMPUTED_VALUE"""),186.17)</f>
        <v>186.17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IFERROR(__xludf.DUMMYFUNCTION("""COMPUTED_VALUE"""),185.18)</f>
        <v>185.18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IFERROR(__xludf.DUMMYFUNCTION("""COMPUTED_VALUE"""),177.58)</f>
        <v>177.58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IFERROR(__xludf.DUMMYFUNCTION("""COMPUTED_VALUE"""),177.58)</f>
        <v>177.58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IFERROR(__xludf.DUMMYFUNCTION("""COMPUTED_VALUE"""),177.58)</f>
        <v>177.58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IFERROR(__xludf.DUMMYFUNCTION("""COMPUTED_VALUE"""),169.75)</f>
        <v>169.75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IFERROR(__xludf.DUMMYFUNCTION("""COMPUTED_VALUE"""),162.09)</f>
        <v>162.09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IFERROR(__xludf.DUMMYFUNCTION("""COMPUTED_VALUE"""),149.4)</f>
        <v>149.4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IFERROR(__xludf.DUMMYFUNCTION("""COMPUTED_VALUE"""),148.69)</f>
        <v>148.69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IFERROR(__xludf.DUMMYFUNCTION("""COMPUTED_VALUE"""),154.86)</f>
        <v>154.86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IFERROR(__xludf.DUMMYFUNCTION("""COMPUTED_VALUE"""),151.02)</f>
        <v>151.02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IFERROR(__xludf.DUMMYFUNCTION("""COMPUTED_VALUE"""),135.76)</f>
        <v>135.76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IFERROR(__xludf.DUMMYFUNCTION("""COMPUTED_VALUE"""),139.58)</f>
        <v>139.58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IFERROR(__xludf.DUMMYFUNCTION("""COMPUTED_VALUE"""),145.41)</f>
        <v>145.41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IFERROR(__xludf.DUMMYFUNCTION("""COMPUTED_VALUE"""),150.82)</f>
        <v>150.82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IFERROR(__xludf.DUMMYFUNCTION("""COMPUTED_VALUE"""),148.94)</f>
        <v>148.94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IFERROR(__xludf.DUMMYFUNCTION("""COMPUTED_VALUE"""),141.87)</f>
        <v>141.87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IFERROR(__xludf.DUMMYFUNCTION("""COMPUTED_VALUE"""),144.55)</f>
        <v>144.55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IFERROR(__xludf.DUMMYFUNCTION("""COMPUTED_VALUE"""),142.26)</f>
        <v>142.26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IFERROR(__xludf.DUMMYFUNCTION("""COMPUTED_VALUE"""),145.96)</f>
        <v>145.96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IFERROR(__xludf.DUMMYFUNCTION("""COMPUTED_VALUE"""),142.26)</f>
        <v>142.26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IFERROR(__xludf.DUMMYFUNCTION("""COMPUTED_VALUE"""),130.8)</f>
        <v>130.8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IFERROR(__xludf.DUMMYFUNCTION("""COMPUTED_VALUE"""),133.28)</f>
        <v>133.28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IFERROR(__xludf.DUMMYFUNCTION("""COMPUTED_VALUE"""),131.85)</f>
        <v>131.85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IFERROR(__xludf.DUMMYFUNCTION("""COMPUTED_VALUE"""),137.1)</f>
        <v>137.1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IFERROR(__xludf.DUMMYFUNCTION("""COMPUTED_VALUE"""),147.43)</f>
        <v>147.43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IFERROR(__xludf.DUMMYFUNCTION("""COMPUTED_VALUE"""),158.49)</f>
        <v>158.49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IFERROR(__xludf.DUMMYFUNCTION("""COMPUTED_VALUE"""),148.94)</f>
        <v>148.94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IFERROR(__xludf.DUMMYFUNCTION("""COMPUTED_VALUE"""),137.58)</f>
        <v>137.58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IFERROR(__xludf.DUMMYFUNCTION("""COMPUTED_VALUE"""),129.84)</f>
        <v>129.84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IFERROR(__xludf.DUMMYFUNCTION("""COMPUTED_VALUE"""),133.38)</f>
        <v>133.38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IFERROR(__xludf.DUMMYFUNCTION("""COMPUTED_VALUE"""),127.36)</f>
        <v>127.36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IFERROR(__xludf.DUMMYFUNCTION("""COMPUTED_VALUE"""),135.76)</f>
        <v>135.76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IFERROR(__xludf.DUMMYFUNCTION("""COMPUTED_VALUE"""),137.1)</f>
        <v>137.1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IFERROR(__xludf.DUMMYFUNCTION("""COMPUTED_VALUE"""),134.6)</f>
        <v>134.6</v>
      </c>
    </row>
    <row r="314" ht="15.75" customHeight="1">
      <c r="B314" s="3">
        <f>IFERROR(__xludf.DUMMYFUNCTION("""COMPUTED_VALUE"""),39346.645833333336)</f>
        <v>39346.64583</v>
      </c>
      <c r="C314" s="2">
        <f>IFERROR(__xludf.DUMMYFUNCTION("""COMPUTED_VALUE"""),142.79)</f>
        <v>142.79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IFERROR(__xludf.DUMMYFUNCTION("""COMPUTED_VALUE"""),156.96)</f>
        <v>156.96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IFERROR(__xludf.DUMMYFUNCTION("""COMPUTED_VALUE"""),154.59)</f>
        <v>154.59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IFERROR(__xludf.DUMMYFUNCTION("""COMPUTED_VALUE"""),160.76)</f>
        <v>160.76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IFERROR(__xludf.DUMMYFUNCTION("""COMPUTED_VALUE"""),159.84)</f>
        <v>159.84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IFERROR(__xludf.DUMMYFUNCTION("""COMPUTED_VALUE"""),155.97)</f>
        <v>155.97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IFERROR(__xludf.DUMMYFUNCTION("""COMPUTED_VALUE"""),159.78)</f>
        <v>159.78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IFERROR(__xludf.DUMMYFUNCTION("""COMPUTED_VALUE"""),139.74)</f>
        <v>139.74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IFERROR(__xludf.DUMMYFUNCTION("""COMPUTED_VALUE"""),138.19)</f>
        <v>138.19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IFERROR(__xludf.DUMMYFUNCTION("""COMPUTED_VALUE"""),142.06)</f>
        <v>142.06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IFERROR(__xludf.DUMMYFUNCTION("""COMPUTED_VALUE"""),149.68)</f>
        <v>149.68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IFERROR(__xludf.DUMMYFUNCTION("""COMPUTED_VALUE"""),150.43)</f>
        <v>150.43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IFERROR(__xludf.DUMMYFUNCTION("""COMPUTED_VALUE"""),143.15)</f>
        <v>143.15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IFERROR(__xludf.DUMMYFUNCTION("""COMPUTED_VALUE"""),145.12)</f>
        <v>145.12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IFERROR(__xludf.DUMMYFUNCTION("GOOGLEFINANCE(""NSE:TATAMOTORS"",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IFERROR(__xludf.DUMMYFUNCTION("""COMPUTED_VALUE"""),157.36)</f>
        <v>157.36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IFERROR(__xludf.DUMMYFUNCTION("""COMPUTED_VALUE"""),154.25)</f>
        <v>154.25</v>
      </c>
    </row>
    <row r="334" ht="15.75" customHeight="1">
      <c r="B334" s="3">
        <f>IFERROR(__xludf.DUMMYFUNCTION("""COMPUTED_VALUE"""),39465.645833333336)</f>
        <v>39465.64583</v>
      </c>
      <c r="C334" s="2">
        <f>IFERROR(__xludf.DUMMYFUNCTION("""COMPUTED_VALUE"""),150.85)</f>
        <v>150.85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IFERROR(__xludf.DUMMYFUNCTION("""COMPUTED_VALUE"""),137.1)</f>
        <v>137.1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IFERROR(__xludf.DUMMYFUNCTION("""COMPUTED_VALUE"""),145.12)</f>
        <v>145.12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IFERROR(__xludf.DUMMYFUNCTION("""COMPUTED_VALUE"""),150.43)</f>
        <v>150.43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IFERROR(__xludf.DUMMYFUNCTION("""COMPUTED_VALUE"""),144.36)</f>
        <v>144.36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IFERROR(__xludf.DUMMYFUNCTION("""COMPUTED_VALUE"""),144.17)</f>
        <v>144.17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IFERROR(__xludf.DUMMYFUNCTION("""COMPUTED_VALUE"""),137.09)</f>
        <v>137.09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IFERROR(__xludf.DUMMYFUNCTION("""COMPUTED_VALUE"""),135.94)</f>
        <v>135.94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IFERROR(__xludf.DUMMYFUNCTION("""COMPUTED_VALUE"""),133.61)</f>
        <v>133.61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IFERROR(__xludf.DUMMYFUNCTION("""COMPUTED_VALUE"""),125.07)</f>
        <v>125.07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IFERROR(__xludf.DUMMYFUNCTION("""COMPUTED_VALUE"""),132.52)</f>
        <v>132.52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IFERROR(__xludf.DUMMYFUNCTION("""COMPUTED_VALUE"""),124.12)</f>
        <v>124.12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IFERROR(__xludf.DUMMYFUNCTION("""COMPUTED_VALUE"""),122.4)</f>
        <v>122.4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IFERROR(__xludf.DUMMYFUNCTION("""COMPUTED_VALUE"""),121.04)</f>
        <v>121.04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IFERROR(__xludf.DUMMYFUNCTION("""COMPUTED_VALUE"""),125.2)</f>
        <v>125.2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IFERROR(__xludf.DUMMYFUNCTION("""COMPUTED_VALUE"""),132.71)</f>
        <v>132.71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IFERROR(__xludf.DUMMYFUNCTION("""COMPUTED_VALUE"""),133.66)</f>
        <v>133.66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IFERROR(__xludf.DUMMYFUNCTION("""COMPUTED_VALUE"""),129.84)</f>
        <v>129.84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IFERROR(__xludf.DUMMYFUNCTION("""COMPUTED_VALUE"""),132.71)</f>
        <v>132.71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IFERROR(__xludf.DUMMYFUNCTION("""COMPUTED_VALUE"""),123.34)</f>
        <v>123.34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IFERROR(__xludf.DUMMYFUNCTION("""COMPUTED_VALUE"""),114.38)</f>
        <v>114.38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IFERROR(__xludf.DUMMYFUNCTION("""COMPUTED_VALUE"""),103.11)</f>
        <v>103.11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IFERROR(__xludf.DUMMYFUNCTION("""COMPUTED_VALUE"""),102.72)</f>
        <v>102.72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IFERROR(__xludf.DUMMYFUNCTION("""COMPUTED_VALUE"""),94.93)</f>
        <v>94.93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IFERROR(__xludf.DUMMYFUNCTION("""COMPUTED_VALUE"""),84.4)</f>
        <v>84.4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IFERROR(__xludf.DUMMYFUNCTION("""COMPUTED_VALUE"""),79.2)</f>
        <v>79.2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IFERROR(__xludf.DUMMYFUNCTION("""COMPUTED_VALUE"""),83.05)</f>
        <v>83.05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IFERROR(__xludf.DUMMYFUNCTION("""COMPUTED_VALUE"""),86.25)</f>
        <v>86.25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IFERROR(__xludf.DUMMYFUNCTION("""COMPUTED_VALUE"""),83.06)</f>
        <v>83.06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IFERROR(__xludf.DUMMYFUNCTION("""COMPUTED_VALUE"""),85.77)</f>
        <v>85.77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IFERROR(__xludf.DUMMYFUNCTION("""COMPUTED_VALUE"""),87.26)</f>
        <v>87.26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IFERROR(__xludf.DUMMYFUNCTION("""COMPUTED_VALUE"""),84.97)</f>
        <v>84.97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IFERROR(__xludf.DUMMYFUNCTION("""COMPUTED_VALUE"""),84.78)</f>
        <v>84.78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IFERROR(__xludf.DUMMYFUNCTION("""COMPUTED_VALUE"""),84.91)</f>
        <v>84.91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IFERROR(__xludf.DUMMYFUNCTION("""COMPUTED_VALUE"""),85.49)</f>
        <v>85.49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IFERROR(__xludf.DUMMYFUNCTION("""COMPUTED_VALUE"""),86.26)</f>
        <v>86.26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IFERROR(__xludf.DUMMYFUNCTION("""COMPUTED_VALUE"""),84.99)</f>
        <v>84.99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IFERROR(__xludf.DUMMYFUNCTION("""COMPUTED_VALUE"""),78.06)</f>
        <v>78.06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IFERROR(__xludf.DUMMYFUNCTION("""COMPUTED_VALUE"""),70.96)</f>
        <v>70.96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IFERROR(__xludf.DUMMYFUNCTION("""COMPUTED_VALUE"""),62.32)</f>
        <v>62.32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IFERROR(__xludf.DUMMYFUNCTION("""COMPUTED_VALUE"""),52.31)</f>
        <v>52.31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IFERROR(__xludf.DUMMYFUNCTION("""COMPUTED_VALUE"""),35.16)</f>
        <v>35.16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IFERROR(__xludf.DUMMYFUNCTION("""COMPUTED_VALUE"""),40.52)</f>
        <v>40.52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IFERROR(__xludf.DUMMYFUNCTION("""COMPUTED_VALUE"""),33.93)</f>
        <v>33.93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IFERROR(__xludf.DUMMYFUNCTION("""COMPUTED_VALUE"""),29.08)</f>
        <v>29.08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IFERROR(__xludf.DUMMYFUNCTION("""COMPUTED_VALUE"""),27.99)</f>
        <v>27.99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IFERROR(__xludf.DUMMYFUNCTION("""COMPUTED_VALUE"""),31.58)</f>
        <v>31.58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IFERROR(__xludf.DUMMYFUNCTION("""COMPUTED_VALUE"""),34.22)</f>
        <v>34.22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IFERROR(__xludf.DUMMYFUNCTION("""COMPUTED_VALUE"""),36.85)</f>
        <v>36.85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IFERROR(__xludf.DUMMYFUNCTION("""COMPUTED_VALUE"""),37.97)</f>
        <v>37.97</v>
      </c>
    </row>
    <row r="384" ht="15.75" customHeight="1"/>
    <row r="385" ht="15.75" customHeight="1"/>
    <row r="386" ht="15.75" customHeight="1">
      <c r="B386" s="2" t="str">
        <f>IFERROR(__xludf.DUMMYFUNCTION("GOOGLEFINANCE(""NSE:TATAMOTORS"",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IFERROR(__xludf.DUMMYFUNCTION("""COMPUTED_VALUE"""),36.09)</f>
        <v>36.09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IFERROR(__xludf.DUMMYFUNCTION("""COMPUTED_VALUE"""),37.39)</f>
        <v>37.39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IFERROR(__xludf.DUMMYFUNCTION("""COMPUTED_VALUE"""),33.21)</f>
        <v>33.21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IFERROR(__xludf.DUMMYFUNCTION("""COMPUTED_VALUE"""),30.64)</f>
        <v>30.64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IFERROR(__xludf.DUMMYFUNCTION("""COMPUTED_VALUE"""),29.87)</f>
        <v>29.87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IFERROR(__xludf.DUMMYFUNCTION("""COMPUTED_VALUE"""),29.29)</f>
        <v>29.29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IFERROR(__xludf.DUMMYFUNCTION("""COMPUTED_VALUE"""),28.51)</f>
        <v>28.51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IFERROR(__xludf.DUMMYFUNCTION("""COMPUTED_VALUE"""),28.26)</f>
        <v>28.26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IFERROR(__xludf.DUMMYFUNCTION("""COMPUTED_VALUE"""),31.01)</f>
        <v>31.01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IFERROR(__xludf.DUMMYFUNCTION("""COMPUTED_VALUE"""),30.45)</f>
        <v>30.45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IFERROR(__xludf.DUMMYFUNCTION("""COMPUTED_VALUE"""),32.45)</f>
        <v>32.45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IFERROR(__xludf.DUMMYFUNCTION("""COMPUTED_VALUE"""),36.38)</f>
        <v>36.38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IFERROR(__xludf.DUMMYFUNCTION("""COMPUTED_VALUE"""),38.18)</f>
        <v>38.18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IFERROR(__xludf.DUMMYFUNCTION("""COMPUTED_VALUE"""),41.22)</f>
        <v>41.22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IFERROR(__xludf.DUMMYFUNCTION("""COMPUTED_VALUE"""),47.42)</f>
        <v>47.42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IFERROR(__xludf.DUMMYFUNCTION("""COMPUTED_VALUE"""),58.34)</f>
        <v>58.34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IFERROR(__xludf.DUMMYFUNCTION("""COMPUTED_VALUE"""),50.55)</f>
        <v>50.55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IFERROR(__xludf.DUMMYFUNCTION("""COMPUTED_VALUE"""),51.41)</f>
        <v>51.41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IFERROR(__xludf.DUMMYFUNCTION("""COMPUTED_VALUE"""),55.1)</f>
        <v>55.1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IFERROR(__xludf.DUMMYFUNCTION("""COMPUTED_VALUE"""),54.41)</f>
        <v>54.41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IFERROR(__xludf.DUMMYFUNCTION("""COMPUTED_VALUE"""),74.17)</f>
        <v>74.17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IFERROR(__xludf.DUMMYFUNCTION("""COMPUTED_VALUE"""),69.84)</f>
        <v>69.84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IFERROR(__xludf.DUMMYFUNCTION("""COMPUTED_VALUE"""),79.87)</f>
        <v>79.87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IFERROR(__xludf.DUMMYFUNCTION("""COMPUTED_VALUE"""),79.71)</f>
        <v>79.71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IFERROR(__xludf.DUMMYFUNCTION("""COMPUTED_VALUE"""),70.16)</f>
        <v>70.16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IFERROR(__xludf.DUMMYFUNCTION("""COMPUTED_VALUE"""),72.17)</f>
        <v>72.17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IFERROR(__xludf.DUMMYFUNCTION("""COMPUTED_VALUE"""),67.27)</f>
        <v>67.27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IFERROR(__xludf.DUMMYFUNCTION("""COMPUTED_VALUE"""),60.88)</f>
        <v>60.88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IFERROR(__xludf.DUMMYFUNCTION("""COMPUTED_VALUE"""),62.91)</f>
        <v>62.91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IFERROR(__xludf.DUMMYFUNCTION("""COMPUTED_VALUE"""),74.7)</f>
        <v>74.7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IFERROR(__xludf.DUMMYFUNCTION("""COMPUTED_VALUE"""),84.08)</f>
        <v>84.08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IFERROR(__xludf.DUMMYFUNCTION("""COMPUTED_VALUE"""),97.42)</f>
        <v>97.42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IFERROR(__xludf.DUMMYFUNCTION("""COMPUTED_VALUE"""),94.19)</f>
        <v>94.19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IFERROR(__xludf.DUMMYFUNCTION("""COMPUTED_VALUE"""),91.2)</f>
        <v>91.2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IFERROR(__xludf.DUMMYFUNCTION("""COMPUTED_VALUE"""),100.05)</f>
        <v>100.05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IFERROR(__xludf.DUMMYFUNCTION("""COMPUTED_VALUE"""),104.94)</f>
        <v>104.94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IFERROR(__xludf.DUMMYFUNCTION("""COMPUTED_VALUE"""),114.29)</f>
        <v>114.29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IFERROR(__xludf.DUMMYFUNCTION("""COMPUTED_VALUE"""),122.61)</f>
        <v>122.61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IFERROR(__xludf.DUMMYFUNCTION("""COMPUTED_VALUE"""),122.84)</f>
        <v>122.84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IFERROR(__xludf.DUMMYFUNCTION("""COMPUTED_VALUE"""),120.09)</f>
        <v>120.09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IFERROR(__xludf.DUMMYFUNCTION("""COMPUTED_VALUE"""),118.7)</f>
        <v>118.7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IFERROR(__xludf.DUMMYFUNCTION("""COMPUTED_VALUE"""),117.12)</f>
        <v>117.12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IFERROR(__xludf.DUMMYFUNCTION("""COMPUTED_VALUE"""),113.74)</f>
        <v>113.74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IFERROR(__xludf.DUMMYFUNCTION("""COMPUTED_VALUE"""),116.48)</f>
        <v>116.48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IFERROR(__xludf.DUMMYFUNCTION("""COMPUTED_VALUE"""),125.93)</f>
        <v>125.93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IFERROR(__xludf.DUMMYFUNCTION("""COMPUTED_VALUE"""),129.96)</f>
        <v>129.96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IFERROR(__xludf.DUMMYFUNCTION("""COMPUTED_VALUE"""),131.27)</f>
        <v>131.27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IFERROR(__xludf.DUMMYFUNCTION("""COMPUTED_VALUE"""),147.18)</f>
        <v>147.18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IFERROR(__xludf.DUMMYFUNCTION("""COMPUTED_VALUE"""),144.21)</f>
        <v>144.21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IFERROR(__xludf.DUMMYFUNCTION("""COMPUTED_VALUE"""),146.39)</f>
        <v>146.39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IFERROR(__xludf.DUMMYFUNCTION("""COMPUTED_VALUE"""),155.87)</f>
        <v>155.87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IFERROR(__xludf.DUMMYFUNCTION("""COMPUTED_VALUE"""),158.19)</f>
        <v>158.19</v>
      </c>
    </row>
    <row r="439" ht="15.75" customHeight="1"/>
    <row r="440" ht="15.75" customHeight="1"/>
    <row r="441" ht="15.75" customHeight="1">
      <c r="B441" s="2" t="str">
        <f>IFERROR(__xludf.DUMMYFUNCTION("GOOGLEFINANCE(""NSE:TATAMOTORS"",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IFERROR(__xludf.DUMMYFUNCTION("""COMPUTED_VALUE"""),167.12)</f>
        <v>167.12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IFERROR(__xludf.DUMMYFUNCTION("""COMPUTED_VALUE"""),158.96)</f>
        <v>158.96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IFERROR(__xludf.DUMMYFUNCTION("""COMPUTED_VALUE"""),161.99)</f>
        <v>161.99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IFERROR(__xludf.DUMMYFUNCTION("""COMPUTED_VALUE"""),154.91)</f>
        <v>154.91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IFERROR(__xludf.DUMMYFUNCTION("""COMPUTED_VALUE"""),137.3)</f>
        <v>137.3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IFERROR(__xludf.DUMMYFUNCTION("""COMPUTED_VALUE"""),142.84)</f>
        <v>142.84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IFERROR(__xludf.DUMMYFUNCTION("""COMPUTED_VALUE"""),142.57)</f>
        <v>142.57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IFERROR(__xludf.DUMMYFUNCTION("""COMPUTED_VALUE"""),164.15)</f>
        <v>164.15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IFERROR(__xludf.DUMMYFUNCTION("""COMPUTED_VALUE"""),161.66)</f>
        <v>161.66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IFERROR(__xludf.DUMMYFUNCTION("""COMPUTED_VALUE"""),157.43)</f>
        <v>157.43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IFERROR(__xludf.DUMMYFUNCTION("""COMPUTED_VALUE"""),154.96)</f>
        <v>154.96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IFERROR(__xludf.DUMMYFUNCTION("""COMPUTED_VALUE"""),154.32)</f>
        <v>154.32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IFERROR(__xludf.DUMMYFUNCTION("""COMPUTED_VALUE"""),161.11)</f>
        <v>161.11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IFERROR(__xludf.DUMMYFUNCTION("""COMPUTED_VALUE"""),160.24)</f>
        <v>160.24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IFERROR(__xludf.DUMMYFUNCTION("""COMPUTED_VALUE"""),169.09)</f>
        <v>169.09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IFERROR(__xludf.DUMMYFUNCTION("""COMPUTED_VALUE"""),173.8)</f>
        <v>173.8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IFERROR(__xludf.DUMMYFUNCTION("""COMPUTED_VALUE"""),174.63)</f>
        <v>174.63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IFERROR(__xludf.DUMMYFUNCTION("""COMPUTED_VALUE"""),165.57)</f>
        <v>165.57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IFERROR(__xludf.DUMMYFUNCTION("""COMPUTED_VALUE"""),159.66)</f>
        <v>159.66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IFERROR(__xludf.DUMMYFUNCTION("""COMPUTED_VALUE"""),153.07)</f>
        <v>153.07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IFERROR(__xludf.DUMMYFUNCTION("""COMPUTED_VALUE"""),153.49)</f>
        <v>153.49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IFERROR(__xludf.DUMMYFUNCTION("""COMPUTED_VALUE"""),152.91)</f>
        <v>152.91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IFERROR(__xludf.DUMMYFUNCTION("""COMPUTED_VALUE"""),160.65)</f>
        <v>160.65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IFERROR(__xludf.DUMMYFUNCTION("""COMPUTED_VALUE"""),162.89)</f>
        <v>162.89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IFERROR(__xludf.DUMMYFUNCTION("""COMPUTED_VALUE"""),157.06)</f>
        <v>157.06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IFERROR(__xludf.DUMMYFUNCTION("""COMPUTED_VALUE"""),154.27)</f>
        <v>154.27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IFERROR(__xludf.DUMMYFUNCTION("""COMPUTED_VALUE"""),165.37)</f>
        <v>165.37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IFERROR(__xludf.DUMMYFUNCTION("""COMPUTED_VALUE"""),167.56)</f>
        <v>167.56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IFERROR(__xludf.DUMMYFUNCTION("""COMPUTED_VALUE"""),171.97)</f>
        <v>171.97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IFERROR(__xludf.DUMMYFUNCTION("""COMPUTED_VALUE"""),178.41)</f>
        <v>178.41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IFERROR(__xludf.DUMMYFUNCTION("""COMPUTED_VALUE"""),204.77)</f>
        <v>204.77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IFERROR(__xludf.DUMMYFUNCTION("""COMPUTED_VALUE"""),209.41)</f>
        <v>209.41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IFERROR(__xludf.DUMMYFUNCTION("""COMPUTED_VALUE"""),203.02)</f>
        <v>203.02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IFERROR(__xludf.DUMMYFUNCTION("""COMPUTED_VALUE"""),204.16)</f>
        <v>204.16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IFERROR(__xludf.DUMMYFUNCTION("""COMPUTED_VALUE"""),209.81)</f>
        <v>209.81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IFERROR(__xludf.DUMMYFUNCTION("""COMPUTED_VALUE"""),213.47)</f>
        <v>213.47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IFERROR(__xludf.DUMMYFUNCTION("""COMPUTED_VALUE"""),219.41)</f>
        <v>219.41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IFERROR(__xludf.DUMMYFUNCTION("""COMPUTED_VALUE"""),228.51)</f>
        <v>228.51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IFERROR(__xludf.DUMMYFUNCTION("""COMPUTED_VALUE"""),227.69)</f>
        <v>227.69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IFERROR(__xludf.DUMMYFUNCTION("""COMPUTED_VALUE"""),236.42)</f>
        <v>236.42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IFERROR(__xludf.DUMMYFUNCTION("""COMPUTED_VALUE"""),235.03)</f>
        <v>235.03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IFERROR(__xludf.DUMMYFUNCTION("""COMPUTED_VALUE"""),239.39)</f>
        <v>239.39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IFERROR(__xludf.DUMMYFUNCTION("""COMPUTED_VALUE"""),247.72)</f>
        <v>247.72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IFERROR(__xludf.DUMMYFUNCTION("""COMPUTED_VALUE"""),266.69)</f>
        <v>266.69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IFERROR(__xludf.DUMMYFUNCTION("""COMPUTED_VALUE"""),250.37)</f>
        <v>250.37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IFERROR(__xludf.DUMMYFUNCTION("""COMPUTED_VALUE"""),249.42)</f>
        <v>249.42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IFERROR(__xludf.DUMMYFUNCTION("""COMPUTED_VALUE"""),266.43)</f>
        <v>266.43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IFERROR(__xludf.DUMMYFUNCTION("""COMPUTED_VALUE"""),273.42)</f>
        <v>273.42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IFERROR(__xludf.DUMMYFUNCTION("""COMPUTED_VALUE"""),270.73)</f>
        <v>270.73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IFERROR(__xludf.DUMMYFUNCTION("""COMPUTED_VALUE"""),271.93)</f>
        <v>271.93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IFERROR(__xludf.DUMMYFUNCTION("""COMPUTED_VALUE"""),261.33)</f>
        <v>261.33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IFERROR(__xludf.DUMMYFUNCTION("GOOGLEFINANCE(""NSE:TATAMOTORS"",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IFERROR(__xludf.DUMMYFUNCTION("""COMPUTED_VALUE"""),264.12)</f>
        <v>264.12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IFERROR(__xludf.DUMMYFUNCTION("""COMPUTED_VALUE"""),246.7)</f>
        <v>246.7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IFERROR(__xludf.DUMMYFUNCTION("""COMPUTED_VALUE"""),239.11)</f>
        <v>239.11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IFERROR(__xludf.DUMMYFUNCTION("""COMPUTED_VALUE"""),237.31)</f>
        <v>237.31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IFERROR(__xludf.DUMMYFUNCTION("""COMPUTED_VALUE"""),235.42)</f>
        <v>235.42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IFERROR(__xludf.DUMMYFUNCTION("""COMPUTED_VALUE"""),231.47)</f>
        <v>231.47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IFERROR(__xludf.DUMMYFUNCTION("""COMPUTED_VALUE"""),248.86)</f>
        <v>248.86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IFERROR(__xludf.DUMMYFUNCTION("""COMPUTED_VALUE"""),239.13)</f>
        <v>239.13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IFERROR(__xludf.DUMMYFUNCTION("""COMPUTED_VALUE"""),236.32)</f>
        <v>236.32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IFERROR(__xludf.DUMMYFUNCTION("""COMPUTED_VALUE"""),232.76)</f>
        <v>232.76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IFERROR(__xludf.DUMMYFUNCTION("""COMPUTED_VALUE"""),233.39)</f>
        <v>233.39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IFERROR(__xludf.DUMMYFUNCTION("""COMPUTED_VALUE"""),235.81)</f>
        <v>235.81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IFERROR(__xludf.DUMMYFUNCTION("""COMPUTED_VALUE"""),249.46)</f>
        <v>249.46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IFERROR(__xludf.DUMMYFUNCTION("""COMPUTED_VALUE"""),257.92)</f>
        <v>257.92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IFERROR(__xludf.DUMMYFUNCTION("""COMPUTED_VALUE"""),251.06)</f>
        <v>251.06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IFERROR(__xludf.DUMMYFUNCTION("""COMPUTED_VALUE"""),249.83)</f>
        <v>249.83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IFERROR(__xludf.DUMMYFUNCTION("""COMPUTED_VALUE"""),256.53)</f>
        <v>256.53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IFERROR(__xludf.DUMMYFUNCTION("""COMPUTED_VALUE"""),246.11)</f>
        <v>246.11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IFERROR(__xludf.DUMMYFUNCTION("""COMPUTED_VALUE"""),244.17)</f>
        <v>244.17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IFERROR(__xludf.DUMMYFUNCTION("""COMPUTED_VALUE"""),241.33)</f>
        <v>241.33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IFERROR(__xludf.DUMMYFUNCTION("""COMPUTED_VALUE"""),232.46)</f>
        <v>232.46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IFERROR(__xludf.DUMMYFUNCTION("""COMPUTED_VALUE"""),217.96)</f>
        <v>217.96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IFERROR(__xludf.DUMMYFUNCTION("""COMPUTED_VALUE"""),206.48)</f>
        <v>206.48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IFERROR(__xludf.DUMMYFUNCTION("""COMPUTED_VALUE"""),201.55)</f>
        <v>201.55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IFERROR(__xludf.DUMMYFUNCTION("""COMPUTED_VALUE"""),194.67)</f>
        <v>194.67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IFERROR(__xludf.DUMMYFUNCTION("""COMPUTED_VALUE"""),200.36)</f>
        <v>200.36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IFERROR(__xludf.DUMMYFUNCTION("""COMPUTED_VALUE"""),212.54)</f>
        <v>212.54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IFERROR(__xludf.DUMMYFUNCTION("""COMPUTED_VALUE"""),213.96)</f>
        <v>213.96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IFERROR(__xludf.DUMMYFUNCTION("""COMPUTED_VALUE"""),207.03)</f>
        <v>207.03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IFERROR(__xludf.DUMMYFUNCTION("""COMPUTED_VALUE"""),200.43)</f>
        <v>200.43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IFERROR(__xludf.DUMMYFUNCTION("""COMPUTED_VALUE"""),191.3)</f>
        <v>191.3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IFERROR(__xludf.DUMMYFUNCTION("""COMPUTED_VALUE"""),172.52)</f>
        <v>172.52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IFERROR(__xludf.DUMMYFUNCTION("""COMPUTED_VALUE"""),162.21)</f>
        <v>162.21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IFERROR(__xludf.DUMMYFUNCTION("""COMPUTED_VALUE"""),147.77)</f>
        <v>147.77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IFERROR(__xludf.DUMMYFUNCTION("""COMPUTED_VALUE"""),151.01)</f>
        <v>151.01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IFERROR(__xludf.DUMMYFUNCTION("""COMPUTED_VALUE"""),156.89)</f>
        <v>156.89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IFERROR(__xludf.DUMMYFUNCTION("""COMPUTED_VALUE"""),161.73)</f>
        <v>161.73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IFERROR(__xludf.DUMMYFUNCTION("""COMPUTED_VALUE"""),165.1)</f>
        <v>165.1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IFERROR(__xludf.DUMMYFUNCTION("""COMPUTED_VALUE"""),161.14)</f>
        <v>161.14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IFERROR(__xludf.DUMMYFUNCTION("""COMPUTED_VALUE"""),158.62)</f>
        <v>158.62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IFERROR(__xludf.DUMMYFUNCTION("""COMPUTED_VALUE"""),187.95)</f>
        <v>187.95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IFERROR(__xludf.DUMMYFUNCTION("""COMPUTED_VALUE"""),189.14)</f>
        <v>189.14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IFERROR(__xludf.DUMMYFUNCTION("""COMPUTED_VALUE"""),205.75)</f>
        <v>205.75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IFERROR(__xludf.DUMMYFUNCTION("""COMPUTED_VALUE"""),203.28)</f>
        <v>203.28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IFERROR(__xludf.DUMMYFUNCTION("""COMPUTED_VALUE"""),189.88)</f>
        <v>189.88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IFERROR(__xludf.DUMMYFUNCTION("""COMPUTED_VALUE"""),183.5)</f>
        <v>183.5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IFERROR(__xludf.DUMMYFUNCTION("""COMPUTED_VALUE"""),177.86)</f>
        <v>177.86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IFERROR(__xludf.DUMMYFUNCTION("""COMPUTED_VALUE"""),190.67)</f>
        <v>190.67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IFERROR(__xludf.DUMMYFUNCTION("""COMPUTED_VALUE"""),193.64)</f>
        <v>193.64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IFERROR(__xludf.DUMMYFUNCTION("""COMPUTED_VALUE"""),185.77)</f>
        <v>185.77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IFERROR(__xludf.DUMMYFUNCTION("""COMPUTED_VALUE"""),185.33)</f>
        <v>185.33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IFERROR(__xludf.DUMMYFUNCTION("""COMPUTED_VALUE"""),186.61)</f>
        <v>186.61</v>
      </c>
    </row>
    <row r="549" ht="15.75" customHeight="1"/>
    <row r="550" ht="15.75" customHeight="1"/>
    <row r="551" ht="15.75" customHeight="1">
      <c r="B551" s="2" t="str">
        <f>IFERROR(__xludf.DUMMYFUNCTION("GOOGLEFINANCE(""NSE:TATAMOTORS"",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IFERROR(__xludf.DUMMYFUNCTION("""COMPUTED_VALUE"""),210.9)</f>
        <v>210.9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IFERROR(__xludf.DUMMYFUNCTION("""COMPUTED_VALUE"""),219.01)</f>
        <v>219.01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IFERROR(__xludf.DUMMYFUNCTION("""COMPUTED_VALUE"""),238.79)</f>
        <v>238.79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IFERROR(__xludf.DUMMYFUNCTION("""COMPUTED_VALUE"""),249.97)</f>
        <v>249.97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IFERROR(__xludf.DUMMYFUNCTION("""COMPUTED_VALUE"""),259.07)</f>
        <v>259.07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IFERROR(__xludf.DUMMYFUNCTION("""COMPUTED_VALUE"""),289.54)</f>
        <v>289.54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IFERROR(__xludf.DUMMYFUNCTION("""COMPUTED_VALUE"""),273.02)</f>
        <v>273.02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IFERROR(__xludf.DUMMYFUNCTION("""COMPUTED_VALUE"""),278.91)</f>
        <v>278.91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IFERROR(__xludf.DUMMYFUNCTION("""COMPUTED_VALUE"""),294.63)</f>
        <v>294.63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IFERROR(__xludf.DUMMYFUNCTION("""COMPUTED_VALUE"""),289.34)</f>
        <v>289.34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IFERROR(__xludf.DUMMYFUNCTION("""COMPUTED_VALUE"""),273.61)</f>
        <v>273.61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IFERROR(__xludf.DUMMYFUNCTION("""COMPUTED_VALUE"""),278.96)</f>
        <v>278.96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IFERROR(__xludf.DUMMYFUNCTION("""COMPUTED_VALUE"""),291.42)</f>
        <v>291.42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IFERROR(__xludf.DUMMYFUNCTION("""COMPUTED_VALUE"""),317.29)</f>
        <v>317.29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IFERROR(__xludf.DUMMYFUNCTION("""COMPUTED_VALUE"""),314.07)</f>
        <v>314.07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IFERROR(__xludf.DUMMYFUNCTION("""COMPUTED_VALUE"""),306.65)</f>
        <v>306.65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IFERROR(__xludf.DUMMYFUNCTION("""COMPUTED_VALUE"""),297.4)</f>
        <v>297.4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IFERROR(__xludf.DUMMYFUNCTION("""COMPUTED_VALUE"""),268.87)</f>
        <v>268.87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IFERROR(__xludf.DUMMYFUNCTION("""COMPUTED_VALUE"""),280.04)</f>
        <v>280.04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IFERROR(__xludf.DUMMYFUNCTION("""COMPUTED_VALUE"""),237.36)</f>
        <v>237.36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IFERROR(__xludf.DUMMYFUNCTION("""COMPUTED_VALUE"""),241.37)</f>
        <v>241.37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IFERROR(__xludf.DUMMYFUNCTION("""COMPUTED_VALUE"""),248.49)</f>
        <v>248.49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IFERROR(__xludf.DUMMYFUNCTION("""COMPUTED_VALUE"""),249.18)</f>
        <v>249.18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IFERROR(__xludf.DUMMYFUNCTION("""COMPUTED_VALUE"""),241.07)</f>
        <v>241.07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IFERROR(__xludf.DUMMYFUNCTION("""COMPUTED_VALUE"""),245.72)</f>
        <v>245.72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IFERROR(__xludf.DUMMYFUNCTION("""COMPUTED_VALUE"""),235.73)</f>
        <v>235.73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IFERROR(__xludf.DUMMYFUNCTION("""COMPUTED_VALUE"""),218.61)</f>
        <v>218.61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IFERROR(__xludf.DUMMYFUNCTION("""COMPUTED_VALUE"""),227.22)</f>
        <v>227.22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IFERROR(__xludf.DUMMYFUNCTION("""COMPUTED_VALUE"""),243.34)</f>
        <v>243.34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IFERROR(__xludf.DUMMYFUNCTION("""COMPUTED_VALUE"""),240.67)</f>
        <v>240.67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IFERROR(__xludf.DUMMYFUNCTION("""COMPUTED_VALUE"""),247.2)</f>
        <v>247.2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IFERROR(__xludf.DUMMYFUNCTION("""COMPUTED_VALUE"""),244.04)</f>
        <v>244.04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IFERROR(__xludf.DUMMYFUNCTION("""COMPUTED_VALUE"""),269.06)</f>
        <v>269.06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IFERROR(__xludf.DUMMYFUNCTION("""COMPUTED_VALUE"""),286.18)</f>
        <v>286.18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IFERROR(__xludf.DUMMYFUNCTION("""COMPUTED_VALUE"""),276.88)</f>
        <v>276.88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IFERROR(__xludf.DUMMYFUNCTION("""COMPUTED_VALUE"""),279.45)</f>
        <v>279.45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IFERROR(__xludf.DUMMYFUNCTION("""COMPUTED_VALUE"""),280.64)</f>
        <v>280.64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IFERROR(__xludf.DUMMYFUNCTION("""COMPUTED_VALUE"""),270.45)</f>
        <v>270.45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IFERROR(__xludf.DUMMYFUNCTION("""COMPUTED_VALUE"""),265.8)</f>
        <v>265.8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IFERROR(__xludf.DUMMYFUNCTION("""COMPUTED_VALUE"""),269.06)</f>
        <v>269.06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IFERROR(__xludf.DUMMYFUNCTION("""COMPUTED_VALUE"""),282.42)</f>
        <v>282.42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IFERROR(__xludf.DUMMYFUNCTION("""COMPUTED_VALUE"""),280.83)</f>
        <v>280.83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IFERROR(__xludf.DUMMYFUNCTION("""COMPUTED_VALUE"""),267.43)</f>
        <v>267.43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IFERROR(__xludf.DUMMYFUNCTION("""COMPUTED_VALUE"""),280.93)</f>
        <v>280.93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IFERROR(__xludf.DUMMYFUNCTION("""COMPUTED_VALUE"""),284.4)</f>
        <v>284.4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IFERROR(__xludf.DUMMYFUNCTION("""COMPUTED_VALUE"""),291.02)</f>
        <v>291.02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IFERROR(__xludf.DUMMYFUNCTION("""COMPUTED_VALUE"""),305.86)</f>
        <v>305.86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IFERROR(__xludf.DUMMYFUNCTION("""COMPUTED_VALUE"""),310.61)</f>
        <v>310.61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IFERROR(__xludf.DUMMYFUNCTION("GOOGLEFINANCE(""NSE:TATAMOTORS"",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IFERROR(__xludf.DUMMYFUNCTION("""COMPUTED_VALUE"""),318.28)</f>
        <v>318.28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IFERROR(__xludf.DUMMYFUNCTION("""COMPUTED_VALUE"""),333.76)</f>
        <v>333.76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IFERROR(__xludf.DUMMYFUNCTION("""COMPUTED_VALUE"""),330.05)</f>
        <v>330.05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IFERROR(__xludf.DUMMYFUNCTION("""COMPUTED_VALUE"""),326.44)</f>
        <v>326.44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IFERROR(__xludf.DUMMYFUNCTION("""COMPUTED_VALUE"""),312.49)</f>
        <v>312.49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IFERROR(__xludf.DUMMYFUNCTION("""COMPUTED_VALUE"""),293.69)</f>
        <v>293.69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IFERROR(__xludf.DUMMYFUNCTION("""COMPUTED_VALUE"""),308.63)</f>
        <v>308.63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IFERROR(__xludf.DUMMYFUNCTION("""COMPUTED_VALUE"""),305.91)</f>
        <v>305.91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IFERROR(__xludf.DUMMYFUNCTION("""COMPUTED_VALUE"""),298.0)</f>
        <v>298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IFERROR(__xludf.DUMMYFUNCTION("""COMPUTED_VALUE"""),308.09)</f>
        <v>308.09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IFERROR(__xludf.DUMMYFUNCTION("""COMPUTED_VALUE"""),304.63)</f>
        <v>304.63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IFERROR(__xludf.DUMMYFUNCTION("""COMPUTED_VALUE"""),286.87)</f>
        <v>286.87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IFERROR(__xludf.DUMMYFUNCTION("""COMPUTED_VALUE"""),274.9)</f>
        <v>274.9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IFERROR(__xludf.DUMMYFUNCTION("""COMPUTED_VALUE"""),265.85)</f>
        <v>265.85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IFERROR(__xludf.DUMMYFUNCTION("""COMPUTED_VALUE"""),278.36)</f>
        <v>278.36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IFERROR(__xludf.DUMMYFUNCTION("""COMPUTED_VALUE"""),281.33)</f>
        <v>281.33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IFERROR(__xludf.DUMMYFUNCTION("""COMPUTED_VALUE"""),294.78)</f>
        <v>294.78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IFERROR(__xludf.DUMMYFUNCTION("""COMPUTED_VALUE"""),297.75)</f>
        <v>297.75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IFERROR(__xludf.DUMMYFUNCTION("""COMPUTED_VALUE"""),308.58)</f>
        <v>308.58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IFERROR(__xludf.DUMMYFUNCTION("""COMPUTED_VALUE"""),312.79)</f>
        <v>312.79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IFERROR(__xludf.DUMMYFUNCTION("""COMPUTED_VALUE"""),316.05)</f>
        <v>316.05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IFERROR(__xludf.DUMMYFUNCTION("""COMPUTED_VALUE"""),314.37)</f>
        <v>314.37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IFERROR(__xludf.DUMMYFUNCTION("""COMPUTED_VALUE"""),300.52)</f>
        <v>300.52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IFERROR(__xludf.DUMMYFUNCTION("""COMPUTED_VALUE"""),297.35)</f>
        <v>297.35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IFERROR(__xludf.DUMMYFUNCTION("""COMPUTED_VALUE"""),284.54)</f>
        <v>284.54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IFERROR(__xludf.DUMMYFUNCTION("""COMPUTED_VALUE"""),295.08)</f>
        <v>295.08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IFERROR(__xludf.DUMMYFUNCTION("""COMPUTED_VALUE"""),291.12)</f>
        <v>291.12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IFERROR(__xludf.DUMMYFUNCTION("""COMPUTED_VALUE"""),294.39)</f>
        <v>294.39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IFERROR(__xludf.DUMMYFUNCTION("""COMPUTED_VALUE"""),299.98)</f>
        <v>299.98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IFERROR(__xludf.DUMMYFUNCTION("""COMPUTED_VALUE"""),294.44)</f>
        <v>294.44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IFERROR(__xludf.DUMMYFUNCTION("""COMPUTED_VALUE"""),298.74)</f>
        <v>298.74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IFERROR(__xludf.DUMMYFUNCTION("""COMPUTED_VALUE"""),320.9)</f>
        <v>320.9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IFERROR(__xludf.DUMMYFUNCTION("""COMPUTED_VALUE"""),305.42)</f>
        <v>305.42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IFERROR(__xludf.DUMMYFUNCTION("""COMPUTED_VALUE"""),305.66)</f>
        <v>305.66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IFERROR(__xludf.DUMMYFUNCTION("""COMPUTED_VALUE"""),320.85)</f>
        <v>320.85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IFERROR(__xludf.DUMMYFUNCTION("""COMPUTED_VALUE"""),349.53)</f>
        <v>349.53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IFERROR(__xludf.DUMMYFUNCTION("""COMPUTED_VALUE"""),351.02)</f>
        <v>351.02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IFERROR(__xludf.DUMMYFUNCTION("""COMPUTED_VALUE"""),343.7)</f>
        <v>343.7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IFERROR(__xludf.DUMMYFUNCTION("""COMPUTED_VALUE"""),360.86)</f>
        <v>360.86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IFERROR(__xludf.DUMMYFUNCTION("""COMPUTED_VALUE"""),385.39)</f>
        <v>385.39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IFERROR(__xludf.DUMMYFUNCTION("""COMPUTED_VALUE"""),389.05)</f>
        <v>389.05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IFERROR(__xludf.DUMMYFUNCTION("""COMPUTED_VALUE"""),387.27)</f>
        <v>387.27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IFERROR(__xludf.DUMMYFUNCTION("""COMPUTED_VALUE"""),384.8)</f>
        <v>384.8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IFERROR(__xludf.DUMMYFUNCTION("""COMPUTED_VALUE"""),396.62)</f>
        <v>396.62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IFERROR(__xludf.DUMMYFUNCTION("""COMPUTED_VALUE"""),384.06)</f>
        <v>384.06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IFERROR(__xludf.DUMMYFUNCTION("""COMPUTED_VALUE"""),391.48)</f>
        <v>391.48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IFERROR(__xludf.DUMMYFUNCTION("""COMPUTED_VALUE"""),400.68)</f>
        <v>400.68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IFERROR(__xludf.DUMMYFUNCTION("""COMPUTED_VALUE"""),399.49)</f>
        <v>399.49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IFERROR(__xludf.DUMMYFUNCTION("""COMPUTED_VALUE"""),398.25)</f>
        <v>398.25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IFERROR(__xludf.DUMMYFUNCTION("""COMPUTED_VALUE"""),372.43)</f>
        <v>372.43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IFERROR(__xludf.DUMMYFUNCTION("""COMPUTED_VALUE"""),374.36)</f>
        <v>374.36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IFERROR(__xludf.DUMMYFUNCTION("GOOGLEFINANCE(""NSE:TATAMOTORS"",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IFERROR(__xludf.DUMMYFUNCTION("""COMPUTED_VALUE"""),374.71)</f>
        <v>374.71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IFERROR(__xludf.DUMMYFUNCTION("""COMPUTED_VALUE"""),368.38)</f>
        <v>368.38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IFERROR(__xludf.DUMMYFUNCTION("""COMPUTED_VALUE"""),375.35)</f>
        <v>375.35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IFERROR(__xludf.DUMMYFUNCTION("""COMPUTED_VALUE"""),384.8)</f>
        <v>384.8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IFERROR(__xludf.DUMMYFUNCTION("""COMPUTED_VALUE"""),363.53)</f>
        <v>363.53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IFERROR(__xludf.DUMMYFUNCTION("""COMPUTED_VALUE"""),359.08)</f>
        <v>359.08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IFERROR(__xludf.DUMMYFUNCTION("""COMPUTED_VALUE"""),385.79)</f>
        <v>385.79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IFERROR(__xludf.DUMMYFUNCTION("""COMPUTED_VALUE"""),393.51)</f>
        <v>393.51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IFERROR(__xludf.DUMMYFUNCTION("""COMPUTED_VALUE"""),413.68)</f>
        <v>413.68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IFERROR(__xludf.DUMMYFUNCTION("""COMPUTED_VALUE"""),416.16)</f>
        <v>416.16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IFERROR(__xludf.DUMMYFUNCTION("""COMPUTED_VALUE"""),402.26)</f>
        <v>402.26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IFERROR(__xludf.DUMMYFUNCTION("""COMPUTED_VALUE"""),400.58)</f>
        <v>400.58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IFERROR(__xludf.DUMMYFUNCTION("""COMPUTED_VALUE"""),413.49)</f>
        <v>413.49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IFERROR(__xludf.DUMMYFUNCTION("""COMPUTED_VALUE"""),433.07)</f>
        <v>433.07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IFERROR(__xludf.DUMMYFUNCTION("""COMPUTED_VALUE"""),425.95)</f>
        <v>425.95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IFERROR(__xludf.DUMMYFUNCTION("""COMPUTED_VALUE"""),430.01)</f>
        <v>430.01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IFERROR(__xludf.DUMMYFUNCTION("""COMPUTED_VALUE"""),418.53)</f>
        <v>418.53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IFERROR(__xludf.DUMMYFUNCTION("""COMPUTED_VALUE"""),424.47)</f>
        <v>424.47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IFERROR(__xludf.DUMMYFUNCTION("""COMPUTED_VALUE"""),459.98)</f>
        <v>459.98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IFERROR(__xludf.DUMMYFUNCTION("""COMPUTED_VALUE"""),452.86)</f>
        <v>452.86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IFERROR(__xludf.DUMMYFUNCTION("""COMPUTED_VALUE"""),448.85)</f>
        <v>448.85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IFERROR(__xludf.DUMMYFUNCTION("""COMPUTED_VALUE"""),435.74)</f>
        <v>435.74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IFERROR(__xludf.DUMMYFUNCTION("""COMPUTED_VALUE"""),450.48)</f>
        <v>450.48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IFERROR(__xludf.DUMMYFUNCTION("""COMPUTED_VALUE"""),440.2)</f>
        <v>440.2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IFERROR(__xludf.DUMMYFUNCTION("""COMPUTED_VALUE"""),444.0)</f>
        <v>444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IFERROR(__xludf.DUMMYFUNCTION("""COMPUTED_VALUE"""),469.13)</f>
        <v>469.13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IFERROR(__xludf.DUMMYFUNCTION("""COMPUTED_VALUE"""),479.47)</f>
        <v>479.47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IFERROR(__xludf.DUMMYFUNCTION("""COMPUTED_VALUE"""),472.34)</f>
        <v>472.34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IFERROR(__xludf.DUMMYFUNCTION("""COMPUTED_VALUE"""),482.93)</f>
        <v>482.93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IFERROR(__xludf.DUMMYFUNCTION("""COMPUTED_VALUE"""),464.97)</f>
        <v>464.97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IFERROR(__xludf.DUMMYFUNCTION("""COMPUTED_VALUE"""),452.96)</f>
        <v>452.96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IFERROR(__xludf.DUMMYFUNCTION("""COMPUTED_VALUE"""),480.6)</f>
        <v>480.6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IFERROR(__xludf.DUMMYFUNCTION("""COMPUTED_VALUE"""),516.36)</f>
        <v>516.36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IFERROR(__xludf.DUMMYFUNCTION("""COMPUTED_VALUE"""),525.91)</f>
        <v>525.91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IFERROR(__xludf.DUMMYFUNCTION("""COMPUTED_VALUE"""),524.77)</f>
        <v>524.77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IFERROR(__xludf.DUMMYFUNCTION("""COMPUTED_VALUE"""),515.33)</f>
        <v>515.33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IFERROR(__xludf.DUMMYFUNCTION("""COMPUTED_VALUE"""),523.29)</f>
        <v>523.29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IFERROR(__xludf.DUMMYFUNCTION("""COMPUTED_VALUE"""),536.74)</f>
        <v>536.74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IFERROR(__xludf.DUMMYFUNCTION("""COMPUTED_VALUE"""),510.03)</f>
        <v>510.03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IFERROR(__xludf.DUMMYFUNCTION("""COMPUTED_VALUE"""),516.86)</f>
        <v>516.86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IFERROR(__xludf.DUMMYFUNCTION("""COMPUTED_VALUE"""),495.69)</f>
        <v>495.69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IFERROR(__xludf.DUMMYFUNCTION("""COMPUTED_VALUE"""),514.88)</f>
        <v>514.88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IFERROR(__xludf.DUMMYFUNCTION("""COMPUTED_VALUE"""),532.69)</f>
        <v>532.69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IFERROR(__xludf.DUMMYFUNCTION("""COMPUTED_VALUE"""),538.08)</f>
        <v>538.08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IFERROR(__xludf.DUMMYFUNCTION("""COMPUTED_VALUE"""),531.1)</f>
        <v>531.1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IFERROR(__xludf.DUMMYFUNCTION("""COMPUTED_VALUE"""),544.75)</f>
        <v>544.75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IFERROR(__xludf.DUMMYFUNCTION("""COMPUTED_VALUE"""),533.18)</f>
        <v>533.18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IFERROR(__xludf.DUMMYFUNCTION("""COMPUTED_VALUE"""),534.02)</f>
        <v>534.02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IFERROR(__xludf.DUMMYFUNCTION("""COMPUTED_VALUE"""),524.77)</f>
        <v>524.77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IFERROR(__xludf.DUMMYFUNCTION("""COMPUTED_VALUE"""),496.38)</f>
        <v>496.38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IFERROR(__xludf.DUMMYFUNCTION("""COMPUTED_VALUE"""),496.04)</f>
        <v>496.04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IFERROR(__xludf.DUMMYFUNCTION("GOOGLEFINANCE(""NSE:TATAMOTORS"",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IFERROR(__xludf.DUMMYFUNCTION("""COMPUTED_VALUE"""),511.81)</f>
        <v>511.81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IFERROR(__xludf.DUMMYFUNCTION("""COMPUTED_VALUE"""),520.32)</f>
        <v>520.32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IFERROR(__xludf.DUMMYFUNCTION("""COMPUTED_VALUE"""),530.21)</f>
        <v>530.21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IFERROR(__xludf.DUMMYFUNCTION("""COMPUTED_VALUE"""),584.77)</f>
        <v>584.77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IFERROR(__xludf.DUMMYFUNCTION("""COMPUTED_VALUE"""),601.14)</f>
        <v>601.14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IFERROR(__xludf.DUMMYFUNCTION("""COMPUTED_VALUE"""),605.79)</f>
        <v>605.79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IFERROR(__xludf.DUMMYFUNCTION("""COMPUTED_VALUE"""),565.23)</f>
        <v>565.23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IFERROR(__xludf.DUMMYFUNCTION("""COMPUTED_VALUE"""),586.15)</f>
        <v>586.15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IFERROR(__xludf.DUMMYFUNCTION("""COMPUTED_VALUE"""),594.51)</f>
        <v>594.51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IFERROR(__xludf.DUMMYFUNCTION("""COMPUTED_VALUE"""),567.41)</f>
        <v>567.41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IFERROR(__xludf.DUMMYFUNCTION("""COMPUTED_VALUE"""),572.75)</f>
        <v>572.75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IFERROR(__xludf.DUMMYFUNCTION("""COMPUTED_VALUE"""),551.78)</f>
        <v>551.78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IFERROR(__xludf.DUMMYFUNCTION("""COMPUTED_VALUE"""),560.28)</f>
        <v>560.28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IFERROR(__xludf.DUMMYFUNCTION("""COMPUTED_VALUE"""),573.5)</f>
        <v>573.5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IFERROR(__xludf.DUMMYFUNCTION("""COMPUTED_VALUE"""),563.9)</f>
        <v>563.9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IFERROR(__xludf.DUMMYFUNCTION("""COMPUTED_VALUE"""),543.15)</f>
        <v>543.15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IFERROR(__xludf.DUMMYFUNCTION("""COMPUTED_VALUE"""),533.8)</f>
        <v>533.8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IFERROR(__xludf.DUMMYFUNCTION("""COMPUTED_VALUE"""),516.0)</f>
        <v>516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IFERROR(__xludf.DUMMYFUNCTION("""COMPUTED_VALUE"""),530.95)</f>
        <v>530.95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IFERROR(__xludf.DUMMYFUNCTION("""COMPUTED_VALUE"""),524.4)</f>
        <v>524.4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IFERROR(__xludf.DUMMYFUNCTION("""COMPUTED_VALUE"""),514.0)</f>
        <v>514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IFERROR(__xludf.DUMMYFUNCTION("""COMPUTED_VALUE"""),482.9)</f>
        <v>482.9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IFERROR(__xludf.DUMMYFUNCTION("""COMPUTED_VALUE"""),449.4)</f>
        <v>449.4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IFERROR(__xludf.DUMMYFUNCTION("""COMPUTED_VALUE"""),447.5)</f>
        <v>447.5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IFERROR(__xludf.DUMMYFUNCTION("""COMPUTED_VALUE"""),447.4)</f>
        <v>447.4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IFERROR(__xludf.DUMMYFUNCTION("""COMPUTED_VALUE"""),447.4)</f>
        <v>447.4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IFERROR(__xludf.DUMMYFUNCTION("""COMPUTED_VALUE"""),435.7)</f>
        <v>435.7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IFERROR(__xludf.DUMMYFUNCTION("""COMPUTED_VALUE"""),406.7)</f>
        <v>406.7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IFERROR(__xludf.DUMMYFUNCTION("""COMPUTED_VALUE"""),403.4)</f>
        <v>403.4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IFERROR(__xludf.DUMMYFUNCTION("""COMPUTED_VALUE"""),390.5)</f>
        <v>390.5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IFERROR(__xludf.DUMMYFUNCTION("""COMPUTED_VALUE"""),396.0)</f>
        <v>396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IFERROR(__xludf.DUMMYFUNCTION("""COMPUTED_VALUE"""),395.3)</f>
        <v>395.3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IFERROR(__xludf.DUMMYFUNCTION("""COMPUTED_VALUE"""),362.3)</f>
        <v>362.3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IFERROR(__xludf.DUMMYFUNCTION("""COMPUTED_VALUE"""),342.55)</f>
        <v>342.55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IFERROR(__xludf.DUMMYFUNCTION("""COMPUTED_VALUE"""),348.75)</f>
        <v>348.75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IFERROR(__xludf.DUMMYFUNCTION("""COMPUTED_VALUE"""),358.9)</f>
        <v>358.9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IFERROR(__xludf.DUMMYFUNCTION("""COMPUTED_VALUE"""),350.9)</f>
        <v>350.9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IFERROR(__xludf.DUMMYFUNCTION("""COMPUTED_VALUE"""),334.9)</f>
        <v>334.9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IFERROR(__xludf.DUMMYFUNCTION("""COMPUTED_VALUE"""),304.4)</f>
        <v>304.4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IFERROR(__xludf.DUMMYFUNCTION("""COMPUTED_VALUE"""),359.2)</f>
        <v>359.2</v>
      </c>
    </row>
    <row r="757" ht="15.75" customHeight="1">
      <c r="B757" s="3">
        <f>IFERROR(__xludf.DUMMYFUNCTION("""COMPUTED_VALUE"""),42293.64583333333)</f>
        <v>42293.64583</v>
      </c>
      <c r="C757" s="2">
        <f>IFERROR(__xludf.DUMMYFUNCTION("""COMPUTED_VALUE"""),390.95)</f>
        <v>390.95</v>
      </c>
    </row>
    <row r="758" ht="15.75" customHeight="1">
      <c r="B758" s="3">
        <f>IFERROR(__xludf.DUMMYFUNCTION("""COMPUTED_VALUE"""),42300.64583333333)</f>
        <v>42300.64583</v>
      </c>
      <c r="C758" s="2">
        <f>IFERROR(__xludf.DUMMYFUNCTION("""COMPUTED_VALUE"""),395.75)</f>
        <v>395.75</v>
      </c>
    </row>
    <row r="759" ht="15.75" customHeight="1">
      <c r="B759" s="3">
        <f>IFERROR(__xludf.DUMMYFUNCTION("""COMPUTED_VALUE"""),42307.64583333333)</f>
        <v>42307.64583</v>
      </c>
      <c r="C759" s="2">
        <f>IFERROR(__xludf.DUMMYFUNCTION("""COMPUTED_VALUE"""),396.8)</f>
        <v>396.8</v>
      </c>
    </row>
    <row r="760" ht="15.75" customHeight="1">
      <c r="B760" s="3">
        <f>IFERROR(__xludf.DUMMYFUNCTION("""COMPUTED_VALUE"""),42314.64583333333)</f>
        <v>42314.64583</v>
      </c>
      <c r="C760" s="2">
        <f>IFERROR(__xludf.DUMMYFUNCTION("""COMPUTED_VALUE"""),412.8)</f>
        <v>412.8</v>
      </c>
    </row>
    <row r="761" ht="15.75" customHeight="1">
      <c r="B761" s="3">
        <f>IFERROR(__xludf.DUMMYFUNCTION("""COMPUTED_VALUE"""),42321.64583333333)</f>
        <v>42321.64583</v>
      </c>
      <c r="C761" s="2">
        <f>IFERROR(__xludf.DUMMYFUNCTION("""COMPUTED_VALUE"""),417.5)</f>
        <v>417.5</v>
      </c>
    </row>
    <row r="762" ht="15.75" customHeight="1">
      <c r="B762" s="3">
        <f>IFERROR(__xludf.DUMMYFUNCTION("""COMPUTED_VALUE"""),42328.64583333333)</f>
        <v>42328.64583</v>
      </c>
      <c r="C762" s="2">
        <f>IFERROR(__xludf.DUMMYFUNCTION("""COMPUTED_VALUE"""),413.5)</f>
        <v>413.5</v>
      </c>
    </row>
    <row r="763" ht="15.75" customHeight="1">
      <c r="B763" s="3">
        <f>IFERROR(__xludf.DUMMYFUNCTION("""COMPUTED_VALUE"""),42335.64583333333)</f>
        <v>42335.64583</v>
      </c>
      <c r="C763" s="2">
        <f>IFERROR(__xludf.DUMMYFUNCTION("""COMPUTED_VALUE"""),431.9)</f>
        <v>431.9</v>
      </c>
    </row>
    <row r="764" ht="15.75" customHeight="1">
      <c r="B764" s="3">
        <f>IFERROR(__xludf.DUMMYFUNCTION("""COMPUTED_VALUE"""),42342.64583333333)</f>
        <v>42342.64583</v>
      </c>
      <c r="C764" s="2">
        <f>IFERROR(__xludf.DUMMYFUNCTION("""COMPUTED_VALUE"""),429.6)</f>
        <v>429.6</v>
      </c>
    </row>
    <row r="765" ht="15.75" customHeight="1">
      <c r="B765" s="3">
        <f>IFERROR(__xludf.DUMMYFUNCTION("""COMPUTED_VALUE"""),42349.64583333333)</f>
        <v>42349.64583</v>
      </c>
      <c r="C765" s="2">
        <f>IFERROR(__xludf.DUMMYFUNCTION("""COMPUTED_VALUE"""),406.95)</f>
        <v>406.95</v>
      </c>
    </row>
    <row r="766" ht="15.75" customHeight="1">
      <c r="B766" s="3">
        <f>IFERROR(__xludf.DUMMYFUNCTION("""COMPUTED_VALUE"""),42356.64583333333)</f>
        <v>42356.64583</v>
      </c>
      <c r="C766" s="2">
        <f>IFERROR(__xludf.DUMMYFUNCTION("""COMPUTED_VALUE"""),387.0)</f>
        <v>387</v>
      </c>
    </row>
    <row r="767" ht="15.75" customHeight="1">
      <c r="B767" s="3">
        <f>IFERROR(__xludf.DUMMYFUNCTION("""COMPUTED_VALUE"""),42362.64583333333)</f>
        <v>42362.64583</v>
      </c>
      <c r="C767" s="2">
        <f>IFERROR(__xludf.DUMMYFUNCTION("""COMPUTED_VALUE"""),384.75)</f>
        <v>384.75</v>
      </c>
    </row>
    <row r="768" ht="15.75" customHeight="1">
      <c r="B768" s="3">
        <f>IFERROR(__xludf.DUMMYFUNCTION("""COMPUTED_VALUE"""),42370.64583333333)</f>
        <v>42370.64583</v>
      </c>
      <c r="C768" s="2">
        <f>IFERROR(__xludf.DUMMYFUNCTION("""COMPUTED_VALUE"""),403.0)</f>
        <v>403</v>
      </c>
    </row>
    <row r="769" ht="15.75" customHeight="1"/>
    <row r="770" ht="15.75" customHeight="1"/>
    <row r="771" ht="15.75" customHeight="1">
      <c r="B771" s="2" t="str">
        <f>IFERROR(__xludf.DUMMYFUNCTION("GOOGLEFINANCE(""NSE:TATAMOTORS"",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IFERROR(__xludf.DUMMYFUNCTION("""COMPUTED_VALUE"""),400.1)</f>
        <v>400.1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IFERROR(__xludf.DUMMYFUNCTION("""COMPUTED_VALUE"""),369.8)</f>
        <v>369.8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IFERROR(__xludf.DUMMYFUNCTION("""COMPUTED_VALUE"""),357.2)</f>
        <v>357.2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IFERROR(__xludf.DUMMYFUNCTION("""COMPUTED_VALUE"""),345.5)</f>
        <v>345.5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IFERROR(__xludf.DUMMYFUNCTION("""COMPUTED_VALUE"""),344.7)</f>
        <v>344.7</v>
      </c>
    </row>
    <row r="777" ht="15.75" customHeight="1">
      <c r="B777" s="3">
        <f>IFERROR(__xludf.DUMMYFUNCTION("""COMPUTED_VALUE"""),42412.64583333333)</f>
        <v>42412.64583</v>
      </c>
      <c r="C777" s="2">
        <f>IFERROR(__xludf.DUMMYFUNCTION("""COMPUTED_VALUE"""),334.95)</f>
        <v>334.95</v>
      </c>
    </row>
    <row r="778" ht="15.75" customHeight="1">
      <c r="B778" s="3">
        <f>IFERROR(__xludf.DUMMYFUNCTION("""COMPUTED_VALUE"""),42419.64583333333)</f>
        <v>42419.64583</v>
      </c>
      <c r="C778" s="2">
        <f>IFERROR(__xludf.DUMMYFUNCTION("""COMPUTED_VALUE"""),324.2)</f>
        <v>324.2</v>
      </c>
    </row>
    <row r="779" ht="15.75" customHeight="1">
      <c r="B779" s="3">
        <f>IFERROR(__xludf.DUMMYFUNCTION("""COMPUTED_VALUE"""),42426.64583333333)</f>
        <v>42426.64583</v>
      </c>
      <c r="C779" s="2">
        <f>IFERROR(__xludf.DUMMYFUNCTION("""COMPUTED_VALUE"""),324.75)</f>
        <v>324.75</v>
      </c>
    </row>
    <row r="780" ht="15.75" customHeight="1">
      <c r="B780" s="3">
        <f>IFERROR(__xludf.DUMMYFUNCTION("""COMPUTED_VALUE"""),42433.64583333333)</f>
        <v>42433.64583</v>
      </c>
      <c r="C780" s="2">
        <f>IFERROR(__xludf.DUMMYFUNCTION("""COMPUTED_VALUE"""),348.75)</f>
        <v>348.75</v>
      </c>
    </row>
    <row r="781" ht="15.75" customHeight="1">
      <c r="B781" s="3">
        <f>IFERROR(__xludf.DUMMYFUNCTION("""COMPUTED_VALUE"""),42440.64583333333)</f>
        <v>42440.64583</v>
      </c>
      <c r="C781" s="2">
        <f>IFERROR(__xludf.DUMMYFUNCTION("""COMPUTED_VALUE"""),355.9)</f>
        <v>355.9</v>
      </c>
    </row>
    <row r="782" ht="15.75" customHeight="1">
      <c r="B782" s="3">
        <f>IFERROR(__xludf.DUMMYFUNCTION("""COMPUTED_VALUE"""),42447.64583333333)</f>
        <v>42447.64583</v>
      </c>
      <c r="C782" s="2">
        <f>IFERROR(__xludf.DUMMYFUNCTION("""COMPUTED_VALUE"""),370.7)</f>
        <v>370.7</v>
      </c>
    </row>
    <row r="783" ht="15.75" customHeight="1">
      <c r="B783" s="3">
        <f>IFERROR(__xludf.DUMMYFUNCTION("""COMPUTED_VALUE"""),42452.64583333333)</f>
        <v>42452.64583</v>
      </c>
      <c r="C783" s="2">
        <f>IFERROR(__xludf.DUMMYFUNCTION("""COMPUTED_VALUE"""),381.5)</f>
        <v>381.5</v>
      </c>
    </row>
    <row r="784" ht="15.75" customHeight="1">
      <c r="B784" s="3">
        <f>IFERROR(__xludf.DUMMYFUNCTION("""COMPUTED_VALUE"""),42461.64583333333)</f>
        <v>42461.64583</v>
      </c>
      <c r="C784" s="2">
        <f>IFERROR(__xludf.DUMMYFUNCTION("""COMPUTED_VALUE"""),393.6)</f>
        <v>393.6</v>
      </c>
    </row>
    <row r="785" ht="15.75" customHeight="1">
      <c r="B785" s="3">
        <f>IFERROR(__xludf.DUMMYFUNCTION("""COMPUTED_VALUE"""),42468.64583333333)</f>
        <v>42468.64583</v>
      </c>
      <c r="C785" s="2">
        <f>IFERROR(__xludf.DUMMYFUNCTION("""COMPUTED_VALUE"""),391.0)</f>
        <v>391</v>
      </c>
    </row>
    <row r="786" ht="15.75" customHeight="1">
      <c r="B786" s="3">
        <f>IFERROR(__xludf.DUMMYFUNCTION("""COMPUTED_VALUE"""),42473.64583333333)</f>
        <v>42473.64583</v>
      </c>
      <c r="C786" s="2">
        <f>IFERROR(__xludf.DUMMYFUNCTION("""COMPUTED_VALUE"""),411.75)</f>
        <v>411.75</v>
      </c>
    </row>
    <row r="787" ht="15.75" customHeight="1">
      <c r="B787" s="3">
        <f>IFERROR(__xludf.DUMMYFUNCTION("""COMPUTED_VALUE"""),42482.64583333333)</f>
        <v>42482.64583</v>
      </c>
      <c r="C787" s="2">
        <f>IFERROR(__xludf.DUMMYFUNCTION("""COMPUTED_VALUE"""),420.5)</f>
        <v>420.5</v>
      </c>
    </row>
    <row r="788" ht="15.75" customHeight="1">
      <c r="B788" s="3">
        <f>IFERROR(__xludf.DUMMYFUNCTION("""COMPUTED_VALUE"""),42489.64583333333)</f>
        <v>42489.64583</v>
      </c>
      <c r="C788" s="2">
        <f>IFERROR(__xludf.DUMMYFUNCTION("""COMPUTED_VALUE"""),425.25)</f>
        <v>425.25</v>
      </c>
    </row>
    <row r="789" ht="15.75" customHeight="1">
      <c r="B789" s="3">
        <f>IFERROR(__xludf.DUMMYFUNCTION("""COMPUTED_VALUE"""),42496.64583333333)</f>
        <v>42496.64583</v>
      </c>
      <c r="C789" s="2">
        <f>IFERROR(__xludf.DUMMYFUNCTION("""COMPUTED_VALUE"""),422.0)</f>
        <v>422</v>
      </c>
    </row>
    <row r="790" ht="15.75" customHeight="1">
      <c r="B790" s="3">
        <f>IFERROR(__xludf.DUMMYFUNCTION("""COMPUTED_VALUE"""),42503.64583333333)</f>
        <v>42503.64583</v>
      </c>
      <c r="C790" s="2">
        <f>IFERROR(__xludf.DUMMYFUNCTION("""COMPUTED_VALUE"""),405.2)</f>
        <v>405.2</v>
      </c>
    </row>
    <row r="791" ht="15.75" customHeight="1">
      <c r="B791" s="3">
        <f>IFERROR(__xludf.DUMMYFUNCTION("""COMPUTED_VALUE"""),42510.64583333333)</f>
        <v>42510.64583</v>
      </c>
      <c r="C791" s="2">
        <f>IFERROR(__xludf.DUMMYFUNCTION("""COMPUTED_VALUE"""),396.7)</f>
        <v>396.7</v>
      </c>
    </row>
    <row r="792" ht="15.75" customHeight="1">
      <c r="B792" s="3">
        <f>IFERROR(__xludf.DUMMYFUNCTION("""COMPUTED_VALUE"""),42517.64583333333)</f>
        <v>42517.64583</v>
      </c>
      <c r="C792" s="2">
        <f>IFERROR(__xludf.DUMMYFUNCTION("""COMPUTED_VALUE"""),405.0)</f>
        <v>405</v>
      </c>
    </row>
    <row r="793" ht="15.75" customHeight="1">
      <c r="B793" s="3">
        <f>IFERROR(__xludf.DUMMYFUNCTION("""COMPUTED_VALUE"""),42524.64583333333)</f>
        <v>42524.64583</v>
      </c>
      <c r="C793" s="2">
        <f>IFERROR(__xludf.DUMMYFUNCTION("""COMPUTED_VALUE"""),464.9)</f>
        <v>464.9</v>
      </c>
    </row>
    <row r="794" ht="15.75" customHeight="1">
      <c r="B794" s="3">
        <f>IFERROR(__xludf.DUMMYFUNCTION("""COMPUTED_VALUE"""),42531.64583333333)</f>
        <v>42531.64583</v>
      </c>
      <c r="C794" s="2">
        <f>IFERROR(__xludf.DUMMYFUNCTION("""COMPUTED_VALUE"""),470.25)</f>
        <v>470.25</v>
      </c>
    </row>
    <row r="795" ht="15.75" customHeight="1">
      <c r="B795" s="3">
        <f>IFERROR(__xludf.DUMMYFUNCTION("""COMPUTED_VALUE"""),42538.64583333333)</f>
        <v>42538.64583</v>
      </c>
      <c r="C795" s="2">
        <f>IFERROR(__xludf.DUMMYFUNCTION("""COMPUTED_VALUE"""),465.75)</f>
        <v>465.75</v>
      </c>
    </row>
    <row r="796" ht="15.75" customHeight="1">
      <c r="B796" s="3">
        <f>IFERROR(__xludf.DUMMYFUNCTION("""COMPUTED_VALUE"""),42545.64583333333)</f>
        <v>42545.64583</v>
      </c>
      <c r="C796" s="2">
        <f>IFERROR(__xludf.DUMMYFUNCTION("""COMPUTED_VALUE"""),489.9)</f>
        <v>489.9</v>
      </c>
    </row>
    <row r="797" ht="15.75" customHeight="1">
      <c r="B797" s="3">
        <f>IFERROR(__xludf.DUMMYFUNCTION("""COMPUTED_VALUE"""),42552.64583333333)</f>
        <v>42552.64583</v>
      </c>
      <c r="C797" s="2">
        <f>IFERROR(__xludf.DUMMYFUNCTION("""COMPUTED_VALUE"""),464.75)</f>
        <v>464.75</v>
      </c>
    </row>
    <row r="798" ht="15.75" customHeight="1">
      <c r="B798" s="3">
        <f>IFERROR(__xludf.DUMMYFUNCTION("""COMPUTED_VALUE"""),42559.64583333333)</f>
        <v>42559.64583</v>
      </c>
      <c r="C798" s="2">
        <f>IFERROR(__xludf.DUMMYFUNCTION("""COMPUTED_VALUE"""),474.85)</f>
        <v>474.85</v>
      </c>
    </row>
    <row r="799" ht="15.75" customHeight="1">
      <c r="B799" s="3">
        <f>IFERROR(__xludf.DUMMYFUNCTION("""COMPUTED_VALUE"""),42566.64583333333)</f>
        <v>42566.64583</v>
      </c>
      <c r="C799" s="2">
        <f>IFERROR(__xludf.DUMMYFUNCTION("""COMPUTED_VALUE"""),501.7)</f>
        <v>501.7</v>
      </c>
    </row>
    <row r="800" ht="15.75" customHeight="1">
      <c r="B800" s="3">
        <f>IFERROR(__xludf.DUMMYFUNCTION("""COMPUTED_VALUE"""),42573.64583333333)</f>
        <v>42573.64583</v>
      </c>
      <c r="C800" s="2">
        <f>IFERROR(__xludf.DUMMYFUNCTION("""COMPUTED_VALUE"""),508.45)</f>
        <v>508.45</v>
      </c>
    </row>
    <row r="801" ht="15.75" customHeight="1">
      <c r="B801" s="3">
        <f>IFERROR(__xludf.DUMMYFUNCTION("""COMPUTED_VALUE"""),42580.64583333333)</f>
        <v>42580.64583</v>
      </c>
      <c r="C801" s="2">
        <f>IFERROR(__xludf.DUMMYFUNCTION("""COMPUTED_VALUE"""),513.35)</f>
        <v>513.35</v>
      </c>
    </row>
    <row r="802" ht="15.75" customHeight="1">
      <c r="B802" s="3">
        <f>IFERROR(__xludf.DUMMYFUNCTION("""COMPUTED_VALUE"""),42587.64583333333)</f>
        <v>42587.64583</v>
      </c>
      <c r="C802" s="2">
        <f>IFERROR(__xludf.DUMMYFUNCTION("""COMPUTED_VALUE"""),518.7)</f>
        <v>518.7</v>
      </c>
    </row>
    <row r="803" ht="15.75" customHeight="1">
      <c r="B803" s="3">
        <f>IFERROR(__xludf.DUMMYFUNCTION("""COMPUTED_VALUE"""),42594.64583333333)</f>
        <v>42594.64583</v>
      </c>
      <c r="C803" s="2">
        <f>IFERROR(__xludf.DUMMYFUNCTION("""COMPUTED_VALUE"""),522.6)</f>
        <v>522.6</v>
      </c>
    </row>
    <row r="804" ht="15.75" customHeight="1">
      <c r="B804" s="3">
        <f>IFERROR(__xludf.DUMMYFUNCTION("""COMPUTED_VALUE"""),42601.64583333333)</f>
        <v>42601.64583</v>
      </c>
      <c r="C804" s="2">
        <f>IFERROR(__xludf.DUMMYFUNCTION("""COMPUTED_VALUE"""),517.9)</f>
        <v>517.9</v>
      </c>
    </row>
    <row r="805" ht="15.75" customHeight="1">
      <c r="B805" s="3">
        <f>IFERROR(__xludf.DUMMYFUNCTION("""COMPUTED_VALUE"""),42608.64583333333)</f>
        <v>42608.64583</v>
      </c>
      <c r="C805" s="2">
        <f>IFERROR(__xludf.DUMMYFUNCTION("""COMPUTED_VALUE"""),515.35)</f>
        <v>515.35</v>
      </c>
    </row>
    <row r="806" ht="15.75" customHeight="1">
      <c r="B806" s="3">
        <f>IFERROR(__xludf.DUMMYFUNCTION("""COMPUTED_VALUE"""),42615.64583333333)</f>
        <v>42615.64583</v>
      </c>
      <c r="C806" s="2">
        <f>IFERROR(__xludf.DUMMYFUNCTION("""COMPUTED_VALUE"""),555.9)</f>
        <v>555.9</v>
      </c>
    </row>
    <row r="807" ht="15.75" customHeight="1">
      <c r="B807" s="3">
        <f>IFERROR(__xludf.DUMMYFUNCTION("""COMPUTED_VALUE"""),42622.64583333333)</f>
        <v>42622.64583</v>
      </c>
      <c r="C807" s="2">
        <f>IFERROR(__xludf.DUMMYFUNCTION("""COMPUTED_VALUE"""),598.4)</f>
        <v>598.4</v>
      </c>
    </row>
    <row r="808" ht="15.75" customHeight="1">
      <c r="B808" s="3">
        <f>IFERROR(__xludf.DUMMYFUNCTION("""COMPUTED_VALUE"""),42629.64583333333)</f>
        <v>42629.64583</v>
      </c>
      <c r="C808" s="2">
        <f>IFERROR(__xludf.DUMMYFUNCTION("""COMPUTED_VALUE"""),568.2)</f>
        <v>568.2</v>
      </c>
    </row>
    <row r="809" ht="15.75" customHeight="1">
      <c r="B809" s="3">
        <f>IFERROR(__xludf.DUMMYFUNCTION("""COMPUTED_VALUE"""),42636.64583333333)</f>
        <v>42636.64583</v>
      </c>
      <c r="C809" s="2">
        <f>IFERROR(__xludf.DUMMYFUNCTION("""COMPUTED_VALUE"""),562.95)</f>
        <v>562.95</v>
      </c>
    </row>
    <row r="810" ht="15.75" customHeight="1">
      <c r="B810" s="3">
        <f>IFERROR(__xludf.DUMMYFUNCTION("""COMPUTED_VALUE"""),42643.64583333333)</f>
        <v>42643.64583</v>
      </c>
      <c r="C810" s="2">
        <f>IFERROR(__xludf.DUMMYFUNCTION("""COMPUTED_VALUE"""),549.95)</f>
        <v>549.95</v>
      </c>
    </row>
    <row r="811" ht="15.75" customHeight="1">
      <c r="B811" s="3">
        <f>IFERROR(__xludf.DUMMYFUNCTION("""COMPUTED_VALUE"""),42650.64583333333)</f>
        <v>42650.64583</v>
      </c>
      <c r="C811" s="2">
        <f>IFERROR(__xludf.DUMMYFUNCTION("""COMPUTED_VALUE"""),567.3)</f>
        <v>567.3</v>
      </c>
    </row>
    <row r="812" ht="15.75" customHeight="1">
      <c r="B812" s="3">
        <f>IFERROR(__xludf.DUMMYFUNCTION("""COMPUTED_VALUE"""),42657.64583333333)</f>
        <v>42657.64583</v>
      </c>
      <c r="C812" s="2">
        <f>IFERROR(__xludf.DUMMYFUNCTION("""COMPUTED_VALUE"""),571.1)</f>
        <v>571.1</v>
      </c>
    </row>
    <row r="813" ht="15.75" customHeight="1">
      <c r="B813" s="3">
        <f>IFERROR(__xludf.DUMMYFUNCTION("""COMPUTED_VALUE"""),42664.64583333333)</f>
        <v>42664.64583</v>
      </c>
      <c r="C813" s="2">
        <f>IFERROR(__xludf.DUMMYFUNCTION("""COMPUTED_VALUE"""),557.85)</f>
        <v>557.85</v>
      </c>
    </row>
    <row r="814" ht="15.75" customHeight="1">
      <c r="B814" s="3">
        <f>IFERROR(__xludf.DUMMYFUNCTION("""COMPUTED_VALUE"""),42671.64583333333)</f>
        <v>42671.64583</v>
      </c>
      <c r="C814" s="2">
        <f>IFERROR(__xludf.DUMMYFUNCTION("""COMPUTED_VALUE"""),564.0)</f>
        <v>564</v>
      </c>
    </row>
    <row r="815" ht="15.75" customHeight="1">
      <c r="B815" s="3">
        <f>IFERROR(__xludf.DUMMYFUNCTION("""COMPUTED_VALUE"""),42678.64583333333)</f>
        <v>42678.64583</v>
      </c>
      <c r="C815" s="2">
        <f>IFERROR(__xludf.DUMMYFUNCTION("""COMPUTED_VALUE"""),537.9)</f>
        <v>537.9</v>
      </c>
    </row>
    <row r="816" ht="15.75" customHeight="1">
      <c r="B816" s="3">
        <f>IFERROR(__xludf.DUMMYFUNCTION("""COMPUTED_VALUE"""),42685.64583333333)</f>
        <v>42685.64583</v>
      </c>
      <c r="C816" s="2">
        <f>IFERROR(__xludf.DUMMYFUNCTION("""COMPUTED_VALUE"""),549.35)</f>
        <v>549.35</v>
      </c>
    </row>
    <row r="817" ht="15.75" customHeight="1">
      <c r="B817" s="3">
        <f>IFERROR(__xludf.DUMMYFUNCTION("""COMPUTED_VALUE"""),42692.64583333333)</f>
        <v>42692.64583</v>
      </c>
      <c r="C817" s="2">
        <f>IFERROR(__xludf.DUMMYFUNCTION("""COMPUTED_VALUE"""),484.9)</f>
        <v>484.9</v>
      </c>
    </row>
    <row r="818" ht="15.75" customHeight="1">
      <c r="B818" s="3">
        <f>IFERROR(__xludf.DUMMYFUNCTION("""COMPUTED_VALUE"""),42699.64583333333)</f>
        <v>42699.64583</v>
      </c>
      <c r="C818" s="2">
        <f>IFERROR(__xludf.DUMMYFUNCTION("""COMPUTED_VALUE"""),475.3)</f>
        <v>475.3</v>
      </c>
    </row>
    <row r="819" ht="15.75" customHeight="1">
      <c r="B819" s="3">
        <f>IFERROR(__xludf.DUMMYFUNCTION("""COMPUTED_VALUE"""),42706.64583333333)</f>
        <v>42706.64583</v>
      </c>
      <c r="C819" s="2">
        <f>IFERROR(__xludf.DUMMYFUNCTION("""COMPUTED_VALUE"""),466.3)</f>
        <v>466.3</v>
      </c>
    </row>
    <row r="820" ht="15.75" customHeight="1">
      <c r="B820" s="3">
        <f>IFERROR(__xludf.DUMMYFUNCTION("""COMPUTED_VALUE"""),42713.64583333333)</f>
        <v>42713.64583</v>
      </c>
      <c r="C820" s="2">
        <f>IFERROR(__xludf.DUMMYFUNCTION("""COMPUTED_VALUE"""),468.55)</f>
        <v>468.55</v>
      </c>
    </row>
    <row r="821" ht="15.75" customHeight="1">
      <c r="B821" s="3">
        <f>IFERROR(__xludf.DUMMYFUNCTION("""COMPUTED_VALUE"""),42720.64583333333)</f>
        <v>42720.64583</v>
      </c>
      <c r="C821" s="2">
        <f>IFERROR(__xludf.DUMMYFUNCTION("""COMPUTED_VALUE"""),486.25)</f>
        <v>486.25</v>
      </c>
    </row>
    <row r="822" ht="15.75" customHeight="1">
      <c r="B822" s="3">
        <f>IFERROR(__xludf.DUMMYFUNCTION("""COMPUTED_VALUE"""),42727.64583333333)</f>
        <v>42727.64583</v>
      </c>
      <c r="C822" s="2">
        <f>IFERROR(__xludf.DUMMYFUNCTION("""COMPUTED_VALUE"""),478.55)</f>
        <v>478.55</v>
      </c>
    </row>
    <row r="823" ht="15.75" customHeight="1">
      <c r="B823" s="3">
        <f>IFERROR(__xludf.DUMMYFUNCTION("""COMPUTED_VALUE"""),42734.64583333333)</f>
        <v>42734.64583</v>
      </c>
      <c r="C823" s="2">
        <f>IFERROR(__xludf.DUMMYFUNCTION("""COMPUTED_VALUE"""),475.0)</f>
        <v>475</v>
      </c>
    </row>
    <row r="824" ht="15.75" customHeight="1"/>
    <row r="825" ht="15.75" customHeight="1"/>
    <row r="826" ht="15.75" customHeight="1">
      <c r="B826" s="2" t="str">
        <f>IFERROR(__xludf.DUMMYFUNCTION("GOOGLEFINANCE(""NSE:TATAMOTORS"",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IFERROR(__xludf.DUMMYFUNCTION("""COMPUTED_VALUE"""),507.95)</f>
        <v>507.95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IFERROR(__xludf.DUMMYFUNCTION("""COMPUTED_VALUE"""),524.0)</f>
        <v>524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IFERROR(__xludf.DUMMYFUNCTION("""COMPUTED_VALUE"""),535.6)</f>
        <v>535.6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IFERROR(__xludf.DUMMYFUNCTION("""COMPUTED_VALUE"""),552.0)</f>
        <v>552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IFERROR(__xludf.DUMMYFUNCTION("""COMPUTED_VALUE"""),544.5)</f>
        <v>544.5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IFERROR(__xludf.DUMMYFUNCTION("""COMPUTED_VALUE"""),531.45)</f>
        <v>531.45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IFERROR(__xludf.DUMMYFUNCTION("""COMPUTED_VALUE"""),512.7)</f>
        <v>512.7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IFERROR(__xludf.DUMMYFUNCTION("""COMPUTED_VALUE"""),466.7)</f>
        <v>466.7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IFERROR(__xludf.DUMMYFUNCTION("""COMPUTED_VALUE"""),467.9)</f>
        <v>467.9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IFERROR(__xludf.DUMMYFUNCTION("""COMPUTED_VALUE"""),475.9)</f>
        <v>475.9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IFERROR(__xludf.DUMMYFUNCTION("""COMPUTED_VALUE"""),484.2)</f>
        <v>484.2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IFERROR(__xludf.DUMMYFUNCTION("""COMPUTED_VALUE"""),478.2)</f>
        <v>478.2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IFERROR(__xludf.DUMMYFUNCTION("""COMPUTED_VALUE"""),475.0)</f>
        <v>475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IFERROR(__xludf.DUMMYFUNCTION("""COMPUTED_VALUE"""),480.55)</f>
        <v>480.55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IFERROR(__xludf.DUMMYFUNCTION("""COMPUTED_VALUE"""),478.35)</f>
        <v>478.35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IFERROR(__xludf.DUMMYFUNCTION("""COMPUTED_VALUE"""),455.75)</f>
        <v>455.75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IFERROR(__xludf.DUMMYFUNCTION("""COMPUTED_VALUE"""),462.0)</f>
        <v>462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IFERROR(__xludf.DUMMYFUNCTION("""COMPUTED_VALUE"""),457.2)</f>
        <v>457.2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IFERROR(__xludf.DUMMYFUNCTION("""COMPUTED_VALUE"""),434.5)</f>
        <v>434.5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IFERROR(__xludf.DUMMYFUNCTION("""COMPUTED_VALUE"""),452.5)</f>
        <v>452.5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IFERROR(__xludf.DUMMYFUNCTION("""COMPUTED_VALUE"""),488.25)</f>
        <v>488.25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IFERROR(__xludf.DUMMYFUNCTION("""COMPUTED_VALUE"""),487.0)</f>
        <v>487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IFERROR(__xludf.DUMMYFUNCTION("""COMPUTED_VALUE"""),484.35)</f>
        <v>484.35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IFERROR(__xludf.DUMMYFUNCTION("""COMPUTED_VALUE"""),465.25)</f>
        <v>465.25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IFERROR(__xludf.DUMMYFUNCTION("""COMPUTED_VALUE"""),470.75)</f>
        <v>470.75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IFERROR(__xludf.DUMMYFUNCTION("""COMPUTED_VALUE"""),446.8)</f>
        <v>446.8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IFERROR(__xludf.DUMMYFUNCTION("""COMPUTED_VALUE"""),441.45)</f>
        <v>441.45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IFERROR(__xludf.DUMMYFUNCTION("""COMPUTED_VALUE"""),464.5)</f>
        <v>464.5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IFERROR(__xludf.DUMMYFUNCTION("""COMPUTED_VALUE"""),465.9)</f>
        <v>465.9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IFERROR(__xludf.DUMMYFUNCTION("""COMPUTED_VALUE"""),468.35)</f>
        <v>468.35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IFERROR(__xludf.DUMMYFUNCTION("""COMPUTED_VALUE"""),452.35)</f>
        <v>452.35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IFERROR(__xludf.DUMMYFUNCTION("""COMPUTED_VALUE"""),439.8)</f>
        <v>439.8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IFERROR(__xludf.DUMMYFUNCTION("""COMPUTED_VALUE"""),392.45)</f>
        <v>392.45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IFERROR(__xludf.DUMMYFUNCTION("""COMPUTED_VALUE"""),385.95)</f>
        <v>385.95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IFERROR(__xludf.DUMMYFUNCTION("""COMPUTED_VALUE"""),392.85)</f>
        <v>392.85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IFERROR(__xludf.DUMMYFUNCTION("""COMPUTED_VALUE"""),396.05)</f>
        <v>396.05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IFERROR(__xludf.DUMMYFUNCTION("""COMPUTED_VALUE"""),406.75)</f>
        <v>406.75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IFERROR(__xludf.DUMMYFUNCTION("""COMPUTED_VALUE"""),427.7)</f>
        <v>427.7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IFERROR(__xludf.DUMMYFUNCTION("""COMPUTED_VALUE"""),415.3)</f>
        <v>415.3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IFERROR(__xludf.DUMMYFUNCTION("""COMPUTED_VALUE"""),428.0)</f>
        <v>428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IFERROR(__xludf.DUMMYFUNCTION("""COMPUTED_VALUE"""),432.1)</f>
        <v>432.1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IFERROR(__xludf.DUMMYFUNCTION("""COMPUTED_VALUE"""),438.0)</f>
        <v>438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IFERROR(__xludf.DUMMYFUNCTION("""COMPUTED_VALUE"""),434.35)</f>
        <v>434.35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IFERROR(__xludf.DUMMYFUNCTION("""COMPUTED_VALUE"""),449.35)</f>
        <v>449.35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IFERROR(__xludf.DUMMYFUNCTION("""COMPUTED_VALUE"""),468.0)</f>
        <v>468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IFERROR(__xludf.DUMMYFUNCTION("""COMPUTED_VALUE"""),427.5)</f>
        <v>427.5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IFERROR(__xludf.DUMMYFUNCTION("""COMPUTED_VALUE"""),433.0)</f>
        <v>433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IFERROR(__xludf.DUMMYFUNCTION("""COMPUTED_VALUE"""),424.75)</f>
        <v>424.75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IFERROR(__xludf.DUMMYFUNCTION("""COMPUTED_VALUE"""),413.75)</f>
        <v>413.75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IFERROR(__xludf.DUMMYFUNCTION("""COMPUTED_VALUE"""),415.5)</f>
        <v>415.5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IFERROR(__xludf.DUMMYFUNCTION("""COMPUTED_VALUE"""),427.75)</f>
        <v>427.75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IFERROR(__xludf.DUMMYFUNCTION("""COMPUTED_VALUE"""),433.45)</f>
        <v>433.45</v>
      </c>
    </row>
    <row r="879" ht="15.75" customHeight="1"/>
    <row r="880" ht="15.75" customHeight="1"/>
    <row r="881" ht="15.75" customHeight="1">
      <c r="B881" s="2" t="str">
        <f>IFERROR(__xludf.DUMMYFUNCTION("GOOGLEFINANCE(""NSE:TATAMOTORS"", ""high"",DATE(2018,1,1),DATE(2019,1,1),""weekly"")"),"Date")</f>
        <v>Date</v>
      </c>
      <c r="C881" s="2" t="str">
        <f>IFERROR(__xludf.DUMMYFUNCTION("""COMPUTED_VALUE"""),"High")</f>
        <v>High</v>
      </c>
    </row>
    <row r="882" ht="15.75" customHeight="1">
      <c r="B882" s="3">
        <f>IFERROR(__xludf.DUMMYFUNCTION("""COMPUTED_VALUE"""),43105.64583333333)</f>
        <v>43105.64583</v>
      </c>
      <c r="C882" s="2">
        <f>IFERROR(__xludf.DUMMYFUNCTION("""COMPUTED_VALUE"""),441.4)</f>
        <v>441.4</v>
      </c>
    </row>
    <row r="883" ht="15.75" customHeight="1">
      <c r="B883" s="3">
        <f>IFERROR(__xludf.DUMMYFUNCTION("""COMPUTED_VALUE"""),43112.64583333333)</f>
        <v>43112.64583</v>
      </c>
      <c r="C883" s="2">
        <f>IFERROR(__xludf.DUMMYFUNCTION("""COMPUTED_VALUE"""),443.5)</f>
        <v>443.5</v>
      </c>
    </row>
    <row r="884" ht="15.75" customHeight="1">
      <c r="B884" s="3">
        <f>IFERROR(__xludf.DUMMYFUNCTION("""COMPUTED_VALUE"""),43119.64583333333)</f>
        <v>43119.64583</v>
      </c>
      <c r="C884" s="2">
        <f>IFERROR(__xludf.DUMMYFUNCTION("""COMPUTED_VALUE"""),440.05)</f>
        <v>440.05</v>
      </c>
    </row>
    <row r="885" ht="15.75" customHeight="1">
      <c r="B885" s="3">
        <f>IFERROR(__xludf.DUMMYFUNCTION("""COMPUTED_VALUE"""),43125.64583333333)</f>
        <v>43125.64583</v>
      </c>
      <c r="C885" s="2">
        <f>IFERROR(__xludf.DUMMYFUNCTION("""COMPUTED_VALUE"""),424.4)</f>
        <v>424.4</v>
      </c>
    </row>
    <row r="886" ht="15.75" customHeight="1">
      <c r="B886" s="3">
        <f>IFERROR(__xludf.DUMMYFUNCTION("""COMPUTED_VALUE"""),43133.64583333333)</f>
        <v>43133.64583</v>
      </c>
      <c r="C886" s="2">
        <f>IFERROR(__xludf.DUMMYFUNCTION("""COMPUTED_VALUE"""),405.9)</f>
        <v>405.9</v>
      </c>
    </row>
    <row r="887" ht="15.75" customHeight="1">
      <c r="B887" s="3">
        <f>IFERROR(__xludf.DUMMYFUNCTION("""COMPUTED_VALUE"""),43140.64583333333)</f>
        <v>43140.64583</v>
      </c>
      <c r="C887" s="2">
        <f>IFERROR(__xludf.DUMMYFUNCTION("""COMPUTED_VALUE"""),398.0)</f>
        <v>398</v>
      </c>
    </row>
    <row r="888" ht="15.75" customHeight="1">
      <c r="B888" s="3">
        <f>IFERROR(__xludf.DUMMYFUNCTION("""COMPUTED_VALUE"""),43147.64583333333)</f>
        <v>43147.64583</v>
      </c>
      <c r="C888" s="2">
        <f>IFERROR(__xludf.DUMMYFUNCTION("""COMPUTED_VALUE"""),382.3)</f>
        <v>382.3</v>
      </c>
    </row>
    <row r="889" ht="15.75" customHeight="1">
      <c r="B889" s="3">
        <f>IFERROR(__xludf.DUMMYFUNCTION("""COMPUTED_VALUE"""),43154.64583333333)</f>
        <v>43154.64583</v>
      </c>
      <c r="C889" s="2">
        <f>IFERROR(__xludf.DUMMYFUNCTION("""COMPUTED_VALUE"""),374.7)</f>
        <v>374.7</v>
      </c>
    </row>
    <row r="890" ht="15.75" customHeight="1">
      <c r="B890" s="3">
        <f>IFERROR(__xludf.DUMMYFUNCTION("""COMPUTED_VALUE"""),43160.64583333333)</f>
        <v>43160.64583</v>
      </c>
      <c r="C890" s="2">
        <f>IFERROR(__xludf.DUMMYFUNCTION("""COMPUTED_VALUE"""),376.6)</f>
        <v>376.6</v>
      </c>
    </row>
    <row r="891" ht="15.75" customHeight="1">
      <c r="B891" s="3">
        <f>IFERROR(__xludf.DUMMYFUNCTION("""COMPUTED_VALUE"""),43168.64583333333)</f>
        <v>43168.64583</v>
      </c>
      <c r="C891" s="2">
        <f>IFERROR(__xludf.DUMMYFUNCTION("""COMPUTED_VALUE"""),368.75)</f>
        <v>368.75</v>
      </c>
    </row>
    <row r="892" ht="15.75" customHeight="1">
      <c r="B892" s="3">
        <f>IFERROR(__xludf.DUMMYFUNCTION("""COMPUTED_VALUE"""),43175.64583333333)</f>
        <v>43175.64583</v>
      </c>
      <c r="C892" s="2">
        <f>IFERROR(__xludf.DUMMYFUNCTION("""COMPUTED_VALUE"""),358.4)</f>
        <v>358.4</v>
      </c>
    </row>
    <row r="893" ht="15.75" customHeight="1">
      <c r="B893" s="3">
        <f>IFERROR(__xludf.DUMMYFUNCTION("""COMPUTED_VALUE"""),43182.64583333333)</f>
        <v>43182.64583</v>
      </c>
      <c r="C893" s="2">
        <f>IFERROR(__xludf.DUMMYFUNCTION("""COMPUTED_VALUE"""),342.25)</f>
        <v>342.25</v>
      </c>
    </row>
    <row r="894" ht="15.75" customHeight="1">
      <c r="B894" s="3">
        <f>IFERROR(__xludf.DUMMYFUNCTION("""COMPUTED_VALUE"""),43187.64583333333)</f>
        <v>43187.64583</v>
      </c>
      <c r="C894" s="2">
        <f>IFERROR(__xludf.DUMMYFUNCTION("""COMPUTED_VALUE"""),335.8)</f>
        <v>335.8</v>
      </c>
    </row>
    <row r="895" ht="15.75" customHeight="1">
      <c r="B895" s="3">
        <f>IFERROR(__xludf.DUMMYFUNCTION("""COMPUTED_VALUE"""),43196.64583333333)</f>
        <v>43196.64583</v>
      </c>
      <c r="C895" s="2">
        <f>IFERROR(__xludf.DUMMYFUNCTION("""COMPUTED_VALUE"""),372.35)</f>
        <v>372.35</v>
      </c>
    </row>
    <row r="896" ht="15.75" customHeight="1">
      <c r="B896" s="3">
        <f>IFERROR(__xludf.DUMMYFUNCTION("""COMPUTED_VALUE"""),43203.64583333333)</f>
        <v>43203.64583</v>
      </c>
      <c r="C896" s="2">
        <f>IFERROR(__xludf.DUMMYFUNCTION("""COMPUTED_VALUE"""),368.6)</f>
        <v>368.6</v>
      </c>
    </row>
    <row r="897" ht="15.75" customHeight="1">
      <c r="B897" s="3">
        <f>IFERROR(__xludf.DUMMYFUNCTION("""COMPUTED_VALUE"""),43210.64583333333)</f>
        <v>43210.64583</v>
      </c>
      <c r="C897" s="2">
        <f>IFERROR(__xludf.DUMMYFUNCTION("""COMPUTED_VALUE"""),352.8)</f>
        <v>352.8</v>
      </c>
    </row>
    <row r="898" ht="15.75" customHeight="1">
      <c r="B898" s="3">
        <f>IFERROR(__xludf.DUMMYFUNCTION("""COMPUTED_VALUE"""),43217.64583333333)</f>
        <v>43217.64583</v>
      </c>
      <c r="C898" s="2">
        <f>IFERROR(__xludf.DUMMYFUNCTION("""COMPUTED_VALUE"""),339.5)</f>
        <v>339.5</v>
      </c>
    </row>
    <row r="899" ht="15.75" customHeight="1">
      <c r="B899" s="3">
        <f>IFERROR(__xludf.DUMMYFUNCTION("""COMPUTED_VALUE"""),43224.64583333333)</f>
        <v>43224.64583</v>
      </c>
      <c r="C899" s="2">
        <f>IFERROR(__xludf.DUMMYFUNCTION("""COMPUTED_VALUE"""),351.65)</f>
        <v>351.65</v>
      </c>
    </row>
    <row r="900" ht="15.75" customHeight="1">
      <c r="B900" s="3">
        <f>IFERROR(__xludf.DUMMYFUNCTION("""COMPUTED_VALUE"""),43231.64583333333)</f>
        <v>43231.64583</v>
      </c>
      <c r="C900" s="2">
        <f>IFERROR(__xludf.DUMMYFUNCTION("""COMPUTED_VALUE"""),347.25)</f>
        <v>347.25</v>
      </c>
    </row>
    <row r="901" ht="15.75" customHeight="1">
      <c r="B901" s="3">
        <f>IFERROR(__xludf.DUMMYFUNCTION("""COMPUTED_VALUE"""),43238.64583333333)</f>
        <v>43238.64583</v>
      </c>
      <c r="C901" s="2">
        <f>IFERROR(__xludf.DUMMYFUNCTION("""COMPUTED_VALUE"""),333.0)</f>
        <v>333</v>
      </c>
    </row>
    <row r="902" ht="15.75" customHeight="1">
      <c r="B902" s="3">
        <f>IFERROR(__xludf.DUMMYFUNCTION("""COMPUTED_VALUE"""),43245.64583333333)</f>
        <v>43245.64583</v>
      </c>
      <c r="C902" s="2">
        <f>IFERROR(__xludf.DUMMYFUNCTION("""COMPUTED_VALUE"""),317.25)</f>
        <v>317.25</v>
      </c>
    </row>
    <row r="903" ht="15.75" customHeight="1">
      <c r="B903" s="3">
        <f>IFERROR(__xludf.DUMMYFUNCTION("""COMPUTED_VALUE"""),43252.64583333333)</f>
        <v>43252.64583</v>
      </c>
      <c r="C903" s="2">
        <f>IFERROR(__xludf.DUMMYFUNCTION("""COMPUTED_VALUE"""),300.0)</f>
        <v>300</v>
      </c>
    </row>
    <row r="904" ht="15.75" customHeight="1">
      <c r="B904" s="3">
        <f>IFERROR(__xludf.DUMMYFUNCTION("""COMPUTED_VALUE"""),43259.64583333333)</f>
        <v>43259.64583</v>
      </c>
      <c r="C904" s="2">
        <f>IFERROR(__xludf.DUMMYFUNCTION("""COMPUTED_VALUE"""),315.55)</f>
        <v>315.55</v>
      </c>
    </row>
    <row r="905" ht="15.75" customHeight="1">
      <c r="B905" s="3">
        <f>IFERROR(__xludf.DUMMYFUNCTION("""COMPUTED_VALUE"""),43266.64583333333)</f>
        <v>43266.64583</v>
      </c>
      <c r="C905" s="2">
        <f>IFERROR(__xludf.DUMMYFUNCTION("""COMPUTED_VALUE"""),313.9)</f>
        <v>313.9</v>
      </c>
    </row>
    <row r="906" ht="15.75" customHeight="1">
      <c r="B906" s="3">
        <f>IFERROR(__xludf.DUMMYFUNCTION("""COMPUTED_VALUE"""),43273.64583333333)</f>
        <v>43273.64583</v>
      </c>
      <c r="C906" s="2">
        <f>IFERROR(__xludf.DUMMYFUNCTION("""COMPUTED_VALUE"""),312.8)</f>
        <v>312.8</v>
      </c>
    </row>
    <row r="907" ht="15.75" customHeight="1">
      <c r="B907" s="3">
        <f>IFERROR(__xludf.DUMMYFUNCTION("""COMPUTED_VALUE"""),43280.64583333333)</f>
        <v>43280.64583</v>
      </c>
      <c r="C907" s="2">
        <f>IFERROR(__xludf.DUMMYFUNCTION("""COMPUTED_VALUE"""),306.3)</f>
        <v>306.3</v>
      </c>
    </row>
    <row r="908" ht="15.75" customHeight="1">
      <c r="B908" s="3">
        <f>IFERROR(__xludf.DUMMYFUNCTION("""COMPUTED_VALUE"""),43287.64583333333)</f>
        <v>43287.64583</v>
      </c>
      <c r="C908" s="2">
        <f>IFERROR(__xludf.DUMMYFUNCTION("""COMPUTED_VALUE"""),276.05)</f>
        <v>276.05</v>
      </c>
    </row>
    <row r="909" ht="15.75" customHeight="1">
      <c r="B909" s="3">
        <f>IFERROR(__xludf.DUMMYFUNCTION("""COMPUTED_VALUE"""),43294.64583333333)</f>
        <v>43294.64583</v>
      </c>
      <c r="C909" s="2">
        <f>IFERROR(__xludf.DUMMYFUNCTION("""COMPUTED_VALUE"""),277.0)</f>
        <v>277</v>
      </c>
    </row>
    <row r="910" ht="15.75" customHeight="1">
      <c r="B910" s="3">
        <f>IFERROR(__xludf.DUMMYFUNCTION("""COMPUTED_VALUE"""),43301.64583333333)</f>
        <v>43301.64583</v>
      </c>
      <c r="C910" s="2">
        <f>IFERROR(__xludf.DUMMYFUNCTION("""COMPUTED_VALUE"""),260.8)</f>
        <v>260.8</v>
      </c>
    </row>
    <row r="911" ht="15.75" customHeight="1">
      <c r="B911" s="3">
        <f>IFERROR(__xludf.DUMMYFUNCTION("""COMPUTED_VALUE"""),43308.64583333333)</f>
        <v>43308.64583</v>
      </c>
      <c r="C911" s="2">
        <f>IFERROR(__xludf.DUMMYFUNCTION("""COMPUTED_VALUE"""),269.7)</f>
        <v>269.7</v>
      </c>
    </row>
    <row r="912" ht="15.75" customHeight="1">
      <c r="B912" s="3">
        <f>IFERROR(__xludf.DUMMYFUNCTION("""COMPUTED_VALUE"""),43315.64583333333)</f>
        <v>43315.64583</v>
      </c>
      <c r="C912" s="2">
        <f>IFERROR(__xludf.DUMMYFUNCTION("""COMPUTED_VALUE"""),271.65)</f>
        <v>271.65</v>
      </c>
    </row>
    <row r="913" ht="15.75" customHeight="1">
      <c r="B913" s="3">
        <f>IFERROR(__xludf.DUMMYFUNCTION("""COMPUTED_VALUE"""),43322.64583333333)</f>
        <v>43322.64583</v>
      </c>
      <c r="C913" s="2">
        <f>IFERROR(__xludf.DUMMYFUNCTION("""COMPUTED_VALUE"""),261.8)</f>
        <v>261.8</v>
      </c>
    </row>
    <row r="914" ht="15.75" customHeight="1">
      <c r="B914" s="3">
        <f>IFERROR(__xludf.DUMMYFUNCTION("""COMPUTED_VALUE"""),43329.64583333333)</f>
        <v>43329.64583</v>
      </c>
      <c r="C914" s="2">
        <f>IFERROR(__xludf.DUMMYFUNCTION("""COMPUTED_VALUE"""),260.1)</f>
        <v>260.1</v>
      </c>
    </row>
    <row r="915" ht="15.75" customHeight="1">
      <c r="B915" s="3">
        <f>IFERROR(__xludf.DUMMYFUNCTION("""COMPUTED_VALUE"""),43336.64583333333)</f>
        <v>43336.64583</v>
      </c>
      <c r="C915" s="2">
        <f>IFERROR(__xludf.DUMMYFUNCTION("""COMPUTED_VALUE"""),274.7)</f>
        <v>274.7</v>
      </c>
    </row>
    <row r="916" ht="15.75" customHeight="1">
      <c r="B916" s="3">
        <f>IFERROR(__xludf.DUMMYFUNCTION("""COMPUTED_VALUE"""),43343.64583333333)</f>
        <v>43343.64583</v>
      </c>
      <c r="C916" s="2">
        <f>IFERROR(__xludf.DUMMYFUNCTION("""COMPUTED_VALUE"""),268.25)</f>
        <v>268.25</v>
      </c>
    </row>
    <row r="917" ht="15.75" customHeight="1">
      <c r="B917" s="3">
        <f>IFERROR(__xludf.DUMMYFUNCTION("""COMPUTED_VALUE"""),43350.64583333333)</f>
        <v>43350.64583</v>
      </c>
      <c r="C917" s="2">
        <f>IFERROR(__xludf.DUMMYFUNCTION("""COMPUTED_VALUE"""),279.9)</f>
        <v>279.9</v>
      </c>
    </row>
    <row r="918" ht="15.75" customHeight="1">
      <c r="B918" s="3">
        <f>IFERROR(__xludf.DUMMYFUNCTION("""COMPUTED_VALUE"""),43357.64583333333)</f>
        <v>43357.64583</v>
      </c>
      <c r="C918" s="2">
        <f>IFERROR(__xludf.DUMMYFUNCTION("""COMPUTED_VALUE"""),282.0)</f>
        <v>282</v>
      </c>
    </row>
    <row r="919" ht="15.75" customHeight="1">
      <c r="B919" s="3">
        <f>IFERROR(__xludf.DUMMYFUNCTION("""COMPUTED_VALUE"""),43364.64583333333)</f>
        <v>43364.64583</v>
      </c>
      <c r="C919" s="2">
        <f>IFERROR(__xludf.DUMMYFUNCTION("""COMPUTED_VALUE"""),264.1)</f>
        <v>264.1</v>
      </c>
    </row>
    <row r="920" ht="15.75" customHeight="1">
      <c r="B920" s="3">
        <f>IFERROR(__xludf.DUMMYFUNCTION("""COMPUTED_VALUE"""),43371.64583333333)</f>
        <v>43371.64583</v>
      </c>
      <c r="C920" s="2">
        <f>IFERROR(__xludf.DUMMYFUNCTION("""COMPUTED_VALUE"""),251.0)</f>
        <v>251</v>
      </c>
    </row>
    <row r="921" ht="15.75" customHeight="1">
      <c r="B921" s="3">
        <f>IFERROR(__xludf.DUMMYFUNCTION("""COMPUTED_VALUE"""),43378.64583333333)</f>
        <v>43378.64583</v>
      </c>
      <c r="C921" s="2">
        <f>IFERROR(__xludf.DUMMYFUNCTION("""COMPUTED_VALUE"""),232.8)</f>
        <v>232.8</v>
      </c>
    </row>
    <row r="922" ht="15.75" customHeight="1">
      <c r="B922" s="3">
        <f>IFERROR(__xludf.DUMMYFUNCTION("""COMPUTED_VALUE"""),43385.64583333333)</f>
        <v>43385.64583</v>
      </c>
      <c r="C922" s="2">
        <f>IFERROR(__xludf.DUMMYFUNCTION("""COMPUTED_VALUE"""),218.5)</f>
        <v>218.5</v>
      </c>
    </row>
    <row r="923" ht="15.75" customHeight="1">
      <c r="B923" s="3">
        <f>IFERROR(__xludf.DUMMYFUNCTION("""COMPUTED_VALUE"""),43392.64583333333)</f>
        <v>43392.64583</v>
      </c>
      <c r="C923" s="2">
        <f>IFERROR(__xludf.DUMMYFUNCTION("""COMPUTED_VALUE"""),187.8)</f>
        <v>187.8</v>
      </c>
    </row>
    <row r="924" ht="15.75" customHeight="1">
      <c r="B924" s="3">
        <f>IFERROR(__xludf.DUMMYFUNCTION("""COMPUTED_VALUE"""),43399.64583333333)</f>
        <v>43399.64583</v>
      </c>
      <c r="C924" s="2">
        <f>IFERROR(__xludf.DUMMYFUNCTION("""COMPUTED_VALUE"""),176.85)</f>
        <v>176.85</v>
      </c>
    </row>
    <row r="925" ht="15.75" customHeight="1">
      <c r="B925" s="3">
        <f>IFERROR(__xludf.DUMMYFUNCTION("""COMPUTED_VALUE"""),43406.64583333333)</f>
        <v>43406.64583</v>
      </c>
      <c r="C925" s="2">
        <f>IFERROR(__xludf.DUMMYFUNCTION("""COMPUTED_VALUE"""),191.85)</f>
        <v>191.85</v>
      </c>
    </row>
    <row r="926" ht="15.75" customHeight="1">
      <c r="B926" s="3">
        <f>IFERROR(__xludf.DUMMYFUNCTION("""COMPUTED_VALUE"""),43413.64583333333)</f>
        <v>43413.64583</v>
      </c>
      <c r="C926" s="2">
        <f>IFERROR(__xludf.DUMMYFUNCTION("""COMPUTED_VALUE"""),200.75)</f>
        <v>200.75</v>
      </c>
    </row>
    <row r="927" ht="15.75" customHeight="1">
      <c r="B927" s="3">
        <f>IFERROR(__xludf.DUMMYFUNCTION("""COMPUTED_VALUE"""),43420.64583333333)</f>
        <v>43420.64583</v>
      </c>
      <c r="C927" s="2">
        <f>IFERROR(__xludf.DUMMYFUNCTION("""COMPUTED_VALUE"""),194.45)</f>
        <v>194.45</v>
      </c>
    </row>
    <row r="928" ht="15.75" customHeight="1">
      <c r="B928" s="3">
        <f>IFERROR(__xludf.DUMMYFUNCTION("""COMPUTED_VALUE"""),43426.64583333333)</f>
        <v>43426.64583</v>
      </c>
      <c r="C928" s="2">
        <f>IFERROR(__xludf.DUMMYFUNCTION("""COMPUTED_VALUE"""),188.3)</f>
        <v>188.3</v>
      </c>
    </row>
    <row r="929" ht="15.75" customHeight="1">
      <c r="B929" s="3">
        <f>IFERROR(__xludf.DUMMYFUNCTION("""COMPUTED_VALUE"""),43434.64583333333)</f>
        <v>43434.64583</v>
      </c>
      <c r="C929" s="2">
        <f>IFERROR(__xludf.DUMMYFUNCTION("""COMPUTED_VALUE"""),184.55)</f>
        <v>184.55</v>
      </c>
    </row>
    <row r="930" ht="15.75" customHeight="1">
      <c r="B930" s="3">
        <f>IFERROR(__xludf.DUMMYFUNCTION("""COMPUTED_VALUE"""),43441.64583333333)</f>
        <v>43441.64583</v>
      </c>
      <c r="C930" s="2">
        <f>IFERROR(__xludf.DUMMYFUNCTION("""COMPUTED_VALUE"""),178.75)</f>
        <v>178.75</v>
      </c>
    </row>
    <row r="931" ht="15.75" customHeight="1">
      <c r="B931" s="3">
        <f>IFERROR(__xludf.DUMMYFUNCTION("""COMPUTED_VALUE"""),43448.64583333333)</f>
        <v>43448.64583</v>
      </c>
      <c r="C931" s="2">
        <f>IFERROR(__xludf.DUMMYFUNCTION("""COMPUTED_VALUE"""),168.4)</f>
        <v>168.4</v>
      </c>
    </row>
    <row r="932" ht="15.75" customHeight="1">
      <c r="B932" s="3">
        <f>IFERROR(__xludf.DUMMYFUNCTION("""COMPUTED_VALUE"""),43455.64583333333)</f>
        <v>43455.64583</v>
      </c>
      <c r="C932" s="2">
        <f>IFERROR(__xludf.DUMMYFUNCTION("""COMPUTED_VALUE"""),180.5)</f>
        <v>180.5</v>
      </c>
    </row>
    <row r="933" ht="15.75" customHeight="1">
      <c r="B933" s="3">
        <f>IFERROR(__xludf.DUMMYFUNCTION("""COMPUTED_VALUE"""),43462.64583333333)</f>
        <v>43462.64583</v>
      </c>
      <c r="C933" s="2">
        <f>IFERROR(__xludf.DUMMYFUNCTION("""COMPUTED_VALUE"""),177.85)</f>
        <v>177.85</v>
      </c>
    </row>
    <row r="934" ht="15.75" customHeight="1"/>
    <row r="935" ht="15.75" customHeight="1"/>
    <row r="936" ht="15.75" customHeight="1">
      <c r="B936" s="2" t="str">
        <f>IFERROR(__xludf.DUMMYFUNCTION("GOOGLEFINANCE(""NSE:TATAMOTORS"", ""high"",DATE(2019,1,1),DATE(2020,1,1),""weekly"")"),"Date")</f>
        <v>Date</v>
      </c>
      <c r="C936" s="2" t="str">
        <f>IFERROR(__xludf.DUMMYFUNCTION("""COMPUTED_VALUE"""),"High")</f>
        <v>High</v>
      </c>
    </row>
    <row r="937" ht="15.75" customHeight="1">
      <c r="B937" s="3">
        <f>IFERROR(__xludf.DUMMYFUNCTION("""COMPUTED_VALUE"""),43469.64583333333)</f>
        <v>43469.64583</v>
      </c>
      <c r="C937" s="2">
        <f>IFERROR(__xludf.DUMMYFUNCTION("""COMPUTED_VALUE"""),174.2)</f>
        <v>174.2</v>
      </c>
    </row>
    <row r="938" ht="15.75" customHeight="1">
      <c r="B938" s="3">
        <f>IFERROR(__xludf.DUMMYFUNCTION("""COMPUTED_VALUE"""),43476.64583333333)</f>
        <v>43476.64583</v>
      </c>
      <c r="C938" s="2">
        <f>IFERROR(__xludf.DUMMYFUNCTION("""COMPUTED_VALUE"""),187.75)</f>
        <v>187.75</v>
      </c>
    </row>
    <row r="939" ht="15.75" customHeight="1">
      <c r="B939" s="3">
        <f>IFERROR(__xludf.DUMMYFUNCTION("""COMPUTED_VALUE"""),43483.64583333333)</f>
        <v>43483.64583</v>
      </c>
      <c r="C939" s="2">
        <f>IFERROR(__xludf.DUMMYFUNCTION("""COMPUTED_VALUE"""),198.3)</f>
        <v>198.3</v>
      </c>
    </row>
    <row r="940" ht="15.75" customHeight="1">
      <c r="B940" s="3">
        <f>IFERROR(__xludf.DUMMYFUNCTION("""COMPUTED_VALUE"""),43490.64583333333)</f>
        <v>43490.64583</v>
      </c>
      <c r="C940" s="2">
        <f>IFERROR(__xludf.DUMMYFUNCTION("""COMPUTED_VALUE"""),184.95)</f>
        <v>184.95</v>
      </c>
    </row>
    <row r="941" ht="15.75" customHeight="1">
      <c r="B941" s="3">
        <f>IFERROR(__xludf.DUMMYFUNCTION("""COMPUTED_VALUE"""),43497.64583333333)</f>
        <v>43497.64583</v>
      </c>
      <c r="C941" s="2">
        <f>IFERROR(__xludf.DUMMYFUNCTION("""COMPUTED_VALUE"""),185.9)</f>
        <v>185.9</v>
      </c>
    </row>
    <row r="942" ht="15.75" customHeight="1">
      <c r="B942" s="3">
        <f>IFERROR(__xludf.DUMMYFUNCTION("""COMPUTED_VALUE"""),43504.64583333333)</f>
        <v>43504.64583</v>
      </c>
      <c r="C942" s="2">
        <f>IFERROR(__xludf.DUMMYFUNCTION("""COMPUTED_VALUE"""),185.0)</f>
        <v>185</v>
      </c>
    </row>
    <row r="943" ht="15.75" customHeight="1">
      <c r="B943" s="3">
        <f>IFERROR(__xludf.DUMMYFUNCTION("""COMPUTED_VALUE"""),43511.64583333333)</f>
        <v>43511.64583</v>
      </c>
      <c r="C943" s="2">
        <f>IFERROR(__xludf.DUMMYFUNCTION("""COMPUTED_VALUE"""),162.3)</f>
        <v>162.3</v>
      </c>
    </row>
    <row r="944" ht="15.75" customHeight="1">
      <c r="B944" s="3">
        <f>IFERROR(__xludf.DUMMYFUNCTION("""COMPUTED_VALUE"""),43518.64583333333)</f>
        <v>43518.64583</v>
      </c>
      <c r="C944" s="2">
        <f>IFERROR(__xludf.DUMMYFUNCTION("""COMPUTED_VALUE"""),175.3)</f>
        <v>175.3</v>
      </c>
    </row>
    <row r="945" ht="15.75" customHeight="1">
      <c r="B945" s="3">
        <f>IFERROR(__xludf.DUMMYFUNCTION("""COMPUTED_VALUE"""),43525.64583333333)</f>
        <v>43525.64583</v>
      </c>
      <c r="C945" s="2">
        <f>IFERROR(__xludf.DUMMYFUNCTION("""COMPUTED_VALUE"""),186.1)</f>
        <v>186.1</v>
      </c>
    </row>
    <row r="946" ht="15.75" customHeight="1">
      <c r="B946" s="3">
        <f>IFERROR(__xludf.DUMMYFUNCTION("""COMPUTED_VALUE"""),43532.64583333333)</f>
        <v>43532.64583</v>
      </c>
      <c r="C946" s="2">
        <f>IFERROR(__xludf.DUMMYFUNCTION("""COMPUTED_VALUE"""),198.35)</f>
        <v>198.35</v>
      </c>
    </row>
    <row r="947" ht="15.75" customHeight="1">
      <c r="B947" s="3">
        <f>IFERROR(__xludf.DUMMYFUNCTION("""COMPUTED_VALUE"""),43539.64583333333)</f>
        <v>43539.64583</v>
      </c>
      <c r="C947" s="2">
        <f>IFERROR(__xludf.DUMMYFUNCTION("""COMPUTED_VALUE"""),186.0)</f>
        <v>186</v>
      </c>
    </row>
    <row r="948" ht="15.75" customHeight="1">
      <c r="B948" s="3">
        <f>IFERROR(__xludf.DUMMYFUNCTION("""COMPUTED_VALUE"""),43546.64583333333)</f>
        <v>43546.64583</v>
      </c>
      <c r="C948" s="2">
        <f>IFERROR(__xludf.DUMMYFUNCTION("""COMPUTED_VALUE"""),184.7)</f>
        <v>184.7</v>
      </c>
    </row>
    <row r="949" ht="15.75" customHeight="1">
      <c r="B949" s="3">
        <f>IFERROR(__xludf.DUMMYFUNCTION("""COMPUTED_VALUE"""),43553.64583333333)</f>
        <v>43553.64583</v>
      </c>
      <c r="C949" s="2">
        <f>IFERROR(__xludf.DUMMYFUNCTION("""COMPUTED_VALUE"""),177.05)</f>
        <v>177.05</v>
      </c>
    </row>
    <row r="950" ht="15.75" customHeight="1">
      <c r="B950" s="3">
        <f>IFERROR(__xludf.DUMMYFUNCTION("""COMPUTED_VALUE"""),43560.64583333333)</f>
        <v>43560.64583</v>
      </c>
      <c r="C950" s="2">
        <f>IFERROR(__xludf.DUMMYFUNCTION("""COMPUTED_VALUE"""),209.5)</f>
        <v>209.5</v>
      </c>
    </row>
    <row r="951" ht="15.75" customHeight="1">
      <c r="B951" s="3">
        <f>IFERROR(__xludf.DUMMYFUNCTION("""COMPUTED_VALUE"""),43567.64583333333)</f>
        <v>43567.64583</v>
      </c>
      <c r="C951" s="2">
        <f>IFERROR(__xludf.DUMMYFUNCTION("""COMPUTED_VALUE"""),219.2)</f>
        <v>219.2</v>
      </c>
    </row>
    <row r="952" ht="15.75" customHeight="1">
      <c r="B952" s="3">
        <f>IFERROR(__xludf.DUMMYFUNCTION("""COMPUTED_VALUE"""),43573.64583333333)</f>
        <v>43573.64583</v>
      </c>
      <c r="C952" s="2">
        <f>IFERROR(__xludf.DUMMYFUNCTION("""COMPUTED_VALUE"""),239.3)</f>
        <v>239.3</v>
      </c>
    </row>
    <row r="953" ht="15.75" customHeight="1">
      <c r="B953" s="3">
        <f>IFERROR(__xludf.DUMMYFUNCTION("""COMPUTED_VALUE"""),43581.64583333333)</f>
        <v>43581.64583</v>
      </c>
      <c r="C953" s="2">
        <f>IFERROR(__xludf.DUMMYFUNCTION("""COMPUTED_VALUE"""),239.35)</f>
        <v>239.35</v>
      </c>
    </row>
    <row r="954" ht="15.75" customHeight="1">
      <c r="B954" s="3">
        <f>IFERROR(__xludf.DUMMYFUNCTION("""COMPUTED_VALUE"""),43588.64583333333)</f>
        <v>43588.64583</v>
      </c>
      <c r="C954" s="2">
        <f>IFERROR(__xludf.DUMMYFUNCTION("""COMPUTED_VALUE"""),218.65)</f>
        <v>218.65</v>
      </c>
    </row>
    <row r="955" ht="15.75" customHeight="1">
      <c r="B955" s="3">
        <f>IFERROR(__xludf.DUMMYFUNCTION("""COMPUTED_VALUE"""),43595.64583333333)</f>
        <v>43595.64583</v>
      </c>
      <c r="C955" s="2">
        <f>IFERROR(__xludf.DUMMYFUNCTION("""COMPUTED_VALUE"""),204.5)</f>
        <v>204.5</v>
      </c>
    </row>
    <row r="956" ht="15.75" customHeight="1">
      <c r="B956" s="3">
        <f>IFERROR(__xludf.DUMMYFUNCTION("""COMPUTED_VALUE"""),43602.64583333333)</f>
        <v>43602.64583</v>
      </c>
      <c r="C956" s="2">
        <f>IFERROR(__xludf.DUMMYFUNCTION("""COMPUTED_VALUE"""),187.15)</f>
        <v>187.15</v>
      </c>
    </row>
    <row r="957" ht="15.75" customHeight="1">
      <c r="B957" s="3">
        <f>IFERROR(__xludf.DUMMYFUNCTION("""COMPUTED_VALUE"""),43609.64583333333)</f>
        <v>43609.64583</v>
      </c>
      <c r="C957" s="2">
        <f>IFERROR(__xludf.DUMMYFUNCTION("""COMPUTED_VALUE"""),192.0)</f>
        <v>192</v>
      </c>
    </row>
    <row r="958" ht="15.75" customHeight="1">
      <c r="B958" s="3">
        <f>IFERROR(__xludf.DUMMYFUNCTION("""COMPUTED_VALUE"""),43616.64583333333)</f>
        <v>43616.64583</v>
      </c>
      <c r="C958" s="2">
        <f>IFERROR(__xludf.DUMMYFUNCTION("""COMPUTED_VALUE"""),185.3)</f>
        <v>185.3</v>
      </c>
    </row>
    <row r="959" ht="15.75" customHeight="1">
      <c r="B959" s="3">
        <f>IFERROR(__xludf.DUMMYFUNCTION("""COMPUTED_VALUE"""),43623.64583333333)</f>
        <v>43623.64583</v>
      </c>
      <c r="C959" s="2">
        <f>IFERROR(__xludf.DUMMYFUNCTION("""COMPUTED_VALUE"""),177.2)</f>
        <v>177.2</v>
      </c>
    </row>
    <row r="960" ht="15.75" customHeight="1">
      <c r="B960" s="3">
        <f>IFERROR(__xludf.DUMMYFUNCTION("""COMPUTED_VALUE"""),43630.64583333333)</f>
        <v>43630.64583</v>
      </c>
      <c r="C960" s="2">
        <f>IFERROR(__xludf.DUMMYFUNCTION("""COMPUTED_VALUE"""),172.2)</f>
        <v>172.2</v>
      </c>
    </row>
    <row r="961" ht="15.75" customHeight="1">
      <c r="B961" s="3">
        <f>IFERROR(__xludf.DUMMYFUNCTION("""COMPUTED_VALUE"""),43637.64583333333)</f>
        <v>43637.64583</v>
      </c>
      <c r="C961" s="2">
        <f>IFERROR(__xludf.DUMMYFUNCTION("""COMPUTED_VALUE"""),164.15)</f>
        <v>164.15</v>
      </c>
    </row>
    <row r="962" ht="15.75" customHeight="1">
      <c r="B962" s="3">
        <f>IFERROR(__xludf.DUMMYFUNCTION("""COMPUTED_VALUE"""),43644.64583333333)</f>
        <v>43644.64583</v>
      </c>
      <c r="C962" s="2">
        <f>IFERROR(__xludf.DUMMYFUNCTION("""COMPUTED_VALUE"""),168.0)</f>
        <v>168</v>
      </c>
    </row>
    <row r="963" ht="15.75" customHeight="1">
      <c r="B963" s="3">
        <f>IFERROR(__xludf.DUMMYFUNCTION("""COMPUTED_VALUE"""),43651.64583333333)</f>
        <v>43651.64583</v>
      </c>
      <c r="C963" s="2">
        <f>IFERROR(__xludf.DUMMYFUNCTION("""COMPUTED_VALUE"""),169.4)</f>
        <v>169.4</v>
      </c>
    </row>
    <row r="964" ht="15.75" customHeight="1">
      <c r="B964" s="3">
        <f>IFERROR(__xludf.DUMMYFUNCTION("""COMPUTED_VALUE"""),43658.64583333333)</f>
        <v>43658.64583</v>
      </c>
      <c r="C964" s="2">
        <f>IFERROR(__xludf.DUMMYFUNCTION("""COMPUTED_VALUE"""),162.85)</f>
        <v>162.85</v>
      </c>
    </row>
    <row r="965" ht="15.75" customHeight="1">
      <c r="B965" s="3">
        <f>IFERROR(__xludf.DUMMYFUNCTION("""COMPUTED_VALUE"""),43665.64583333333)</f>
        <v>43665.64583</v>
      </c>
      <c r="C965" s="2">
        <f>IFERROR(__xludf.DUMMYFUNCTION("""COMPUTED_VALUE"""),172.35)</f>
        <v>172.35</v>
      </c>
    </row>
    <row r="966" ht="15.75" customHeight="1">
      <c r="B966" s="3">
        <f>IFERROR(__xludf.DUMMYFUNCTION("""COMPUTED_VALUE"""),43672.64583333333)</f>
        <v>43672.64583</v>
      </c>
      <c r="C966" s="2">
        <f>IFERROR(__xludf.DUMMYFUNCTION("""COMPUTED_VALUE"""),159.3)</f>
        <v>159.3</v>
      </c>
    </row>
    <row r="967" ht="15.75" customHeight="1">
      <c r="B967" s="3">
        <f>IFERROR(__xludf.DUMMYFUNCTION("""COMPUTED_VALUE"""),43679.64583333333)</f>
        <v>43679.64583</v>
      </c>
      <c r="C967" s="2">
        <f>IFERROR(__xludf.DUMMYFUNCTION("""COMPUTED_VALUE"""),146.9)</f>
        <v>146.9</v>
      </c>
    </row>
    <row r="968" ht="15.75" customHeight="1">
      <c r="B968" s="3">
        <f>IFERROR(__xludf.DUMMYFUNCTION("""COMPUTED_VALUE"""),43686.64583333333)</f>
        <v>43686.64583</v>
      </c>
      <c r="C968" s="2">
        <f>IFERROR(__xludf.DUMMYFUNCTION("""COMPUTED_VALUE"""),128.2)</f>
        <v>128.2</v>
      </c>
    </row>
    <row r="969" ht="15.75" customHeight="1">
      <c r="B969" s="3">
        <f>IFERROR(__xludf.DUMMYFUNCTION("""COMPUTED_VALUE"""),43693.64583333333)</f>
        <v>43693.64583</v>
      </c>
      <c r="C969" s="2">
        <f>IFERROR(__xludf.DUMMYFUNCTION("""COMPUTED_VALUE"""),126.3)</f>
        <v>126.3</v>
      </c>
    </row>
    <row r="970" ht="15.75" customHeight="1">
      <c r="B970" s="3">
        <f>IFERROR(__xludf.DUMMYFUNCTION("""COMPUTED_VALUE"""),43700.64583333333)</f>
        <v>43700.64583</v>
      </c>
      <c r="C970" s="2">
        <f>IFERROR(__xludf.DUMMYFUNCTION("""COMPUTED_VALUE"""),124.8)</f>
        <v>124.8</v>
      </c>
    </row>
    <row r="971" ht="15.75" customHeight="1">
      <c r="B971" s="3">
        <f>IFERROR(__xludf.DUMMYFUNCTION("""COMPUTED_VALUE"""),43707.64583333333)</f>
        <v>43707.64583</v>
      </c>
      <c r="C971" s="2">
        <f>IFERROR(__xludf.DUMMYFUNCTION("""COMPUTED_VALUE"""),124.0)</f>
        <v>124</v>
      </c>
    </row>
    <row r="972" ht="15.75" customHeight="1">
      <c r="B972" s="3">
        <f>IFERROR(__xludf.DUMMYFUNCTION("""COMPUTED_VALUE"""),43714.64583333333)</f>
        <v>43714.64583</v>
      </c>
      <c r="C972" s="2">
        <f>IFERROR(__xludf.DUMMYFUNCTION("""COMPUTED_VALUE"""),122.3)</f>
        <v>122.3</v>
      </c>
    </row>
    <row r="973" ht="15.75" customHeight="1">
      <c r="B973" s="3">
        <f>IFERROR(__xludf.DUMMYFUNCTION("""COMPUTED_VALUE"""),43721.64583333333)</f>
        <v>43721.64583</v>
      </c>
      <c r="C973" s="2">
        <f>IFERROR(__xludf.DUMMYFUNCTION("""COMPUTED_VALUE"""),135.35)</f>
        <v>135.35</v>
      </c>
    </row>
    <row r="974" ht="15.75" customHeight="1">
      <c r="B974" s="3">
        <f>IFERROR(__xludf.DUMMYFUNCTION("""COMPUTED_VALUE"""),43728.64583333333)</f>
        <v>43728.64583</v>
      </c>
      <c r="C974" s="2">
        <f>IFERROR(__xludf.DUMMYFUNCTION("""COMPUTED_VALUE"""),137.75)</f>
        <v>137.75</v>
      </c>
    </row>
    <row r="975" ht="15.75" customHeight="1">
      <c r="B975" s="3">
        <f>IFERROR(__xludf.DUMMYFUNCTION("""COMPUTED_VALUE"""),43735.64583333333)</f>
        <v>43735.64583</v>
      </c>
      <c r="C975" s="2">
        <f>IFERROR(__xludf.DUMMYFUNCTION("""COMPUTED_VALUE"""),138.4)</f>
        <v>138.4</v>
      </c>
    </row>
    <row r="976" ht="15.75" customHeight="1">
      <c r="B976" s="3">
        <f>IFERROR(__xludf.DUMMYFUNCTION("""COMPUTED_VALUE"""),43742.64583333333)</f>
        <v>43742.64583</v>
      </c>
      <c r="C976" s="2">
        <f>IFERROR(__xludf.DUMMYFUNCTION("""COMPUTED_VALUE"""),123.8)</f>
        <v>123.8</v>
      </c>
    </row>
    <row r="977" ht="15.75" customHeight="1">
      <c r="B977" s="3">
        <f>IFERROR(__xludf.DUMMYFUNCTION("""COMPUTED_VALUE"""),43749.64583333333)</f>
        <v>43749.64583</v>
      </c>
      <c r="C977" s="2">
        <f>IFERROR(__xludf.DUMMYFUNCTION("""COMPUTED_VALUE"""),122.2)</f>
        <v>122.2</v>
      </c>
    </row>
    <row r="978" ht="15.75" customHeight="1">
      <c r="B978" s="3">
        <f>IFERROR(__xludf.DUMMYFUNCTION("""COMPUTED_VALUE"""),43756.64583333333)</f>
        <v>43756.64583</v>
      </c>
      <c r="C978" s="2">
        <f>IFERROR(__xludf.DUMMYFUNCTION("""COMPUTED_VALUE"""),144.35)</f>
        <v>144.35</v>
      </c>
    </row>
    <row r="979" ht="15.75" customHeight="1">
      <c r="B979" s="3">
        <f>IFERROR(__xludf.DUMMYFUNCTION("""COMPUTED_VALUE"""),43763.79166666667)</f>
        <v>43763.79167</v>
      </c>
      <c r="C979" s="2">
        <f>IFERROR(__xludf.DUMMYFUNCTION("""COMPUTED_VALUE"""),135.6)</f>
        <v>135.6</v>
      </c>
    </row>
    <row r="980" ht="15.75" customHeight="1">
      <c r="B980" s="3">
        <f>IFERROR(__xludf.DUMMYFUNCTION("""COMPUTED_VALUE"""),43770.64583333333)</f>
        <v>43770.64583</v>
      </c>
      <c r="C980" s="2">
        <f>IFERROR(__xludf.DUMMYFUNCTION("""COMPUTED_VALUE"""),179.65)</f>
        <v>179.65</v>
      </c>
    </row>
    <row r="981" ht="15.75" customHeight="1">
      <c r="B981" s="3">
        <f>IFERROR(__xludf.DUMMYFUNCTION("""COMPUTED_VALUE"""),43777.64583333333)</f>
        <v>43777.64583</v>
      </c>
      <c r="C981" s="2">
        <f>IFERROR(__xludf.DUMMYFUNCTION("""COMPUTED_VALUE"""),178.9)</f>
        <v>178.9</v>
      </c>
    </row>
    <row r="982" ht="15.75" customHeight="1">
      <c r="B982" s="3">
        <f>IFERROR(__xludf.DUMMYFUNCTION("""COMPUTED_VALUE"""),43784.64583333333)</f>
        <v>43784.64583</v>
      </c>
      <c r="C982" s="2">
        <f>IFERROR(__xludf.DUMMYFUNCTION("""COMPUTED_VALUE"""),176.0)</f>
        <v>176</v>
      </c>
    </row>
    <row r="983" ht="15.75" customHeight="1">
      <c r="B983" s="3">
        <f>IFERROR(__xludf.DUMMYFUNCTION("""COMPUTED_VALUE"""),43791.64583333333)</f>
        <v>43791.64583</v>
      </c>
      <c r="C983" s="2">
        <f>IFERROR(__xludf.DUMMYFUNCTION("""COMPUTED_VALUE"""),172.1)</f>
        <v>172.1</v>
      </c>
    </row>
    <row r="984" ht="15.75" customHeight="1">
      <c r="B984" s="3">
        <f>IFERROR(__xludf.DUMMYFUNCTION("""COMPUTED_VALUE"""),43798.64583333333)</f>
        <v>43798.64583</v>
      </c>
      <c r="C984" s="2">
        <f>IFERROR(__xludf.DUMMYFUNCTION("""COMPUTED_VALUE"""),169.3)</f>
        <v>169.3</v>
      </c>
    </row>
    <row r="985" ht="15.75" customHeight="1">
      <c r="B985" s="3">
        <f>IFERROR(__xludf.DUMMYFUNCTION("""COMPUTED_VALUE"""),43805.64583333333)</f>
        <v>43805.64583</v>
      </c>
      <c r="C985" s="2">
        <f>IFERROR(__xludf.DUMMYFUNCTION("""COMPUTED_VALUE"""),172.2)</f>
        <v>172.2</v>
      </c>
    </row>
    <row r="986" ht="15.75" customHeight="1">
      <c r="B986" s="3">
        <f>IFERROR(__xludf.DUMMYFUNCTION("""COMPUTED_VALUE"""),43812.64583333333)</f>
        <v>43812.64583</v>
      </c>
      <c r="C986" s="2">
        <f>IFERROR(__xludf.DUMMYFUNCTION("""COMPUTED_VALUE"""),183.95)</f>
        <v>183.95</v>
      </c>
    </row>
    <row r="987" ht="15.75" customHeight="1">
      <c r="B987" s="3">
        <f>IFERROR(__xludf.DUMMYFUNCTION("""COMPUTED_VALUE"""),43819.64583333333)</f>
        <v>43819.64583</v>
      </c>
      <c r="C987" s="2">
        <f>IFERROR(__xludf.DUMMYFUNCTION("""COMPUTED_VALUE"""),184.5)</f>
        <v>184.5</v>
      </c>
    </row>
    <row r="988" ht="15.75" customHeight="1">
      <c r="B988" s="3">
        <f>IFERROR(__xludf.DUMMYFUNCTION("""COMPUTED_VALUE"""),43826.64583333333)</f>
        <v>43826.64583</v>
      </c>
      <c r="C988" s="2">
        <f>IFERROR(__xludf.DUMMYFUNCTION("""COMPUTED_VALUE"""),179.0)</f>
        <v>179</v>
      </c>
    </row>
    <row r="989" ht="15.75" customHeight="1"/>
    <row r="990" ht="15.75" customHeight="1"/>
    <row r="991" ht="15.75" customHeight="1">
      <c r="B991" s="2" t="str">
        <f>IFERROR(__xludf.DUMMYFUNCTION("GOOGLEFINANCE(""NSE:TATAMOTORS"", ""high"",DATE(2020,1,1),DATE(2021,1,1),""weekly"")"),"Date")</f>
        <v>Date</v>
      </c>
      <c r="C991" s="2" t="str">
        <f>IFERROR(__xludf.DUMMYFUNCTION("""COMPUTED_VALUE"""),"High")</f>
        <v>High</v>
      </c>
    </row>
    <row r="992" ht="15.75" customHeight="1">
      <c r="B992" s="3">
        <f>IFERROR(__xludf.DUMMYFUNCTION("""COMPUTED_VALUE"""),43833.64583333333)</f>
        <v>43833.64583</v>
      </c>
      <c r="C992" s="2">
        <f>IFERROR(__xludf.DUMMYFUNCTION("""COMPUTED_VALUE"""),195.65)</f>
        <v>195.65</v>
      </c>
    </row>
    <row r="993" ht="15.75" customHeight="1">
      <c r="B993" s="3">
        <f>IFERROR(__xludf.DUMMYFUNCTION("""COMPUTED_VALUE"""),43840.64583333333)</f>
        <v>43840.64583</v>
      </c>
      <c r="C993" s="2">
        <f>IFERROR(__xludf.DUMMYFUNCTION("""COMPUTED_VALUE"""),199.0)</f>
        <v>199</v>
      </c>
    </row>
    <row r="994" ht="15.75" customHeight="1">
      <c r="B994" s="3">
        <f>IFERROR(__xludf.DUMMYFUNCTION("""COMPUTED_VALUE"""),43847.64583333333)</f>
        <v>43847.64583</v>
      </c>
      <c r="C994" s="2">
        <f>IFERROR(__xludf.DUMMYFUNCTION("""COMPUTED_VALUE"""),201.7)</f>
        <v>201.7</v>
      </c>
    </row>
    <row r="995" ht="15.75" customHeight="1">
      <c r="B995" s="3">
        <f>IFERROR(__xludf.DUMMYFUNCTION("""COMPUTED_VALUE"""),43854.64583333333)</f>
        <v>43854.64583</v>
      </c>
      <c r="C995" s="2">
        <f>IFERROR(__xludf.DUMMYFUNCTION("""COMPUTED_VALUE"""),201.45)</f>
        <v>201.45</v>
      </c>
    </row>
    <row r="996" ht="15.75" customHeight="1">
      <c r="B996" s="3">
        <f>IFERROR(__xludf.DUMMYFUNCTION("""COMPUTED_VALUE"""),43862.70833333333)</f>
        <v>43862.70833</v>
      </c>
      <c r="C996" s="2">
        <f>IFERROR(__xludf.DUMMYFUNCTION("""COMPUTED_VALUE"""),192.55)</f>
        <v>192.55</v>
      </c>
    </row>
    <row r="997" ht="15.75" customHeight="1">
      <c r="B997" s="3">
        <f>IFERROR(__xludf.DUMMYFUNCTION("""COMPUTED_VALUE"""),43868.64583333333)</f>
        <v>43868.64583</v>
      </c>
      <c r="C997" s="2">
        <f>IFERROR(__xludf.DUMMYFUNCTION("""COMPUTED_VALUE"""),184.95)</f>
        <v>184.95</v>
      </c>
    </row>
    <row r="998" ht="15.75" customHeight="1">
      <c r="B998" s="3">
        <f>IFERROR(__xludf.DUMMYFUNCTION("""COMPUTED_VALUE"""),43875.64583333333)</f>
        <v>43875.64583</v>
      </c>
      <c r="C998" s="2">
        <f>IFERROR(__xludf.DUMMYFUNCTION("""COMPUTED_VALUE"""),176.2)</f>
        <v>176.2</v>
      </c>
    </row>
    <row r="999" ht="15.75" customHeight="1">
      <c r="B999" s="3">
        <f>IFERROR(__xludf.DUMMYFUNCTION("""COMPUTED_VALUE"""),43881.64583333333)</f>
        <v>43881.64583</v>
      </c>
      <c r="C999" s="2">
        <f>IFERROR(__xludf.DUMMYFUNCTION("""COMPUTED_VALUE"""),171.35)</f>
        <v>171.35</v>
      </c>
    </row>
    <row r="1000" ht="15.75" customHeight="1">
      <c r="B1000" s="3">
        <f>IFERROR(__xludf.DUMMYFUNCTION("""COMPUTED_VALUE"""),43889.64583333333)</f>
        <v>43889.64583</v>
      </c>
      <c r="C1000" s="2">
        <f>IFERROR(__xludf.DUMMYFUNCTION("""COMPUTED_VALUE"""),155.9)</f>
        <v>155.9</v>
      </c>
    </row>
    <row r="1001" ht="15.75" customHeight="1">
      <c r="B1001" s="3">
        <f>IFERROR(__xludf.DUMMYFUNCTION("""COMPUTED_VALUE"""),43896.64583333333)</f>
        <v>43896.64583</v>
      </c>
      <c r="C1001" s="2">
        <f>IFERROR(__xludf.DUMMYFUNCTION("""COMPUTED_VALUE"""),133.9)</f>
        <v>133.9</v>
      </c>
    </row>
    <row r="1002" ht="15.75" customHeight="1">
      <c r="B1002" s="3">
        <f>IFERROR(__xludf.DUMMYFUNCTION("""COMPUTED_VALUE"""),43903.64583333333)</f>
        <v>43903.64583</v>
      </c>
      <c r="C1002" s="2">
        <f>IFERROR(__xludf.DUMMYFUNCTION("""COMPUTED_VALUE"""),109.85)</f>
        <v>109.85</v>
      </c>
    </row>
    <row r="1003" ht="15.75" customHeight="1">
      <c r="B1003" s="3">
        <f>IFERROR(__xludf.DUMMYFUNCTION("""COMPUTED_VALUE"""),43910.64583333333)</f>
        <v>43910.64583</v>
      </c>
      <c r="C1003" s="2">
        <f>IFERROR(__xludf.DUMMYFUNCTION("""COMPUTED_VALUE"""),87.65)</f>
        <v>87.65</v>
      </c>
    </row>
    <row r="1004" ht="15.75" customHeight="1">
      <c r="B1004" s="3">
        <f>IFERROR(__xludf.DUMMYFUNCTION("""COMPUTED_VALUE"""),43917.64583333333)</f>
        <v>43917.64583</v>
      </c>
      <c r="C1004" s="2">
        <f>IFERROR(__xludf.DUMMYFUNCTION("""COMPUTED_VALUE"""),75.9)</f>
        <v>75.9</v>
      </c>
    </row>
    <row r="1005" ht="15.75" customHeight="1">
      <c r="B1005" s="3">
        <f>IFERROR(__xludf.DUMMYFUNCTION("""COMPUTED_VALUE"""),43924.64583333333)</f>
        <v>43924.64583</v>
      </c>
      <c r="C1005" s="2">
        <f>IFERROR(__xludf.DUMMYFUNCTION("""COMPUTED_VALUE"""),71.65)</f>
        <v>71.65</v>
      </c>
    </row>
    <row r="1006" ht="15.75" customHeight="1">
      <c r="B1006" s="3">
        <f>IFERROR(__xludf.DUMMYFUNCTION("""COMPUTED_VALUE"""),43930.64583333333)</f>
        <v>43930.64583</v>
      </c>
      <c r="C1006" s="2">
        <f>IFERROR(__xludf.DUMMYFUNCTION("""COMPUTED_VALUE"""),76.25)</f>
        <v>76.25</v>
      </c>
    </row>
    <row r="1007" ht="15.75" customHeight="1">
      <c r="B1007" s="3">
        <f>IFERROR(__xludf.DUMMYFUNCTION("""COMPUTED_VALUE"""),43938.64583333333)</f>
        <v>43938.64583</v>
      </c>
      <c r="C1007" s="2">
        <f>IFERROR(__xludf.DUMMYFUNCTION("""COMPUTED_VALUE"""),78.7)</f>
        <v>78.7</v>
      </c>
    </row>
    <row r="1008" ht="15.75" customHeight="1">
      <c r="B1008" s="3">
        <f>IFERROR(__xludf.DUMMYFUNCTION("""COMPUTED_VALUE"""),43945.64583333333)</f>
        <v>43945.64583</v>
      </c>
      <c r="C1008" s="2">
        <f>IFERROR(__xludf.DUMMYFUNCTION("""COMPUTED_VALUE"""),83.4)</f>
        <v>83.4</v>
      </c>
    </row>
    <row r="1009" ht="15.75" customHeight="1">
      <c r="B1009" s="3">
        <f>IFERROR(__xludf.DUMMYFUNCTION("""COMPUTED_VALUE"""),43951.64583333333)</f>
        <v>43951.64583</v>
      </c>
      <c r="C1009" s="2">
        <f>IFERROR(__xludf.DUMMYFUNCTION("""COMPUTED_VALUE"""),93.75)</f>
        <v>93.75</v>
      </c>
    </row>
    <row r="1010" ht="15.75" customHeight="1">
      <c r="B1010" s="3">
        <f>IFERROR(__xludf.DUMMYFUNCTION("""COMPUTED_VALUE"""),43959.64583333333)</f>
        <v>43959.64583</v>
      </c>
      <c r="C1010" s="2">
        <f>IFERROR(__xludf.DUMMYFUNCTION("""COMPUTED_VALUE"""),87.2)</f>
        <v>87.2</v>
      </c>
    </row>
    <row r="1011" ht="15.75" customHeight="1">
      <c r="B1011" s="3">
        <f>IFERROR(__xludf.DUMMYFUNCTION("""COMPUTED_VALUE"""),43966.64583333333)</f>
        <v>43966.64583</v>
      </c>
      <c r="C1011" s="2">
        <f>IFERROR(__xludf.DUMMYFUNCTION("""COMPUTED_VALUE"""),92.5)</f>
        <v>92.5</v>
      </c>
    </row>
    <row r="1012" ht="15.75" customHeight="1">
      <c r="B1012" s="3">
        <f>IFERROR(__xludf.DUMMYFUNCTION("""COMPUTED_VALUE"""),43973.64583333333)</f>
        <v>43973.64583</v>
      </c>
      <c r="C1012" s="2">
        <f>IFERROR(__xludf.DUMMYFUNCTION("""COMPUTED_VALUE"""),85.65)</f>
        <v>85.65</v>
      </c>
    </row>
    <row r="1013" ht="15.75" customHeight="1">
      <c r="B1013" s="3">
        <f>IFERROR(__xludf.DUMMYFUNCTION("""COMPUTED_VALUE"""),43980.64583333333)</f>
        <v>43980.64583</v>
      </c>
      <c r="C1013" s="2">
        <f>IFERROR(__xludf.DUMMYFUNCTION("""COMPUTED_VALUE"""),88.15)</f>
        <v>88.15</v>
      </c>
    </row>
    <row r="1014" ht="15.75" customHeight="1">
      <c r="B1014" s="3">
        <f>IFERROR(__xludf.DUMMYFUNCTION("""COMPUTED_VALUE"""),43987.64583333333)</f>
        <v>43987.64583</v>
      </c>
      <c r="C1014" s="2">
        <f>IFERROR(__xludf.DUMMYFUNCTION("""COMPUTED_VALUE"""),112.45)</f>
        <v>112.45</v>
      </c>
    </row>
    <row r="1015" ht="15.75" customHeight="1">
      <c r="B1015" s="3">
        <f>IFERROR(__xludf.DUMMYFUNCTION("""COMPUTED_VALUE"""),43994.64583333333)</f>
        <v>43994.64583</v>
      </c>
      <c r="C1015" s="2">
        <f>IFERROR(__xludf.DUMMYFUNCTION("""COMPUTED_VALUE"""),119.15)</f>
        <v>119.15</v>
      </c>
    </row>
    <row r="1016" ht="15.75" customHeight="1">
      <c r="B1016" s="3">
        <f>IFERROR(__xludf.DUMMYFUNCTION("""COMPUTED_VALUE"""),44001.64583333333)</f>
        <v>44001.64583</v>
      </c>
      <c r="C1016" s="2">
        <f>IFERROR(__xludf.DUMMYFUNCTION("""COMPUTED_VALUE"""),104.65)</f>
        <v>104.65</v>
      </c>
    </row>
    <row r="1017" ht="15.75" customHeight="1">
      <c r="B1017" s="3">
        <f>IFERROR(__xludf.DUMMYFUNCTION("""COMPUTED_VALUE"""),44008.64583333333)</f>
        <v>44008.64583</v>
      </c>
      <c r="C1017" s="2">
        <f>IFERROR(__xludf.DUMMYFUNCTION("""COMPUTED_VALUE"""),110.8)</f>
        <v>110.8</v>
      </c>
    </row>
    <row r="1018" ht="15.75" customHeight="1">
      <c r="B1018" s="3">
        <f>IFERROR(__xludf.DUMMYFUNCTION("""COMPUTED_VALUE"""),44015.64583333333)</f>
        <v>44015.64583</v>
      </c>
      <c r="C1018" s="2">
        <f>IFERROR(__xludf.DUMMYFUNCTION("""COMPUTED_VALUE"""),106.35)</f>
        <v>106.35</v>
      </c>
    </row>
    <row r="1019" ht="15.75" customHeight="1">
      <c r="B1019" s="3">
        <f>IFERROR(__xludf.DUMMYFUNCTION("""COMPUTED_VALUE"""),44022.64583333333)</f>
        <v>44022.64583</v>
      </c>
      <c r="C1019" s="2">
        <f>IFERROR(__xludf.DUMMYFUNCTION("""COMPUTED_VALUE"""),112.6)</f>
        <v>112.6</v>
      </c>
    </row>
    <row r="1020" ht="15.75" customHeight="1">
      <c r="B1020" s="3">
        <f>IFERROR(__xludf.DUMMYFUNCTION("""COMPUTED_VALUE"""),44029.64583333333)</f>
        <v>44029.64583</v>
      </c>
      <c r="C1020" s="2">
        <f>IFERROR(__xludf.DUMMYFUNCTION("""COMPUTED_VALUE"""),112.1)</f>
        <v>112.1</v>
      </c>
    </row>
    <row r="1021" ht="15.75" customHeight="1">
      <c r="B1021" s="3">
        <f>IFERROR(__xludf.DUMMYFUNCTION("""COMPUTED_VALUE"""),44036.64583333333)</f>
        <v>44036.64583</v>
      </c>
      <c r="C1021" s="2">
        <f>IFERROR(__xludf.DUMMYFUNCTION("""COMPUTED_VALUE"""),109.75)</f>
        <v>109.75</v>
      </c>
    </row>
    <row r="1022" ht="15.75" customHeight="1">
      <c r="B1022" s="3">
        <f>IFERROR(__xludf.DUMMYFUNCTION("""COMPUTED_VALUE"""),44043.64583333333)</f>
        <v>44043.64583</v>
      </c>
      <c r="C1022" s="2">
        <f>IFERROR(__xludf.DUMMYFUNCTION("""COMPUTED_VALUE"""),108.75)</f>
        <v>108.75</v>
      </c>
    </row>
    <row r="1023" ht="15.75" customHeight="1">
      <c r="B1023" s="3">
        <f>IFERROR(__xludf.DUMMYFUNCTION("""COMPUTED_VALUE"""),44050.64583333333)</f>
        <v>44050.64583</v>
      </c>
      <c r="C1023" s="2">
        <f>IFERROR(__xludf.DUMMYFUNCTION("""COMPUTED_VALUE"""),119.7)</f>
        <v>119.7</v>
      </c>
    </row>
    <row r="1024" ht="15.75" customHeight="1">
      <c r="B1024" s="3">
        <f>IFERROR(__xludf.DUMMYFUNCTION("""COMPUTED_VALUE"""),44057.64583333333)</f>
        <v>44057.64583</v>
      </c>
      <c r="C1024" s="2">
        <f>IFERROR(__xludf.DUMMYFUNCTION("""COMPUTED_VALUE"""),132.65)</f>
        <v>132.65</v>
      </c>
    </row>
    <row r="1025" ht="15.75" customHeight="1">
      <c r="B1025" s="3">
        <f>IFERROR(__xludf.DUMMYFUNCTION("""COMPUTED_VALUE"""),44064.64583333333)</f>
        <v>44064.64583</v>
      </c>
      <c r="C1025" s="2">
        <f>IFERROR(__xludf.DUMMYFUNCTION("""COMPUTED_VALUE"""),127.6)</f>
        <v>127.6</v>
      </c>
    </row>
    <row r="1026" ht="15.75" customHeight="1">
      <c r="B1026" s="3">
        <f>IFERROR(__xludf.DUMMYFUNCTION("""COMPUTED_VALUE"""),44071.64583333333)</f>
        <v>44071.64583</v>
      </c>
      <c r="C1026" s="2">
        <f>IFERROR(__xludf.DUMMYFUNCTION("""COMPUTED_VALUE"""),146.85)</f>
        <v>146.85</v>
      </c>
    </row>
    <row r="1027" ht="15.75" customHeight="1">
      <c r="B1027" s="3">
        <f>IFERROR(__xludf.DUMMYFUNCTION("""COMPUTED_VALUE"""),44078.64583333333)</f>
        <v>44078.64583</v>
      </c>
      <c r="C1027" s="2">
        <f>IFERROR(__xludf.DUMMYFUNCTION("""COMPUTED_VALUE"""),155.2)</f>
        <v>155.2</v>
      </c>
    </row>
    <row r="1028" ht="15.75" customHeight="1">
      <c r="B1028" s="3">
        <f>IFERROR(__xludf.DUMMYFUNCTION("""COMPUTED_VALUE"""),44085.64583333333)</f>
        <v>44085.64583</v>
      </c>
      <c r="C1028" s="2">
        <f>IFERROR(__xludf.DUMMYFUNCTION("""COMPUTED_VALUE"""),152.0)</f>
        <v>152</v>
      </c>
    </row>
    <row r="1029" ht="15.75" customHeight="1">
      <c r="B1029" s="3">
        <f>IFERROR(__xludf.DUMMYFUNCTION("""COMPUTED_VALUE"""),44092.64583333333)</f>
        <v>44092.64583</v>
      </c>
      <c r="C1029" s="2">
        <f>IFERROR(__xludf.DUMMYFUNCTION("""COMPUTED_VALUE"""),154.3)</f>
        <v>154.3</v>
      </c>
    </row>
    <row r="1030" ht="15.75" customHeight="1">
      <c r="B1030" s="3">
        <f>IFERROR(__xludf.DUMMYFUNCTION("""COMPUTED_VALUE"""),44099.64583333333)</f>
        <v>44099.64583</v>
      </c>
      <c r="C1030" s="2">
        <f>IFERROR(__xludf.DUMMYFUNCTION("""COMPUTED_VALUE"""),147.75)</f>
        <v>147.75</v>
      </c>
    </row>
    <row r="1031" ht="15.75" customHeight="1">
      <c r="B1031" s="3">
        <f>IFERROR(__xludf.DUMMYFUNCTION("""COMPUTED_VALUE"""),44105.64583333333)</f>
        <v>44105.64583</v>
      </c>
      <c r="C1031" s="2">
        <f>IFERROR(__xludf.DUMMYFUNCTION("""COMPUTED_VALUE"""),136.5)</f>
        <v>136.5</v>
      </c>
    </row>
    <row r="1032" ht="15.75" customHeight="1">
      <c r="B1032" s="3">
        <f>IFERROR(__xludf.DUMMYFUNCTION("""COMPUTED_VALUE"""),44113.64583333333)</f>
        <v>44113.64583</v>
      </c>
      <c r="C1032" s="2">
        <f>IFERROR(__xludf.DUMMYFUNCTION("""COMPUTED_VALUE"""),145.8)</f>
        <v>145.8</v>
      </c>
    </row>
    <row r="1033" ht="15.75" customHeight="1">
      <c r="B1033" s="3">
        <f>IFERROR(__xludf.DUMMYFUNCTION("""COMPUTED_VALUE"""),44120.64583333333)</f>
        <v>44120.64583</v>
      </c>
      <c r="C1033" s="2">
        <f>IFERROR(__xludf.DUMMYFUNCTION("""COMPUTED_VALUE"""),139.65)</f>
        <v>139.65</v>
      </c>
    </row>
    <row r="1034" ht="15.75" customHeight="1">
      <c r="B1034" s="3">
        <f>IFERROR(__xludf.DUMMYFUNCTION("""COMPUTED_VALUE"""),44127.64583333333)</f>
        <v>44127.64583</v>
      </c>
      <c r="C1034" s="2">
        <f>IFERROR(__xludf.DUMMYFUNCTION("""COMPUTED_VALUE"""),138.9)</f>
        <v>138.9</v>
      </c>
    </row>
    <row r="1035" ht="15.75" customHeight="1">
      <c r="B1035" s="3">
        <f>IFERROR(__xludf.DUMMYFUNCTION("""COMPUTED_VALUE"""),44134.64583333333)</f>
        <v>44134.64583</v>
      </c>
      <c r="C1035" s="2">
        <f>IFERROR(__xludf.DUMMYFUNCTION("""COMPUTED_VALUE"""),143.25)</f>
        <v>143.25</v>
      </c>
    </row>
    <row r="1036" ht="15.75" customHeight="1">
      <c r="B1036" s="3">
        <f>IFERROR(__xludf.DUMMYFUNCTION("""COMPUTED_VALUE"""),44141.64583333333)</f>
        <v>44141.64583</v>
      </c>
      <c r="C1036" s="2">
        <f>IFERROR(__xludf.DUMMYFUNCTION("""COMPUTED_VALUE"""),142.3)</f>
        <v>142.3</v>
      </c>
    </row>
    <row r="1037" ht="15.75" customHeight="1">
      <c r="B1037" s="3">
        <f>IFERROR(__xludf.DUMMYFUNCTION("""COMPUTED_VALUE"""),44155.64583333333)</f>
        <v>44155.64583</v>
      </c>
      <c r="C1037" s="2">
        <f>IFERROR(__xludf.DUMMYFUNCTION("""COMPUTED_VALUE"""),178.8)</f>
        <v>178.8</v>
      </c>
    </row>
    <row r="1038" ht="15.75" customHeight="1">
      <c r="B1038" s="3">
        <f>IFERROR(__xludf.DUMMYFUNCTION("""COMPUTED_VALUE"""),44162.64583333333)</f>
        <v>44162.64583</v>
      </c>
      <c r="C1038" s="2">
        <f>IFERROR(__xludf.DUMMYFUNCTION("""COMPUTED_VALUE"""),183.85)</f>
        <v>183.85</v>
      </c>
    </row>
    <row r="1039" ht="15.75" customHeight="1">
      <c r="B1039" s="3">
        <f>IFERROR(__xludf.DUMMYFUNCTION("""COMPUTED_VALUE"""),44169.64583333333)</f>
        <v>44169.64583</v>
      </c>
      <c r="C1039" s="2">
        <f>IFERROR(__xludf.DUMMYFUNCTION("""COMPUTED_VALUE"""),188.8)</f>
        <v>188.8</v>
      </c>
    </row>
    <row r="1040" ht="15.75" customHeight="1">
      <c r="B1040" s="3">
        <f>IFERROR(__xludf.DUMMYFUNCTION("""COMPUTED_VALUE"""),44176.64583333333)</f>
        <v>44176.64583</v>
      </c>
      <c r="C1040" s="2">
        <f>IFERROR(__xludf.DUMMYFUNCTION("""COMPUTED_VALUE"""),186.45)</f>
        <v>186.45</v>
      </c>
    </row>
    <row r="1041" ht="15.75" customHeight="1">
      <c r="B1041" s="3">
        <f>IFERROR(__xludf.DUMMYFUNCTION("""COMPUTED_VALUE"""),44183.64583333333)</f>
        <v>44183.64583</v>
      </c>
      <c r="C1041" s="2">
        <f>IFERROR(__xludf.DUMMYFUNCTION("""COMPUTED_VALUE"""),184.0)</f>
        <v>184</v>
      </c>
    </row>
    <row r="1042" ht="15.75" customHeight="1">
      <c r="B1042" s="3">
        <f>IFERROR(__xludf.DUMMYFUNCTION("""COMPUTED_VALUE"""),44189.64583333333)</f>
        <v>44189.64583</v>
      </c>
      <c r="C1042" s="2">
        <f>IFERROR(__xludf.DUMMYFUNCTION("""COMPUTED_VALUE"""),178.0)</f>
        <v>178</v>
      </c>
    </row>
    <row r="1043" ht="15.75" customHeight="1">
      <c r="B1043" s="3">
        <f>IFERROR(__xludf.DUMMYFUNCTION("""COMPUTED_VALUE"""),44197.64583333333)</f>
        <v>44197.64583</v>
      </c>
      <c r="C1043" s="2">
        <f>IFERROR(__xludf.DUMMYFUNCTION("""COMPUTED_VALUE"""),188.45)</f>
        <v>188.45</v>
      </c>
    </row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</sheetData>
  <printOptions/>
  <pageMargins bottom="1.0" footer="0.0" header="0.0" left="0.75" right="0.75" top="1.0"/>
  <pageSetup orientation="landscape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IFERROR(__xludf.DUMMYFUNCTION("GOOGLEFINANCE(""NSE:INDUSINDBK"", ""high"",DATE(2013,1,1),DATE(2014,1,1),""weekly"")"),"Date")</f>
        <v>Date</v>
      </c>
      <c r="C1" s="2" t="str">
        <f>IFERROR(__xludf.DUMMYFUNCTION("""COMPUTED_VALUE"""),"High")</f>
        <v>High</v>
      </c>
    </row>
    <row r="2">
      <c r="A2" s="2" t="s">
        <v>12</v>
      </c>
      <c r="B2" s="3">
        <f>IFERROR(__xludf.DUMMYFUNCTION("""COMPUTED_VALUE"""),41278.645833333336)</f>
        <v>41278.64583</v>
      </c>
      <c r="C2" s="2">
        <f>IFERROR(__xludf.DUMMYFUNCTION("""COMPUTED_VALUE"""),442.0)</f>
        <v>442</v>
      </c>
    </row>
    <row r="3">
      <c r="A3" s="2" t="s">
        <v>13</v>
      </c>
      <c r="B3" s="3">
        <f>IFERROR(__xludf.DUMMYFUNCTION("""COMPUTED_VALUE"""),41285.645833333336)</f>
        <v>41285.64583</v>
      </c>
      <c r="C3" s="2">
        <f>IFERROR(__xludf.DUMMYFUNCTION("""COMPUTED_VALUE"""),444.9)</f>
        <v>444.9</v>
      </c>
    </row>
    <row r="4">
      <c r="A4" s="2" t="s">
        <v>14</v>
      </c>
      <c r="B4" s="3">
        <f>IFERROR(__xludf.DUMMYFUNCTION("""COMPUTED_VALUE"""),41292.645833333336)</f>
        <v>41292.64583</v>
      </c>
      <c r="C4" s="2">
        <f>IFERROR(__xludf.DUMMYFUNCTION("""COMPUTED_VALUE"""),444.35)</f>
        <v>444.35</v>
      </c>
    </row>
    <row r="5">
      <c r="A5" s="2" t="s">
        <v>15</v>
      </c>
      <c r="B5" s="3">
        <f>IFERROR(__xludf.DUMMYFUNCTION("""COMPUTED_VALUE"""),41299.645833333336)</f>
        <v>41299.64583</v>
      </c>
      <c r="C5" s="2">
        <f>IFERROR(__xludf.DUMMYFUNCTION("""COMPUTED_VALUE"""),433.9)</f>
        <v>433.9</v>
      </c>
    </row>
    <row r="6">
      <c r="A6" s="2" t="s">
        <v>16</v>
      </c>
      <c r="B6" s="3">
        <f>IFERROR(__xludf.DUMMYFUNCTION("""COMPUTED_VALUE"""),41306.645833333336)</f>
        <v>41306.64583</v>
      </c>
      <c r="C6" s="2">
        <f>IFERROR(__xludf.DUMMYFUNCTION("""COMPUTED_VALUE"""),443.0)</f>
        <v>443</v>
      </c>
    </row>
    <row r="7">
      <c r="A7" s="2" t="s">
        <v>17</v>
      </c>
      <c r="B7" s="3">
        <f>IFERROR(__xludf.DUMMYFUNCTION("""COMPUTED_VALUE"""),41313.645833333336)</f>
        <v>41313.64583</v>
      </c>
      <c r="C7" s="2">
        <f>IFERROR(__xludf.DUMMYFUNCTION("""COMPUTED_VALUE"""),443.6)</f>
        <v>443.6</v>
      </c>
    </row>
    <row r="8">
      <c r="A8" s="2" t="s">
        <v>18</v>
      </c>
      <c r="B8" s="3">
        <f>IFERROR(__xludf.DUMMYFUNCTION("""COMPUTED_VALUE"""),41320.645833333336)</f>
        <v>41320.64583</v>
      </c>
      <c r="C8" s="2">
        <f>IFERROR(__xludf.DUMMYFUNCTION("""COMPUTED_VALUE"""),449.7)</f>
        <v>449.7</v>
      </c>
    </row>
    <row r="9">
      <c r="A9" s="2" t="s">
        <v>19</v>
      </c>
      <c r="B9" s="3">
        <f>IFERROR(__xludf.DUMMYFUNCTION("""COMPUTED_VALUE"""),41327.645833333336)</f>
        <v>41327.64583</v>
      </c>
      <c r="C9" s="2">
        <f>IFERROR(__xludf.DUMMYFUNCTION("""COMPUTED_VALUE"""),445.95)</f>
        <v>445.95</v>
      </c>
    </row>
    <row r="10">
      <c r="B10" s="3">
        <f>IFERROR(__xludf.DUMMYFUNCTION("""COMPUTED_VALUE"""),41334.645833333336)</f>
        <v>41334.64583</v>
      </c>
      <c r="C10" s="2">
        <f>IFERROR(__xludf.DUMMYFUNCTION("""COMPUTED_VALUE"""),434.7)</f>
        <v>434.7</v>
      </c>
    </row>
    <row r="11">
      <c r="B11" s="3">
        <f>IFERROR(__xludf.DUMMYFUNCTION("""COMPUTED_VALUE"""),41341.645833333336)</f>
        <v>41341.64583</v>
      </c>
      <c r="C11" s="2">
        <f>IFERROR(__xludf.DUMMYFUNCTION("""COMPUTED_VALUE"""),438.0)</f>
        <v>438</v>
      </c>
    </row>
    <row r="12">
      <c r="B12" s="3">
        <f>IFERROR(__xludf.DUMMYFUNCTION("""COMPUTED_VALUE"""),41348.645833333336)</f>
        <v>41348.64583</v>
      </c>
      <c r="C12" s="2">
        <f>IFERROR(__xludf.DUMMYFUNCTION("""COMPUTED_VALUE"""),440.5)</f>
        <v>440.5</v>
      </c>
    </row>
    <row r="13">
      <c r="B13" s="3">
        <f>IFERROR(__xludf.DUMMYFUNCTION("""COMPUTED_VALUE"""),41355.645833333336)</f>
        <v>41355.64583</v>
      </c>
      <c r="C13" s="2">
        <f>IFERROR(__xludf.DUMMYFUNCTION("""COMPUTED_VALUE"""),420.8)</f>
        <v>420.8</v>
      </c>
    </row>
    <row r="14">
      <c r="B14" s="3">
        <f>IFERROR(__xludf.DUMMYFUNCTION("""COMPUTED_VALUE"""),41361.645833333336)</f>
        <v>41361.64583</v>
      </c>
      <c r="C14" s="2">
        <f>IFERROR(__xludf.DUMMYFUNCTION("""COMPUTED_VALUE"""),410.0)</f>
        <v>410</v>
      </c>
    </row>
    <row r="15">
      <c r="B15" s="3">
        <f>IFERROR(__xludf.DUMMYFUNCTION("""COMPUTED_VALUE"""),41369.645833333336)</f>
        <v>41369.64583</v>
      </c>
      <c r="C15" s="2">
        <f>IFERROR(__xludf.DUMMYFUNCTION("""COMPUTED_VALUE"""),428.5)</f>
        <v>428.5</v>
      </c>
    </row>
    <row r="16">
      <c r="B16" s="3">
        <f>IFERROR(__xludf.DUMMYFUNCTION("""COMPUTED_VALUE"""),41376.645833333336)</f>
        <v>41376.64583</v>
      </c>
      <c r="C16" s="2">
        <f>IFERROR(__xludf.DUMMYFUNCTION("""COMPUTED_VALUE"""),406.8)</f>
        <v>406.8</v>
      </c>
    </row>
    <row r="17">
      <c r="B17" s="3">
        <f>IFERROR(__xludf.DUMMYFUNCTION("""COMPUTED_VALUE"""),41382.645833333336)</f>
        <v>41382.64583</v>
      </c>
      <c r="C17" s="2">
        <f>IFERROR(__xludf.DUMMYFUNCTION("""COMPUTED_VALUE"""),456.0)</f>
        <v>456</v>
      </c>
    </row>
    <row r="18">
      <c r="B18" s="3">
        <f>IFERROR(__xludf.DUMMYFUNCTION("""COMPUTED_VALUE"""),41390.645833333336)</f>
        <v>41390.64583</v>
      </c>
      <c r="C18" s="2">
        <f>IFERROR(__xludf.DUMMYFUNCTION("""COMPUTED_VALUE"""),478.5)</f>
        <v>478.5</v>
      </c>
    </row>
    <row r="19">
      <c r="B19" s="3">
        <f>IFERROR(__xludf.DUMMYFUNCTION("""COMPUTED_VALUE"""),41397.645833333336)</f>
        <v>41397.64583</v>
      </c>
      <c r="C19" s="2">
        <f>IFERROR(__xludf.DUMMYFUNCTION("""COMPUTED_VALUE"""),484.2)</f>
        <v>484.2</v>
      </c>
    </row>
    <row r="20">
      <c r="B20" s="3">
        <f>IFERROR(__xludf.DUMMYFUNCTION("""COMPUTED_VALUE"""),41411.645833333336)</f>
        <v>41411.64583</v>
      </c>
      <c r="C20" s="2">
        <f>IFERROR(__xludf.DUMMYFUNCTION("""COMPUTED_VALUE"""),527.3)</f>
        <v>527.3</v>
      </c>
    </row>
    <row r="21" ht="15.75" customHeight="1">
      <c r="B21" s="3">
        <f>IFERROR(__xludf.DUMMYFUNCTION("""COMPUTED_VALUE"""),41418.645833333336)</f>
        <v>41418.64583</v>
      </c>
      <c r="C21" s="2">
        <f>IFERROR(__xludf.DUMMYFUNCTION("""COMPUTED_VALUE"""),519.5)</f>
        <v>519.5</v>
      </c>
    </row>
    <row r="22" ht="15.75" customHeight="1">
      <c r="B22" s="3">
        <f>IFERROR(__xludf.DUMMYFUNCTION("""COMPUTED_VALUE"""),41425.645833333336)</f>
        <v>41425.64583</v>
      </c>
      <c r="C22" s="2">
        <f>IFERROR(__xludf.DUMMYFUNCTION("""COMPUTED_VALUE"""),531.9)</f>
        <v>531.9</v>
      </c>
    </row>
    <row r="23" ht="15.75" customHeight="1">
      <c r="B23" s="3">
        <f>IFERROR(__xludf.DUMMYFUNCTION("""COMPUTED_VALUE"""),41432.645833333336)</f>
        <v>41432.64583</v>
      </c>
      <c r="C23" s="2">
        <f>IFERROR(__xludf.DUMMYFUNCTION("""COMPUTED_VALUE"""),525.4)</f>
        <v>525.4</v>
      </c>
    </row>
    <row r="24" ht="15.75" customHeight="1">
      <c r="B24" s="3">
        <f>IFERROR(__xludf.DUMMYFUNCTION("""COMPUTED_VALUE"""),41439.645833333336)</f>
        <v>41439.64583</v>
      </c>
      <c r="C24" s="2">
        <f>IFERROR(__xludf.DUMMYFUNCTION("""COMPUTED_VALUE"""),512.0)</f>
        <v>512</v>
      </c>
    </row>
    <row r="25" ht="15.75" customHeight="1">
      <c r="B25" s="3">
        <f>IFERROR(__xludf.DUMMYFUNCTION("""COMPUTED_VALUE"""),41446.645833333336)</f>
        <v>41446.64583</v>
      </c>
      <c r="C25" s="2">
        <f>IFERROR(__xludf.DUMMYFUNCTION("""COMPUTED_VALUE"""),488.5)</f>
        <v>488.5</v>
      </c>
    </row>
    <row r="26" ht="15.75" customHeight="1">
      <c r="B26" s="3">
        <f>IFERROR(__xludf.DUMMYFUNCTION("""COMPUTED_VALUE"""),41453.645833333336)</f>
        <v>41453.64583</v>
      </c>
      <c r="C26" s="2">
        <f>IFERROR(__xludf.DUMMYFUNCTION("""COMPUTED_VALUE"""),479.8)</f>
        <v>479.8</v>
      </c>
    </row>
    <row r="27" ht="15.75" customHeight="1">
      <c r="B27" s="3">
        <f>IFERROR(__xludf.DUMMYFUNCTION("""COMPUTED_VALUE"""),41460.645833333336)</f>
        <v>41460.64583</v>
      </c>
      <c r="C27" s="2">
        <f>IFERROR(__xludf.DUMMYFUNCTION("""COMPUTED_VALUE"""),485.0)</f>
        <v>485</v>
      </c>
    </row>
    <row r="28" ht="15.75" customHeight="1">
      <c r="B28" s="3">
        <f>IFERROR(__xludf.DUMMYFUNCTION("""COMPUTED_VALUE"""),41467.645833333336)</f>
        <v>41467.64583</v>
      </c>
      <c r="C28" s="2">
        <f>IFERROR(__xludf.DUMMYFUNCTION("""COMPUTED_VALUE"""),516.8)</f>
        <v>516.8</v>
      </c>
    </row>
    <row r="29" ht="15.75" customHeight="1">
      <c r="B29" s="3">
        <f>IFERROR(__xludf.DUMMYFUNCTION("""COMPUTED_VALUE"""),41474.645833333336)</f>
        <v>41474.64583</v>
      </c>
      <c r="C29" s="2">
        <f>IFERROR(__xludf.DUMMYFUNCTION("""COMPUTED_VALUE"""),509.75)</f>
        <v>509.75</v>
      </c>
    </row>
    <row r="30" ht="15.75" customHeight="1">
      <c r="B30" s="3">
        <f>IFERROR(__xludf.DUMMYFUNCTION("""COMPUTED_VALUE"""),41481.645833333336)</f>
        <v>41481.64583</v>
      </c>
      <c r="C30" s="2">
        <f>IFERROR(__xludf.DUMMYFUNCTION("""COMPUTED_VALUE"""),471.0)</f>
        <v>471</v>
      </c>
    </row>
    <row r="31" ht="15.75" customHeight="1">
      <c r="B31" s="3">
        <f>IFERROR(__xludf.DUMMYFUNCTION("""COMPUTED_VALUE"""),41488.645833333336)</f>
        <v>41488.64583</v>
      </c>
      <c r="C31" s="2">
        <f>IFERROR(__xludf.DUMMYFUNCTION("""COMPUTED_VALUE"""),425.75)</f>
        <v>425.75</v>
      </c>
    </row>
    <row r="32" ht="15.75" customHeight="1">
      <c r="B32" s="3">
        <f>IFERROR(__xludf.DUMMYFUNCTION("""COMPUTED_VALUE"""),41494.645833333336)</f>
        <v>41494.64583</v>
      </c>
      <c r="C32" s="2">
        <f>IFERROR(__xludf.DUMMYFUNCTION("""COMPUTED_VALUE"""),401.85)</f>
        <v>401.85</v>
      </c>
    </row>
    <row r="33" ht="15.75" customHeight="1">
      <c r="B33" s="3">
        <f>IFERROR(__xludf.DUMMYFUNCTION("""COMPUTED_VALUE"""),41502.645833333336)</f>
        <v>41502.64583</v>
      </c>
      <c r="C33" s="2">
        <f>IFERROR(__xludf.DUMMYFUNCTION("""COMPUTED_VALUE"""),392.2)</f>
        <v>392.2</v>
      </c>
    </row>
    <row r="34" ht="15.75" customHeight="1">
      <c r="B34" s="3">
        <f>IFERROR(__xludf.DUMMYFUNCTION("""COMPUTED_VALUE"""),41509.645833333336)</f>
        <v>41509.64583</v>
      </c>
      <c r="C34" s="2">
        <f>IFERROR(__xludf.DUMMYFUNCTION("""COMPUTED_VALUE"""),383.7)</f>
        <v>383.7</v>
      </c>
    </row>
    <row r="35" ht="15.75" customHeight="1">
      <c r="B35" s="3">
        <f>IFERROR(__xludf.DUMMYFUNCTION("""COMPUTED_VALUE"""),41516.645833333336)</f>
        <v>41516.64583</v>
      </c>
      <c r="C35" s="2">
        <f>IFERROR(__xludf.DUMMYFUNCTION("""COMPUTED_VALUE"""),383.0)</f>
        <v>383</v>
      </c>
    </row>
    <row r="36" ht="15.75" customHeight="1">
      <c r="B36" s="3">
        <f>IFERROR(__xludf.DUMMYFUNCTION("""COMPUTED_VALUE"""),41523.645833333336)</f>
        <v>41523.64583</v>
      </c>
      <c r="C36" s="2">
        <f>IFERROR(__xludf.DUMMYFUNCTION("""COMPUTED_VALUE"""),415.9)</f>
        <v>415.9</v>
      </c>
    </row>
    <row r="37" ht="15.75" customHeight="1">
      <c r="B37" s="3">
        <f>IFERROR(__xludf.DUMMYFUNCTION("""COMPUTED_VALUE"""),41530.645833333336)</f>
        <v>41530.64583</v>
      </c>
      <c r="C37" s="2">
        <f>IFERROR(__xludf.DUMMYFUNCTION("""COMPUTED_VALUE"""),435.6)</f>
        <v>435.6</v>
      </c>
    </row>
    <row r="38" ht="15.75" customHeight="1">
      <c r="B38" s="3">
        <f>IFERROR(__xludf.DUMMYFUNCTION("""COMPUTED_VALUE"""),41537.645833333336)</f>
        <v>41537.64583</v>
      </c>
      <c r="C38" s="2">
        <f>IFERROR(__xludf.DUMMYFUNCTION("""COMPUTED_VALUE"""),474.1)</f>
        <v>474.1</v>
      </c>
    </row>
    <row r="39" ht="15.75" customHeight="1">
      <c r="B39" s="3">
        <f>IFERROR(__xludf.DUMMYFUNCTION("""COMPUTED_VALUE"""),41544.645833333336)</f>
        <v>41544.64583</v>
      </c>
      <c r="C39" s="2">
        <f>IFERROR(__xludf.DUMMYFUNCTION("""COMPUTED_VALUE"""),409.5)</f>
        <v>409.5</v>
      </c>
    </row>
    <row r="40" ht="15.75" customHeight="1">
      <c r="B40" s="3">
        <f>IFERROR(__xludf.DUMMYFUNCTION("""COMPUTED_VALUE"""),41551.645833333336)</f>
        <v>41551.64583</v>
      </c>
      <c r="C40" s="2">
        <f>IFERROR(__xludf.DUMMYFUNCTION("""COMPUTED_VALUE"""),405.0)</f>
        <v>405</v>
      </c>
    </row>
    <row r="41" ht="15.75" customHeight="1">
      <c r="B41" s="3">
        <f>IFERROR(__xludf.DUMMYFUNCTION("""COMPUTED_VALUE"""),41558.645833333336)</f>
        <v>41558.64583</v>
      </c>
      <c r="C41" s="2">
        <f>IFERROR(__xludf.DUMMYFUNCTION("""COMPUTED_VALUE"""),429.8)</f>
        <v>429.8</v>
      </c>
    </row>
    <row r="42" ht="15.75" customHeight="1">
      <c r="B42" s="3">
        <f>IFERROR(__xludf.DUMMYFUNCTION("""COMPUTED_VALUE"""),41565.645833333336)</f>
        <v>41565.64583</v>
      </c>
      <c r="C42" s="2">
        <f>IFERROR(__xludf.DUMMYFUNCTION("""COMPUTED_VALUE"""),440.0)</f>
        <v>440</v>
      </c>
    </row>
    <row r="43" ht="15.75" customHeight="1">
      <c r="B43" s="3">
        <f>IFERROR(__xludf.DUMMYFUNCTION("""COMPUTED_VALUE"""),41572.645833333336)</f>
        <v>41572.64583</v>
      </c>
      <c r="C43" s="2">
        <f>IFERROR(__xludf.DUMMYFUNCTION("""COMPUTED_VALUE"""),433.6)</f>
        <v>433.6</v>
      </c>
    </row>
    <row r="44" ht="15.75" customHeight="1">
      <c r="B44" s="3">
        <f>IFERROR(__xludf.DUMMYFUNCTION("""COMPUTED_VALUE"""),41579.645833333336)</f>
        <v>41579.64583</v>
      </c>
      <c r="C44" s="2">
        <f>IFERROR(__xludf.DUMMYFUNCTION("""COMPUTED_VALUE"""),455.95)</f>
        <v>455.95</v>
      </c>
    </row>
    <row r="45" ht="15.75" customHeight="1">
      <c r="B45" s="3">
        <f>IFERROR(__xludf.DUMMYFUNCTION("""COMPUTED_VALUE"""),41586.645833333336)</f>
        <v>41586.64583</v>
      </c>
      <c r="C45" s="2">
        <f>IFERROR(__xludf.DUMMYFUNCTION("""COMPUTED_VALUE"""),460.0)</f>
        <v>460</v>
      </c>
    </row>
    <row r="46" ht="15.75" customHeight="1">
      <c r="B46" s="3">
        <f>IFERROR(__xludf.DUMMYFUNCTION("""COMPUTED_VALUE"""),41592.645833333336)</f>
        <v>41592.64583</v>
      </c>
      <c r="C46" s="2">
        <f>IFERROR(__xludf.DUMMYFUNCTION("""COMPUTED_VALUE"""),432.35)</f>
        <v>432.35</v>
      </c>
    </row>
    <row r="47" ht="15.75" customHeight="1">
      <c r="B47" s="3">
        <f>IFERROR(__xludf.DUMMYFUNCTION("""COMPUTED_VALUE"""),41600.645833333336)</f>
        <v>41600.64583</v>
      </c>
      <c r="C47" s="2">
        <f>IFERROR(__xludf.DUMMYFUNCTION("""COMPUTED_VALUE"""),431.95)</f>
        <v>431.95</v>
      </c>
    </row>
    <row r="48" ht="15.75" customHeight="1">
      <c r="B48" s="3">
        <f>IFERROR(__xludf.DUMMYFUNCTION("""COMPUTED_VALUE"""),41607.645833333336)</f>
        <v>41607.64583</v>
      </c>
      <c r="C48" s="2">
        <f>IFERROR(__xludf.DUMMYFUNCTION("""COMPUTED_VALUE"""),425.5)</f>
        <v>425.5</v>
      </c>
    </row>
    <row r="49" ht="15.75" customHeight="1">
      <c r="B49" s="3">
        <f>IFERROR(__xludf.DUMMYFUNCTION("""COMPUTED_VALUE"""),41614.645833333336)</f>
        <v>41614.64583</v>
      </c>
      <c r="C49" s="2">
        <f>IFERROR(__xludf.DUMMYFUNCTION("""COMPUTED_VALUE"""),448.5)</f>
        <v>448.5</v>
      </c>
    </row>
    <row r="50" ht="15.75" customHeight="1">
      <c r="B50" s="3">
        <f>IFERROR(__xludf.DUMMYFUNCTION("""COMPUTED_VALUE"""),41621.645833333336)</f>
        <v>41621.64583</v>
      </c>
      <c r="C50" s="2">
        <f>IFERROR(__xludf.DUMMYFUNCTION("""COMPUTED_VALUE"""),472.6)</f>
        <v>472.6</v>
      </c>
    </row>
    <row r="51" ht="15.75" customHeight="1">
      <c r="B51" s="3">
        <f>IFERROR(__xludf.DUMMYFUNCTION("""COMPUTED_VALUE"""),41628.645833333336)</f>
        <v>41628.64583</v>
      </c>
      <c r="C51" s="2">
        <f>IFERROR(__xludf.DUMMYFUNCTION("""COMPUTED_VALUE"""),435.0)</f>
        <v>435</v>
      </c>
    </row>
    <row r="52" ht="15.75" customHeight="1">
      <c r="B52" s="3">
        <f>IFERROR(__xludf.DUMMYFUNCTION("""COMPUTED_VALUE"""),41635.645833333336)</f>
        <v>41635.64583</v>
      </c>
      <c r="C52" s="2">
        <f>IFERROR(__xludf.DUMMYFUNCTION("""COMPUTED_VALUE"""),434.0)</f>
        <v>434</v>
      </c>
    </row>
    <row r="53" ht="15.75" customHeight="1"/>
    <row r="54" ht="15.75" customHeight="1"/>
    <row r="55" ht="15.75" customHeight="1"/>
    <row r="56" ht="15.75" customHeight="1">
      <c r="B56" s="2" t="str">
        <f>IFERROR(__xludf.DUMMYFUNCTION("GOOGLEFINANCE(""NSE:INDUSINDBK"", ""high"",DATE(2014,1,1),DATE(2015,1,1),""weekly"")"),"Date")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IFERROR(__xludf.DUMMYFUNCTION("""COMPUTED_VALUE"""),41642.645833333336)</f>
        <v>41642.64583</v>
      </c>
      <c r="C57" s="2">
        <f>IFERROR(__xludf.DUMMYFUNCTION("""COMPUTED_VALUE"""),432.9)</f>
        <v>432.9</v>
      </c>
    </row>
    <row r="58" ht="15.75" customHeight="1">
      <c r="B58" s="3">
        <f>IFERROR(__xludf.DUMMYFUNCTION("""COMPUTED_VALUE"""),41649.645833333336)</f>
        <v>41649.64583</v>
      </c>
      <c r="C58" s="2">
        <f>IFERROR(__xludf.DUMMYFUNCTION("""COMPUTED_VALUE"""),428.5)</f>
        <v>428.5</v>
      </c>
    </row>
    <row r="59" ht="15.75" customHeight="1">
      <c r="B59" s="3">
        <f>IFERROR(__xludf.DUMMYFUNCTION("""COMPUTED_VALUE"""),41656.645833333336)</f>
        <v>41656.64583</v>
      </c>
      <c r="C59" s="2">
        <f>IFERROR(__xludf.DUMMYFUNCTION("""COMPUTED_VALUE"""),429.65)</f>
        <v>429.65</v>
      </c>
    </row>
    <row r="60" ht="15.75" customHeight="1">
      <c r="B60" s="3">
        <f>IFERROR(__xludf.DUMMYFUNCTION("""COMPUTED_VALUE"""),41663.645833333336)</f>
        <v>41663.64583</v>
      </c>
      <c r="C60" s="2">
        <f>IFERROR(__xludf.DUMMYFUNCTION("""COMPUTED_VALUE"""),440.0)</f>
        <v>440</v>
      </c>
    </row>
    <row r="61" ht="15.75" customHeight="1">
      <c r="B61" s="3">
        <f>IFERROR(__xludf.DUMMYFUNCTION("""COMPUTED_VALUE"""),41670.645833333336)</f>
        <v>41670.64583</v>
      </c>
      <c r="C61" s="2">
        <f>IFERROR(__xludf.DUMMYFUNCTION("""COMPUTED_VALUE"""),410.1)</f>
        <v>410.1</v>
      </c>
    </row>
    <row r="62" ht="15.75" customHeight="1">
      <c r="B62" s="3">
        <f>IFERROR(__xludf.DUMMYFUNCTION("""COMPUTED_VALUE"""),41677.645833333336)</f>
        <v>41677.64583</v>
      </c>
      <c r="C62" s="2">
        <f>IFERROR(__xludf.DUMMYFUNCTION("""COMPUTED_VALUE"""),398.25)</f>
        <v>398.25</v>
      </c>
    </row>
    <row r="63" ht="15.75" customHeight="1">
      <c r="B63" s="3">
        <f>IFERROR(__xludf.DUMMYFUNCTION("""COMPUTED_VALUE"""),41684.645833333336)</f>
        <v>41684.64583</v>
      </c>
      <c r="C63" s="2">
        <f>IFERROR(__xludf.DUMMYFUNCTION("""COMPUTED_VALUE"""),392.8)</f>
        <v>392.8</v>
      </c>
    </row>
    <row r="64" ht="15.75" customHeight="1">
      <c r="B64" s="3">
        <f>IFERROR(__xludf.DUMMYFUNCTION("""COMPUTED_VALUE"""),41691.645833333336)</f>
        <v>41691.64583</v>
      </c>
      <c r="C64" s="2">
        <f>IFERROR(__xludf.DUMMYFUNCTION("""COMPUTED_VALUE"""),394.2)</f>
        <v>394.2</v>
      </c>
    </row>
    <row r="65" ht="15.75" customHeight="1">
      <c r="B65" s="3">
        <f>IFERROR(__xludf.DUMMYFUNCTION("""COMPUTED_VALUE"""),41698.645833333336)</f>
        <v>41698.64583</v>
      </c>
      <c r="C65" s="2">
        <f>IFERROR(__xludf.DUMMYFUNCTION("""COMPUTED_VALUE"""),406.75)</f>
        <v>406.75</v>
      </c>
    </row>
    <row r="66" ht="15.75" customHeight="1">
      <c r="B66" s="3">
        <f>IFERROR(__xludf.DUMMYFUNCTION("""COMPUTED_VALUE"""),41705.645833333336)</f>
        <v>41705.64583</v>
      </c>
      <c r="C66" s="2">
        <f>IFERROR(__xludf.DUMMYFUNCTION("""COMPUTED_VALUE"""),452.6)</f>
        <v>452.6</v>
      </c>
    </row>
    <row r="67" ht="15.75" customHeight="1">
      <c r="B67" s="3">
        <f>IFERROR(__xludf.DUMMYFUNCTION("""COMPUTED_VALUE"""),41712.645833333336)</f>
        <v>41712.64583</v>
      </c>
      <c r="C67" s="2">
        <f>IFERROR(__xludf.DUMMYFUNCTION("""COMPUTED_VALUE"""),479.85)</f>
        <v>479.85</v>
      </c>
    </row>
    <row r="68" ht="15.75" customHeight="1">
      <c r="B68" s="3">
        <f>IFERROR(__xludf.DUMMYFUNCTION("""COMPUTED_VALUE"""),41726.645833333336)</f>
        <v>41726.64583</v>
      </c>
      <c r="C68" s="2">
        <f>IFERROR(__xludf.DUMMYFUNCTION("""COMPUTED_VALUE"""),509.5)</f>
        <v>509.5</v>
      </c>
    </row>
    <row r="69" ht="15.75" customHeight="1">
      <c r="B69" s="3">
        <f>IFERROR(__xludf.DUMMYFUNCTION("""COMPUTED_VALUE"""),41733.645833333336)</f>
        <v>41733.64583</v>
      </c>
      <c r="C69" s="2">
        <f>IFERROR(__xludf.DUMMYFUNCTION("""COMPUTED_VALUE"""),509.9)</f>
        <v>509.9</v>
      </c>
    </row>
    <row r="70" ht="15.75" customHeight="1">
      <c r="B70" s="3">
        <f>IFERROR(__xludf.DUMMYFUNCTION("""COMPUTED_VALUE"""),41740.645833333336)</f>
        <v>41740.64583</v>
      </c>
      <c r="C70" s="2">
        <f>IFERROR(__xludf.DUMMYFUNCTION("""COMPUTED_VALUE"""),520.5)</f>
        <v>520.5</v>
      </c>
    </row>
    <row r="71" ht="15.75" customHeight="1">
      <c r="B71" s="3">
        <f>IFERROR(__xludf.DUMMYFUNCTION("""COMPUTED_VALUE"""),41746.645833333336)</f>
        <v>41746.64583</v>
      </c>
      <c r="C71" s="2">
        <f>IFERROR(__xludf.DUMMYFUNCTION("""COMPUTED_VALUE"""),504.1)</f>
        <v>504.1</v>
      </c>
    </row>
    <row r="72" ht="15.75" customHeight="1">
      <c r="B72" s="3">
        <f>IFERROR(__xludf.DUMMYFUNCTION("""COMPUTED_VALUE"""),41754.645833333336)</f>
        <v>41754.64583</v>
      </c>
      <c r="C72" s="2">
        <f>IFERROR(__xludf.DUMMYFUNCTION("""COMPUTED_VALUE"""),508.35)</f>
        <v>508.35</v>
      </c>
    </row>
    <row r="73" ht="15.75" customHeight="1">
      <c r="B73" s="3">
        <f>IFERROR(__xludf.DUMMYFUNCTION("""COMPUTED_VALUE"""),41761.645833333336)</f>
        <v>41761.64583</v>
      </c>
      <c r="C73" s="2">
        <f>IFERROR(__xludf.DUMMYFUNCTION("""COMPUTED_VALUE"""),499.0)</f>
        <v>499</v>
      </c>
    </row>
    <row r="74" ht="15.75" customHeight="1">
      <c r="B74" s="3">
        <f>IFERROR(__xludf.DUMMYFUNCTION("""COMPUTED_VALUE"""),41768.645833333336)</f>
        <v>41768.64583</v>
      </c>
      <c r="C74" s="2">
        <f>IFERROR(__xludf.DUMMYFUNCTION("""COMPUTED_VALUE"""),517.9)</f>
        <v>517.9</v>
      </c>
    </row>
    <row r="75" ht="15.75" customHeight="1">
      <c r="B75" s="3">
        <f>IFERROR(__xludf.DUMMYFUNCTION("""COMPUTED_VALUE"""),41775.645833333336)</f>
        <v>41775.64583</v>
      </c>
      <c r="C75" s="2">
        <f>IFERROR(__xludf.DUMMYFUNCTION("""COMPUTED_VALUE"""),587.0)</f>
        <v>587</v>
      </c>
    </row>
    <row r="76" ht="15.75" customHeight="1">
      <c r="B76" s="3">
        <f>IFERROR(__xludf.DUMMYFUNCTION("""COMPUTED_VALUE"""),41782.645833333336)</f>
        <v>41782.64583</v>
      </c>
      <c r="C76" s="2">
        <f>IFERROR(__xludf.DUMMYFUNCTION("""COMPUTED_VALUE"""),583.35)</f>
        <v>583.35</v>
      </c>
    </row>
    <row r="77" ht="15.75" customHeight="1">
      <c r="B77" s="3">
        <f>IFERROR(__xludf.DUMMYFUNCTION("""COMPUTED_VALUE"""),41789.645833333336)</f>
        <v>41789.64583</v>
      </c>
      <c r="C77" s="2">
        <f>IFERROR(__xludf.DUMMYFUNCTION("""COMPUTED_VALUE"""),571.8)</f>
        <v>571.8</v>
      </c>
    </row>
    <row r="78" ht="15.75" customHeight="1">
      <c r="B78" s="3">
        <f>IFERROR(__xludf.DUMMYFUNCTION("""COMPUTED_VALUE"""),41796.645833333336)</f>
        <v>41796.64583</v>
      </c>
      <c r="C78" s="2">
        <f>IFERROR(__xludf.DUMMYFUNCTION("""COMPUTED_VALUE"""),554.9)</f>
        <v>554.9</v>
      </c>
    </row>
    <row r="79" ht="15.75" customHeight="1">
      <c r="B79" s="3">
        <f>IFERROR(__xludf.DUMMYFUNCTION("""COMPUTED_VALUE"""),41803.645833333336)</f>
        <v>41803.64583</v>
      </c>
      <c r="C79" s="2">
        <f>IFERROR(__xludf.DUMMYFUNCTION("""COMPUTED_VALUE"""),571.65)</f>
        <v>571.65</v>
      </c>
    </row>
    <row r="80" ht="15.75" customHeight="1">
      <c r="B80" s="3">
        <f>IFERROR(__xludf.DUMMYFUNCTION("""COMPUTED_VALUE"""),41810.645833333336)</f>
        <v>41810.64583</v>
      </c>
      <c r="C80" s="2">
        <f>IFERROR(__xludf.DUMMYFUNCTION("""COMPUTED_VALUE"""),560.0)</f>
        <v>560</v>
      </c>
    </row>
    <row r="81" ht="15.75" customHeight="1">
      <c r="B81" s="3">
        <f>IFERROR(__xludf.DUMMYFUNCTION("""COMPUTED_VALUE"""),41817.645833333336)</f>
        <v>41817.64583</v>
      </c>
      <c r="C81" s="2">
        <f>IFERROR(__xludf.DUMMYFUNCTION("""COMPUTED_VALUE"""),582.0)</f>
        <v>582</v>
      </c>
    </row>
    <row r="82" ht="15.75" customHeight="1">
      <c r="B82" s="3">
        <f>IFERROR(__xludf.DUMMYFUNCTION("""COMPUTED_VALUE"""),41824.645833333336)</f>
        <v>41824.64583</v>
      </c>
      <c r="C82" s="2">
        <f>IFERROR(__xludf.DUMMYFUNCTION("""COMPUTED_VALUE"""),587.0)</f>
        <v>587</v>
      </c>
    </row>
    <row r="83" ht="15.75" customHeight="1">
      <c r="B83" s="3">
        <f>IFERROR(__xludf.DUMMYFUNCTION("""COMPUTED_VALUE"""),41831.645833333336)</f>
        <v>41831.64583</v>
      </c>
      <c r="C83" s="2">
        <f>IFERROR(__xludf.DUMMYFUNCTION("""COMPUTED_VALUE"""),571.0)</f>
        <v>571</v>
      </c>
    </row>
    <row r="84" ht="15.75" customHeight="1">
      <c r="B84" s="3">
        <f>IFERROR(__xludf.DUMMYFUNCTION("""COMPUTED_VALUE"""),41838.645833333336)</f>
        <v>41838.64583</v>
      </c>
      <c r="C84" s="2">
        <f>IFERROR(__xludf.DUMMYFUNCTION("""COMPUTED_VALUE"""),545.9)</f>
        <v>545.9</v>
      </c>
    </row>
    <row r="85" ht="15.75" customHeight="1">
      <c r="B85" s="3">
        <f>IFERROR(__xludf.DUMMYFUNCTION("""COMPUTED_VALUE"""),41845.645833333336)</f>
        <v>41845.64583</v>
      </c>
      <c r="C85" s="2">
        <f>IFERROR(__xludf.DUMMYFUNCTION("""COMPUTED_VALUE"""),568.75)</f>
        <v>568.75</v>
      </c>
    </row>
    <row r="86" ht="15.75" customHeight="1">
      <c r="B86" s="3">
        <f>IFERROR(__xludf.DUMMYFUNCTION("""COMPUTED_VALUE"""),41852.645833333336)</f>
        <v>41852.64583</v>
      </c>
      <c r="C86" s="2">
        <f>IFERROR(__xludf.DUMMYFUNCTION("""COMPUTED_VALUE"""),572.0)</f>
        <v>572</v>
      </c>
    </row>
    <row r="87" ht="15.75" customHeight="1">
      <c r="B87" s="3">
        <f>IFERROR(__xludf.DUMMYFUNCTION("""COMPUTED_VALUE"""),41859.645833333336)</f>
        <v>41859.64583</v>
      </c>
      <c r="C87" s="2">
        <f>IFERROR(__xludf.DUMMYFUNCTION("""COMPUTED_VALUE"""),560.0)</f>
        <v>560</v>
      </c>
    </row>
    <row r="88" ht="15.75" customHeight="1">
      <c r="B88" s="3">
        <f>IFERROR(__xludf.DUMMYFUNCTION("""COMPUTED_VALUE"""),41865.645833333336)</f>
        <v>41865.64583</v>
      </c>
      <c r="C88" s="2">
        <f>IFERROR(__xludf.DUMMYFUNCTION("""COMPUTED_VALUE"""),550.2)</f>
        <v>550.2</v>
      </c>
    </row>
    <row r="89" ht="15.75" customHeight="1">
      <c r="B89" s="3">
        <f>IFERROR(__xludf.DUMMYFUNCTION("""COMPUTED_VALUE"""),41873.645833333336)</f>
        <v>41873.64583</v>
      </c>
      <c r="C89" s="2">
        <f>IFERROR(__xludf.DUMMYFUNCTION("""COMPUTED_VALUE"""),574.75)</f>
        <v>574.75</v>
      </c>
    </row>
    <row r="90" ht="15.75" customHeight="1">
      <c r="B90" s="3">
        <f>IFERROR(__xludf.DUMMYFUNCTION("""COMPUTED_VALUE"""),41879.645833333336)</f>
        <v>41879.64583</v>
      </c>
      <c r="C90" s="2">
        <f>IFERROR(__xludf.DUMMYFUNCTION("""COMPUTED_VALUE"""),587.9)</f>
        <v>587.9</v>
      </c>
    </row>
    <row r="91" ht="15.75" customHeight="1">
      <c r="B91" s="3">
        <f>IFERROR(__xludf.DUMMYFUNCTION("""COMPUTED_VALUE"""),41887.645833333336)</f>
        <v>41887.64583</v>
      </c>
      <c r="C91" s="2">
        <f>IFERROR(__xludf.DUMMYFUNCTION("""COMPUTED_VALUE"""),622.4)</f>
        <v>622.4</v>
      </c>
    </row>
    <row r="92" ht="15.75" customHeight="1">
      <c r="B92" s="3">
        <f>IFERROR(__xludf.DUMMYFUNCTION("""COMPUTED_VALUE"""),41894.645833333336)</f>
        <v>41894.64583</v>
      </c>
      <c r="C92" s="2">
        <f>IFERROR(__xludf.DUMMYFUNCTION("""COMPUTED_VALUE"""),642.5)</f>
        <v>642.5</v>
      </c>
    </row>
    <row r="93" ht="15.75" customHeight="1">
      <c r="B93" s="3">
        <f>IFERROR(__xludf.DUMMYFUNCTION("""COMPUTED_VALUE"""),41901.645833333336)</f>
        <v>41901.64583</v>
      </c>
      <c r="C93" s="2">
        <f>IFERROR(__xludf.DUMMYFUNCTION("""COMPUTED_VALUE"""),637.45)</f>
        <v>637.45</v>
      </c>
    </row>
    <row r="94" ht="15.75" customHeight="1">
      <c r="B94" s="3">
        <f>IFERROR(__xludf.DUMMYFUNCTION("""COMPUTED_VALUE"""),41908.645833333336)</f>
        <v>41908.64583</v>
      </c>
      <c r="C94" s="2">
        <f>IFERROR(__xludf.DUMMYFUNCTION("""COMPUTED_VALUE"""),646.95)</f>
        <v>646.95</v>
      </c>
    </row>
    <row r="95" ht="15.75" customHeight="1">
      <c r="B95" s="3">
        <f>IFERROR(__xludf.DUMMYFUNCTION("""COMPUTED_VALUE"""),41913.645833333336)</f>
        <v>41913.64583</v>
      </c>
      <c r="C95" s="2">
        <f>IFERROR(__xludf.DUMMYFUNCTION("""COMPUTED_VALUE"""),631.9)</f>
        <v>631.9</v>
      </c>
    </row>
    <row r="96" ht="15.75" customHeight="1">
      <c r="B96" s="3">
        <f>IFERROR(__xludf.DUMMYFUNCTION("""COMPUTED_VALUE"""),41922.645833333336)</f>
        <v>41922.64583</v>
      </c>
      <c r="C96" s="2">
        <f>IFERROR(__xludf.DUMMYFUNCTION("""COMPUTED_VALUE"""),631.55)</f>
        <v>631.55</v>
      </c>
    </row>
    <row r="97" ht="15.75" customHeight="1">
      <c r="B97" s="3">
        <f>IFERROR(__xludf.DUMMYFUNCTION("""COMPUTED_VALUE"""),41929.645833333336)</f>
        <v>41929.64583</v>
      </c>
      <c r="C97" s="2">
        <f>IFERROR(__xludf.DUMMYFUNCTION("""COMPUTED_VALUE"""),666.9)</f>
        <v>666.9</v>
      </c>
    </row>
    <row r="98" ht="15.75" customHeight="1">
      <c r="B98" s="3">
        <f>IFERROR(__xludf.DUMMYFUNCTION("""COMPUTED_VALUE"""),41935.645833333336)</f>
        <v>41935.64583</v>
      </c>
      <c r="C98" s="2">
        <f>IFERROR(__xludf.DUMMYFUNCTION("""COMPUTED_VALUE"""),690.0)</f>
        <v>690</v>
      </c>
    </row>
    <row r="99" ht="15.75" customHeight="1">
      <c r="B99" s="3">
        <f>IFERROR(__xludf.DUMMYFUNCTION("""COMPUTED_VALUE"""),41943.645833333336)</f>
        <v>41943.64583</v>
      </c>
      <c r="C99" s="2">
        <f>IFERROR(__xludf.DUMMYFUNCTION("""COMPUTED_VALUE"""),722.0)</f>
        <v>722</v>
      </c>
    </row>
    <row r="100" ht="15.75" customHeight="1">
      <c r="B100" s="3">
        <f>IFERROR(__xludf.DUMMYFUNCTION("""COMPUTED_VALUE"""),41950.645833333336)</f>
        <v>41950.64583</v>
      </c>
      <c r="C100" s="2">
        <f>IFERROR(__xludf.DUMMYFUNCTION("""COMPUTED_VALUE"""),731.55)</f>
        <v>731.55</v>
      </c>
    </row>
    <row r="101" ht="15.75" customHeight="1">
      <c r="B101" s="3">
        <f>IFERROR(__xludf.DUMMYFUNCTION("""COMPUTED_VALUE"""),41957.64583333333)</f>
        <v>41957.64583</v>
      </c>
      <c r="C101" s="2">
        <f>IFERROR(__xludf.DUMMYFUNCTION("""COMPUTED_VALUE"""),736.35)</f>
        <v>736.35</v>
      </c>
    </row>
    <row r="102" ht="15.75" customHeight="1">
      <c r="B102" s="3">
        <f>IFERROR(__xludf.DUMMYFUNCTION("""COMPUTED_VALUE"""),41964.64583333333)</f>
        <v>41964.64583</v>
      </c>
      <c r="C102" s="2">
        <f>IFERROR(__xludf.DUMMYFUNCTION("""COMPUTED_VALUE"""),733.75)</f>
        <v>733.75</v>
      </c>
    </row>
    <row r="103" ht="15.75" customHeight="1">
      <c r="B103" s="3">
        <f>IFERROR(__xludf.DUMMYFUNCTION("""COMPUTED_VALUE"""),41971.64583333333)</f>
        <v>41971.64583</v>
      </c>
      <c r="C103" s="2">
        <f>IFERROR(__xludf.DUMMYFUNCTION("""COMPUTED_VALUE"""),759.8)</f>
        <v>759.8</v>
      </c>
    </row>
    <row r="104" ht="15.75" customHeight="1">
      <c r="B104" s="3">
        <f>IFERROR(__xludf.DUMMYFUNCTION("""COMPUTED_VALUE"""),41978.64583333333)</f>
        <v>41978.64583</v>
      </c>
      <c r="C104" s="2">
        <f>IFERROR(__xludf.DUMMYFUNCTION("""COMPUTED_VALUE"""),795.3)</f>
        <v>795.3</v>
      </c>
    </row>
    <row r="105" ht="15.75" customHeight="1">
      <c r="B105" s="3">
        <f>IFERROR(__xludf.DUMMYFUNCTION("""COMPUTED_VALUE"""),41985.64583333333)</f>
        <v>41985.64583</v>
      </c>
      <c r="C105" s="2">
        <f>IFERROR(__xludf.DUMMYFUNCTION("""COMPUTED_VALUE"""),789.5)</f>
        <v>789.5</v>
      </c>
    </row>
    <row r="106" ht="15.75" customHeight="1">
      <c r="B106" s="3">
        <f>IFERROR(__xludf.DUMMYFUNCTION("""COMPUTED_VALUE"""),41992.64583333333)</f>
        <v>41992.64583</v>
      </c>
      <c r="C106" s="2">
        <f>IFERROR(__xludf.DUMMYFUNCTION("""COMPUTED_VALUE"""),799.25)</f>
        <v>799.25</v>
      </c>
    </row>
    <row r="107" ht="15.75" customHeight="1">
      <c r="B107" s="3">
        <f>IFERROR(__xludf.DUMMYFUNCTION("""COMPUTED_VALUE"""),41999.64583333333)</f>
        <v>41999.64583</v>
      </c>
      <c r="C107" s="2">
        <f>IFERROR(__xludf.DUMMYFUNCTION("""COMPUTED_VALUE"""),793.8)</f>
        <v>793.8</v>
      </c>
    </row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IFERROR(__xludf.DUMMYFUNCTION("GOOGLEFINANCE(""NSE:INDUSINDBK"", ""high"",DATE(2015,1,1),DATE(2016,1,1),""weekly"")"),"Date")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IFERROR(__xludf.DUMMYFUNCTION("""COMPUTED_VALUE"""),42006.64583333333)</f>
        <v>42006.64583</v>
      </c>
      <c r="C112" s="2">
        <f>IFERROR(__xludf.DUMMYFUNCTION("""COMPUTED_VALUE"""),823.35)</f>
        <v>823.35</v>
      </c>
    </row>
    <row r="113" ht="15.75" customHeight="1">
      <c r="B113" s="3">
        <f>IFERROR(__xludf.DUMMYFUNCTION("""COMPUTED_VALUE"""),42013.64583333333)</f>
        <v>42013.64583</v>
      </c>
      <c r="C113" s="2">
        <f>IFERROR(__xludf.DUMMYFUNCTION("""COMPUTED_VALUE"""),821.8)</f>
        <v>821.8</v>
      </c>
    </row>
    <row r="114" ht="15.75" customHeight="1">
      <c r="B114" s="3">
        <f>IFERROR(__xludf.DUMMYFUNCTION("""COMPUTED_VALUE"""),42020.64583333333)</f>
        <v>42020.64583</v>
      </c>
      <c r="C114" s="2">
        <f>IFERROR(__xludf.DUMMYFUNCTION("""COMPUTED_VALUE"""),849.15)</f>
        <v>849.15</v>
      </c>
    </row>
    <row r="115" ht="15.75" customHeight="1">
      <c r="B115" s="3">
        <f>IFERROR(__xludf.DUMMYFUNCTION("""COMPUTED_VALUE"""),42027.64583333333)</f>
        <v>42027.64583</v>
      </c>
      <c r="C115" s="2">
        <f>IFERROR(__xludf.DUMMYFUNCTION("""COMPUTED_VALUE"""),863.95)</f>
        <v>863.95</v>
      </c>
    </row>
    <row r="116" ht="15.75" customHeight="1">
      <c r="B116" s="3">
        <f>IFERROR(__xludf.DUMMYFUNCTION("""COMPUTED_VALUE"""),42034.64583333333)</f>
        <v>42034.64583</v>
      </c>
      <c r="C116" s="2">
        <f>IFERROR(__xludf.DUMMYFUNCTION("""COMPUTED_VALUE"""),884.8)</f>
        <v>884.8</v>
      </c>
    </row>
    <row r="117" ht="15.75" customHeight="1">
      <c r="B117" s="3">
        <f>IFERROR(__xludf.DUMMYFUNCTION("""COMPUTED_VALUE"""),42041.64583333333)</f>
        <v>42041.64583</v>
      </c>
      <c r="C117" s="2">
        <f>IFERROR(__xludf.DUMMYFUNCTION("""COMPUTED_VALUE"""),889.8)</f>
        <v>889.8</v>
      </c>
    </row>
    <row r="118" ht="15.75" customHeight="1">
      <c r="B118" s="3">
        <f>IFERROR(__xludf.DUMMYFUNCTION("""COMPUTED_VALUE"""),42048.64583333333)</f>
        <v>42048.64583</v>
      </c>
      <c r="C118" s="2">
        <f>IFERROR(__xludf.DUMMYFUNCTION("""COMPUTED_VALUE"""),877.65)</f>
        <v>877.65</v>
      </c>
    </row>
    <row r="119" ht="15.75" customHeight="1">
      <c r="B119" s="3">
        <f>IFERROR(__xludf.DUMMYFUNCTION("""COMPUTED_VALUE"""),42055.64583333333)</f>
        <v>42055.64583</v>
      </c>
      <c r="C119" s="2">
        <f>IFERROR(__xludf.DUMMYFUNCTION("""COMPUTED_VALUE"""),881.4)</f>
        <v>881.4</v>
      </c>
    </row>
    <row r="120" ht="15.75" customHeight="1">
      <c r="B120" s="3">
        <f>IFERROR(__xludf.DUMMYFUNCTION("""COMPUTED_VALUE"""),42068.64583333333)</f>
        <v>42068.64583</v>
      </c>
      <c r="C120" s="2">
        <f>IFERROR(__xludf.DUMMYFUNCTION("""COMPUTED_VALUE"""),962.55)</f>
        <v>962.55</v>
      </c>
    </row>
    <row r="121" ht="15.75" customHeight="1">
      <c r="B121" s="3">
        <f>IFERROR(__xludf.DUMMYFUNCTION("""COMPUTED_VALUE"""),42076.64583333333)</f>
        <v>42076.64583</v>
      </c>
      <c r="C121" s="2">
        <f>IFERROR(__xludf.DUMMYFUNCTION("""COMPUTED_VALUE"""),913.55)</f>
        <v>913.55</v>
      </c>
    </row>
    <row r="122" ht="15.75" customHeight="1">
      <c r="B122" s="3">
        <f>IFERROR(__xludf.DUMMYFUNCTION("""COMPUTED_VALUE"""),42083.64583333333)</f>
        <v>42083.64583</v>
      </c>
      <c r="C122" s="2">
        <f>IFERROR(__xludf.DUMMYFUNCTION("""COMPUTED_VALUE"""),920.9)</f>
        <v>920.9</v>
      </c>
    </row>
    <row r="123" ht="15.75" customHeight="1">
      <c r="B123" s="3">
        <f>IFERROR(__xludf.DUMMYFUNCTION("""COMPUTED_VALUE"""),42090.64583333333)</f>
        <v>42090.64583</v>
      </c>
      <c r="C123" s="2">
        <f>IFERROR(__xludf.DUMMYFUNCTION("""COMPUTED_VALUE"""),896.45)</f>
        <v>896.45</v>
      </c>
    </row>
    <row r="124" ht="15.75" customHeight="1">
      <c r="B124" s="3">
        <f>IFERROR(__xludf.DUMMYFUNCTION("""COMPUTED_VALUE"""),42095.64583333333)</f>
        <v>42095.64583</v>
      </c>
      <c r="C124" s="2">
        <f>IFERROR(__xludf.DUMMYFUNCTION("""COMPUTED_VALUE"""),928.65)</f>
        <v>928.65</v>
      </c>
    </row>
    <row r="125" ht="15.75" customHeight="1">
      <c r="B125" s="3">
        <f>IFERROR(__xludf.DUMMYFUNCTION("""COMPUTED_VALUE"""),42104.64583333333)</f>
        <v>42104.64583</v>
      </c>
      <c r="C125" s="2">
        <f>IFERROR(__xludf.DUMMYFUNCTION("""COMPUTED_VALUE"""),951.45)</f>
        <v>951.45</v>
      </c>
    </row>
    <row r="126" ht="15.75" customHeight="1">
      <c r="B126" s="3">
        <f>IFERROR(__xludf.DUMMYFUNCTION("""COMPUTED_VALUE"""),42111.64583333333)</f>
        <v>42111.64583</v>
      </c>
      <c r="C126" s="2">
        <f>IFERROR(__xludf.DUMMYFUNCTION("""COMPUTED_VALUE"""),967.0)</f>
        <v>967</v>
      </c>
    </row>
    <row r="127" ht="15.75" customHeight="1">
      <c r="B127" s="3">
        <f>IFERROR(__xludf.DUMMYFUNCTION("""COMPUTED_VALUE"""),42118.64583333333)</f>
        <v>42118.64583</v>
      </c>
      <c r="C127" s="2">
        <f>IFERROR(__xludf.DUMMYFUNCTION("""COMPUTED_VALUE"""),881.25)</f>
        <v>881.25</v>
      </c>
    </row>
    <row r="128" ht="15.75" customHeight="1">
      <c r="B128" s="3">
        <f>IFERROR(__xludf.DUMMYFUNCTION("""COMPUTED_VALUE"""),42124.64583333333)</f>
        <v>42124.64583</v>
      </c>
      <c r="C128" s="2">
        <f>IFERROR(__xludf.DUMMYFUNCTION("""COMPUTED_VALUE"""),842.0)</f>
        <v>842</v>
      </c>
    </row>
    <row r="129" ht="15.75" customHeight="1">
      <c r="B129" s="3">
        <f>IFERROR(__xludf.DUMMYFUNCTION("""COMPUTED_VALUE"""),42132.64583333333)</f>
        <v>42132.64583</v>
      </c>
      <c r="C129" s="2">
        <f>IFERROR(__xludf.DUMMYFUNCTION("""COMPUTED_VALUE"""),849.5)</f>
        <v>849.5</v>
      </c>
    </row>
    <row r="130" ht="15.75" customHeight="1">
      <c r="B130" s="3">
        <f>IFERROR(__xludf.DUMMYFUNCTION("""COMPUTED_VALUE"""),42139.64583333333)</f>
        <v>42139.64583</v>
      </c>
      <c r="C130" s="2">
        <f>IFERROR(__xludf.DUMMYFUNCTION("""COMPUTED_VALUE"""),841.3)</f>
        <v>841.3</v>
      </c>
    </row>
    <row r="131" ht="15.75" customHeight="1">
      <c r="B131" s="3">
        <f>IFERROR(__xludf.DUMMYFUNCTION("""COMPUTED_VALUE"""),42146.64583333333)</f>
        <v>42146.64583</v>
      </c>
      <c r="C131" s="2">
        <f>IFERROR(__xludf.DUMMYFUNCTION("""COMPUTED_VALUE"""),861.65)</f>
        <v>861.65</v>
      </c>
    </row>
    <row r="132" ht="15.75" customHeight="1">
      <c r="B132" s="3">
        <f>IFERROR(__xludf.DUMMYFUNCTION("""COMPUTED_VALUE"""),42153.64583333333)</f>
        <v>42153.64583</v>
      </c>
      <c r="C132" s="2">
        <f>IFERROR(__xludf.DUMMYFUNCTION("""COMPUTED_VALUE"""),880.0)</f>
        <v>880</v>
      </c>
    </row>
    <row r="133" ht="15.75" customHeight="1">
      <c r="B133" s="3">
        <f>IFERROR(__xludf.DUMMYFUNCTION("""COMPUTED_VALUE"""),42160.64583333333)</f>
        <v>42160.64583</v>
      </c>
      <c r="C133" s="2">
        <f>IFERROR(__xludf.DUMMYFUNCTION("""COMPUTED_VALUE"""),885.0)</f>
        <v>885</v>
      </c>
    </row>
    <row r="134" ht="15.75" customHeight="1">
      <c r="B134" s="3">
        <f>IFERROR(__xludf.DUMMYFUNCTION("""COMPUTED_VALUE"""),42167.64583333333)</f>
        <v>42167.64583</v>
      </c>
      <c r="C134" s="2">
        <f>IFERROR(__xludf.DUMMYFUNCTION("""COMPUTED_VALUE"""),830.7)</f>
        <v>830.7</v>
      </c>
    </row>
    <row r="135" ht="15.75" customHeight="1">
      <c r="B135" s="3">
        <f>IFERROR(__xludf.DUMMYFUNCTION("""COMPUTED_VALUE"""),42174.64583333333)</f>
        <v>42174.64583</v>
      </c>
      <c r="C135" s="2">
        <f>IFERROR(__xludf.DUMMYFUNCTION("""COMPUTED_VALUE"""),837.3)</f>
        <v>837.3</v>
      </c>
    </row>
    <row r="136" ht="15.75" customHeight="1">
      <c r="B136" s="3">
        <f>IFERROR(__xludf.DUMMYFUNCTION("""COMPUTED_VALUE"""),42181.64583333333)</f>
        <v>42181.64583</v>
      </c>
      <c r="C136" s="2">
        <f>IFERROR(__xludf.DUMMYFUNCTION("""COMPUTED_VALUE"""),885.45)</f>
        <v>885.45</v>
      </c>
    </row>
    <row r="137" ht="15.75" customHeight="1">
      <c r="B137" s="3">
        <f>IFERROR(__xludf.DUMMYFUNCTION("""COMPUTED_VALUE"""),42188.64583333333)</f>
        <v>42188.64583</v>
      </c>
      <c r="C137" s="2">
        <f>IFERROR(__xludf.DUMMYFUNCTION("""COMPUTED_VALUE"""),900.55)</f>
        <v>900.55</v>
      </c>
    </row>
    <row r="138" ht="15.75" customHeight="1">
      <c r="B138" s="3">
        <f>IFERROR(__xludf.DUMMYFUNCTION("""COMPUTED_VALUE"""),42195.64583333333)</f>
        <v>42195.64583</v>
      </c>
      <c r="C138" s="2">
        <f>IFERROR(__xludf.DUMMYFUNCTION("""COMPUTED_VALUE"""),912.0)</f>
        <v>912</v>
      </c>
    </row>
    <row r="139" ht="15.75" customHeight="1">
      <c r="B139" s="3">
        <f>IFERROR(__xludf.DUMMYFUNCTION("""COMPUTED_VALUE"""),42202.64583333333)</f>
        <v>42202.64583</v>
      </c>
      <c r="C139" s="2">
        <f>IFERROR(__xludf.DUMMYFUNCTION("""COMPUTED_VALUE"""),938.75)</f>
        <v>938.75</v>
      </c>
    </row>
    <row r="140" ht="15.75" customHeight="1">
      <c r="B140" s="3">
        <f>IFERROR(__xludf.DUMMYFUNCTION("""COMPUTED_VALUE"""),42209.64583333333)</f>
        <v>42209.64583</v>
      </c>
      <c r="C140" s="2">
        <f>IFERROR(__xludf.DUMMYFUNCTION("""COMPUTED_VALUE"""),966.5)</f>
        <v>966.5</v>
      </c>
    </row>
    <row r="141" ht="15.75" customHeight="1">
      <c r="B141" s="3">
        <f>IFERROR(__xludf.DUMMYFUNCTION("""COMPUTED_VALUE"""),42216.64583333333)</f>
        <v>42216.64583</v>
      </c>
      <c r="C141" s="2">
        <f>IFERROR(__xludf.DUMMYFUNCTION("""COMPUTED_VALUE"""),989.3)</f>
        <v>989.3</v>
      </c>
    </row>
    <row r="142" ht="15.75" customHeight="1">
      <c r="B142" s="3">
        <f>IFERROR(__xludf.DUMMYFUNCTION("""COMPUTED_VALUE"""),42223.64583333333)</f>
        <v>42223.64583</v>
      </c>
      <c r="C142" s="2">
        <f>IFERROR(__xludf.DUMMYFUNCTION("""COMPUTED_VALUE"""),986.0)</f>
        <v>986</v>
      </c>
    </row>
    <row r="143" ht="15.75" customHeight="1">
      <c r="B143" s="3">
        <f>IFERROR(__xludf.DUMMYFUNCTION("""COMPUTED_VALUE"""),42230.64583333333)</f>
        <v>42230.64583</v>
      </c>
      <c r="C143" s="2">
        <f>IFERROR(__xludf.DUMMYFUNCTION("""COMPUTED_VALUE"""),963.5)</f>
        <v>963.5</v>
      </c>
    </row>
    <row r="144" ht="15.75" customHeight="1">
      <c r="B144" s="3">
        <f>IFERROR(__xludf.DUMMYFUNCTION("""COMPUTED_VALUE"""),42237.64583333333)</f>
        <v>42237.64583</v>
      </c>
      <c r="C144" s="2">
        <f>IFERROR(__xludf.DUMMYFUNCTION("""COMPUTED_VALUE"""),971.5)</f>
        <v>971.5</v>
      </c>
    </row>
    <row r="145" ht="15.75" customHeight="1">
      <c r="B145" s="3">
        <f>IFERROR(__xludf.DUMMYFUNCTION("""COMPUTED_VALUE"""),42244.64583333333)</f>
        <v>42244.64583</v>
      </c>
      <c r="C145" s="2">
        <f>IFERROR(__xludf.DUMMYFUNCTION("""COMPUTED_VALUE"""),884.0)</f>
        <v>884</v>
      </c>
    </row>
    <row r="146" ht="15.75" customHeight="1">
      <c r="B146" s="3">
        <f>IFERROR(__xludf.DUMMYFUNCTION("""COMPUTED_VALUE"""),42251.64583333333)</f>
        <v>42251.64583</v>
      </c>
      <c r="C146" s="2">
        <f>IFERROR(__xludf.DUMMYFUNCTION("""COMPUTED_VALUE"""),865.0)</f>
        <v>865</v>
      </c>
    </row>
    <row r="147" ht="15.75" customHeight="1">
      <c r="B147" s="3">
        <f>IFERROR(__xludf.DUMMYFUNCTION("""COMPUTED_VALUE"""),42258.64583333333)</f>
        <v>42258.64583</v>
      </c>
      <c r="C147" s="2">
        <f>IFERROR(__xludf.DUMMYFUNCTION("""COMPUTED_VALUE"""),885.9)</f>
        <v>885.9</v>
      </c>
    </row>
    <row r="148" ht="15.75" customHeight="1">
      <c r="B148" s="3">
        <f>IFERROR(__xludf.DUMMYFUNCTION("""COMPUTED_VALUE"""),42265.64583333333)</f>
        <v>42265.64583</v>
      </c>
      <c r="C148" s="2">
        <f>IFERROR(__xludf.DUMMYFUNCTION("""COMPUTED_VALUE"""),930.5)</f>
        <v>930.5</v>
      </c>
    </row>
    <row r="149" ht="15.75" customHeight="1">
      <c r="B149" s="3">
        <f>IFERROR(__xludf.DUMMYFUNCTION("""COMPUTED_VALUE"""),42271.64583333333)</f>
        <v>42271.64583</v>
      </c>
      <c r="C149" s="2">
        <f>IFERROR(__xludf.DUMMYFUNCTION("""COMPUTED_VALUE"""),932.1)</f>
        <v>932.1</v>
      </c>
    </row>
    <row r="150" ht="15.75" customHeight="1">
      <c r="B150" s="3">
        <f>IFERROR(__xludf.DUMMYFUNCTION("""COMPUTED_VALUE"""),42278.64583333333)</f>
        <v>42278.64583</v>
      </c>
      <c r="C150" s="2">
        <f>IFERROR(__xludf.DUMMYFUNCTION("""COMPUTED_VALUE"""),963.25)</f>
        <v>963.25</v>
      </c>
    </row>
    <row r="151" ht="15.75" customHeight="1">
      <c r="B151" s="3">
        <f>IFERROR(__xludf.DUMMYFUNCTION("""COMPUTED_VALUE"""),42286.64583333333)</f>
        <v>42286.64583</v>
      </c>
      <c r="C151" s="2">
        <f>IFERROR(__xludf.DUMMYFUNCTION("""COMPUTED_VALUE"""),969.9)</f>
        <v>969.9</v>
      </c>
    </row>
    <row r="152" ht="15.75" customHeight="1">
      <c r="B152" s="3">
        <f>IFERROR(__xludf.DUMMYFUNCTION("""COMPUTED_VALUE"""),42293.64583333333)</f>
        <v>42293.64583</v>
      </c>
      <c r="C152" s="2">
        <f>IFERROR(__xludf.DUMMYFUNCTION("""COMPUTED_VALUE"""),966.0)</f>
        <v>966</v>
      </c>
    </row>
    <row r="153" ht="15.75" customHeight="1">
      <c r="B153" s="3">
        <f>IFERROR(__xludf.DUMMYFUNCTION("""COMPUTED_VALUE"""),42300.64583333333)</f>
        <v>42300.64583</v>
      </c>
      <c r="C153" s="2">
        <f>IFERROR(__xludf.DUMMYFUNCTION("""COMPUTED_VALUE"""),973.35)</f>
        <v>973.35</v>
      </c>
    </row>
    <row r="154" ht="15.75" customHeight="1">
      <c r="B154" s="3">
        <f>IFERROR(__xludf.DUMMYFUNCTION("""COMPUTED_VALUE"""),42307.64583333333)</f>
        <v>42307.64583</v>
      </c>
      <c r="C154" s="2">
        <f>IFERROR(__xludf.DUMMYFUNCTION("""COMPUTED_VALUE"""),964.9)</f>
        <v>964.9</v>
      </c>
    </row>
    <row r="155" ht="15.75" customHeight="1">
      <c r="B155" s="3">
        <f>IFERROR(__xludf.DUMMYFUNCTION("""COMPUTED_VALUE"""),42314.64583333333)</f>
        <v>42314.64583</v>
      </c>
      <c r="C155" s="2">
        <f>IFERROR(__xludf.DUMMYFUNCTION("""COMPUTED_VALUE"""),924.0)</f>
        <v>924</v>
      </c>
    </row>
    <row r="156" ht="15.75" customHeight="1">
      <c r="B156" s="3">
        <f>IFERROR(__xludf.DUMMYFUNCTION("""COMPUTED_VALUE"""),42321.64583333333)</f>
        <v>42321.64583</v>
      </c>
      <c r="C156" s="2">
        <f>IFERROR(__xludf.DUMMYFUNCTION("""COMPUTED_VALUE"""),925.6)</f>
        <v>925.6</v>
      </c>
    </row>
    <row r="157" ht="15.75" customHeight="1">
      <c r="B157" s="3">
        <f>IFERROR(__xludf.DUMMYFUNCTION("""COMPUTED_VALUE"""),42328.64583333333)</f>
        <v>42328.64583</v>
      </c>
      <c r="C157" s="2">
        <f>IFERROR(__xludf.DUMMYFUNCTION("""COMPUTED_VALUE"""),931.5)</f>
        <v>931.5</v>
      </c>
    </row>
    <row r="158" ht="15.75" customHeight="1">
      <c r="B158" s="3">
        <f>IFERROR(__xludf.DUMMYFUNCTION("""COMPUTED_VALUE"""),42335.64583333333)</f>
        <v>42335.64583</v>
      </c>
      <c r="C158" s="2">
        <f>IFERROR(__xludf.DUMMYFUNCTION("""COMPUTED_VALUE"""),929.95)</f>
        <v>929.95</v>
      </c>
    </row>
    <row r="159" ht="15.75" customHeight="1">
      <c r="B159" s="3">
        <f>IFERROR(__xludf.DUMMYFUNCTION("""COMPUTED_VALUE"""),42342.64583333333)</f>
        <v>42342.64583</v>
      </c>
      <c r="C159" s="2">
        <f>IFERROR(__xludf.DUMMYFUNCTION("""COMPUTED_VALUE"""),949.5)</f>
        <v>949.5</v>
      </c>
    </row>
    <row r="160" ht="15.75" customHeight="1">
      <c r="B160" s="3">
        <f>IFERROR(__xludf.DUMMYFUNCTION("""COMPUTED_VALUE"""),42349.64583333333)</f>
        <v>42349.64583</v>
      </c>
      <c r="C160" s="2">
        <f>IFERROR(__xludf.DUMMYFUNCTION("""COMPUTED_VALUE"""),957.35)</f>
        <v>957.35</v>
      </c>
    </row>
    <row r="161" ht="15.75" customHeight="1">
      <c r="B161" s="3">
        <f>IFERROR(__xludf.DUMMYFUNCTION("""COMPUTED_VALUE"""),42356.64583333333)</f>
        <v>42356.64583</v>
      </c>
      <c r="C161" s="2">
        <f>IFERROR(__xludf.DUMMYFUNCTION("""COMPUTED_VALUE"""),951.8)</f>
        <v>951.8</v>
      </c>
    </row>
    <row r="162" ht="15.75" customHeight="1">
      <c r="B162" s="3">
        <f>IFERROR(__xludf.DUMMYFUNCTION("""COMPUTED_VALUE"""),42362.64583333333)</f>
        <v>42362.64583</v>
      </c>
      <c r="C162" s="2">
        <f>IFERROR(__xludf.DUMMYFUNCTION("""COMPUTED_VALUE"""),952.75)</f>
        <v>952.75</v>
      </c>
    </row>
    <row r="163" ht="15.75" customHeight="1">
      <c r="B163" s="3">
        <f>IFERROR(__xludf.DUMMYFUNCTION("""COMPUTED_VALUE"""),42370.64583333333)</f>
        <v>42370.64583</v>
      </c>
      <c r="C163" s="2">
        <f>IFERROR(__xludf.DUMMYFUNCTION("""COMPUTED_VALUE"""),972.3)</f>
        <v>972.3</v>
      </c>
    </row>
    <row r="164" ht="15.75" customHeight="1"/>
    <row r="165" ht="15.75" customHeight="1"/>
    <row r="166" ht="15.75" customHeight="1">
      <c r="B166" s="2" t="str">
        <f>IFERROR(__xludf.DUMMYFUNCTION("GOOGLEFINANCE(""NSE:INDUSINDBK"", ""high"",DATE(2016,1,1),DATE(2017,1,1),""weekly"")"),"Date")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IFERROR(__xludf.DUMMYFUNCTION("""COMPUTED_VALUE"""),42377.64583333333)</f>
        <v>42377.64583</v>
      </c>
      <c r="C167" s="2">
        <f>IFERROR(__xludf.DUMMYFUNCTION("""COMPUTED_VALUE"""),961.85)</f>
        <v>961.85</v>
      </c>
    </row>
    <row r="168" ht="15.75" customHeight="1">
      <c r="B168" s="3">
        <f>IFERROR(__xludf.DUMMYFUNCTION("""COMPUTED_VALUE"""),42384.64583333333)</f>
        <v>42384.64583</v>
      </c>
      <c r="C168" s="2">
        <f>IFERROR(__xludf.DUMMYFUNCTION("""COMPUTED_VALUE"""),944.75)</f>
        <v>944.75</v>
      </c>
    </row>
    <row r="169" ht="15.75" customHeight="1">
      <c r="B169" s="3">
        <f>IFERROR(__xludf.DUMMYFUNCTION("""COMPUTED_VALUE"""),42391.64583333333)</f>
        <v>42391.64583</v>
      </c>
      <c r="C169" s="2">
        <f>IFERROR(__xludf.DUMMYFUNCTION("""COMPUTED_VALUE"""),960.0)</f>
        <v>960</v>
      </c>
    </row>
    <row r="170" ht="15.75" customHeight="1">
      <c r="B170" s="3">
        <f>IFERROR(__xludf.DUMMYFUNCTION("""COMPUTED_VALUE"""),42398.64583333333)</f>
        <v>42398.64583</v>
      </c>
      <c r="C170" s="2">
        <f>IFERROR(__xludf.DUMMYFUNCTION("""COMPUTED_VALUE"""),935.0)</f>
        <v>935</v>
      </c>
    </row>
    <row r="171" ht="15.75" customHeight="1">
      <c r="B171" s="3">
        <f>IFERROR(__xludf.DUMMYFUNCTION("""COMPUTED_VALUE"""),42405.64583333333)</f>
        <v>42405.64583</v>
      </c>
      <c r="C171" s="2">
        <f>IFERROR(__xludf.DUMMYFUNCTION("""COMPUTED_VALUE"""),939.6)</f>
        <v>939.6</v>
      </c>
    </row>
    <row r="172" ht="15.75" customHeight="1">
      <c r="B172" s="3">
        <f>IFERROR(__xludf.DUMMYFUNCTION("""COMPUTED_VALUE"""),42412.64583333333)</f>
        <v>42412.64583</v>
      </c>
      <c r="C172" s="2">
        <f>IFERROR(__xludf.DUMMYFUNCTION("""COMPUTED_VALUE"""),910.65)</f>
        <v>910.65</v>
      </c>
    </row>
    <row r="173" ht="15.75" customHeight="1">
      <c r="B173" s="3">
        <f>IFERROR(__xludf.DUMMYFUNCTION("""COMPUTED_VALUE"""),42419.64583333333)</f>
        <v>42419.64583</v>
      </c>
      <c r="C173" s="2">
        <f>IFERROR(__xludf.DUMMYFUNCTION("""COMPUTED_VALUE"""),850.35)</f>
        <v>850.35</v>
      </c>
    </row>
    <row r="174" ht="15.75" customHeight="1">
      <c r="B174" s="3">
        <f>IFERROR(__xludf.DUMMYFUNCTION("""COMPUTED_VALUE"""),42426.64583333333)</f>
        <v>42426.64583</v>
      </c>
      <c r="C174" s="2">
        <f>IFERROR(__xludf.DUMMYFUNCTION("""COMPUTED_VALUE"""),855.45)</f>
        <v>855.45</v>
      </c>
    </row>
    <row r="175" ht="15.75" customHeight="1">
      <c r="B175" s="3">
        <f>IFERROR(__xludf.DUMMYFUNCTION("""COMPUTED_VALUE"""),42433.64583333333)</f>
        <v>42433.64583</v>
      </c>
      <c r="C175" s="2">
        <f>IFERROR(__xludf.DUMMYFUNCTION("""COMPUTED_VALUE"""),921.3)</f>
        <v>921.3</v>
      </c>
    </row>
    <row r="176" ht="15.75" customHeight="1">
      <c r="B176" s="3">
        <f>IFERROR(__xludf.DUMMYFUNCTION("""COMPUTED_VALUE"""),42440.64583333333)</f>
        <v>42440.64583</v>
      </c>
      <c r="C176" s="2">
        <f>IFERROR(__xludf.DUMMYFUNCTION("""COMPUTED_VALUE"""),937.45)</f>
        <v>937.45</v>
      </c>
    </row>
    <row r="177" ht="15.75" customHeight="1">
      <c r="B177" s="3">
        <f>IFERROR(__xludf.DUMMYFUNCTION("""COMPUTED_VALUE"""),42447.64583333333)</f>
        <v>42447.64583</v>
      </c>
      <c r="C177" s="2">
        <f>IFERROR(__xludf.DUMMYFUNCTION("""COMPUTED_VALUE"""),934.75)</f>
        <v>934.75</v>
      </c>
    </row>
    <row r="178" ht="15.75" customHeight="1">
      <c r="B178" s="3">
        <f>IFERROR(__xludf.DUMMYFUNCTION("""COMPUTED_VALUE"""),42452.64583333333)</f>
        <v>42452.64583</v>
      </c>
      <c r="C178" s="2">
        <f>IFERROR(__xludf.DUMMYFUNCTION("""COMPUTED_VALUE"""),937.0)</f>
        <v>937</v>
      </c>
    </row>
    <row r="179" ht="15.75" customHeight="1">
      <c r="B179" s="3">
        <f>IFERROR(__xludf.DUMMYFUNCTION("""COMPUTED_VALUE"""),42461.64583333333)</f>
        <v>42461.64583</v>
      </c>
      <c r="C179" s="2">
        <f>IFERROR(__xludf.DUMMYFUNCTION("""COMPUTED_VALUE"""),970.0)</f>
        <v>970</v>
      </c>
    </row>
    <row r="180" ht="15.75" customHeight="1">
      <c r="B180" s="3">
        <f>IFERROR(__xludf.DUMMYFUNCTION("""COMPUTED_VALUE"""),42468.64583333333)</f>
        <v>42468.64583</v>
      </c>
      <c r="C180" s="2">
        <f>IFERROR(__xludf.DUMMYFUNCTION("""COMPUTED_VALUE"""),970.0)</f>
        <v>970</v>
      </c>
    </row>
    <row r="181" ht="15.75" customHeight="1">
      <c r="B181" s="3">
        <f>IFERROR(__xludf.DUMMYFUNCTION("""COMPUTED_VALUE"""),42473.64583333333)</f>
        <v>42473.64583</v>
      </c>
      <c r="C181" s="2">
        <f>IFERROR(__xludf.DUMMYFUNCTION("""COMPUTED_VALUE"""),994.45)</f>
        <v>994.45</v>
      </c>
    </row>
    <row r="182" ht="15.75" customHeight="1">
      <c r="B182" s="3">
        <f>IFERROR(__xludf.DUMMYFUNCTION("""COMPUTED_VALUE"""),42482.64583333333)</f>
        <v>42482.64583</v>
      </c>
      <c r="C182" s="2">
        <f>IFERROR(__xludf.DUMMYFUNCTION("""COMPUTED_VALUE"""),993.8)</f>
        <v>993.8</v>
      </c>
    </row>
    <row r="183" ht="15.75" customHeight="1">
      <c r="B183" s="3">
        <f>IFERROR(__xludf.DUMMYFUNCTION("""COMPUTED_VALUE"""),42489.64583333333)</f>
        <v>42489.64583</v>
      </c>
      <c r="C183" s="2">
        <f>IFERROR(__xludf.DUMMYFUNCTION("""COMPUTED_VALUE"""),1053.5)</f>
        <v>1053.5</v>
      </c>
    </row>
    <row r="184" ht="15.75" customHeight="1">
      <c r="B184" s="3">
        <f>IFERROR(__xludf.DUMMYFUNCTION("""COMPUTED_VALUE"""),42496.64583333333)</f>
        <v>42496.64583</v>
      </c>
      <c r="C184" s="2">
        <f>IFERROR(__xludf.DUMMYFUNCTION("""COMPUTED_VALUE"""),1057.25)</f>
        <v>1057.25</v>
      </c>
    </row>
    <row r="185" ht="15.75" customHeight="1">
      <c r="B185" s="3">
        <f>IFERROR(__xludf.DUMMYFUNCTION("""COMPUTED_VALUE"""),42503.64583333333)</f>
        <v>42503.64583</v>
      </c>
      <c r="C185" s="2">
        <f>IFERROR(__xludf.DUMMYFUNCTION("""COMPUTED_VALUE"""),1071.4)</f>
        <v>1071.4</v>
      </c>
    </row>
    <row r="186" ht="15.75" customHeight="1">
      <c r="B186" s="3">
        <f>IFERROR(__xludf.DUMMYFUNCTION("""COMPUTED_VALUE"""),42510.64583333333)</f>
        <v>42510.64583</v>
      </c>
      <c r="C186" s="2">
        <f>IFERROR(__xludf.DUMMYFUNCTION("""COMPUTED_VALUE"""),1099.8)</f>
        <v>1099.8</v>
      </c>
    </row>
    <row r="187" ht="15.75" customHeight="1">
      <c r="B187" s="3">
        <f>IFERROR(__xludf.DUMMYFUNCTION("""COMPUTED_VALUE"""),42517.64583333333)</f>
        <v>42517.64583</v>
      </c>
      <c r="C187" s="2">
        <f>IFERROR(__xludf.DUMMYFUNCTION("""COMPUTED_VALUE"""),1111.85)</f>
        <v>1111.85</v>
      </c>
    </row>
    <row r="188" ht="15.75" customHeight="1">
      <c r="B188" s="3">
        <f>IFERROR(__xludf.DUMMYFUNCTION("""COMPUTED_VALUE"""),42524.64583333333)</f>
        <v>42524.64583</v>
      </c>
      <c r="C188" s="2">
        <f>IFERROR(__xludf.DUMMYFUNCTION("""COMPUTED_VALUE"""),1132.5)</f>
        <v>1132.5</v>
      </c>
    </row>
    <row r="189" ht="15.75" customHeight="1">
      <c r="B189" s="3">
        <f>IFERROR(__xludf.DUMMYFUNCTION("""COMPUTED_VALUE"""),42531.64583333333)</f>
        <v>42531.64583</v>
      </c>
      <c r="C189" s="2">
        <f>IFERROR(__xludf.DUMMYFUNCTION("""COMPUTED_VALUE"""),1130.0)</f>
        <v>1130</v>
      </c>
    </row>
    <row r="190" ht="15.75" customHeight="1">
      <c r="B190" s="3">
        <f>IFERROR(__xludf.DUMMYFUNCTION("""COMPUTED_VALUE"""),42538.64583333333)</f>
        <v>42538.64583</v>
      </c>
      <c r="C190" s="2">
        <f>IFERROR(__xludf.DUMMYFUNCTION("""COMPUTED_VALUE"""),1125.6)</f>
        <v>1125.6</v>
      </c>
    </row>
    <row r="191" ht="15.75" customHeight="1">
      <c r="B191" s="3">
        <f>IFERROR(__xludf.DUMMYFUNCTION("""COMPUTED_VALUE"""),42545.64583333333)</f>
        <v>42545.64583</v>
      </c>
      <c r="C191" s="2">
        <f>IFERROR(__xludf.DUMMYFUNCTION("""COMPUTED_VALUE"""),1113.0)</f>
        <v>1113</v>
      </c>
    </row>
    <row r="192" ht="15.75" customHeight="1">
      <c r="B192" s="3">
        <f>IFERROR(__xludf.DUMMYFUNCTION("""COMPUTED_VALUE"""),42552.64583333333)</f>
        <v>42552.64583</v>
      </c>
      <c r="C192" s="2">
        <f>IFERROR(__xludf.DUMMYFUNCTION("""COMPUTED_VALUE"""),1128.5)</f>
        <v>1128.5</v>
      </c>
    </row>
    <row r="193" ht="15.75" customHeight="1">
      <c r="B193" s="3">
        <f>IFERROR(__xludf.DUMMYFUNCTION("""COMPUTED_VALUE"""),42559.64583333333)</f>
        <v>42559.64583</v>
      </c>
      <c r="C193" s="2">
        <f>IFERROR(__xludf.DUMMYFUNCTION("""COMPUTED_VALUE"""),1130.5)</f>
        <v>1130.5</v>
      </c>
    </row>
    <row r="194" ht="15.75" customHeight="1">
      <c r="B194" s="3">
        <f>IFERROR(__xludf.DUMMYFUNCTION("""COMPUTED_VALUE"""),42566.64583333333)</f>
        <v>42566.64583</v>
      </c>
      <c r="C194" s="2">
        <f>IFERROR(__xludf.DUMMYFUNCTION("""COMPUTED_VALUE"""),1147.0)</f>
        <v>1147</v>
      </c>
    </row>
    <row r="195" ht="15.75" customHeight="1">
      <c r="B195" s="3">
        <f>IFERROR(__xludf.DUMMYFUNCTION("""COMPUTED_VALUE"""),42573.64583333333)</f>
        <v>42573.64583</v>
      </c>
      <c r="C195" s="2">
        <f>IFERROR(__xludf.DUMMYFUNCTION("""COMPUTED_VALUE"""),1145.0)</f>
        <v>1145</v>
      </c>
    </row>
    <row r="196" ht="15.75" customHeight="1">
      <c r="B196" s="3">
        <f>IFERROR(__xludf.DUMMYFUNCTION("""COMPUTED_VALUE"""),42580.64583333333)</f>
        <v>42580.64583</v>
      </c>
      <c r="C196" s="2">
        <f>IFERROR(__xludf.DUMMYFUNCTION("""COMPUTED_VALUE"""),1192.0)</f>
        <v>1192</v>
      </c>
    </row>
    <row r="197" ht="15.75" customHeight="1">
      <c r="B197" s="3">
        <f>IFERROR(__xludf.DUMMYFUNCTION("""COMPUTED_VALUE"""),42587.64583333333)</f>
        <v>42587.64583</v>
      </c>
      <c r="C197" s="2">
        <f>IFERROR(__xludf.DUMMYFUNCTION("""COMPUTED_VALUE"""),1211.9)</f>
        <v>1211.9</v>
      </c>
    </row>
    <row r="198" ht="15.75" customHeight="1">
      <c r="B198" s="3">
        <f>IFERROR(__xludf.DUMMYFUNCTION("""COMPUTED_VALUE"""),42594.64583333333)</f>
        <v>42594.64583</v>
      </c>
      <c r="C198" s="2">
        <f>IFERROR(__xludf.DUMMYFUNCTION("""COMPUTED_VALUE"""),1206.8)</f>
        <v>1206.8</v>
      </c>
    </row>
    <row r="199" ht="15.75" customHeight="1">
      <c r="B199" s="3">
        <f>IFERROR(__xludf.DUMMYFUNCTION("""COMPUTED_VALUE"""),42601.64583333333)</f>
        <v>42601.64583</v>
      </c>
      <c r="C199" s="2">
        <f>IFERROR(__xludf.DUMMYFUNCTION("""COMPUTED_VALUE"""),1203.75)</f>
        <v>1203.75</v>
      </c>
    </row>
    <row r="200" ht="15.75" customHeight="1">
      <c r="B200" s="3">
        <f>IFERROR(__xludf.DUMMYFUNCTION("""COMPUTED_VALUE"""),42608.64583333333)</f>
        <v>42608.64583</v>
      </c>
      <c r="C200" s="2">
        <f>IFERROR(__xludf.DUMMYFUNCTION("""COMPUTED_VALUE"""),1203.3)</f>
        <v>1203.3</v>
      </c>
    </row>
    <row r="201" ht="15.75" customHeight="1">
      <c r="B201" s="3">
        <f>IFERROR(__xludf.DUMMYFUNCTION("""COMPUTED_VALUE"""),42615.64583333333)</f>
        <v>42615.64583</v>
      </c>
      <c r="C201" s="2">
        <f>IFERROR(__xludf.DUMMYFUNCTION("""COMPUTED_VALUE"""),1199.6)</f>
        <v>1199.6</v>
      </c>
    </row>
    <row r="202" ht="15.75" customHeight="1">
      <c r="B202" s="3">
        <f>IFERROR(__xludf.DUMMYFUNCTION("""COMPUTED_VALUE"""),42622.64583333333)</f>
        <v>42622.64583</v>
      </c>
      <c r="C202" s="2">
        <f>IFERROR(__xludf.DUMMYFUNCTION("""COMPUTED_VALUE"""),1256.05)</f>
        <v>1256.05</v>
      </c>
    </row>
    <row r="203" ht="15.75" customHeight="1">
      <c r="B203" s="3">
        <f>IFERROR(__xludf.DUMMYFUNCTION("""COMPUTED_VALUE"""),42629.64583333333)</f>
        <v>42629.64583</v>
      </c>
      <c r="C203" s="2">
        <f>IFERROR(__xludf.DUMMYFUNCTION("""COMPUTED_VALUE"""),1203.05)</f>
        <v>1203.05</v>
      </c>
    </row>
    <row r="204" ht="15.75" customHeight="1">
      <c r="B204" s="3">
        <f>IFERROR(__xludf.DUMMYFUNCTION("""COMPUTED_VALUE"""),42636.64583333333)</f>
        <v>42636.64583</v>
      </c>
      <c r="C204" s="2">
        <f>IFERROR(__xludf.DUMMYFUNCTION("""COMPUTED_VALUE"""),1230.7)</f>
        <v>1230.7</v>
      </c>
    </row>
    <row r="205" ht="15.75" customHeight="1">
      <c r="B205" s="3">
        <f>IFERROR(__xludf.DUMMYFUNCTION("""COMPUTED_VALUE"""),42643.64583333333)</f>
        <v>42643.64583</v>
      </c>
      <c r="C205" s="2">
        <f>IFERROR(__xludf.DUMMYFUNCTION("""COMPUTED_VALUE"""),1231.9)</f>
        <v>1231.9</v>
      </c>
    </row>
    <row r="206" ht="15.75" customHeight="1">
      <c r="B206" s="3">
        <f>IFERROR(__xludf.DUMMYFUNCTION("""COMPUTED_VALUE"""),42650.64583333333)</f>
        <v>42650.64583</v>
      </c>
      <c r="C206" s="2">
        <f>IFERROR(__xludf.DUMMYFUNCTION("""COMPUTED_VALUE"""),1240.0)</f>
        <v>1240</v>
      </c>
    </row>
    <row r="207" ht="15.75" customHeight="1">
      <c r="B207" s="3">
        <f>IFERROR(__xludf.DUMMYFUNCTION("""COMPUTED_VALUE"""),42657.64583333333)</f>
        <v>42657.64583</v>
      </c>
      <c r="C207" s="2">
        <f>IFERROR(__xludf.DUMMYFUNCTION("""COMPUTED_VALUE"""),1245.6)</f>
        <v>1245.6</v>
      </c>
    </row>
    <row r="208" ht="15.75" customHeight="1">
      <c r="B208" s="3">
        <f>IFERROR(__xludf.DUMMYFUNCTION("""COMPUTED_VALUE"""),42664.64583333333)</f>
        <v>42664.64583</v>
      </c>
      <c r="C208" s="2">
        <f>IFERROR(__xludf.DUMMYFUNCTION("""COMPUTED_VALUE"""),1226.3)</f>
        <v>1226.3</v>
      </c>
    </row>
    <row r="209" ht="15.75" customHeight="1">
      <c r="B209" s="3">
        <f>IFERROR(__xludf.DUMMYFUNCTION("""COMPUTED_VALUE"""),42671.64583333333)</f>
        <v>42671.64583</v>
      </c>
      <c r="C209" s="2">
        <f>IFERROR(__xludf.DUMMYFUNCTION("""COMPUTED_VALUE"""),1224.05)</f>
        <v>1224.05</v>
      </c>
    </row>
    <row r="210" ht="15.75" customHeight="1">
      <c r="B210" s="3">
        <f>IFERROR(__xludf.DUMMYFUNCTION("""COMPUTED_VALUE"""),42678.64583333333)</f>
        <v>42678.64583</v>
      </c>
      <c r="C210" s="2">
        <f>IFERROR(__xludf.DUMMYFUNCTION("""COMPUTED_VALUE"""),1236.45)</f>
        <v>1236.45</v>
      </c>
    </row>
    <row r="211" ht="15.75" customHeight="1">
      <c r="B211" s="3">
        <f>IFERROR(__xludf.DUMMYFUNCTION("""COMPUTED_VALUE"""),42685.64583333333)</f>
        <v>42685.64583</v>
      </c>
      <c r="C211" s="2">
        <f>IFERROR(__xludf.DUMMYFUNCTION("""COMPUTED_VALUE"""),1229.15)</f>
        <v>1229.15</v>
      </c>
    </row>
    <row r="212" ht="15.75" customHeight="1">
      <c r="B212" s="3">
        <f>IFERROR(__xludf.DUMMYFUNCTION("""COMPUTED_VALUE"""),42692.64583333333)</f>
        <v>42692.64583</v>
      </c>
      <c r="C212" s="2">
        <f>IFERROR(__xludf.DUMMYFUNCTION("""COMPUTED_VALUE"""),1199.95)</f>
        <v>1199.95</v>
      </c>
    </row>
    <row r="213" ht="15.75" customHeight="1">
      <c r="B213" s="3">
        <f>IFERROR(__xludf.DUMMYFUNCTION("""COMPUTED_VALUE"""),42699.64583333333)</f>
        <v>42699.64583</v>
      </c>
      <c r="C213" s="2">
        <f>IFERROR(__xludf.DUMMYFUNCTION("""COMPUTED_VALUE"""),1108.0)</f>
        <v>1108</v>
      </c>
    </row>
    <row r="214" ht="15.75" customHeight="1">
      <c r="B214" s="3">
        <f>IFERROR(__xludf.DUMMYFUNCTION("""COMPUTED_VALUE"""),42706.64583333333)</f>
        <v>42706.64583</v>
      </c>
      <c r="C214" s="2">
        <f>IFERROR(__xludf.DUMMYFUNCTION("""COMPUTED_VALUE"""),1096.6)</f>
        <v>1096.6</v>
      </c>
    </row>
    <row r="215" ht="15.75" customHeight="1">
      <c r="B215" s="3">
        <f>IFERROR(__xludf.DUMMYFUNCTION("""COMPUTED_VALUE"""),42713.64583333333)</f>
        <v>42713.64583</v>
      </c>
      <c r="C215" s="2">
        <f>IFERROR(__xludf.DUMMYFUNCTION("""COMPUTED_VALUE"""),1116.95)</f>
        <v>1116.95</v>
      </c>
    </row>
    <row r="216" ht="15.75" customHeight="1">
      <c r="B216" s="3">
        <f>IFERROR(__xludf.DUMMYFUNCTION("""COMPUTED_VALUE"""),42720.64583333333)</f>
        <v>42720.64583</v>
      </c>
      <c r="C216" s="2">
        <f>IFERROR(__xludf.DUMMYFUNCTION("""COMPUTED_VALUE"""),1108.8)</f>
        <v>1108.8</v>
      </c>
    </row>
    <row r="217" ht="15.75" customHeight="1">
      <c r="B217" s="3">
        <f>IFERROR(__xludf.DUMMYFUNCTION("""COMPUTED_VALUE"""),42727.64583333333)</f>
        <v>42727.64583</v>
      </c>
      <c r="C217" s="2">
        <f>IFERROR(__xludf.DUMMYFUNCTION("""COMPUTED_VALUE"""),1099.95)</f>
        <v>1099.95</v>
      </c>
    </row>
    <row r="218" ht="15.75" customHeight="1">
      <c r="B218" s="3">
        <f>IFERROR(__xludf.DUMMYFUNCTION("""COMPUTED_VALUE"""),42734.64583333333)</f>
        <v>42734.64583</v>
      </c>
      <c r="C218" s="2">
        <f>IFERROR(__xludf.DUMMYFUNCTION("""COMPUTED_VALUE"""),1115.95)</f>
        <v>1115.95</v>
      </c>
    </row>
    <row r="219" ht="15.75" customHeight="1"/>
    <row r="220" ht="15.75" customHeight="1"/>
    <row r="221" ht="15.75" customHeight="1">
      <c r="B221" s="2" t="str">
        <f>IFERROR(__xludf.DUMMYFUNCTION("GOOGLEFINANCE(""NSE:INDUSINDBK"", ""high"",DATE(2017,1,1),DATE(2018,1,1),""weekly"")"),"Date")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IFERROR(__xludf.DUMMYFUNCTION("""COMPUTED_VALUE"""),42741.64583333333)</f>
        <v>42741.64583</v>
      </c>
      <c r="C222" s="2">
        <f>IFERROR(__xludf.DUMMYFUNCTION("""COMPUTED_VALUE"""),1155.0)</f>
        <v>1155</v>
      </c>
    </row>
    <row r="223" ht="15.75" customHeight="1">
      <c r="B223" s="3">
        <f>IFERROR(__xludf.DUMMYFUNCTION("""COMPUTED_VALUE"""),42748.64583333333)</f>
        <v>42748.64583</v>
      </c>
      <c r="C223" s="2">
        <f>IFERROR(__xludf.DUMMYFUNCTION("""COMPUTED_VALUE"""),1239.15)</f>
        <v>1239.15</v>
      </c>
    </row>
    <row r="224" ht="15.75" customHeight="1">
      <c r="B224" s="3">
        <f>IFERROR(__xludf.DUMMYFUNCTION("""COMPUTED_VALUE"""),42755.64583333333)</f>
        <v>42755.64583</v>
      </c>
      <c r="C224" s="2">
        <f>IFERROR(__xludf.DUMMYFUNCTION("""COMPUTED_VALUE"""),1240.7)</f>
        <v>1240.7</v>
      </c>
    </row>
    <row r="225" ht="15.75" customHeight="1">
      <c r="B225" s="3">
        <f>IFERROR(__xludf.DUMMYFUNCTION("""COMPUTED_VALUE"""),42762.64583333333)</f>
        <v>42762.64583</v>
      </c>
      <c r="C225" s="2">
        <f>IFERROR(__xludf.DUMMYFUNCTION("""COMPUTED_VALUE"""),1269.0)</f>
        <v>1269</v>
      </c>
    </row>
    <row r="226" ht="15.75" customHeight="1">
      <c r="B226" s="3">
        <f>IFERROR(__xludf.DUMMYFUNCTION("""COMPUTED_VALUE"""),42769.64583333333)</f>
        <v>42769.64583</v>
      </c>
      <c r="C226" s="2">
        <f>IFERROR(__xludf.DUMMYFUNCTION("""COMPUTED_VALUE"""),1315.5)</f>
        <v>1315.5</v>
      </c>
    </row>
    <row r="227" ht="15.75" customHeight="1">
      <c r="B227" s="3">
        <f>IFERROR(__xludf.DUMMYFUNCTION("""COMPUTED_VALUE"""),42776.64583333333)</f>
        <v>42776.64583</v>
      </c>
      <c r="C227" s="2">
        <f>IFERROR(__xludf.DUMMYFUNCTION("""COMPUTED_VALUE"""),1335.5)</f>
        <v>1335.5</v>
      </c>
    </row>
    <row r="228" ht="15.75" customHeight="1">
      <c r="B228" s="3">
        <f>IFERROR(__xludf.DUMMYFUNCTION("""COMPUTED_VALUE"""),42783.64583333333)</f>
        <v>42783.64583</v>
      </c>
      <c r="C228" s="2">
        <f>IFERROR(__xludf.DUMMYFUNCTION("""COMPUTED_VALUE"""),1365.85)</f>
        <v>1365.85</v>
      </c>
    </row>
    <row r="229" ht="15.75" customHeight="1">
      <c r="B229" s="3">
        <f>IFERROR(__xludf.DUMMYFUNCTION("""COMPUTED_VALUE"""),42789.64583333333)</f>
        <v>42789.64583</v>
      </c>
      <c r="C229" s="2">
        <f>IFERROR(__xludf.DUMMYFUNCTION("""COMPUTED_VALUE"""),1348.0)</f>
        <v>1348</v>
      </c>
    </row>
    <row r="230" ht="15.75" customHeight="1">
      <c r="B230" s="3">
        <f>IFERROR(__xludf.DUMMYFUNCTION("""COMPUTED_VALUE"""),42797.64583333333)</f>
        <v>42797.64583</v>
      </c>
      <c r="C230" s="2">
        <f>IFERROR(__xludf.DUMMYFUNCTION("""COMPUTED_VALUE"""),1347.9)</f>
        <v>1347.9</v>
      </c>
    </row>
    <row r="231" ht="15.75" customHeight="1">
      <c r="B231" s="3">
        <f>IFERROR(__xludf.DUMMYFUNCTION("""COMPUTED_VALUE"""),42804.64583333333)</f>
        <v>42804.64583</v>
      </c>
      <c r="C231" s="2">
        <f>IFERROR(__xludf.DUMMYFUNCTION("""COMPUTED_VALUE"""),1343.0)</f>
        <v>1343</v>
      </c>
    </row>
    <row r="232" ht="15.75" customHeight="1">
      <c r="B232" s="3">
        <f>IFERROR(__xludf.DUMMYFUNCTION("""COMPUTED_VALUE"""),42811.64583333333)</f>
        <v>42811.64583</v>
      </c>
      <c r="C232" s="2">
        <f>IFERROR(__xludf.DUMMYFUNCTION("""COMPUTED_VALUE"""),1395.9)</f>
        <v>1395.9</v>
      </c>
    </row>
    <row r="233" ht="15.75" customHeight="1">
      <c r="B233" s="3">
        <f>IFERROR(__xludf.DUMMYFUNCTION("""COMPUTED_VALUE"""),42818.64583333333)</f>
        <v>42818.64583</v>
      </c>
      <c r="C233" s="2">
        <f>IFERROR(__xludf.DUMMYFUNCTION("""COMPUTED_VALUE"""),1404.6)</f>
        <v>1404.6</v>
      </c>
    </row>
    <row r="234" ht="15.75" customHeight="1">
      <c r="B234" s="3">
        <f>IFERROR(__xludf.DUMMYFUNCTION("""COMPUTED_VALUE"""),42825.64583333333)</f>
        <v>42825.64583</v>
      </c>
      <c r="C234" s="2">
        <f>IFERROR(__xludf.DUMMYFUNCTION("""COMPUTED_VALUE"""),1431.0)</f>
        <v>1431</v>
      </c>
    </row>
    <row r="235" ht="15.75" customHeight="1">
      <c r="B235" s="3">
        <f>IFERROR(__xludf.DUMMYFUNCTION("""COMPUTED_VALUE"""),42832.64583333333)</f>
        <v>42832.64583</v>
      </c>
      <c r="C235" s="2">
        <f>IFERROR(__xludf.DUMMYFUNCTION("""COMPUTED_VALUE"""),1427.95)</f>
        <v>1427.95</v>
      </c>
    </row>
    <row r="236" ht="15.75" customHeight="1">
      <c r="B236" s="3">
        <f>IFERROR(__xludf.DUMMYFUNCTION("""COMPUTED_VALUE"""),42838.64583333333)</f>
        <v>42838.64583</v>
      </c>
      <c r="C236" s="2">
        <f>IFERROR(__xludf.DUMMYFUNCTION("""COMPUTED_VALUE"""),1444.35)</f>
        <v>1444.35</v>
      </c>
    </row>
    <row r="237" ht="15.75" customHeight="1">
      <c r="B237" s="3">
        <f>IFERROR(__xludf.DUMMYFUNCTION("""COMPUTED_VALUE"""),42846.64583333333)</f>
        <v>42846.64583</v>
      </c>
      <c r="C237" s="2">
        <f>IFERROR(__xludf.DUMMYFUNCTION("""COMPUTED_VALUE"""),1444.95)</f>
        <v>1444.95</v>
      </c>
    </row>
    <row r="238" ht="15.75" customHeight="1">
      <c r="B238" s="3">
        <f>IFERROR(__xludf.DUMMYFUNCTION("""COMPUTED_VALUE"""),42853.64583333333)</f>
        <v>42853.64583</v>
      </c>
      <c r="C238" s="2">
        <f>IFERROR(__xludf.DUMMYFUNCTION("""COMPUTED_VALUE"""),1483.45)</f>
        <v>1483.45</v>
      </c>
    </row>
    <row r="239" ht="15.75" customHeight="1">
      <c r="B239" s="3">
        <f>IFERROR(__xludf.DUMMYFUNCTION("""COMPUTED_VALUE"""),42860.64583333333)</f>
        <v>42860.64583</v>
      </c>
      <c r="C239" s="2">
        <f>IFERROR(__xludf.DUMMYFUNCTION("""COMPUTED_VALUE"""),1455.0)</f>
        <v>1455</v>
      </c>
    </row>
    <row r="240" ht="15.75" customHeight="1">
      <c r="B240" s="3">
        <f>IFERROR(__xludf.DUMMYFUNCTION("""COMPUTED_VALUE"""),42867.64583333333)</f>
        <v>42867.64583</v>
      </c>
      <c r="C240" s="2">
        <f>IFERROR(__xludf.DUMMYFUNCTION("""COMPUTED_VALUE"""),1438.0)</f>
        <v>1438</v>
      </c>
    </row>
    <row r="241" ht="15.75" customHeight="1">
      <c r="B241" s="3">
        <f>IFERROR(__xludf.DUMMYFUNCTION("""COMPUTED_VALUE"""),42874.64583333333)</f>
        <v>42874.64583</v>
      </c>
      <c r="C241" s="2">
        <f>IFERROR(__xludf.DUMMYFUNCTION("""COMPUTED_VALUE"""),1448.3)</f>
        <v>1448.3</v>
      </c>
    </row>
    <row r="242" ht="15.75" customHeight="1">
      <c r="B242" s="3">
        <f>IFERROR(__xludf.DUMMYFUNCTION("""COMPUTED_VALUE"""),42881.64583333333)</f>
        <v>42881.64583</v>
      </c>
      <c r="C242" s="2">
        <f>IFERROR(__xludf.DUMMYFUNCTION("""COMPUTED_VALUE"""),1484.8)</f>
        <v>1484.8</v>
      </c>
    </row>
    <row r="243" ht="15.75" customHeight="1">
      <c r="B243" s="3">
        <f>IFERROR(__xludf.DUMMYFUNCTION("""COMPUTED_VALUE"""),42888.64583333333)</f>
        <v>42888.64583</v>
      </c>
      <c r="C243" s="2">
        <f>IFERROR(__xludf.DUMMYFUNCTION("""COMPUTED_VALUE"""),1519.95)</f>
        <v>1519.95</v>
      </c>
    </row>
    <row r="244" ht="15.75" customHeight="1">
      <c r="B244" s="3">
        <f>IFERROR(__xludf.DUMMYFUNCTION("""COMPUTED_VALUE"""),42895.64583333333)</f>
        <v>42895.64583</v>
      </c>
      <c r="C244" s="2">
        <f>IFERROR(__xludf.DUMMYFUNCTION("""COMPUTED_VALUE"""),1538.0)</f>
        <v>1538</v>
      </c>
    </row>
    <row r="245" ht="15.75" customHeight="1">
      <c r="B245" s="3">
        <f>IFERROR(__xludf.DUMMYFUNCTION("""COMPUTED_VALUE"""),42902.64583333333)</f>
        <v>42902.64583</v>
      </c>
      <c r="C245" s="2">
        <f>IFERROR(__xludf.DUMMYFUNCTION("""COMPUTED_VALUE"""),1524.25)</f>
        <v>1524.25</v>
      </c>
    </row>
    <row r="246" ht="15.75" customHeight="1">
      <c r="B246" s="3">
        <f>IFERROR(__xludf.DUMMYFUNCTION("""COMPUTED_VALUE"""),42909.64583333333)</f>
        <v>42909.64583</v>
      </c>
      <c r="C246" s="2">
        <f>IFERROR(__xludf.DUMMYFUNCTION("""COMPUTED_VALUE"""),1521.5)</f>
        <v>1521.5</v>
      </c>
    </row>
    <row r="247" ht="15.75" customHeight="1">
      <c r="B247" s="3">
        <f>IFERROR(__xludf.DUMMYFUNCTION("""COMPUTED_VALUE"""),42916.64583333333)</f>
        <v>42916.64583</v>
      </c>
      <c r="C247" s="2">
        <f>IFERROR(__xludf.DUMMYFUNCTION("""COMPUTED_VALUE"""),1509.8)</f>
        <v>1509.8</v>
      </c>
    </row>
    <row r="248" ht="15.75" customHeight="1">
      <c r="B248" s="3">
        <f>IFERROR(__xludf.DUMMYFUNCTION("""COMPUTED_VALUE"""),42923.64583333333)</f>
        <v>42923.64583</v>
      </c>
      <c r="C248" s="2">
        <f>IFERROR(__xludf.DUMMYFUNCTION("""COMPUTED_VALUE"""),1529.9)</f>
        <v>1529.9</v>
      </c>
    </row>
    <row r="249" ht="15.75" customHeight="1">
      <c r="B249" s="3">
        <f>IFERROR(__xludf.DUMMYFUNCTION("""COMPUTED_VALUE"""),42930.64583333333)</f>
        <v>42930.64583</v>
      </c>
      <c r="C249" s="2">
        <f>IFERROR(__xludf.DUMMYFUNCTION("""COMPUTED_VALUE"""),1585.0)</f>
        <v>1585</v>
      </c>
    </row>
    <row r="250" ht="15.75" customHeight="1">
      <c r="B250" s="3">
        <f>IFERROR(__xludf.DUMMYFUNCTION("""COMPUTED_VALUE"""),42937.64583333333)</f>
        <v>42937.64583</v>
      </c>
      <c r="C250" s="2">
        <f>IFERROR(__xludf.DUMMYFUNCTION("""COMPUTED_VALUE"""),1584.75)</f>
        <v>1584.75</v>
      </c>
    </row>
    <row r="251" ht="15.75" customHeight="1">
      <c r="B251" s="3">
        <f>IFERROR(__xludf.DUMMYFUNCTION("""COMPUTED_VALUE"""),42944.64583333333)</f>
        <v>42944.64583</v>
      </c>
      <c r="C251" s="2">
        <f>IFERROR(__xludf.DUMMYFUNCTION("""COMPUTED_VALUE"""),1637.35)</f>
        <v>1637.35</v>
      </c>
    </row>
    <row r="252" ht="15.75" customHeight="1">
      <c r="B252" s="3">
        <f>IFERROR(__xludf.DUMMYFUNCTION("""COMPUTED_VALUE"""),42951.64583333333)</f>
        <v>42951.64583</v>
      </c>
      <c r="C252" s="2">
        <f>IFERROR(__xludf.DUMMYFUNCTION("""COMPUTED_VALUE"""),1674.0)</f>
        <v>1674</v>
      </c>
    </row>
    <row r="253" ht="15.75" customHeight="1">
      <c r="B253" s="3">
        <f>IFERROR(__xludf.DUMMYFUNCTION("""COMPUTED_VALUE"""),42958.64583333333)</f>
        <v>42958.64583</v>
      </c>
      <c r="C253" s="2">
        <f>IFERROR(__xludf.DUMMYFUNCTION("""COMPUTED_VALUE"""),1674.55)</f>
        <v>1674.55</v>
      </c>
    </row>
    <row r="254" ht="15.75" customHeight="1">
      <c r="B254" s="3">
        <f>IFERROR(__xludf.DUMMYFUNCTION("""COMPUTED_VALUE"""),42965.64583333333)</f>
        <v>42965.64583</v>
      </c>
      <c r="C254" s="2">
        <f>IFERROR(__xludf.DUMMYFUNCTION("""COMPUTED_VALUE"""),1654.0)</f>
        <v>1654</v>
      </c>
    </row>
    <row r="255" ht="15.75" customHeight="1">
      <c r="B255" s="3">
        <f>IFERROR(__xludf.DUMMYFUNCTION("""COMPUTED_VALUE"""),42971.64583333333)</f>
        <v>42971.64583</v>
      </c>
      <c r="C255" s="2">
        <f>IFERROR(__xludf.DUMMYFUNCTION("""COMPUTED_VALUE"""),1684.0)</f>
        <v>1684</v>
      </c>
    </row>
    <row r="256" ht="15.75" customHeight="1">
      <c r="B256" s="3">
        <f>IFERROR(__xludf.DUMMYFUNCTION("""COMPUTED_VALUE"""),42979.64583333333)</f>
        <v>42979.64583</v>
      </c>
      <c r="C256" s="2">
        <f>IFERROR(__xludf.DUMMYFUNCTION("""COMPUTED_VALUE"""),1695.8)</f>
        <v>1695.8</v>
      </c>
    </row>
    <row r="257" ht="15.75" customHeight="1">
      <c r="B257" s="3">
        <f>IFERROR(__xludf.DUMMYFUNCTION("""COMPUTED_VALUE"""),42986.64583333333)</f>
        <v>42986.64583</v>
      </c>
      <c r="C257" s="2">
        <f>IFERROR(__xludf.DUMMYFUNCTION("""COMPUTED_VALUE"""),1715.15)</f>
        <v>1715.15</v>
      </c>
    </row>
    <row r="258" ht="15.75" customHeight="1">
      <c r="B258" s="3">
        <f>IFERROR(__xludf.DUMMYFUNCTION("""COMPUTED_VALUE"""),42993.64583333333)</f>
        <v>42993.64583</v>
      </c>
      <c r="C258" s="2">
        <f>IFERROR(__xludf.DUMMYFUNCTION("""COMPUTED_VALUE"""),1804.0)</f>
        <v>1804</v>
      </c>
    </row>
    <row r="259" ht="15.75" customHeight="1">
      <c r="B259" s="3">
        <f>IFERROR(__xludf.DUMMYFUNCTION("""COMPUTED_VALUE"""),43000.64583333333)</f>
        <v>43000.64583</v>
      </c>
      <c r="C259" s="2">
        <f>IFERROR(__xludf.DUMMYFUNCTION("""COMPUTED_VALUE"""),1758.0)</f>
        <v>1758</v>
      </c>
    </row>
    <row r="260" ht="15.75" customHeight="1">
      <c r="B260" s="3">
        <f>IFERROR(__xludf.DUMMYFUNCTION("""COMPUTED_VALUE"""),43007.64583333333)</f>
        <v>43007.64583</v>
      </c>
      <c r="C260" s="2">
        <f>IFERROR(__xludf.DUMMYFUNCTION("""COMPUTED_VALUE"""),1713.7)</f>
        <v>1713.7</v>
      </c>
    </row>
    <row r="261" ht="15.75" customHeight="1">
      <c r="B261" s="3">
        <f>IFERROR(__xludf.DUMMYFUNCTION("""COMPUTED_VALUE"""),43014.64583333333)</f>
        <v>43014.64583</v>
      </c>
      <c r="C261" s="2">
        <f>IFERROR(__xludf.DUMMYFUNCTION("""COMPUTED_VALUE"""),1713.65)</f>
        <v>1713.65</v>
      </c>
    </row>
    <row r="262" ht="15.75" customHeight="1">
      <c r="B262" s="3">
        <f>IFERROR(__xludf.DUMMYFUNCTION("""COMPUTED_VALUE"""),43021.64583333333)</f>
        <v>43021.64583</v>
      </c>
      <c r="C262" s="2">
        <f>IFERROR(__xludf.DUMMYFUNCTION("""COMPUTED_VALUE"""),1758.0)</f>
        <v>1758</v>
      </c>
    </row>
    <row r="263" ht="15.75" customHeight="1">
      <c r="B263" s="3">
        <f>IFERROR(__xludf.DUMMYFUNCTION("""COMPUTED_VALUE"""),43027.83333333333)</f>
        <v>43027.83333</v>
      </c>
      <c r="C263" s="2">
        <f>IFERROR(__xludf.DUMMYFUNCTION("""COMPUTED_VALUE"""),1746.45)</f>
        <v>1746.45</v>
      </c>
    </row>
    <row r="264" ht="15.75" customHeight="1">
      <c r="B264" s="3">
        <f>IFERROR(__xludf.DUMMYFUNCTION("""COMPUTED_VALUE"""),43035.64583333333)</f>
        <v>43035.64583</v>
      </c>
      <c r="C264" s="2">
        <f>IFERROR(__xludf.DUMMYFUNCTION("""COMPUTED_VALUE"""),1707.25)</f>
        <v>1707.25</v>
      </c>
    </row>
    <row r="265" ht="15.75" customHeight="1">
      <c r="B265" s="3">
        <f>IFERROR(__xludf.DUMMYFUNCTION("""COMPUTED_VALUE"""),43042.64583333333)</f>
        <v>43042.64583</v>
      </c>
      <c r="C265" s="2">
        <f>IFERROR(__xludf.DUMMYFUNCTION("""COMPUTED_VALUE"""),1679.15)</f>
        <v>1679.15</v>
      </c>
    </row>
    <row r="266" ht="15.75" customHeight="1">
      <c r="B266" s="3">
        <f>IFERROR(__xludf.DUMMYFUNCTION("""COMPUTED_VALUE"""),43049.64583333333)</f>
        <v>43049.64583</v>
      </c>
      <c r="C266" s="2">
        <f>IFERROR(__xludf.DUMMYFUNCTION("""COMPUTED_VALUE"""),1689.9)</f>
        <v>1689.9</v>
      </c>
    </row>
    <row r="267" ht="15.75" customHeight="1">
      <c r="B267" s="3">
        <f>IFERROR(__xludf.DUMMYFUNCTION("""COMPUTED_VALUE"""),43056.64583333333)</f>
        <v>43056.64583</v>
      </c>
      <c r="C267" s="2">
        <f>IFERROR(__xludf.DUMMYFUNCTION("""COMPUTED_VALUE"""),1672.5)</f>
        <v>1672.5</v>
      </c>
    </row>
    <row r="268" ht="15.75" customHeight="1">
      <c r="B268" s="3">
        <f>IFERROR(__xludf.DUMMYFUNCTION("""COMPUTED_VALUE"""),43063.64583333333)</f>
        <v>43063.64583</v>
      </c>
      <c r="C268" s="2">
        <f>IFERROR(__xludf.DUMMYFUNCTION("""COMPUTED_VALUE"""),1682.85)</f>
        <v>1682.85</v>
      </c>
    </row>
    <row r="269" ht="15.75" customHeight="1">
      <c r="B269" s="3">
        <f>IFERROR(__xludf.DUMMYFUNCTION("""COMPUTED_VALUE"""),43070.64583333333)</f>
        <v>43070.64583</v>
      </c>
      <c r="C269" s="2">
        <f>IFERROR(__xludf.DUMMYFUNCTION("""COMPUTED_VALUE"""),1692.0)</f>
        <v>1692</v>
      </c>
    </row>
    <row r="270" ht="15.75" customHeight="1">
      <c r="B270" s="3">
        <f>IFERROR(__xludf.DUMMYFUNCTION("""COMPUTED_VALUE"""),43077.64583333333)</f>
        <v>43077.64583</v>
      </c>
      <c r="C270" s="2">
        <f>IFERROR(__xludf.DUMMYFUNCTION("""COMPUTED_VALUE"""),1685.8)</f>
        <v>1685.8</v>
      </c>
    </row>
    <row r="271" ht="15.75" customHeight="1">
      <c r="B271" s="3">
        <f>IFERROR(__xludf.DUMMYFUNCTION("""COMPUTED_VALUE"""),43084.64583333333)</f>
        <v>43084.64583</v>
      </c>
      <c r="C271" s="2">
        <f>IFERROR(__xludf.DUMMYFUNCTION("""COMPUTED_VALUE"""),1697.3)</f>
        <v>1697.3</v>
      </c>
    </row>
    <row r="272" ht="15.75" customHeight="1">
      <c r="B272" s="3">
        <f>IFERROR(__xludf.DUMMYFUNCTION("""COMPUTED_VALUE"""),43091.64583333333)</f>
        <v>43091.64583</v>
      </c>
      <c r="C272" s="2">
        <f>IFERROR(__xludf.DUMMYFUNCTION("""COMPUTED_VALUE"""),1694.9)</f>
        <v>1694.9</v>
      </c>
    </row>
    <row r="273" ht="15.75" customHeight="1">
      <c r="B273" s="3">
        <f>IFERROR(__xludf.DUMMYFUNCTION("""COMPUTED_VALUE"""),43098.64583333333)</f>
        <v>43098.64583</v>
      </c>
      <c r="C273" s="2">
        <f>IFERROR(__xludf.DUMMYFUNCTION("""COMPUTED_VALUE"""),1669.9)</f>
        <v>1669.9</v>
      </c>
    </row>
    <row r="274" ht="15.75" customHeight="1"/>
    <row r="275" ht="15.75" customHeight="1"/>
    <row r="276" ht="15.75" customHeight="1">
      <c r="B276" s="2" t="str">
        <f>IFERROR(__xludf.DUMMYFUNCTION("GOOGLEFINANCE(""NSE:INDUSINDBK"", ""high"",DATE(2018,1,1),DATE(2019,1,1),""weekly"")"),"Date")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IFERROR(__xludf.DUMMYFUNCTION("""COMPUTED_VALUE"""),43105.64583333333)</f>
        <v>43105.64583</v>
      </c>
      <c r="C277" s="2">
        <f>IFERROR(__xludf.DUMMYFUNCTION("""COMPUTED_VALUE"""),1703.0)</f>
        <v>1703</v>
      </c>
    </row>
    <row r="278" ht="15.75" customHeight="1">
      <c r="B278" s="3">
        <f>IFERROR(__xludf.DUMMYFUNCTION("""COMPUTED_VALUE"""),43112.64583333333)</f>
        <v>43112.64583</v>
      </c>
      <c r="C278" s="2">
        <f>IFERROR(__xludf.DUMMYFUNCTION("""COMPUTED_VALUE"""),1752.0)</f>
        <v>1752</v>
      </c>
    </row>
    <row r="279" ht="15.75" customHeight="1">
      <c r="B279" s="3">
        <f>IFERROR(__xludf.DUMMYFUNCTION("""COMPUTED_VALUE"""),43119.64583333333)</f>
        <v>43119.64583</v>
      </c>
      <c r="C279" s="2">
        <f>IFERROR(__xludf.DUMMYFUNCTION("""COMPUTED_VALUE"""),1710.3)</f>
        <v>1710.3</v>
      </c>
    </row>
    <row r="280" ht="15.75" customHeight="1">
      <c r="B280" s="3">
        <f>IFERROR(__xludf.DUMMYFUNCTION("""COMPUTED_VALUE"""),43125.64583333333)</f>
        <v>43125.64583</v>
      </c>
      <c r="C280" s="2">
        <f>IFERROR(__xludf.DUMMYFUNCTION("""COMPUTED_VALUE"""),1738.8)</f>
        <v>1738.8</v>
      </c>
    </row>
    <row r="281" ht="15.75" customHeight="1">
      <c r="B281" s="3">
        <f>IFERROR(__xludf.DUMMYFUNCTION("""COMPUTED_VALUE"""),43133.64583333333)</f>
        <v>43133.64583</v>
      </c>
      <c r="C281" s="2">
        <f>IFERROR(__xludf.DUMMYFUNCTION("""COMPUTED_VALUE"""),1817.8)</f>
        <v>1817.8</v>
      </c>
    </row>
    <row r="282" ht="15.75" customHeight="1">
      <c r="B282" s="3">
        <f>IFERROR(__xludf.DUMMYFUNCTION("""COMPUTED_VALUE"""),43140.64583333333)</f>
        <v>43140.64583</v>
      </c>
      <c r="C282" s="2">
        <f>IFERROR(__xludf.DUMMYFUNCTION("""COMPUTED_VALUE"""),1739.05)</f>
        <v>1739.05</v>
      </c>
    </row>
    <row r="283" ht="15.75" customHeight="1">
      <c r="B283" s="3">
        <f>IFERROR(__xludf.DUMMYFUNCTION("""COMPUTED_VALUE"""),43147.64583333333)</f>
        <v>43147.64583</v>
      </c>
      <c r="C283" s="2">
        <f>IFERROR(__xludf.DUMMYFUNCTION("""COMPUTED_VALUE"""),1709.5)</f>
        <v>1709.5</v>
      </c>
    </row>
    <row r="284" ht="15.75" customHeight="1">
      <c r="B284" s="3">
        <f>IFERROR(__xludf.DUMMYFUNCTION("""COMPUTED_VALUE"""),43154.64583333333)</f>
        <v>43154.64583</v>
      </c>
      <c r="C284" s="2">
        <f>IFERROR(__xludf.DUMMYFUNCTION("""COMPUTED_VALUE"""),1657.8)</f>
        <v>1657.8</v>
      </c>
    </row>
    <row r="285" ht="15.75" customHeight="1">
      <c r="B285" s="3">
        <f>IFERROR(__xludf.DUMMYFUNCTION("""COMPUTED_VALUE"""),43160.64583333333)</f>
        <v>43160.64583</v>
      </c>
      <c r="C285" s="2">
        <f>IFERROR(__xludf.DUMMYFUNCTION("""COMPUTED_VALUE"""),1708.95)</f>
        <v>1708.95</v>
      </c>
    </row>
    <row r="286" ht="15.75" customHeight="1">
      <c r="B286" s="3">
        <f>IFERROR(__xludf.DUMMYFUNCTION("""COMPUTED_VALUE"""),43168.64583333333)</f>
        <v>43168.64583</v>
      </c>
      <c r="C286" s="2">
        <f>IFERROR(__xludf.DUMMYFUNCTION("""COMPUTED_VALUE"""),1732.0)</f>
        <v>1732</v>
      </c>
    </row>
    <row r="287" ht="15.75" customHeight="1">
      <c r="B287" s="3">
        <f>IFERROR(__xludf.DUMMYFUNCTION("""COMPUTED_VALUE"""),43175.64583333333)</f>
        <v>43175.64583</v>
      </c>
      <c r="C287" s="2">
        <f>IFERROR(__xludf.DUMMYFUNCTION("""COMPUTED_VALUE"""),1753.35)</f>
        <v>1753.35</v>
      </c>
    </row>
    <row r="288" ht="15.75" customHeight="1">
      <c r="B288" s="3">
        <f>IFERROR(__xludf.DUMMYFUNCTION("""COMPUTED_VALUE"""),43182.64583333333)</f>
        <v>43182.64583</v>
      </c>
      <c r="C288" s="2">
        <f>IFERROR(__xludf.DUMMYFUNCTION("""COMPUTED_VALUE"""),1762.9)</f>
        <v>1762.9</v>
      </c>
    </row>
    <row r="289" ht="15.75" customHeight="1">
      <c r="B289" s="3">
        <f>IFERROR(__xludf.DUMMYFUNCTION("""COMPUTED_VALUE"""),43187.64583333333)</f>
        <v>43187.64583</v>
      </c>
      <c r="C289" s="2">
        <f>IFERROR(__xludf.DUMMYFUNCTION("""COMPUTED_VALUE"""),1807.0)</f>
        <v>1807</v>
      </c>
    </row>
    <row r="290" ht="15.75" customHeight="1">
      <c r="B290" s="3">
        <f>IFERROR(__xludf.DUMMYFUNCTION("""COMPUTED_VALUE"""),43196.64583333333)</f>
        <v>43196.64583</v>
      </c>
      <c r="C290" s="2">
        <f>IFERROR(__xludf.DUMMYFUNCTION("""COMPUTED_VALUE"""),1841.6)</f>
        <v>1841.6</v>
      </c>
    </row>
    <row r="291" ht="15.75" customHeight="1">
      <c r="B291" s="3">
        <f>IFERROR(__xludf.DUMMYFUNCTION("""COMPUTED_VALUE"""),43203.64583333333)</f>
        <v>43203.64583</v>
      </c>
      <c r="C291" s="2">
        <f>IFERROR(__xludf.DUMMYFUNCTION("""COMPUTED_VALUE"""),1871.9)</f>
        <v>1871.9</v>
      </c>
    </row>
    <row r="292" ht="15.75" customHeight="1">
      <c r="B292" s="3">
        <f>IFERROR(__xludf.DUMMYFUNCTION("""COMPUTED_VALUE"""),43210.64583333333)</f>
        <v>43210.64583</v>
      </c>
      <c r="C292" s="2">
        <f>IFERROR(__xludf.DUMMYFUNCTION("""COMPUTED_VALUE"""),1878.35)</f>
        <v>1878.35</v>
      </c>
    </row>
    <row r="293" ht="15.75" customHeight="1">
      <c r="B293" s="3">
        <f>IFERROR(__xludf.DUMMYFUNCTION("""COMPUTED_VALUE"""),43217.64583333333)</f>
        <v>43217.64583</v>
      </c>
      <c r="C293" s="2">
        <f>IFERROR(__xludf.DUMMYFUNCTION("""COMPUTED_VALUE"""),1900.0)</f>
        <v>1900</v>
      </c>
    </row>
    <row r="294" ht="15.75" customHeight="1">
      <c r="B294" s="3">
        <f>IFERROR(__xludf.DUMMYFUNCTION("""COMPUTED_VALUE"""),43224.64583333333)</f>
        <v>43224.64583</v>
      </c>
      <c r="C294" s="2">
        <f>IFERROR(__xludf.DUMMYFUNCTION("""COMPUTED_VALUE"""),1903.2)</f>
        <v>1903.2</v>
      </c>
    </row>
    <row r="295" ht="15.75" customHeight="1">
      <c r="B295" s="3">
        <f>IFERROR(__xludf.DUMMYFUNCTION("""COMPUTED_VALUE"""),43231.64583333333)</f>
        <v>43231.64583</v>
      </c>
      <c r="C295" s="2">
        <f>IFERROR(__xludf.DUMMYFUNCTION("""COMPUTED_VALUE"""),1910.95)</f>
        <v>1910.95</v>
      </c>
    </row>
    <row r="296" ht="15.75" customHeight="1">
      <c r="B296" s="3">
        <f>IFERROR(__xludf.DUMMYFUNCTION("""COMPUTED_VALUE"""),43238.64583333333)</f>
        <v>43238.64583</v>
      </c>
      <c r="C296" s="2">
        <f>IFERROR(__xludf.DUMMYFUNCTION("""COMPUTED_VALUE"""),1951.5)</f>
        <v>1951.5</v>
      </c>
    </row>
    <row r="297" ht="15.75" customHeight="1">
      <c r="B297" s="3">
        <f>IFERROR(__xludf.DUMMYFUNCTION("""COMPUTED_VALUE"""),43245.64583333333)</f>
        <v>43245.64583</v>
      </c>
      <c r="C297" s="2">
        <f>IFERROR(__xludf.DUMMYFUNCTION("""COMPUTED_VALUE"""),1947.0)</f>
        <v>1947</v>
      </c>
    </row>
    <row r="298" ht="15.75" customHeight="1">
      <c r="B298" s="3">
        <f>IFERROR(__xludf.DUMMYFUNCTION("""COMPUTED_VALUE"""),43252.64583333333)</f>
        <v>43252.64583</v>
      </c>
      <c r="C298" s="2">
        <f>IFERROR(__xludf.DUMMYFUNCTION("""COMPUTED_VALUE"""),1995.0)</f>
        <v>1995</v>
      </c>
    </row>
    <row r="299" ht="15.75" customHeight="1">
      <c r="B299" s="3">
        <f>IFERROR(__xludf.DUMMYFUNCTION("""COMPUTED_VALUE"""),43259.64583333333)</f>
        <v>43259.64583</v>
      </c>
      <c r="C299" s="2">
        <f>IFERROR(__xludf.DUMMYFUNCTION("""COMPUTED_VALUE"""),1963.0)</f>
        <v>1963</v>
      </c>
    </row>
    <row r="300" ht="15.75" customHeight="1">
      <c r="B300" s="3">
        <f>IFERROR(__xludf.DUMMYFUNCTION("""COMPUTED_VALUE"""),43266.64583333333)</f>
        <v>43266.64583</v>
      </c>
      <c r="C300" s="2">
        <f>IFERROR(__xludf.DUMMYFUNCTION("""COMPUTED_VALUE"""),1978.4)</f>
        <v>1978.4</v>
      </c>
    </row>
    <row r="301" ht="15.75" customHeight="1">
      <c r="B301" s="3">
        <f>IFERROR(__xludf.DUMMYFUNCTION("""COMPUTED_VALUE"""),43273.64583333333)</f>
        <v>43273.64583</v>
      </c>
      <c r="C301" s="2">
        <f>IFERROR(__xludf.DUMMYFUNCTION("""COMPUTED_VALUE"""),1989.0)</f>
        <v>1989</v>
      </c>
    </row>
    <row r="302" ht="15.75" customHeight="1">
      <c r="B302" s="3">
        <f>IFERROR(__xludf.DUMMYFUNCTION("""COMPUTED_VALUE"""),43280.64583333333)</f>
        <v>43280.64583</v>
      </c>
      <c r="C302" s="2">
        <f>IFERROR(__xludf.DUMMYFUNCTION("""COMPUTED_VALUE"""),1995.0)</f>
        <v>1995</v>
      </c>
    </row>
    <row r="303" ht="15.75" customHeight="1">
      <c r="B303" s="3">
        <f>IFERROR(__xludf.DUMMYFUNCTION("""COMPUTED_VALUE"""),43287.64583333333)</f>
        <v>43287.64583</v>
      </c>
      <c r="C303" s="2">
        <f>IFERROR(__xludf.DUMMYFUNCTION("""COMPUTED_VALUE"""),1991.0)</f>
        <v>1991</v>
      </c>
    </row>
    <row r="304" ht="15.75" customHeight="1">
      <c r="B304" s="3">
        <f>IFERROR(__xludf.DUMMYFUNCTION("""COMPUTED_VALUE"""),43294.64583333333)</f>
        <v>43294.64583</v>
      </c>
      <c r="C304" s="2">
        <f>IFERROR(__xludf.DUMMYFUNCTION("""COMPUTED_VALUE"""),1970.0)</f>
        <v>1970</v>
      </c>
    </row>
    <row r="305" ht="15.75" customHeight="1">
      <c r="B305" s="3">
        <f>IFERROR(__xludf.DUMMYFUNCTION("""COMPUTED_VALUE"""),43301.64583333333)</f>
        <v>43301.64583</v>
      </c>
      <c r="C305" s="2">
        <f>IFERROR(__xludf.DUMMYFUNCTION("""COMPUTED_VALUE"""),1950.5)</f>
        <v>1950.5</v>
      </c>
    </row>
    <row r="306" ht="15.75" customHeight="1">
      <c r="B306" s="3">
        <f>IFERROR(__xludf.DUMMYFUNCTION("""COMPUTED_VALUE"""),43308.64583333333)</f>
        <v>43308.64583</v>
      </c>
      <c r="C306" s="2">
        <f>IFERROR(__xludf.DUMMYFUNCTION("""COMPUTED_VALUE"""),1988.8)</f>
        <v>1988.8</v>
      </c>
    </row>
    <row r="307" ht="15.75" customHeight="1">
      <c r="B307" s="3">
        <f>IFERROR(__xludf.DUMMYFUNCTION("""COMPUTED_VALUE"""),43315.64583333333)</f>
        <v>43315.64583</v>
      </c>
      <c r="C307" s="2">
        <f>IFERROR(__xludf.DUMMYFUNCTION("""COMPUTED_VALUE"""),2038.0)</f>
        <v>2038</v>
      </c>
    </row>
    <row r="308" ht="15.75" customHeight="1">
      <c r="B308" s="3">
        <f>IFERROR(__xludf.DUMMYFUNCTION("""COMPUTED_VALUE"""),43322.64583333333)</f>
        <v>43322.64583</v>
      </c>
      <c r="C308" s="2">
        <f>IFERROR(__xludf.DUMMYFUNCTION("""COMPUTED_VALUE"""),2025.7)</f>
        <v>2025.7</v>
      </c>
    </row>
    <row r="309" ht="15.75" customHeight="1">
      <c r="B309" s="3">
        <f>IFERROR(__xludf.DUMMYFUNCTION("""COMPUTED_VALUE"""),43329.64583333333)</f>
        <v>43329.64583</v>
      </c>
      <c r="C309" s="2">
        <f>IFERROR(__xludf.DUMMYFUNCTION("""COMPUTED_VALUE"""),2000.0)</f>
        <v>2000</v>
      </c>
    </row>
    <row r="310" ht="15.75" customHeight="1">
      <c r="B310" s="3">
        <f>IFERROR(__xludf.DUMMYFUNCTION("""COMPUTED_VALUE"""),43336.64583333333)</f>
        <v>43336.64583</v>
      </c>
      <c r="C310" s="2">
        <f>IFERROR(__xludf.DUMMYFUNCTION("""COMPUTED_VALUE"""),2000.0)</f>
        <v>2000</v>
      </c>
    </row>
    <row r="311" ht="15.75" customHeight="1">
      <c r="B311" s="3">
        <f>IFERROR(__xludf.DUMMYFUNCTION("""COMPUTED_VALUE"""),43343.64583333333)</f>
        <v>43343.64583</v>
      </c>
      <c r="C311" s="2">
        <f>IFERROR(__xludf.DUMMYFUNCTION("""COMPUTED_VALUE"""),1968.65)</f>
        <v>1968.65</v>
      </c>
    </row>
    <row r="312" ht="15.75" customHeight="1">
      <c r="B312" s="3">
        <f>IFERROR(__xludf.DUMMYFUNCTION("""COMPUTED_VALUE"""),43350.64583333333)</f>
        <v>43350.64583</v>
      </c>
      <c r="C312" s="2">
        <f>IFERROR(__xludf.DUMMYFUNCTION("""COMPUTED_VALUE"""),1918.85)</f>
        <v>1918.85</v>
      </c>
    </row>
    <row r="313" ht="15.75" customHeight="1">
      <c r="B313" s="3">
        <f>IFERROR(__xludf.DUMMYFUNCTION("""COMPUTED_VALUE"""),43357.64583333333)</f>
        <v>43357.64583</v>
      </c>
      <c r="C313" s="2">
        <f>IFERROR(__xludf.DUMMYFUNCTION("""COMPUTED_VALUE"""),1881.8)</f>
        <v>1881.8</v>
      </c>
    </row>
    <row r="314" ht="15.75" customHeight="1">
      <c r="B314" s="3">
        <f>IFERROR(__xludf.DUMMYFUNCTION("""COMPUTED_VALUE"""),43364.64583333333)</f>
        <v>43364.64583</v>
      </c>
      <c r="C314" s="2">
        <f>IFERROR(__xludf.DUMMYFUNCTION("""COMPUTED_VALUE"""),1889.3)</f>
        <v>1889.3</v>
      </c>
    </row>
    <row r="315" ht="15.75" customHeight="1">
      <c r="B315" s="3">
        <f>IFERROR(__xludf.DUMMYFUNCTION("""COMPUTED_VALUE"""),43371.64583333333)</f>
        <v>43371.64583</v>
      </c>
      <c r="C315" s="2">
        <f>IFERROR(__xludf.DUMMYFUNCTION("""COMPUTED_VALUE"""),1774.3)</f>
        <v>1774.3</v>
      </c>
    </row>
    <row r="316" ht="15.75" customHeight="1">
      <c r="B316" s="3">
        <f>IFERROR(__xludf.DUMMYFUNCTION("""COMPUTED_VALUE"""),43378.64583333333)</f>
        <v>43378.64583</v>
      </c>
      <c r="C316" s="2">
        <f>IFERROR(__xludf.DUMMYFUNCTION("""COMPUTED_VALUE"""),1669.9)</f>
        <v>1669.9</v>
      </c>
    </row>
    <row r="317" ht="15.75" customHeight="1">
      <c r="B317" s="3">
        <f>IFERROR(__xludf.DUMMYFUNCTION("""COMPUTED_VALUE"""),43385.64583333333)</f>
        <v>43385.64583</v>
      </c>
      <c r="C317" s="2">
        <f>IFERROR(__xludf.DUMMYFUNCTION("""COMPUTED_VALUE"""),1666.85)</f>
        <v>1666.85</v>
      </c>
    </row>
    <row r="318" ht="15.75" customHeight="1">
      <c r="B318" s="3">
        <f>IFERROR(__xludf.DUMMYFUNCTION("""COMPUTED_VALUE"""),43392.64583333333)</f>
        <v>43392.64583</v>
      </c>
      <c r="C318" s="2">
        <f>IFERROR(__xludf.DUMMYFUNCTION("""COMPUTED_VALUE"""),1695.95)</f>
        <v>1695.95</v>
      </c>
    </row>
    <row r="319" ht="15.75" customHeight="1">
      <c r="B319" s="3">
        <f>IFERROR(__xludf.DUMMYFUNCTION("""COMPUTED_VALUE"""),43399.64583333333)</f>
        <v>43399.64583</v>
      </c>
      <c r="C319" s="2">
        <f>IFERROR(__xludf.DUMMYFUNCTION("""COMPUTED_VALUE"""),1600.4)</f>
        <v>1600.4</v>
      </c>
    </row>
    <row r="320" ht="15.75" customHeight="1">
      <c r="B320" s="3">
        <f>IFERROR(__xludf.DUMMYFUNCTION("""COMPUTED_VALUE"""),43406.64583333333)</f>
        <v>43406.64583</v>
      </c>
      <c r="C320" s="2">
        <f>IFERROR(__xludf.DUMMYFUNCTION("""COMPUTED_VALUE"""),1554.9)</f>
        <v>1554.9</v>
      </c>
    </row>
    <row r="321" ht="15.75" customHeight="1">
      <c r="B321" s="3">
        <f>IFERROR(__xludf.DUMMYFUNCTION("""COMPUTED_VALUE"""),43413.64583333333)</f>
        <v>43413.64583</v>
      </c>
      <c r="C321" s="2">
        <f>IFERROR(__xludf.DUMMYFUNCTION("""COMPUTED_VALUE"""),1535.0)</f>
        <v>1535</v>
      </c>
    </row>
    <row r="322" ht="15.75" customHeight="1">
      <c r="B322" s="3">
        <f>IFERROR(__xludf.DUMMYFUNCTION("""COMPUTED_VALUE"""),43420.64583333333)</f>
        <v>43420.64583</v>
      </c>
      <c r="C322" s="2">
        <f>IFERROR(__xludf.DUMMYFUNCTION("""COMPUTED_VALUE"""),1533.25)</f>
        <v>1533.25</v>
      </c>
    </row>
    <row r="323" ht="15.75" customHeight="1">
      <c r="B323" s="3">
        <f>IFERROR(__xludf.DUMMYFUNCTION("""COMPUTED_VALUE"""),43426.64583333333)</f>
        <v>43426.64583</v>
      </c>
      <c r="C323" s="2">
        <f>IFERROR(__xludf.DUMMYFUNCTION("""COMPUTED_VALUE"""),1569.9)</f>
        <v>1569.9</v>
      </c>
    </row>
    <row r="324" ht="15.75" customHeight="1">
      <c r="B324" s="3">
        <f>IFERROR(__xludf.DUMMYFUNCTION("""COMPUTED_VALUE"""),43434.64583333333)</f>
        <v>43434.64583</v>
      </c>
      <c r="C324" s="2">
        <f>IFERROR(__xludf.DUMMYFUNCTION("""COMPUTED_VALUE"""),1674.45)</f>
        <v>1674.45</v>
      </c>
    </row>
    <row r="325" ht="15.75" customHeight="1">
      <c r="B325" s="3">
        <f>IFERROR(__xludf.DUMMYFUNCTION("""COMPUTED_VALUE"""),43441.64583333333)</f>
        <v>43441.64583</v>
      </c>
      <c r="C325" s="2">
        <f>IFERROR(__xludf.DUMMYFUNCTION("""COMPUTED_VALUE"""),1661.85)</f>
        <v>1661.85</v>
      </c>
    </row>
    <row r="326" ht="15.75" customHeight="1">
      <c r="B326" s="3">
        <f>IFERROR(__xludf.DUMMYFUNCTION("""COMPUTED_VALUE"""),43448.64583333333)</f>
        <v>43448.64583</v>
      </c>
      <c r="C326" s="2">
        <f>IFERROR(__xludf.DUMMYFUNCTION("""COMPUTED_VALUE"""),1628.0)</f>
        <v>1628</v>
      </c>
    </row>
    <row r="327" ht="15.75" customHeight="1">
      <c r="B327" s="3">
        <f>IFERROR(__xludf.DUMMYFUNCTION("""COMPUTED_VALUE"""),43455.64583333333)</f>
        <v>43455.64583</v>
      </c>
      <c r="C327" s="2">
        <f>IFERROR(__xludf.DUMMYFUNCTION("""COMPUTED_VALUE"""),1652.7)</f>
        <v>1652.7</v>
      </c>
    </row>
    <row r="328" ht="15.75" customHeight="1">
      <c r="B328" s="3">
        <f>IFERROR(__xludf.DUMMYFUNCTION("""COMPUTED_VALUE"""),43462.64583333333)</f>
        <v>43462.64583</v>
      </c>
      <c r="C328" s="2">
        <f>IFERROR(__xludf.DUMMYFUNCTION("""COMPUTED_VALUE"""),1600.5)</f>
        <v>1600.5</v>
      </c>
    </row>
    <row r="329" ht="15.75" customHeight="1"/>
    <row r="330" ht="15.75" customHeight="1"/>
    <row r="331" ht="15.75" customHeight="1">
      <c r="B331" s="2" t="str">
        <f>IFERROR(__xludf.DUMMYFUNCTION("GOOGLEFINANCE(""NSE:INDUSINDBK"", ""high"",DATE(2019,1,1),DATE(2020,1,1),""weekly"")"),"Date")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IFERROR(__xludf.DUMMYFUNCTION("""COMPUTED_VALUE"""),43469.64583333333)</f>
        <v>43469.64583</v>
      </c>
      <c r="C332" s="2">
        <f>IFERROR(__xludf.DUMMYFUNCTION("""COMPUTED_VALUE"""),1605.0)</f>
        <v>1605</v>
      </c>
    </row>
    <row r="333" ht="15.75" customHeight="1">
      <c r="B333" s="3">
        <f>IFERROR(__xludf.DUMMYFUNCTION("""COMPUTED_VALUE"""),43476.64583333333)</f>
        <v>43476.64583</v>
      </c>
      <c r="C333" s="2">
        <f>IFERROR(__xludf.DUMMYFUNCTION("""COMPUTED_VALUE"""),1610.0)</f>
        <v>1610</v>
      </c>
    </row>
    <row r="334" ht="15.75" customHeight="1">
      <c r="B334" s="3">
        <f>IFERROR(__xludf.DUMMYFUNCTION("""COMPUTED_VALUE"""),43483.64583333333)</f>
        <v>43483.64583</v>
      </c>
      <c r="C334" s="2">
        <f>IFERROR(__xludf.DUMMYFUNCTION("""COMPUTED_VALUE"""),1536.0)</f>
        <v>1536</v>
      </c>
    </row>
    <row r="335" ht="15.75" customHeight="1">
      <c r="B335" s="3">
        <f>IFERROR(__xludf.DUMMYFUNCTION("""COMPUTED_VALUE"""),43490.64583333333)</f>
        <v>43490.64583</v>
      </c>
      <c r="C335" s="2">
        <f>IFERROR(__xludf.DUMMYFUNCTION("""COMPUTED_VALUE"""),1517.9)</f>
        <v>1517.9</v>
      </c>
    </row>
    <row r="336" ht="15.75" customHeight="1">
      <c r="B336" s="3">
        <f>IFERROR(__xludf.DUMMYFUNCTION("""COMPUTED_VALUE"""),43497.64583333333)</f>
        <v>43497.64583</v>
      </c>
      <c r="C336" s="2">
        <f>IFERROR(__xludf.DUMMYFUNCTION("""COMPUTED_VALUE"""),1535.4)</f>
        <v>1535.4</v>
      </c>
    </row>
    <row r="337" ht="15.75" customHeight="1">
      <c r="B337" s="3">
        <f>IFERROR(__xludf.DUMMYFUNCTION("""COMPUTED_VALUE"""),43504.64583333333)</f>
        <v>43504.64583</v>
      </c>
      <c r="C337" s="2">
        <f>IFERROR(__xludf.DUMMYFUNCTION("""COMPUTED_VALUE"""),1557.15)</f>
        <v>1557.15</v>
      </c>
    </row>
    <row r="338" ht="15.75" customHeight="1">
      <c r="B338" s="3">
        <f>IFERROR(__xludf.DUMMYFUNCTION("""COMPUTED_VALUE"""),43511.64583333333)</f>
        <v>43511.64583</v>
      </c>
      <c r="C338" s="2">
        <f>IFERROR(__xludf.DUMMYFUNCTION("""COMPUTED_VALUE"""),1530.8)</f>
        <v>1530.8</v>
      </c>
    </row>
    <row r="339" ht="15.75" customHeight="1">
      <c r="B339" s="3">
        <f>IFERROR(__xludf.DUMMYFUNCTION("""COMPUTED_VALUE"""),43518.64583333333)</f>
        <v>43518.64583</v>
      </c>
      <c r="C339" s="2">
        <f>IFERROR(__xludf.DUMMYFUNCTION("""COMPUTED_VALUE"""),1520.9)</f>
        <v>1520.9</v>
      </c>
    </row>
    <row r="340" ht="15.75" customHeight="1">
      <c r="B340" s="3">
        <f>IFERROR(__xludf.DUMMYFUNCTION("""COMPUTED_VALUE"""),43525.64583333333)</f>
        <v>43525.64583</v>
      </c>
      <c r="C340" s="2">
        <f>IFERROR(__xludf.DUMMYFUNCTION("""COMPUTED_VALUE"""),1519.5)</f>
        <v>1519.5</v>
      </c>
    </row>
    <row r="341" ht="15.75" customHeight="1">
      <c r="B341" s="3">
        <f>IFERROR(__xludf.DUMMYFUNCTION("""COMPUTED_VALUE"""),43532.64583333333)</f>
        <v>43532.64583</v>
      </c>
      <c r="C341" s="2">
        <f>IFERROR(__xludf.DUMMYFUNCTION("""COMPUTED_VALUE"""),1547.0)</f>
        <v>1547</v>
      </c>
    </row>
    <row r="342" ht="15.75" customHeight="1">
      <c r="B342" s="3">
        <f>IFERROR(__xludf.DUMMYFUNCTION("""COMPUTED_VALUE"""),43539.64583333333)</f>
        <v>43539.64583</v>
      </c>
      <c r="C342" s="2">
        <f>IFERROR(__xludf.DUMMYFUNCTION("""COMPUTED_VALUE"""),1718.0)</f>
        <v>1718</v>
      </c>
    </row>
    <row r="343" ht="15.75" customHeight="1">
      <c r="B343" s="3">
        <f>IFERROR(__xludf.DUMMYFUNCTION("""COMPUTED_VALUE"""),43546.64583333333)</f>
        <v>43546.64583</v>
      </c>
      <c r="C343" s="2">
        <f>IFERROR(__xludf.DUMMYFUNCTION("""COMPUTED_VALUE"""),1735.0)</f>
        <v>1735</v>
      </c>
    </row>
    <row r="344" ht="15.75" customHeight="1">
      <c r="B344" s="3">
        <f>IFERROR(__xludf.DUMMYFUNCTION("""COMPUTED_VALUE"""),43553.64583333333)</f>
        <v>43553.64583</v>
      </c>
      <c r="C344" s="2">
        <f>IFERROR(__xludf.DUMMYFUNCTION("""COMPUTED_VALUE"""),1834.4)</f>
        <v>1834.4</v>
      </c>
    </row>
    <row r="345" ht="15.75" customHeight="1">
      <c r="B345" s="3">
        <f>IFERROR(__xludf.DUMMYFUNCTION("""COMPUTED_VALUE"""),43560.64583333333)</f>
        <v>43560.64583</v>
      </c>
      <c r="C345" s="2">
        <f>IFERROR(__xludf.DUMMYFUNCTION("""COMPUTED_VALUE"""),1818.0)</f>
        <v>1818</v>
      </c>
    </row>
    <row r="346" ht="15.75" customHeight="1">
      <c r="B346" s="3">
        <f>IFERROR(__xludf.DUMMYFUNCTION("""COMPUTED_VALUE"""),43567.64583333333)</f>
        <v>43567.64583</v>
      </c>
      <c r="C346" s="2">
        <f>IFERROR(__xludf.DUMMYFUNCTION("""COMPUTED_VALUE"""),1798.6)</f>
        <v>1798.6</v>
      </c>
    </row>
    <row r="347" ht="15.75" customHeight="1">
      <c r="B347" s="3">
        <f>IFERROR(__xludf.DUMMYFUNCTION("""COMPUTED_VALUE"""),43573.64583333333)</f>
        <v>43573.64583</v>
      </c>
      <c r="C347" s="2">
        <f>IFERROR(__xludf.DUMMYFUNCTION("""COMPUTED_VALUE"""),1823.75)</f>
        <v>1823.75</v>
      </c>
    </row>
    <row r="348" ht="15.75" customHeight="1">
      <c r="B348" s="3">
        <f>IFERROR(__xludf.DUMMYFUNCTION("""COMPUTED_VALUE"""),43581.64583333333)</f>
        <v>43581.64583</v>
      </c>
      <c r="C348" s="2">
        <f>IFERROR(__xludf.DUMMYFUNCTION("""COMPUTED_VALUE"""),1760.0)</f>
        <v>1760</v>
      </c>
    </row>
    <row r="349" ht="15.75" customHeight="1">
      <c r="B349" s="3">
        <f>IFERROR(__xludf.DUMMYFUNCTION("""COMPUTED_VALUE"""),43588.64583333333)</f>
        <v>43588.64583</v>
      </c>
      <c r="C349" s="2">
        <f>IFERROR(__xludf.DUMMYFUNCTION("""COMPUTED_VALUE"""),1679.9)</f>
        <v>1679.9</v>
      </c>
    </row>
    <row r="350" ht="15.75" customHeight="1">
      <c r="B350" s="3">
        <f>IFERROR(__xludf.DUMMYFUNCTION("""COMPUTED_VALUE"""),43595.64583333333)</f>
        <v>43595.64583</v>
      </c>
      <c r="C350" s="2">
        <f>IFERROR(__xludf.DUMMYFUNCTION("""COMPUTED_VALUE"""),1543.3)</f>
        <v>1543.3</v>
      </c>
    </row>
    <row r="351" ht="15.75" customHeight="1">
      <c r="B351" s="3">
        <f>IFERROR(__xludf.DUMMYFUNCTION("""COMPUTED_VALUE"""),43602.64583333333)</f>
        <v>43602.64583</v>
      </c>
      <c r="C351" s="2">
        <f>IFERROR(__xludf.DUMMYFUNCTION("""COMPUTED_VALUE"""),1452.0)</f>
        <v>1452</v>
      </c>
    </row>
    <row r="352" ht="15.75" customHeight="1">
      <c r="B352" s="3">
        <f>IFERROR(__xludf.DUMMYFUNCTION("""COMPUTED_VALUE"""),43609.64583333333)</f>
        <v>43609.64583</v>
      </c>
      <c r="C352" s="2">
        <f>IFERROR(__xludf.DUMMYFUNCTION("""COMPUTED_VALUE"""),1658.0)</f>
        <v>1658</v>
      </c>
    </row>
    <row r="353" ht="15.75" customHeight="1">
      <c r="B353" s="3">
        <f>IFERROR(__xludf.DUMMYFUNCTION("""COMPUTED_VALUE"""),43616.64583333333)</f>
        <v>43616.64583</v>
      </c>
      <c r="C353" s="2">
        <f>IFERROR(__xludf.DUMMYFUNCTION("""COMPUTED_VALUE"""),1647.9)</f>
        <v>1647.9</v>
      </c>
    </row>
    <row r="354" ht="15.75" customHeight="1">
      <c r="B354" s="3">
        <f>IFERROR(__xludf.DUMMYFUNCTION("""COMPUTED_VALUE"""),43623.64583333333)</f>
        <v>43623.64583</v>
      </c>
      <c r="C354" s="2">
        <f>IFERROR(__xludf.DUMMYFUNCTION("""COMPUTED_VALUE"""),1672.95)</f>
        <v>1672.95</v>
      </c>
    </row>
    <row r="355" ht="15.75" customHeight="1">
      <c r="B355" s="3">
        <f>IFERROR(__xludf.DUMMYFUNCTION("""COMPUTED_VALUE"""),43630.64583333333)</f>
        <v>43630.64583</v>
      </c>
      <c r="C355" s="2">
        <f>IFERROR(__xludf.DUMMYFUNCTION("""COMPUTED_VALUE"""),1602.6)</f>
        <v>1602.6</v>
      </c>
    </row>
    <row r="356" ht="15.75" customHeight="1">
      <c r="B356" s="3">
        <f>IFERROR(__xludf.DUMMYFUNCTION("""COMPUTED_VALUE"""),43637.64583333333)</f>
        <v>43637.64583</v>
      </c>
      <c r="C356" s="2">
        <f>IFERROR(__xludf.DUMMYFUNCTION("""COMPUTED_VALUE"""),1465.0)</f>
        <v>1465</v>
      </c>
    </row>
    <row r="357" ht="15.75" customHeight="1">
      <c r="B357" s="3">
        <f>IFERROR(__xludf.DUMMYFUNCTION("""COMPUTED_VALUE"""),43644.64583333333)</f>
        <v>43644.64583</v>
      </c>
      <c r="C357" s="2">
        <f>IFERROR(__xludf.DUMMYFUNCTION("""COMPUTED_VALUE"""),1485.0)</f>
        <v>1485</v>
      </c>
    </row>
    <row r="358" ht="15.75" customHeight="1">
      <c r="B358" s="3">
        <f>IFERROR(__xludf.DUMMYFUNCTION("""COMPUTED_VALUE"""),43651.64583333333)</f>
        <v>43651.64583</v>
      </c>
      <c r="C358" s="2">
        <f>IFERROR(__xludf.DUMMYFUNCTION("""COMPUTED_VALUE"""),1540.0)</f>
        <v>1540</v>
      </c>
    </row>
    <row r="359" ht="15.75" customHeight="1">
      <c r="B359" s="3">
        <f>IFERROR(__xludf.DUMMYFUNCTION("""COMPUTED_VALUE"""),43658.64583333333)</f>
        <v>43658.64583</v>
      </c>
      <c r="C359" s="2">
        <f>IFERROR(__xludf.DUMMYFUNCTION("""COMPUTED_VALUE"""),1562.5)</f>
        <v>1562.5</v>
      </c>
    </row>
    <row r="360" ht="15.75" customHeight="1">
      <c r="B360" s="3">
        <f>IFERROR(__xludf.DUMMYFUNCTION("""COMPUTED_VALUE"""),43665.64583333333)</f>
        <v>43665.64583</v>
      </c>
      <c r="C360" s="2">
        <f>IFERROR(__xludf.DUMMYFUNCTION("""COMPUTED_VALUE"""),1530.0)</f>
        <v>1530</v>
      </c>
    </row>
    <row r="361" ht="15.75" customHeight="1">
      <c r="B361" s="3">
        <f>IFERROR(__xludf.DUMMYFUNCTION("""COMPUTED_VALUE"""),43672.64583333333)</f>
        <v>43672.64583</v>
      </c>
      <c r="C361" s="2">
        <f>IFERROR(__xludf.DUMMYFUNCTION("""COMPUTED_VALUE"""),1432.8)</f>
        <v>1432.8</v>
      </c>
    </row>
    <row r="362" ht="15.75" customHeight="1">
      <c r="B362" s="3">
        <f>IFERROR(__xludf.DUMMYFUNCTION("""COMPUTED_VALUE"""),43679.64583333333)</f>
        <v>43679.64583</v>
      </c>
      <c r="C362" s="2">
        <f>IFERROR(__xludf.DUMMYFUNCTION("""COMPUTED_VALUE"""),1447.6)</f>
        <v>1447.6</v>
      </c>
    </row>
    <row r="363" ht="15.75" customHeight="1">
      <c r="B363" s="3">
        <f>IFERROR(__xludf.DUMMYFUNCTION("""COMPUTED_VALUE"""),43686.64583333333)</f>
        <v>43686.64583</v>
      </c>
      <c r="C363" s="2">
        <f>IFERROR(__xludf.DUMMYFUNCTION("""COMPUTED_VALUE"""),1462.05)</f>
        <v>1462.05</v>
      </c>
    </row>
    <row r="364" ht="15.75" customHeight="1">
      <c r="B364" s="3">
        <f>IFERROR(__xludf.DUMMYFUNCTION("""COMPUTED_VALUE"""),43693.64583333333)</f>
        <v>43693.64583</v>
      </c>
      <c r="C364" s="2">
        <f>IFERROR(__xludf.DUMMYFUNCTION("""COMPUTED_VALUE"""),1445.0)</f>
        <v>1445</v>
      </c>
    </row>
    <row r="365" ht="15.75" customHeight="1">
      <c r="B365" s="3">
        <f>IFERROR(__xludf.DUMMYFUNCTION("""COMPUTED_VALUE"""),43700.64583333333)</f>
        <v>43700.64583</v>
      </c>
      <c r="C365" s="2">
        <f>IFERROR(__xludf.DUMMYFUNCTION("""COMPUTED_VALUE"""),1457.9)</f>
        <v>1457.9</v>
      </c>
    </row>
    <row r="366" ht="15.75" customHeight="1">
      <c r="B366" s="3">
        <f>IFERROR(__xludf.DUMMYFUNCTION("""COMPUTED_VALUE"""),43707.64583333333)</f>
        <v>43707.64583</v>
      </c>
      <c r="C366" s="2">
        <f>IFERROR(__xludf.DUMMYFUNCTION("""COMPUTED_VALUE"""),1406.5)</f>
        <v>1406.5</v>
      </c>
    </row>
    <row r="367" ht="15.75" customHeight="1">
      <c r="B367" s="3">
        <f>IFERROR(__xludf.DUMMYFUNCTION("""COMPUTED_VALUE"""),43714.64583333333)</f>
        <v>43714.64583</v>
      </c>
      <c r="C367" s="2">
        <f>IFERROR(__xludf.DUMMYFUNCTION("""COMPUTED_VALUE"""),1387.95)</f>
        <v>1387.95</v>
      </c>
    </row>
    <row r="368" ht="15.75" customHeight="1">
      <c r="B368" s="3">
        <f>IFERROR(__xludf.DUMMYFUNCTION("""COMPUTED_VALUE"""),43721.64583333333)</f>
        <v>43721.64583</v>
      </c>
      <c r="C368" s="2">
        <f>IFERROR(__xludf.DUMMYFUNCTION("""COMPUTED_VALUE"""),1412.0)</f>
        <v>1412</v>
      </c>
    </row>
    <row r="369" ht="15.75" customHeight="1">
      <c r="B369" s="3">
        <f>IFERROR(__xludf.DUMMYFUNCTION("""COMPUTED_VALUE"""),43728.64583333333)</f>
        <v>43728.64583</v>
      </c>
      <c r="C369" s="2">
        <f>IFERROR(__xludf.DUMMYFUNCTION("""COMPUTED_VALUE"""),1454.4)</f>
        <v>1454.4</v>
      </c>
    </row>
    <row r="370" ht="15.75" customHeight="1">
      <c r="B370" s="3">
        <f>IFERROR(__xludf.DUMMYFUNCTION("""COMPUTED_VALUE"""),43735.64583333333)</f>
        <v>43735.64583</v>
      </c>
      <c r="C370" s="2">
        <f>IFERROR(__xludf.DUMMYFUNCTION("""COMPUTED_VALUE"""),1554.75)</f>
        <v>1554.75</v>
      </c>
    </row>
    <row r="371" ht="15.75" customHeight="1">
      <c r="B371" s="3">
        <f>IFERROR(__xludf.DUMMYFUNCTION("""COMPUTED_VALUE"""),43742.64583333333)</f>
        <v>43742.64583</v>
      </c>
      <c r="C371" s="2">
        <f>IFERROR(__xludf.DUMMYFUNCTION("""COMPUTED_VALUE"""),1475.8)</f>
        <v>1475.8</v>
      </c>
    </row>
    <row r="372" ht="15.75" customHeight="1">
      <c r="B372" s="3">
        <f>IFERROR(__xludf.DUMMYFUNCTION("""COMPUTED_VALUE"""),43749.64583333333)</f>
        <v>43749.64583</v>
      </c>
      <c r="C372" s="2">
        <f>IFERROR(__xludf.DUMMYFUNCTION("""COMPUTED_VALUE"""),1321.0)</f>
        <v>1321</v>
      </c>
    </row>
    <row r="373" ht="15.75" customHeight="1">
      <c r="B373" s="3">
        <f>IFERROR(__xludf.DUMMYFUNCTION("""COMPUTED_VALUE"""),43756.64583333333)</f>
        <v>43756.64583</v>
      </c>
      <c r="C373" s="2">
        <f>IFERROR(__xludf.DUMMYFUNCTION("""COMPUTED_VALUE"""),1361.7)</f>
        <v>1361.7</v>
      </c>
    </row>
    <row r="374" ht="15.75" customHeight="1">
      <c r="B374" s="3">
        <f>IFERROR(__xludf.DUMMYFUNCTION("""COMPUTED_VALUE"""),43763.79166666667)</f>
        <v>43763.79167</v>
      </c>
      <c r="C374" s="2">
        <f>IFERROR(__xludf.DUMMYFUNCTION("""COMPUTED_VALUE"""),1357.85)</f>
        <v>1357.85</v>
      </c>
    </row>
    <row r="375" ht="15.75" customHeight="1">
      <c r="B375" s="3">
        <f>IFERROR(__xludf.DUMMYFUNCTION("""COMPUTED_VALUE"""),43770.64583333333)</f>
        <v>43770.64583</v>
      </c>
      <c r="C375" s="2">
        <f>IFERROR(__xludf.DUMMYFUNCTION("""COMPUTED_VALUE"""),1385.85)</f>
        <v>1385.85</v>
      </c>
    </row>
    <row r="376" ht="15.75" customHeight="1">
      <c r="B376" s="3">
        <f>IFERROR(__xludf.DUMMYFUNCTION("""COMPUTED_VALUE"""),43777.64583333333)</f>
        <v>43777.64583</v>
      </c>
      <c r="C376" s="2">
        <f>IFERROR(__xludf.DUMMYFUNCTION("""COMPUTED_VALUE"""),1453.95)</f>
        <v>1453.95</v>
      </c>
    </row>
    <row r="377" ht="15.75" customHeight="1">
      <c r="B377" s="3">
        <f>IFERROR(__xludf.DUMMYFUNCTION("""COMPUTED_VALUE"""),43784.64583333333)</f>
        <v>43784.64583</v>
      </c>
      <c r="C377" s="2">
        <f>IFERROR(__xludf.DUMMYFUNCTION("""COMPUTED_VALUE"""),1462.45)</f>
        <v>1462.45</v>
      </c>
    </row>
    <row r="378" ht="15.75" customHeight="1">
      <c r="B378" s="3">
        <f>IFERROR(__xludf.DUMMYFUNCTION("""COMPUTED_VALUE"""),43791.64583333333)</f>
        <v>43791.64583</v>
      </c>
      <c r="C378" s="2">
        <f>IFERROR(__xludf.DUMMYFUNCTION("""COMPUTED_VALUE"""),1502.05)</f>
        <v>1502.05</v>
      </c>
    </row>
    <row r="379" ht="15.75" customHeight="1">
      <c r="B379" s="3">
        <f>IFERROR(__xludf.DUMMYFUNCTION("""COMPUTED_VALUE"""),43798.64583333333)</f>
        <v>43798.64583</v>
      </c>
      <c r="C379" s="2">
        <f>IFERROR(__xludf.DUMMYFUNCTION("""COMPUTED_VALUE"""),1581.6)</f>
        <v>1581.6</v>
      </c>
    </row>
    <row r="380" ht="15.75" customHeight="1">
      <c r="B380" s="3">
        <f>IFERROR(__xludf.DUMMYFUNCTION("""COMPUTED_VALUE"""),43805.64583333333)</f>
        <v>43805.64583</v>
      </c>
      <c r="C380" s="2">
        <f>IFERROR(__xludf.DUMMYFUNCTION("""COMPUTED_VALUE"""),1596.55)</f>
        <v>1596.55</v>
      </c>
    </row>
    <row r="381" ht="15.75" customHeight="1">
      <c r="B381" s="3">
        <f>IFERROR(__xludf.DUMMYFUNCTION("""COMPUTED_VALUE"""),43812.64583333333)</f>
        <v>43812.64583</v>
      </c>
      <c r="C381" s="2">
        <f>IFERROR(__xludf.DUMMYFUNCTION("""COMPUTED_VALUE"""),1493.95)</f>
        <v>1493.95</v>
      </c>
    </row>
    <row r="382" ht="15.75" customHeight="1">
      <c r="B382" s="3">
        <f>IFERROR(__xludf.DUMMYFUNCTION("""COMPUTED_VALUE"""),43819.64583333333)</f>
        <v>43819.64583</v>
      </c>
      <c r="C382" s="2">
        <f>IFERROR(__xludf.DUMMYFUNCTION("""COMPUTED_VALUE"""),1508.5)</f>
        <v>1508.5</v>
      </c>
    </row>
    <row r="383" ht="15.75" customHeight="1">
      <c r="B383" s="3">
        <f>IFERROR(__xludf.DUMMYFUNCTION("""COMPUTED_VALUE"""),43826.64583333333)</f>
        <v>43826.64583</v>
      </c>
      <c r="C383" s="2">
        <f>IFERROR(__xludf.DUMMYFUNCTION("""COMPUTED_VALUE"""),1540.0)</f>
        <v>1540</v>
      </c>
    </row>
    <row r="384" ht="15.75" customHeight="1"/>
    <row r="385" ht="15.75" customHeight="1"/>
    <row r="386" ht="15.75" customHeight="1">
      <c r="B386" s="2" t="str">
        <f>IFERROR(__xludf.DUMMYFUNCTION("GOOGLEFINANCE(""NSE:INDUSINDBK"", ""high"",DATE(2020,1,1),DATE(2021,1,1),""weekly"")"),"Date")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IFERROR(__xludf.DUMMYFUNCTION("""COMPUTED_VALUE"""),43833.64583333333)</f>
        <v>43833.64583</v>
      </c>
      <c r="C387" s="2">
        <f>IFERROR(__xludf.DUMMYFUNCTION("""COMPUTED_VALUE"""),1552.5)</f>
        <v>1552.5</v>
      </c>
    </row>
    <row r="388" ht="15.75" customHeight="1">
      <c r="B388" s="3">
        <f>IFERROR(__xludf.DUMMYFUNCTION("""COMPUTED_VALUE"""),43840.64583333333)</f>
        <v>43840.64583</v>
      </c>
      <c r="C388" s="2">
        <f>IFERROR(__xludf.DUMMYFUNCTION("""COMPUTED_VALUE"""),1521.65)</f>
        <v>1521.65</v>
      </c>
    </row>
    <row r="389" ht="15.75" customHeight="1">
      <c r="B389" s="3">
        <f>IFERROR(__xludf.DUMMYFUNCTION("""COMPUTED_VALUE"""),43847.64583333333)</f>
        <v>43847.64583</v>
      </c>
      <c r="C389" s="2">
        <f>IFERROR(__xludf.DUMMYFUNCTION("""COMPUTED_VALUE"""),1585.0)</f>
        <v>1585</v>
      </c>
    </row>
    <row r="390" ht="15.75" customHeight="1">
      <c r="B390" s="3">
        <f>IFERROR(__xludf.DUMMYFUNCTION("""COMPUTED_VALUE"""),43854.64583333333)</f>
        <v>43854.64583</v>
      </c>
      <c r="C390" s="2">
        <f>IFERROR(__xludf.DUMMYFUNCTION("""COMPUTED_VALUE"""),1367.9)</f>
        <v>1367.9</v>
      </c>
    </row>
    <row r="391" ht="15.75" customHeight="1">
      <c r="B391" s="3">
        <f>IFERROR(__xludf.DUMMYFUNCTION("""COMPUTED_VALUE"""),43862.70833333333)</f>
        <v>43862.70833</v>
      </c>
      <c r="C391" s="2">
        <f>IFERROR(__xludf.DUMMYFUNCTION("""COMPUTED_VALUE"""),1312.0)</f>
        <v>1312</v>
      </c>
    </row>
    <row r="392" ht="15.75" customHeight="1">
      <c r="B392" s="3">
        <f>IFERROR(__xludf.DUMMYFUNCTION("""COMPUTED_VALUE"""),43868.64583333333)</f>
        <v>43868.64583</v>
      </c>
      <c r="C392" s="2">
        <f>IFERROR(__xludf.DUMMYFUNCTION("""COMPUTED_VALUE"""),1346.05)</f>
        <v>1346.05</v>
      </c>
    </row>
    <row r="393" ht="15.75" customHeight="1">
      <c r="B393" s="3">
        <f>IFERROR(__xludf.DUMMYFUNCTION("""COMPUTED_VALUE"""),43875.64583333333)</f>
        <v>43875.64583</v>
      </c>
      <c r="C393" s="2">
        <f>IFERROR(__xludf.DUMMYFUNCTION("""COMPUTED_VALUE"""),1309.9)</f>
        <v>1309.9</v>
      </c>
    </row>
    <row r="394" ht="15.75" customHeight="1">
      <c r="B394" s="3">
        <f>IFERROR(__xludf.DUMMYFUNCTION("""COMPUTED_VALUE"""),43881.64583333333)</f>
        <v>43881.64583</v>
      </c>
      <c r="C394" s="2">
        <f>IFERROR(__xludf.DUMMYFUNCTION("""COMPUTED_VALUE"""),1209.0)</f>
        <v>1209</v>
      </c>
    </row>
    <row r="395" ht="15.75" customHeight="1">
      <c r="B395" s="3">
        <f>IFERROR(__xludf.DUMMYFUNCTION("""COMPUTED_VALUE"""),43889.64583333333)</f>
        <v>43889.64583</v>
      </c>
      <c r="C395" s="2">
        <f>IFERROR(__xludf.DUMMYFUNCTION("""COMPUTED_VALUE"""),1189.5)</f>
        <v>1189.5</v>
      </c>
    </row>
    <row r="396" ht="15.75" customHeight="1">
      <c r="B396" s="3">
        <f>IFERROR(__xludf.DUMMYFUNCTION("""COMPUTED_VALUE"""),43896.64583333333)</f>
        <v>43896.64583</v>
      </c>
      <c r="C396" s="2">
        <f>IFERROR(__xludf.DUMMYFUNCTION("""COMPUTED_VALUE"""),1136.95)</f>
        <v>1136.95</v>
      </c>
    </row>
    <row r="397" ht="15.75" customHeight="1">
      <c r="B397" s="3">
        <f>IFERROR(__xludf.DUMMYFUNCTION("""COMPUTED_VALUE"""),43903.64583333333)</f>
        <v>43903.64583</v>
      </c>
      <c r="C397" s="2">
        <f>IFERROR(__xludf.DUMMYFUNCTION("""COMPUTED_VALUE"""),969.95)</f>
        <v>969.95</v>
      </c>
    </row>
    <row r="398" ht="15.75" customHeight="1">
      <c r="B398" s="3">
        <f>IFERROR(__xludf.DUMMYFUNCTION("""COMPUTED_VALUE"""),43910.64583333333)</f>
        <v>43910.64583</v>
      </c>
      <c r="C398" s="2">
        <f>IFERROR(__xludf.DUMMYFUNCTION("""COMPUTED_VALUE"""),758.7)</f>
        <v>758.7</v>
      </c>
    </row>
    <row r="399" ht="15.75" customHeight="1">
      <c r="B399" s="3">
        <f>IFERROR(__xludf.DUMMYFUNCTION("""COMPUTED_VALUE"""),43917.64583333333)</f>
        <v>43917.64583</v>
      </c>
      <c r="C399" s="2">
        <f>IFERROR(__xludf.DUMMYFUNCTION("""COMPUTED_VALUE"""),538.55)</f>
        <v>538.55</v>
      </c>
    </row>
    <row r="400" ht="15.75" customHeight="1">
      <c r="B400" s="3">
        <f>IFERROR(__xludf.DUMMYFUNCTION("""COMPUTED_VALUE"""),43924.64583333333)</f>
        <v>43924.64583</v>
      </c>
      <c r="C400" s="2">
        <f>IFERROR(__xludf.DUMMYFUNCTION("""COMPUTED_VALUE"""),427.7)</f>
        <v>427.7</v>
      </c>
    </row>
    <row r="401" ht="15.75" customHeight="1">
      <c r="B401" s="3">
        <f>IFERROR(__xludf.DUMMYFUNCTION("""COMPUTED_VALUE"""),43930.64583333333)</f>
        <v>43930.64583</v>
      </c>
      <c r="C401" s="2">
        <f>IFERROR(__xludf.DUMMYFUNCTION("""COMPUTED_VALUE"""),441.4)</f>
        <v>441.4</v>
      </c>
    </row>
    <row r="402" ht="15.75" customHeight="1">
      <c r="B402" s="3">
        <f>IFERROR(__xludf.DUMMYFUNCTION("""COMPUTED_VALUE"""),43938.64583333333)</f>
        <v>43938.64583</v>
      </c>
      <c r="C402" s="2">
        <f>IFERROR(__xludf.DUMMYFUNCTION("""COMPUTED_VALUE"""),478.9)</f>
        <v>478.9</v>
      </c>
    </row>
    <row r="403" ht="15.75" customHeight="1">
      <c r="B403" s="3">
        <f>IFERROR(__xludf.DUMMYFUNCTION("""COMPUTED_VALUE"""),43945.64583333333)</f>
        <v>43945.64583</v>
      </c>
      <c r="C403" s="2">
        <f>IFERROR(__xludf.DUMMYFUNCTION("""COMPUTED_VALUE"""),481.0)</f>
        <v>481</v>
      </c>
    </row>
    <row r="404" ht="15.75" customHeight="1">
      <c r="B404" s="3">
        <f>IFERROR(__xludf.DUMMYFUNCTION("""COMPUTED_VALUE"""),43951.64583333333)</f>
        <v>43951.64583</v>
      </c>
      <c r="C404" s="2">
        <f>IFERROR(__xludf.DUMMYFUNCTION("""COMPUTED_VALUE"""),491.85)</f>
        <v>491.85</v>
      </c>
    </row>
    <row r="405" ht="15.75" customHeight="1">
      <c r="B405" s="3">
        <f>IFERROR(__xludf.DUMMYFUNCTION("""COMPUTED_VALUE"""),43959.64583333333)</f>
        <v>43959.64583</v>
      </c>
      <c r="C405" s="2">
        <f>IFERROR(__xludf.DUMMYFUNCTION("""COMPUTED_VALUE"""),477.7)</f>
        <v>477.7</v>
      </c>
    </row>
    <row r="406" ht="15.75" customHeight="1">
      <c r="B406" s="3">
        <f>IFERROR(__xludf.DUMMYFUNCTION("""COMPUTED_VALUE"""),43966.64583333333)</f>
        <v>43966.64583</v>
      </c>
      <c r="C406" s="2">
        <f>IFERROR(__xludf.DUMMYFUNCTION("""COMPUTED_VALUE"""),480.0)</f>
        <v>480</v>
      </c>
    </row>
    <row r="407" ht="15.75" customHeight="1">
      <c r="B407" s="3">
        <f>IFERROR(__xludf.DUMMYFUNCTION("""COMPUTED_VALUE"""),43973.64583333333)</f>
        <v>43973.64583</v>
      </c>
      <c r="C407" s="2">
        <f>IFERROR(__xludf.DUMMYFUNCTION("""COMPUTED_VALUE"""),418.7)</f>
        <v>418.7</v>
      </c>
    </row>
    <row r="408" ht="15.75" customHeight="1">
      <c r="B408" s="3">
        <f>IFERROR(__xludf.DUMMYFUNCTION("""COMPUTED_VALUE"""),43980.64583333333)</f>
        <v>43980.64583</v>
      </c>
      <c r="C408" s="2">
        <f>IFERROR(__xludf.DUMMYFUNCTION("""COMPUTED_VALUE"""),405.8)</f>
        <v>405.8</v>
      </c>
    </row>
    <row r="409" ht="15.75" customHeight="1">
      <c r="B409" s="3">
        <f>IFERROR(__xludf.DUMMYFUNCTION("""COMPUTED_VALUE"""),43987.64583333333)</f>
        <v>43987.64583</v>
      </c>
      <c r="C409" s="2">
        <f>IFERROR(__xludf.DUMMYFUNCTION("""COMPUTED_VALUE"""),452.25)</f>
        <v>452.25</v>
      </c>
    </row>
    <row r="410" ht="15.75" customHeight="1">
      <c r="B410" s="3">
        <f>IFERROR(__xludf.DUMMYFUNCTION("""COMPUTED_VALUE"""),43994.64583333333)</f>
        <v>43994.64583</v>
      </c>
      <c r="C410" s="2">
        <f>IFERROR(__xludf.DUMMYFUNCTION("""COMPUTED_VALUE"""),548.5)</f>
        <v>548.5</v>
      </c>
    </row>
    <row r="411" ht="15.75" customHeight="1">
      <c r="B411" s="3">
        <f>IFERROR(__xludf.DUMMYFUNCTION("""COMPUTED_VALUE"""),44001.64583333333)</f>
        <v>44001.64583</v>
      </c>
      <c r="C411" s="2">
        <f>IFERROR(__xludf.DUMMYFUNCTION("""COMPUTED_VALUE"""),525.0)</f>
        <v>525</v>
      </c>
    </row>
    <row r="412" ht="15.75" customHeight="1">
      <c r="B412" s="3">
        <f>IFERROR(__xludf.DUMMYFUNCTION("""COMPUTED_VALUE"""),44008.64583333333)</f>
        <v>44008.64583</v>
      </c>
      <c r="C412" s="2">
        <f>IFERROR(__xludf.DUMMYFUNCTION("""COMPUTED_VALUE"""),530.45)</f>
        <v>530.45</v>
      </c>
    </row>
    <row r="413" ht="15.75" customHeight="1">
      <c r="B413" s="3">
        <f>IFERROR(__xludf.DUMMYFUNCTION("""COMPUTED_VALUE"""),44015.64583333333)</f>
        <v>44015.64583</v>
      </c>
      <c r="C413" s="2">
        <f>IFERROR(__xludf.DUMMYFUNCTION("""COMPUTED_VALUE"""),508.0)</f>
        <v>508</v>
      </c>
    </row>
    <row r="414" ht="15.75" customHeight="1">
      <c r="B414" s="3">
        <f>IFERROR(__xludf.DUMMYFUNCTION("""COMPUTED_VALUE"""),44022.64583333333)</f>
        <v>44022.64583</v>
      </c>
      <c r="C414" s="2">
        <f>IFERROR(__xludf.DUMMYFUNCTION("""COMPUTED_VALUE"""),577.5)</f>
        <v>577.5</v>
      </c>
    </row>
    <row r="415" ht="15.75" customHeight="1">
      <c r="B415" s="3">
        <f>IFERROR(__xludf.DUMMYFUNCTION("""COMPUTED_VALUE"""),44029.64583333333)</f>
        <v>44029.64583</v>
      </c>
      <c r="C415" s="2">
        <f>IFERROR(__xludf.DUMMYFUNCTION("""COMPUTED_VALUE"""),555.0)</f>
        <v>555</v>
      </c>
    </row>
    <row r="416" ht="15.75" customHeight="1">
      <c r="B416" s="3">
        <f>IFERROR(__xludf.DUMMYFUNCTION("""COMPUTED_VALUE"""),44036.64583333333)</f>
        <v>44036.64583</v>
      </c>
      <c r="C416" s="2">
        <f>IFERROR(__xludf.DUMMYFUNCTION("""COMPUTED_VALUE"""),541.65)</f>
        <v>541.65</v>
      </c>
    </row>
    <row r="417" ht="15.75" customHeight="1">
      <c r="B417" s="3">
        <f>IFERROR(__xludf.DUMMYFUNCTION("""COMPUTED_VALUE"""),44043.64583333333)</f>
        <v>44043.64583</v>
      </c>
      <c r="C417" s="2">
        <f>IFERROR(__xludf.DUMMYFUNCTION("""COMPUTED_VALUE"""),564.75)</f>
        <v>564.75</v>
      </c>
    </row>
    <row r="418" ht="15.75" customHeight="1">
      <c r="B418" s="3">
        <f>IFERROR(__xludf.DUMMYFUNCTION("""COMPUTED_VALUE"""),44050.64583333333)</f>
        <v>44050.64583</v>
      </c>
      <c r="C418" s="2">
        <f>IFERROR(__xludf.DUMMYFUNCTION("""COMPUTED_VALUE"""),521.95)</f>
        <v>521.95</v>
      </c>
    </row>
    <row r="419" ht="15.75" customHeight="1">
      <c r="B419" s="3">
        <f>IFERROR(__xludf.DUMMYFUNCTION("""COMPUTED_VALUE"""),44057.64583333333)</f>
        <v>44057.64583</v>
      </c>
      <c r="C419" s="2">
        <f>IFERROR(__xludf.DUMMYFUNCTION("""COMPUTED_VALUE"""),530.45)</f>
        <v>530.45</v>
      </c>
    </row>
    <row r="420" ht="15.75" customHeight="1">
      <c r="B420" s="3">
        <f>IFERROR(__xludf.DUMMYFUNCTION("""COMPUTED_VALUE"""),44064.64583333333)</f>
        <v>44064.64583</v>
      </c>
      <c r="C420" s="2">
        <f>IFERROR(__xludf.DUMMYFUNCTION("""COMPUTED_VALUE"""),530.0)</f>
        <v>530</v>
      </c>
    </row>
    <row r="421" ht="15.75" customHeight="1">
      <c r="B421" s="3">
        <f>IFERROR(__xludf.DUMMYFUNCTION("""COMPUTED_VALUE"""),44071.64583333333)</f>
        <v>44071.64583</v>
      </c>
      <c r="C421" s="2">
        <f>IFERROR(__xludf.DUMMYFUNCTION("""COMPUTED_VALUE"""),689.0)</f>
        <v>689</v>
      </c>
    </row>
    <row r="422" ht="15.75" customHeight="1">
      <c r="B422" s="3">
        <f>IFERROR(__xludf.DUMMYFUNCTION("""COMPUTED_VALUE"""),44078.64583333333)</f>
        <v>44078.64583</v>
      </c>
      <c r="C422" s="2">
        <f>IFERROR(__xludf.DUMMYFUNCTION("""COMPUTED_VALUE"""),712.0)</f>
        <v>712</v>
      </c>
    </row>
    <row r="423" ht="15.75" customHeight="1">
      <c r="B423" s="3">
        <f>IFERROR(__xludf.DUMMYFUNCTION("""COMPUTED_VALUE"""),44085.64583333333)</f>
        <v>44085.64583</v>
      </c>
      <c r="C423" s="2">
        <f>IFERROR(__xludf.DUMMYFUNCTION("""COMPUTED_VALUE"""),627.8)</f>
        <v>627.8</v>
      </c>
    </row>
    <row r="424" ht="15.75" customHeight="1">
      <c r="B424" s="3">
        <f>IFERROR(__xludf.DUMMYFUNCTION("""COMPUTED_VALUE"""),44092.64583333333)</f>
        <v>44092.64583</v>
      </c>
      <c r="C424" s="2">
        <f>IFERROR(__xludf.DUMMYFUNCTION("""COMPUTED_VALUE"""),641.0)</f>
        <v>641</v>
      </c>
    </row>
    <row r="425" ht="15.75" customHeight="1">
      <c r="B425" s="3">
        <f>IFERROR(__xludf.DUMMYFUNCTION("""COMPUTED_VALUE"""),44099.64583333333)</f>
        <v>44099.64583</v>
      </c>
      <c r="C425" s="2">
        <f>IFERROR(__xludf.DUMMYFUNCTION("""COMPUTED_VALUE"""),617.4)</f>
        <v>617.4</v>
      </c>
    </row>
    <row r="426" ht="15.75" customHeight="1">
      <c r="B426" s="3">
        <f>IFERROR(__xludf.DUMMYFUNCTION("""COMPUTED_VALUE"""),44105.64583333333)</f>
        <v>44105.64583</v>
      </c>
      <c r="C426" s="2">
        <f>IFERROR(__xludf.DUMMYFUNCTION("""COMPUTED_VALUE"""),597.05)</f>
        <v>597.05</v>
      </c>
    </row>
    <row r="427" ht="15.75" customHeight="1">
      <c r="B427" s="3">
        <f>IFERROR(__xludf.DUMMYFUNCTION("""COMPUTED_VALUE"""),44113.64583333333)</f>
        <v>44113.64583</v>
      </c>
      <c r="C427" s="2">
        <f>IFERROR(__xludf.DUMMYFUNCTION("""COMPUTED_VALUE"""),638.5)</f>
        <v>638.5</v>
      </c>
    </row>
    <row r="428" ht="15.75" customHeight="1">
      <c r="B428" s="3">
        <f>IFERROR(__xludf.DUMMYFUNCTION("""COMPUTED_VALUE"""),44120.64583333333)</f>
        <v>44120.64583</v>
      </c>
      <c r="C428" s="2">
        <f>IFERROR(__xludf.DUMMYFUNCTION("""COMPUTED_VALUE"""),632.5)</f>
        <v>632.5</v>
      </c>
    </row>
    <row r="429" ht="15.75" customHeight="1">
      <c r="B429" s="3">
        <f>IFERROR(__xludf.DUMMYFUNCTION("""COMPUTED_VALUE"""),44127.64583333333)</f>
        <v>44127.64583</v>
      </c>
      <c r="C429" s="2">
        <f>IFERROR(__xludf.DUMMYFUNCTION("""COMPUTED_VALUE"""),647.8)</f>
        <v>647.8</v>
      </c>
    </row>
    <row r="430" ht="15.75" customHeight="1">
      <c r="B430" s="3">
        <f>IFERROR(__xludf.DUMMYFUNCTION("""COMPUTED_VALUE"""),44134.64583333333)</f>
        <v>44134.64583</v>
      </c>
      <c r="C430" s="2">
        <f>IFERROR(__xludf.DUMMYFUNCTION("""COMPUTED_VALUE"""),633.3)</f>
        <v>633.3</v>
      </c>
    </row>
    <row r="431" ht="15.75" customHeight="1">
      <c r="B431" s="3">
        <f>IFERROR(__xludf.DUMMYFUNCTION("""COMPUTED_VALUE"""),44141.64583333333)</f>
        <v>44141.64583</v>
      </c>
      <c r="C431" s="2">
        <f>IFERROR(__xludf.DUMMYFUNCTION("""COMPUTED_VALUE"""),747.0)</f>
        <v>747</v>
      </c>
    </row>
    <row r="432" ht="15.75" customHeight="1">
      <c r="B432" s="3">
        <f>IFERROR(__xludf.DUMMYFUNCTION("""COMPUTED_VALUE"""),44155.64583333333)</f>
        <v>44155.64583</v>
      </c>
      <c r="C432" s="2">
        <f>IFERROR(__xludf.DUMMYFUNCTION("""COMPUTED_VALUE"""),845.9)</f>
        <v>845.9</v>
      </c>
    </row>
    <row r="433" ht="15.75" customHeight="1">
      <c r="B433" s="3">
        <f>IFERROR(__xludf.DUMMYFUNCTION("""COMPUTED_VALUE"""),44162.64583333333)</f>
        <v>44162.64583</v>
      </c>
      <c r="C433" s="2">
        <f>IFERROR(__xludf.DUMMYFUNCTION("""COMPUTED_VALUE"""),880.9)</f>
        <v>880.9</v>
      </c>
    </row>
    <row r="434" ht="15.75" customHeight="1">
      <c r="B434" s="3">
        <f>IFERROR(__xludf.DUMMYFUNCTION("""COMPUTED_VALUE"""),44169.64583333333)</f>
        <v>44169.64583</v>
      </c>
      <c r="C434" s="2">
        <f>IFERROR(__xludf.DUMMYFUNCTION("""COMPUTED_VALUE"""),920.0)</f>
        <v>920</v>
      </c>
    </row>
    <row r="435" ht="15.75" customHeight="1">
      <c r="B435" s="3">
        <f>IFERROR(__xludf.DUMMYFUNCTION("""COMPUTED_VALUE"""),44176.64583333333)</f>
        <v>44176.64583</v>
      </c>
      <c r="C435" s="2">
        <f>IFERROR(__xludf.DUMMYFUNCTION("""COMPUTED_VALUE"""),953.5)</f>
        <v>953.5</v>
      </c>
    </row>
    <row r="436" ht="15.75" customHeight="1">
      <c r="B436" s="3">
        <f>IFERROR(__xludf.DUMMYFUNCTION("""COMPUTED_VALUE"""),44183.64583333333)</f>
        <v>44183.64583</v>
      </c>
      <c r="C436" s="2">
        <f>IFERROR(__xludf.DUMMYFUNCTION("""COMPUTED_VALUE"""),948.0)</f>
        <v>948</v>
      </c>
    </row>
    <row r="437" ht="15.75" customHeight="1">
      <c r="B437" s="3">
        <f>IFERROR(__xludf.DUMMYFUNCTION("""COMPUTED_VALUE"""),44189.64583333333)</f>
        <v>44189.64583</v>
      </c>
      <c r="C437" s="2">
        <f>IFERROR(__xludf.DUMMYFUNCTION("""COMPUTED_VALUE"""),906.0)</f>
        <v>906</v>
      </c>
    </row>
    <row r="438" ht="15.75" customHeight="1">
      <c r="B438" s="3">
        <f>IFERROR(__xludf.DUMMYFUNCTION("""COMPUTED_VALUE"""),44197.64583333333)</f>
        <v>44197.64583</v>
      </c>
      <c r="C438" s="2">
        <f>IFERROR(__xludf.DUMMYFUNCTION("""COMPUTED_VALUE"""),922.7)</f>
        <v>922.7</v>
      </c>
    </row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IFERROR(__xludf.DUMMYFUNCTION("GOOGLEFINANCE(""NSE:NMDC"", ""high"",DATE(2013,1,1),DATE(2014,1,1),""weekly"")"),"Date")</f>
        <v>Date</v>
      </c>
      <c r="C1" s="2" t="str">
        <f>IFERROR(__xludf.DUMMYFUNCTION("""COMPUTED_VALUE"""),"High")</f>
        <v>High</v>
      </c>
    </row>
    <row r="2">
      <c r="A2" s="2" t="s">
        <v>12</v>
      </c>
      <c r="B2" s="3">
        <f>IFERROR(__xludf.DUMMYFUNCTION("""COMPUTED_VALUE"""),41278.645833333336)</f>
        <v>41278.64583</v>
      </c>
      <c r="C2" s="2">
        <f>IFERROR(__xludf.DUMMYFUNCTION("""COMPUTED_VALUE"""),170.95)</f>
        <v>170.95</v>
      </c>
    </row>
    <row r="3">
      <c r="A3" s="2" t="s">
        <v>13</v>
      </c>
      <c r="B3" s="3">
        <f>IFERROR(__xludf.DUMMYFUNCTION("""COMPUTED_VALUE"""),41285.645833333336)</f>
        <v>41285.64583</v>
      </c>
      <c r="C3" s="2">
        <f>IFERROR(__xludf.DUMMYFUNCTION("""COMPUTED_VALUE"""),166.8)</f>
        <v>166.8</v>
      </c>
    </row>
    <row r="4">
      <c r="B4" s="3">
        <f>IFERROR(__xludf.DUMMYFUNCTION("""COMPUTED_VALUE"""),41292.645833333336)</f>
        <v>41292.64583</v>
      </c>
      <c r="C4" s="2">
        <f>IFERROR(__xludf.DUMMYFUNCTION("""COMPUTED_VALUE"""),165.2)</f>
        <v>165.2</v>
      </c>
    </row>
    <row r="5">
      <c r="B5" s="3">
        <f>IFERROR(__xludf.DUMMYFUNCTION("""COMPUTED_VALUE"""),41299.645833333336)</f>
        <v>41299.64583</v>
      </c>
      <c r="C5" s="2">
        <f>IFERROR(__xludf.DUMMYFUNCTION("""COMPUTED_VALUE"""),164.5)</f>
        <v>164.5</v>
      </c>
    </row>
    <row r="6">
      <c r="B6" s="3">
        <f>IFERROR(__xludf.DUMMYFUNCTION("""COMPUTED_VALUE"""),41306.645833333336)</f>
        <v>41306.64583</v>
      </c>
      <c r="C6" s="2">
        <f>IFERROR(__xludf.DUMMYFUNCTION("""COMPUTED_VALUE"""),161.3)</f>
        <v>161.3</v>
      </c>
    </row>
    <row r="7">
      <c r="B7" s="3">
        <f>IFERROR(__xludf.DUMMYFUNCTION("""COMPUTED_VALUE"""),41313.645833333336)</f>
        <v>41313.64583</v>
      </c>
      <c r="C7" s="2">
        <f>IFERROR(__xludf.DUMMYFUNCTION("""COMPUTED_VALUE"""),155.5)</f>
        <v>155.5</v>
      </c>
    </row>
    <row r="8">
      <c r="B8" s="3">
        <f>IFERROR(__xludf.DUMMYFUNCTION("""COMPUTED_VALUE"""),41320.645833333336)</f>
        <v>41320.64583</v>
      </c>
      <c r="C8" s="2">
        <f>IFERROR(__xludf.DUMMYFUNCTION("""COMPUTED_VALUE"""),151.5)</f>
        <v>151.5</v>
      </c>
    </row>
    <row r="9">
      <c r="B9" s="3">
        <f>IFERROR(__xludf.DUMMYFUNCTION("""COMPUTED_VALUE"""),41327.645833333336)</f>
        <v>41327.64583</v>
      </c>
      <c r="C9" s="2">
        <f>IFERROR(__xludf.DUMMYFUNCTION("""COMPUTED_VALUE"""),156.1)</f>
        <v>156.1</v>
      </c>
    </row>
    <row r="10">
      <c r="B10" s="3">
        <f>IFERROR(__xludf.DUMMYFUNCTION("""COMPUTED_VALUE"""),41334.645833333336)</f>
        <v>41334.64583</v>
      </c>
      <c r="C10" s="2">
        <f>IFERROR(__xludf.DUMMYFUNCTION("""COMPUTED_VALUE"""),146.6)</f>
        <v>146.6</v>
      </c>
    </row>
    <row r="11">
      <c r="B11" s="3">
        <f>IFERROR(__xludf.DUMMYFUNCTION("""COMPUTED_VALUE"""),41341.645833333336)</f>
        <v>41341.64583</v>
      </c>
      <c r="C11" s="2">
        <f>IFERROR(__xludf.DUMMYFUNCTION("""COMPUTED_VALUE"""),147.95)</f>
        <v>147.95</v>
      </c>
    </row>
    <row r="12">
      <c r="B12" s="3">
        <f>IFERROR(__xludf.DUMMYFUNCTION("""COMPUTED_VALUE"""),41348.645833333336)</f>
        <v>41348.64583</v>
      </c>
      <c r="C12" s="2">
        <f>IFERROR(__xludf.DUMMYFUNCTION("""COMPUTED_VALUE"""),148.85)</f>
        <v>148.85</v>
      </c>
    </row>
    <row r="13">
      <c r="B13" s="3">
        <f>IFERROR(__xludf.DUMMYFUNCTION("""COMPUTED_VALUE"""),41355.645833333336)</f>
        <v>41355.64583</v>
      </c>
      <c r="C13" s="2">
        <f>IFERROR(__xludf.DUMMYFUNCTION("""COMPUTED_VALUE"""),143.0)</f>
        <v>143</v>
      </c>
    </row>
    <row r="14">
      <c r="B14" s="3">
        <f>IFERROR(__xludf.DUMMYFUNCTION("""COMPUTED_VALUE"""),41361.645833333336)</f>
        <v>41361.64583</v>
      </c>
      <c r="C14" s="2">
        <f>IFERROR(__xludf.DUMMYFUNCTION("""COMPUTED_VALUE"""),139.35)</f>
        <v>139.35</v>
      </c>
    </row>
    <row r="15">
      <c r="B15" s="3">
        <f>IFERROR(__xludf.DUMMYFUNCTION("""COMPUTED_VALUE"""),41369.645833333336)</f>
        <v>41369.64583</v>
      </c>
      <c r="C15" s="2">
        <f>IFERROR(__xludf.DUMMYFUNCTION("""COMPUTED_VALUE"""),138.4)</f>
        <v>138.4</v>
      </c>
    </row>
    <row r="16">
      <c r="B16" s="3">
        <f>IFERROR(__xludf.DUMMYFUNCTION("""COMPUTED_VALUE"""),41376.645833333336)</f>
        <v>41376.64583</v>
      </c>
      <c r="C16" s="2">
        <f>IFERROR(__xludf.DUMMYFUNCTION("""COMPUTED_VALUE"""),126.9)</f>
        <v>126.9</v>
      </c>
    </row>
    <row r="17">
      <c r="B17" s="3">
        <f>IFERROR(__xludf.DUMMYFUNCTION("""COMPUTED_VALUE"""),41382.645833333336)</f>
        <v>41382.64583</v>
      </c>
      <c r="C17" s="2">
        <f>IFERROR(__xludf.DUMMYFUNCTION("""COMPUTED_VALUE"""),129.5)</f>
        <v>129.5</v>
      </c>
    </row>
    <row r="18">
      <c r="B18" s="3">
        <f>IFERROR(__xludf.DUMMYFUNCTION("""COMPUTED_VALUE"""),41390.645833333336)</f>
        <v>41390.64583</v>
      </c>
      <c r="C18" s="2">
        <f>IFERROR(__xludf.DUMMYFUNCTION("""COMPUTED_VALUE"""),131.1)</f>
        <v>131.1</v>
      </c>
    </row>
    <row r="19">
      <c r="B19" s="3">
        <f>IFERROR(__xludf.DUMMYFUNCTION("""COMPUTED_VALUE"""),41397.645833333336)</f>
        <v>41397.64583</v>
      </c>
      <c r="C19" s="2">
        <f>IFERROR(__xludf.DUMMYFUNCTION("""COMPUTED_VALUE"""),128.75)</f>
        <v>128.75</v>
      </c>
    </row>
    <row r="20">
      <c r="B20" s="3">
        <f>IFERROR(__xludf.DUMMYFUNCTION("""COMPUTED_VALUE"""),41411.645833333336)</f>
        <v>41411.64583</v>
      </c>
      <c r="C20" s="2">
        <f>IFERROR(__xludf.DUMMYFUNCTION("""COMPUTED_VALUE"""),129.35)</f>
        <v>129.35</v>
      </c>
    </row>
    <row r="21" ht="15.75" customHeight="1">
      <c r="B21" s="3">
        <f>IFERROR(__xludf.DUMMYFUNCTION("""COMPUTED_VALUE"""),41418.645833333336)</f>
        <v>41418.64583</v>
      </c>
      <c r="C21" s="2">
        <f>IFERROR(__xludf.DUMMYFUNCTION("""COMPUTED_VALUE"""),124.45)</f>
        <v>124.45</v>
      </c>
    </row>
    <row r="22" ht="15.75" customHeight="1">
      <c r="B22" s="3">
        <f>IFERROR(__xludf.DUMMYFUNCTION("""COMPUTED_VALUE"""),41425.645833333336)</f>
        <v>41425.64583</v>
      </c>
      <c r="C22" s="2">
        <f>IFERROR(__xludf.DUMMYFUNCTION("""COMPUTED_VALUE"""),121.4)</f>
        <v>121.4</v>
      </c>
    </row>
    <row r="23" ht="15.75" customHeight="1">
      <c r="B23" s="3">
        <f>IFERROR(__xludf.DUMMYFUNCTION("""COMPUTED_VALUE"""),41432.645833333336)</f>
        <v>41432.64583</v>
      </c>
      <c r="C23" s="2">
        <f>IFERROR(__xludf.DUMMYFUNCTION("""COMPUTED_VALUE"""),118.75)</f>
        <v>118.75</v>
      </c>
    </row>
    <row r="24" ht="15.75" customHeight="1">
      <c r="B24" s="3">
        <f>IFERROR(__xludf.DUMMYFUNCTION("""COMPUTED_VALUE"""),41439.645833333336)</f>
        <v>41439.64583</v>
      </c>
      <c r="C24" s="2">
        <f>IFERROR(__xludf.DUMMYFUNCTION("""COMPUTED_VALUE"""),117.15)</f>
        <v>117.15</v>
      </c>
    </row>
    <row r="25" ht="15.75" customHeight="1">
      <c r="B25" s="3">
        <f>IFERROR(__xludf.DUMMYFUNCTION("""COMPUTED_VALUE"""),41446.645833333336)</f>
        <v>41446.64583</v>
      </c>
      <c r="C25" s="2">
        <f>IFERROR(__xludf.DUMMYFUNCTION("""COMPUTED_VALUE"""),110.75)</f>
        <v>110.75</v>
      </c>
    </row>
    <row r="26" ht="15.75" customHeight="1">
      <c r="B26" s="3">
        <f>IFERROR(__xludf.DUMMYFUNCTION("""COMPUTED_VALUE"""),41453.645833333336)</f>
        <v>41453.64583</v>
      </c>
      <c r="C26" s="2">
        <f>IFERROR(__xludf.DUMMYFUNCTION("""COMPUTED_VALUE"""),106.4)</f>
        <v>106.4</v>
      </c>
    </row>
    <row r="27" ht="15.75" customHeight="1">
      <c r="B27" s="3">
        <f>IFERROR(__xludf.DUMMYFUNCTION("""COMPUTED_VALUE"""),41460.645833333336)</f>
        <v>41460.64583</v>
      </c>
      <c r="C27" s="2">
        <f>IFERROR(__xludf.DUMMYFUNCTION("""COMPUTED_VALUE"""),107.0)</f>
        <v>107</v>
      </c>
    </row>
    <row r="28" ht="15.75" customHeight="1">
      <c r="B28" s="3">
        <f>IFERROR(__xludf.DUMMYFUNCTION("""COMPUTED_VALUE"""),41467.645833333336)</f>
        <v>41467.64583</v>
      </c>
      <c r="C28" s="2">
        <f>IFERROR(__xludf.DUMMYFUNCTION("""COMPUTED_VALUE"""),108.4)</f>
        <v>108.4</v>
      </c>
    </row>
    <row r="29" ht="15.75" customHeight="1">
      <c r="B29" s="3">
        <f>IFERROR(__xludf.DUMMYFUNCTION("""COMPUTED_VALUE"""),41474.645833333336)</f>
        <v>41474.64583</v>
      </c>
      <c r="C29" s="2">
        <f>IFERROR(__xludf.DUMMYFUNCTION("""COMPUTED_VALUE"""),109.65)</f>
        <v>109.65</v>
      </c>
    </row>
    <row r="30" ht="15.75" customHeight="1">
      <c r="B30" s="3">
        <f>IFERROR(__xludf.DUMMYFUNCTION("""COMPUTED_VALUE"""),41481.645833333336)</f>
        <v>41481.64583</v>
      </c>
      <c r="C30" s="2">
        <f>IFERROR(__xludf.DUMMYFUNCTION("""COMPUTED_VALUE"""),110.5)</f>
        <v>110.5</v>
      </c>
    </row>
    <row r="31" ht="15.75" customHeight="1">
      <c r="B31" s="3">
        <f>IFERROR(__xludf.DUMMYFUNCTION("""COMPUTED_VALUE"""),41488.645833333336)</f>
        <v>41488.64583</v>
      </c>
      <c r="C31" s="2">
        <f>IFERROR(__xludf.DUMMYFUNCTION("""COMPUTED_VALUE"""),105.0)</f>
        <v>105</v>
      </c>
    </row>
    <row r="32" ht="15.75" customHeight="1">
      <c r="B32" s="3">
        <f>IFERROR(__xludf.DUMMYFUNCTION("""COMPUTED_VALUE"""),41494.645833333336)</f>
        <v>41494.64583</v>
      </c>
      <c r="C32" s="2">
        <f>IFERROR(__xludf.DUMMYFUNCTION("""COMPUTED_VALUE"""),103.5)</f>
        <v>103.5</v>
      </c>
    </row>
    <row r="33" ht="15.75" customHeight="1">
      <c r="B33" s="3">
        <f>IFERROR(__xludf.DUMMYFUNCTION("""COMPUTED_VALUE"""),41502.645833333336)</f>
        <v>41502.64583</v>
      </c>
      <c r="C33" s="2">
        <f>IFERROR(__xludf.DUMMYFUNCTION("""COMPUTED_VALUE"""),115.5)</f>
        <v>115.5</v>
      </c>
    </row>
    <row r="34" ht="15.75" customHeight="1">
      <c r="B34" s="3">
        <f>IFERROR(__xludf.DUMMYFUNCTION("""COMPUTED_VALUE"""),41509.645833333336)</f>
        <v>41509.64583</v>
      </c>
      <c r="C34" s="2">
        <f>IFERROR(__xludf.DUMMYFUNCTION("""COMPUTED_VALUE"""),119.45)</f>
        <v>119.45</v>
      </c>
    </row>
    <row r="35" ht="15.75" customHeight="1">
      <c r="B35" s="3">
        <f>IFERROR(__xludf.DUMMYFUNCTION("""COMPUTED_VALUE"""),41516.645833333336)</f>
        <v>41516.64583</v>
      </c>
      <c r="C35" s="2">
        <f>IFERROR(__xludf.DUMMYFUNCTION("""COMPUTED_VALUE"""),122.25)</f>
        <v>122.25</v>
      </c>
    </row>
    <row r="36" ht="15.75" customHeight="1">
      <c r="B36" s="3">
        <f>IFERROR(__xludf.DUMMYFUNCTION("""COMPUTED_VALUE"""),41523.645833333336)</f>
        <v>41523.64583</v>
      </c>
      <c r="C36" s="2">
        <f>IFERROR(__xludf.DUMMYFUNCTION("""COMPUTED_VALUE"""),124.55)</f>
        <v>124.55</v>
      </c>
    </row>
    <row r="37" ht="15.75" customHeight="1">
      <c r="B37" s="3">
        <f>IFERROR(__xludf.DUMMYFUNCTION("""COMPUTED_VALUE"""),41530.645833333336)</f>
        <v>41530.64583</v>
      </c>
      <c r="C37" s="2">
        <f>IFERROR(__xludf.DUMMYFUNCTION("""COMPUTED_VALUE"""),126.65)</f>
        <v>126.65</v>
      </c>
    </row>
    <row r="38" ht="15.75" customHeight="1">
      <c r="B38" s="3">
        <f>IFERROR(__xludf.DUMMYFUNCTION("""COMPUTED_VALUE"""),41537.645833333336)</f>
        <v>41537.64583</v>
      </c>
      <c r="C38" s="2">
        <f>IFERROR(__xludf.DUMMYFUNCTION("""COMPUTED_VALUE"""),127.0)</f>
        <v>127</v>
      </c>
    </row>
    <row r="39" ht="15.75" customHeight="1">
      <c r="B39" s="3">
        <f>IFERROR(__xludf.DUMMYFUNCTION("""COMPUTED_VALUE"""),41544.645833333336)</f>
        <v>41544.64583</v>
      </c>
      <c r="C39" s="2">
        <f>IFERROR(__xludf.DUMMYFUNCTION("""COMPUTED_VALUE"""),128.6)</f>
        <v>128.6</v>
      </c>
    </row>
    <row r="40" ht="15.75" customHeight="1">
      <c r="B40" s="3">
        <f>IFERROR(__xludf.DUMMYFUNCTION("""COMPUTED_VALUE"""),41551.645833333336)</f>
        <v>41551.64583</v>
      </c>
      <c r="C40" s="2">
        <f>IFERROR(__xludf.DUMMYFUNCTION("""COMPUTED_VALUE"""),125.0)</f>
        <v>125</v>
      </c>
    </row>
    <row r="41" ht="15.75" customHeight="1">
      <c r="B41" s="3">
        <f>IFERROR(__xludf.DUMMYFUNCTION("""COMPUTED_VALUE"""),41558.645833333336)</f>
        <v>41558.64583</v>
      </c>
      <c r="C41" s="2">
        <f>IFERROR(__xludf.DUMMYFUNCTION("""COMPUTED_VALUE"""),132.0)</f>
        <v>132</v>
      </c>
    </row>
    <row r="42" ht="15.75" customHeight="1">
      <c r="B42" s="3">
        <f>IFERROR(__xludf.DUMMYFUNCTION("""COMPUTED_VALUE"""),41565.645833333336)</f>
        <v>41565.64583</v>
      </c>
      <c r="C42" s="2">
        <f>IFERROR(__xludf.DUMMYFUNCTION("""COMPUTED_VALUE"""),132.85)</f>
        <v>132.85</v>
      </c>
    </row>
    <row r="43" ht="15.75" customHeight="1">
      <c r="B43" s="3">
        <f>IFERROR(__xludf.DUMMYFUNCTION("""COMPUTED_VALUE"""),41572.645833333336)</f>
        <v>41572.64583</v>
      </c>
      <c r="C43" s="2">
        <f>IFERROR(__xludf.DUMMYFUNCTION("""COMPUTED_VALUE"""),141.5)</f>
        <v>141.5</v>
      </c>
    </row>
    <row r="44" ht="15.75" customHeight="1">
      <c r="B44" s="3">
        <f>IFERROR(__xludf.DUMMYFUNCTION("""COMPUTED_VALUE"""),41579.645833333336)</f>
        <v>41579.64583</v>
      </c>
      <c r="C44" s="2">
        <f>IFERROR(__xludf.DUMMYFUNCTION("""COMPUTED_VALUE"""),142.8)</f>
        <v>142.8</v>
      </c>
    </row>
    <row r="45" ht="15.75" customHeight="1">
      <c r="B45" s="3">
        <f>IFERROR(__xludf.DUMMYFUNCTION("""COMPUTED_VALUE"""),41586.645833333336)</f>
        <v>41586.64583</v>
      </c>
      <c r="C45" s="2">
        <f>IFERROR(__xludf.DUMMYFUNCTION("""COMPUTED_VALUE"""),146.5)</f>
        <v>146.5</v>
      </c>
    </row>
    <row r="46" ht="15.75" customHeight="1">
      <c r="B46" s="3">
        <f>IFERROR(__xludf.DUMMYFUNCTION("""COMPUTED_VALUE"""),41592.645833333336)</f>
        <v>41592.64583</v>
      </c>
      <c r="C46" s="2">
        <f>IFERROR(__xludf.DUMMYFUNCTION("""COMPUTED_VALUE"""),137.8)</f>
        <v>137.8</v>
      </c>
    </row>
    <row r="47" ht="15.75" customHeight="1">
      <c r="B47" s="3">
        <f>IFERROR(__xludf.DUMMYFUNCTION("""COMPUTED_VALUE"""),41600.645833333336)</f>
        <v>41600.64583</v>
      </c>
      <c r="C47" s="2">
        <f>IFERROR(__xludf.DUMMYFUNCTION("""COMPUTED_VALUE"""),134.9)</f>
        <v>134.9</v>
      </c>
    </row>
    <row r="48" ht="15.75" customHeight="1">
      <c r="B48" s="3">
        <f>IFERROR(__xludf.DUMMYFUNCTION("""COMPUTED_VALUE"""),41607.645833333336)</f>
        <v>41607.64583</v>
      </c>
      <c r="C48" s="2">
        <f>IFERROR(__xludf.DUMMYFUNCTION("""COMPUTED_VALUE"""),133.0)</f>
        <v>133</v>
      </c>
    </row>
    <row r="49" ht="15.75" customHeight="1">
      <c r="B49" s="3">
        <f>IFERROR(__xludf.DUMMYFUNCTION("""COMPUTED_VALUE"""),41614.645833333336)</f>
        <v>41614.64583</v>
      </c>
      <c r="C49" s="2">
        <f>IFERROR(__xludf.DUMMYFUNCTION("""COMPUTED_VALUE"""),143.75)</f>
        <v>143.75</v>
      </c>
    </row>
    <row r="50" ht="15.75" customHeight="1">
      <c r="B50" s="3">
        <f>IFERROR(__xludf.DUMMYFUNCTION("""COMPUTED_VALUE"""),41621.645833333336)</f>
        <v>41621.64583</v>
      </c>
      <c r="C50" s="2">
        <f>IFERROR(__xludf.DUMMYFUNCTION("""COMPUTED_VALUE"""),145.7)</f>
        <v>145.7</v>
      </c>
    </row>
    <row r="51" ht="15.75" customHeight="1">
      <c r="B51" s="3">
        <f>IFERROR(__xludf.DUMMYFUNCTION("""COMPUTED_VALUE"""),41628.645833333336)</f>
        <v>41628.64583</v>
      </c>
      <c r="C51" s="2">
        <f>IFERROR(__xludf.DUMMYFUNCTION("""COMPUTED_VALUE"""),142.0)</f>
        <v>142</v>
      </c>
    </row>
    <row r="52" ht="15.75" customHeight="1">
      <c r="B52" s="3">
        <f>IFERROR(__xludf.DUMMYFUNCTION("""COMPUTED_VALUE"""),41635.645833333336)</f>
        <v>41635.64583</v>
      </c>
      <c r="C52" s="2">
        <f>IFERROR(__xludf.DUMMYFUNCTION("""COMPUTED_VALUE"""),142.65)</f>
        <v>142.65</v>
      </c>
    </row>
    <row r="53" ht="15.75" customHeight="1"/>
    <row r="54" ht="15.75" customHeight="1"/>
    <row r="55" ht="15.75" customHeight="1"/>
    <row r="56" ht="15.75" customHeight="1">
      <c r="B56" s="2" t="str">
        <f>IFERROR(__xludf.DUMMYFUNCTION("GOOGLEFINANCE(""NSE:NMDC"", ""high"",DATE(2014,1,1),DATE(2015,1,1),""weekly"")"),"Date")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IFERROR(__xludf.DUMMYFUNCTION("""COMPUTED_VALUE"""),41642.645833333336)</f>
        <v>41642.64583</v>
      </c>
      <c r="C57" s="2">
        <f>IFERROR(__xludf.DUMMYFUNCTION("""COMPUTED_VALUE"""),145.2)</f>
        <v>145.2</v>
      </c>
    </row>
    <row r="58" ht="15.75" customHeight="1">
      <c r="B58" s="3">
        <f>IFERROR(__xludf.DUMMYFUNCTION("""COMPUTED_VALUE"""),41649.645833333336)</f>
        <v>41649.64583</v>
      </c>
      <c r="C58" s="2">
        <f>IFERROR(__xludf.DUMMYFUNCTION("""COMPUTED_VALUE"""),145.75)</f>
        <v>145.75</v>
      </c>
    </row>
    <row r="59" ht="15.75" customHeight="1">
      <c r="B59" s="3">
        <f>IFERROR(__xludf.DUMMYFUNCTION("""COMPUTED_VALUE"""),41656.645833333336)</f>
        <v>41656.64583</v>
      </c>
      <c r="C59" s="2">
        <f>IFERROR(__xludf.DUMMYFUNCTION("""COMPUTED_VALUE"""),146.9)</f>
        <v>146.9</v>
      </c>
    </row>
    <row r="60" ht="15.75" customHeight="1">
      <c r="B60" s="3">
        <f>IFERROR(__xludf.DUMMYFUNCTION("""COMPUTED_VALUE"""),41663.645833333336)</f>
        <v>41663.64583</v>
      </c>
      <c r="C60" s="2">
        <f>IFERROR(__xludf.DUMMYFUNCTION("""COMPUTED_VALUE"""),146.75)</f>
        <v>146.75</v>
      </c>
    </row>
    <row r="61" ht="15.75" customHeight="1">
      <c r="B61" s="3">
        <f>IFERROR(__xludf.DUMMYFUNCTION("""COMPUTED_VALUE"""),41670.645833333336)</f>
        <v>41670.64583</v>
      </c>
      <c r="C61" s="2">
        <f>IFERROR(__xludf.DUMMYFUNCTION("""COMPUTED_VALUE"""),145.45)</f>
        <v>145.45</v>
      </c>
    </row>
    <row r="62" ht="15.75" customHeight="1">
      <c r="B62" s="3">
        <f>IFERROR(__xludf.DUMMYFUNCTION("""COMPUTED_VALUE"""),41677.645833333336)</f>
        <v>41677.64583</v>
      </c>
      <c r="C62" s="2">
        <f>IFERROR(__xludf.DUMMYFUNCTION("""COMPUTED_VALUE"""),145.4)</f>
        <v>145.4</v>
      </c>
    </row>
    <row r="63" ht="15.75" customHeight="1">
      <c r="B63" s="3">
        <f>IFERROR(__xludf.DUMMYFUNCTION("""COMPUTED_VALUE"""),41684.645833333336)</f>
        <v>41684.64583</v>
      </c>
      <c r="C63" s="2">
        <f>IFERROR(__xludf.DUMMYFUNCTION("""COMPUTED_VALUE"""),149.0)</f>
        <v>149</v>
      </c>
    </row>
    <row r="64" ht="15.75" customHeight="1">
      <c r="B64" s="3">
        <f>IFERROR(__xludf.DUMMYFUNCTION("""COMPUTED_VALUE"""),41691.645833333336)</f>
        <v>41691.64583</v>
      </c>
      <c r="C64" s="2">
        <f>IFERROR(__xludf.DUMMYFUNCTION("""COMPUTED_VALUE"""),140.7)</f>
        <v>140.7</v>
      </c>
    </row>
    <row r="65" ht="15.75" customHeight="1">
      <c r="B65" s="3">
        <f>IFERROR(__xludf.DUMMYFUNCTION("""COMPUTED_VALUE"""),41698.645833333336)</f>
        <v>41698.64583</v>
      </c>
      <c r="C65" s="2">
        <f>IFERROR(__xludf.DUMMYFUNCTION("""COMPUTED_VALUE"""),137.35)</f>
        <v>137.35</v>
      </c>
    </row>
    <row r="66" ht="15.75" customHeight="1">
      <c r="B66" s="3">
        <f>IFERROR(__xludf.DUMMYFUNCTION("""COMPUTED_VALUE"""),41705.645833333336)</f>
        <v>41705.64583</v>
      </c>
      <c r="C66" s="2">
        <f>IFERROR(__xludf.DUMMYFUNCTION("""COMPUTED_VALUE"""),134.85)</f>
        <v>134.85</v>
      </c>
    </row>
    <row r="67" ht="15.75" customHeight="1">
      <c r="B67" s="3">
        <f>IFERROR(__xludf.DUMMYFUNCTION("""COMPUTED_VALUE"""),41712.645833333336)</f>
        <v>41712.64583</v>
      </c>
      <c r="C67" s="2">
        <f>IFERROR(__xludf.DUMMYFUNCTION("""COMPUTED_VALUE"""),132.05)</f>
        <v>132.05</v>
      </c>
    </row>
    <row r="68" ht="15.75" customHeight="1">
      <c r="B68" s="3">
        <f>IFERROR(__xludf.DUMMYFUNCTION("""COMPUTED_VALUE"""),41726.645833333336)</f>
        <v>41726.64583</v>
      </c>
      <c r="C68" s="2">
        <f>IFERROR(__xludf.DUMMYFUNCTION("""COMPUTED_VALUE"""),138.9)</f>
        <v>138.9</v>
      </c>
    </row>
    <row r="69" ht="15.75" customHeight="1">
      <c r="B69" s="3">
        <f>IFERROR(__xludf.DUMMYFUNCTION("""COMPUTED_VALUE"""),41733.645833333336)</f>
        <v>41733.64583</v>
      </c>
      <c r="C69" s="2">
        <f>IFERROR(__xludf.DUMMYFUNCTION("""COMPUTED_VALUE"""),143.9)</f>
        <v>143.9</v>
      </c>
    </row>
    <row r="70" ht="15.75" customHeight="1">
      <c r="B70" s="3">
        <f>IFERROR(__xludf.DUMMYFUNCTION("""COMPUTED_VALUE"""),41740.645833333336)</f>
        <v>41740.64583</v>
      </c>
      <c r="C70" s="2">
        <f>IFERROR(__xludf.DUMMYFUNCTION("""COMPUTED_VALUE"""),153.8)</f>
        <v>153.8</v>
      </c>
    </row>
    <row r="71" ht="15.75" customHeight="1">
      <c r="B71" s="3">
        <f>IFERROR(__xludf.DUMMYFUNCTION("""COMPUTED_VALUE"""),41746.645833333336)</f>
        <v>41746.64583</v>
      </c>
      <c r="C71" s="2">
        <f>IFERROR(__xludf.DUMMYFUNCTION("""COMPUTED_VALUE"""),152.2)</f>
        <v>152.2</v>
      </c>
    </row>
    <row r="72" ht="15.75" customHeight="1">
      <c r="B72" s="3">
        <f>IFERROR(__xludf.DUMMYFUNCTION("""COMPUTED_VALUE"""),41754.645833333336)</f>
        <v>41754.64583</v>
      </c>
      <c r="C72" s="2">
        <f>IFERROR(__xludf.DUMMYFUNCTION("""COMPUTED_VALUE"""),152.8)</f>
        <v>152.8</v>
      </c>
    </row>
    <row r="73" ht="15.75" customHeight="1">
      <c r="B73" s="3">
        <f>IFERROR(__xludf.DUMMYFUNCTION("""COMPUTED_VALUE"""),41761.645833333336)</f>
        <v>41761.64583</v>
      </c>
      <c r="C73" s="2">
        <f>IFERROR(__xludf.DUMMYFUNCTION("""COMPUTED_VALUE"""),155.4)</f>
        <v>155.4</v>
      </c>
    </row>
    <row r="74" ht="15.75" customHeight="1">
      <c r="B74" s="3">
        <f>IFERROR(__xludf.DUMMYFUNCTION("""COMPUTED_VALUE"""),41768.645833333336)</f>
        <v>41768.64583</v>
      </c>
      <c r="C74" s="2">
        <f>IFERROR(__xludf.DUMMYFUNCTION("""COMPUTED_VALUE"""),153.7)</f>
        <v>153.7</v>
      </c>
    </row>
    <row r="75" ht="15.75" customHeight="1">
      <c r="B75" s="3">
        <f>IFERROR(__xludf.DUMMYFUNCTION("""COMPUTED_VALUE"""),41775.645833333336)</f>
        <v>41775.64583</v>
      </c>
      <c r="C75" s="2">
        <f>IFERROR(__xludf.DUMMYFUNCTION("""COMPUTED_VALUE"""),164.1)</f>
        <v>164.1</v>
      </c>
    </row>
    <row r="76" ht="15.75" customHeight="1">
      <c r="B76" s="3">
        <f>IFERROR(__xludf.DUMMYFUNCTION("""COMPUTED_VALUE"""),41782.645833333336)</f>
        <v>41782.64583</v>
      </c>
      <c r="C76" s="2">
        <f>IFERROR(__xludf.DUMMYFUNCTION("""COMPUTED_VALUE"""),189.35)</f>
        <v>189.35</v>
      </c>
    </row>
    <row r="77" ht="15.75" customHeight="1">
      <c r="B77" s="3">
        <f>IFERROR(__xludf.DUMMYFUNCTION("""COMPUTED_VALUE"""),41789.645833333336)</f>
        <v>41789.64583</v>
      </c>
      <c r="C77" s="2">
        <f>IFERROR(__xludf.DUMMYFUNCTION("""COMPUTED_VALUE"""),185.9)</f>
        <v>185.9</v>
      </c>
    </row>
    <row r="78" ht="15.75" customHeight="1">
      <c r="B78" s="3">
        <f>IFERROR(__xludf.DUMMYFUNCTION("""COMPUTED_VALUE"""),41796.645833333336)</f>
        <v>41796.64583</v>
      </c>
      <c r="C78" s="2">
        <f>IFERROR(__xludf.DUMMYFUNCTION("""COMPUTED_VALUE"""),196.0)</f>
        <v>196</v>
      </c>
    </row>
    <row r="79" ht="15.75" customHeight="1">
      <c r="B79" s="3">
        <f>IFERROR(__xludf.DUMMYFUNCTION("""COMPUTED_VALUE"""),41803.645833333336)</f>
        <v>41803.64583</v>
      </c>
      <c r="C79" s="2">
        <f>IFERROR(__xludf.DUMMYFUNCTION("""COMPUTED_VALUE"""),194.0)</f>
        <v>194</v>
      </c>
    </row>
    <row r="80" ht="15.75" customHeight="1">
      <c r="B80" s="3">
        <f>IFERROR(__xludf.DUMMYFUNCTION("""COMPUTED_VALUE"""),41810.645833333336)</f>
        <v>41810.64583</v>
      </c>
      <c r="C80" s="2">
        <f>IFERROR(__xludf.DUMMYFUNCTION("""COMPUTED_VALUE"""),181.9)</f>
        <v>181.9</v>
      </c>
    </row>
    <row r="81" ht="15.75" customHeight="1">
      <c r="B81" s="3">
        <f>IFERROR(__xludf.DUMMYFUNCTION("""COMPUTED_VALUE"""),41817.645833333336)</f>
        <v>41817.64583</v>
      </c>
      <c r="C81" s="2">
        <f>IFERROR(__xludf.DUMMYFUNCTION("""COMPUTED_VALUE"""),184.9)</f>
        <v>184.9</v>
      </c>
    </row>
    <row r="82" ht="15.75" customHeight="1">
      <c r="B82" s="3">
        <f>IFERROR(__xludf.DUMMYFUNCTION("""COMPUTED_VALUE"""),41824.645833333336)</f>
        <v>41824.64583</v>
      </c>
      <c r="C82" s="2">
        <f>IFERROR(__xludf.DUMMYFUNCTION("""COMPUTED_VALUE"""),187.7)</f>
        <v>187.7</v>
      </c>
    </row>
    <row r="83" ht="15.75" customHeight="1">
      <c r="B83" s="3">
        <f>IFERROR(__xludf.DUMMYFUNCTION("""COMPUTED_VALUE"""),41831.645833333336)</f>
        <v>41831.64583</v>
      </c>
      <c r="C83" s="2">
        <f>IFERROR(__xludf.DUMMYFUNCTION("""COMPUTED_VALUE"""),185.95)</f>
        <v>185.95</v>
      </c>
    </row>
    <row r="84" ht="15.75" customHeight="1">
      <c r="B84" s="3">
        <f>IFERROR(__xludf.DUMMYFUNCTION("""COMPUTED_VALUE"""),41838.645833333336)</f>
        <v>41838.64583</v>
      </c>
      <c r="C84" s="2">
        <f>IFERROR(__xludf.DUMMYFUNCTION("""COMPUTED_VALUE"""),175.5)</f>
        <v>175.5</v>
      </c>
    </row>
    <row r="85" ht="15.75" customHeight="1">
      <c r="B85" s="3">
        <f>IFERROR(__xludf.DUMMYFUNCTION("""COMPUTED_VALUE"""),41845.645833333336)</f>
        <v>41845.64583</v>
      </c>
      <c r="C85" s="2">
        <f>IFERROR(__xludf.DUMMYFUNCTION("""COMPUTED_VALUE"""),179.9)</f>
        <v>179.9</v>
      </c>
    </row>
    <row r="86" ht="15.75" customHeight="1">
      <c r="B86" s="3">
        <f>IFERROR(__xludf.DUMMYFUNCTION("""COMPUTED_VALUE"""),41852.645833333336)</f>
        <v>41852.64583</v>
      </c>
      <c r="C86" s="2">
        <f>IFERROR(__xludf.DUMMYFUNCTION("""COMPUTED_VALUE"""),177.0)</f>
        <v>177</v>
      </c>
    </row>
    <row r="87" ht="15.75" customHeight="1">
      <c r="B87" s="3">
        <f>IFERROR(__xludf.DUMMYFUNCTION("""COMPUTED_VALUE"""),41859.645833333336)</f>
        <v>41859.64583</v>
      </c>
      <c r="C87" s="2">
        <f>IFERROR(__xludf.DUMMYFUNCTION("""COMPUTED_VALUE"""),176.9)</f>
        <v>176.9</v>
      </c>
    </row>
    <row r="88" ht="15.75" customHeight="1">
      <c r="B88" s="3">
        <f>IFERROR(__xludf.DUMMYFUNCTION("""COMPUTED_VALUE"""),41865.645833333336)</f>
        <v>41865.64583</v>
      </c>
      <c r="C88" s="2">
        <f>IFERROR(__xludf.DUMMYFUNCTION("""COMPUTED_VALUE"""),179.1)</f>
        <v>179.1</v>
      </c>
    </row>
    <row r="89" ht="15.75" customHeight="1">
      <c r="B89" s="3">
        <f>IFERROR(__xludf.DUMMYFUNCTION("""COMPUTED_VALUE"""),41873.645833333336)</f>
        <v>41873.64583</v>
      </c>
      <c r="C89" s="2">
        <f>IFERROR(__xludf.DUMMYFUNCTION("""COMPUTED_VALUE"""),178.35)</f>
        <v>178.35</v>
      </c>
    </row>
    <row r="90" ht="15.75" customHeight="1">
      <c r="B90" s="3">
        <f>IFERROR(__xludf.DUMMYFUNCTION("""COMPUTED_VALUE"""),41879.645833333336)</f>
        <v>41879.64583</v>
      </c>
      <c r="C90" s="2">
        <f>IFERROR(__xludf.DUMMYFUNCTION("""COMPUTED_VALUE"""),175.5)</f>
        <v>175.5</v>
      </c>
    </row>
    <row r="91" ht="15.75" customHeight="1">
      <c r="B91" s="3">
        <f>IFERROR(__xludf.DUMMYFUNCTION("""COMPUTED_VALUE"""),41887.645833333336)</f>
        <v>41887.64583</v>
      </c>
      <c r="C91" s="2">
        <f>IFERROR(__xludf.DUMMYFUNCTION("""COMPUTED_VALUE"""),186.0)</f>
        <v>186</v>
      </c>
    </row>
    <row r="92" ht="15.75" customHeight="1">
      <c r="B92" s="3">
        <f>IFERROR(__xludf.DUMMYFUNCTION("""COMPUTED_VALUE"""),41894.645833333336)</f>
        <v>41894.64583</v>
      </c>
      <c r="C92" s="2">
        <f>IFERROR(__xludf.DUMMYFUNCTION("""COMPUTED_VALUE"""),187.8)</f>
        <v>187.8</v>
      </c>
    </row>
    <row r="93" ht="15.75" customHeight="1">
      <c r="B93" s="3">
        <f>IFERROR(__xludf.DUMMYFUNCTION("""COMPUTED_VALUE"""),41901.645833333336)</f>
        <v>41901.64583</v>
      </c>
      <c r="C93" s="2">
        <f>IFERROR(__xludf.DUMMYFUNCTION("""COMPUTED_VALUE"""),182.0)</f>
        <v>182</v>
      </c>
    </row>
    <row r="94" ht="15.75" customHeight="1">
      <c r="B94" s="3">
        <f>IFERROR(__xludf.DUMMYFUNCTION("""COMPUTED_VALUE"""),41908.645833333336)</f>
        <v>41908.64583</v>
      </c>
      <c r="C94" s="2">
        <f>IFERROR(__xludf.DUMMYFUNCTION("""COMPUTED_VALUE"""),174.3)</f>
        <v>174.3</v>
      </c>
    </row>
    <row r="95" ht="15.75" customHeight="1">
      <c r="B95" s="3">
        <f>IFERROR(__xludf.DUMMYFUNCTION("""COMPUTED_VALUE"""),41913.645833333336)</f>
        <v>41913.64583</v>
      </c>
      <c r="C95" s="2">
        <f>IFERROR(__xludf.DUMMYFUNCTION("""COMPUTED_VALUE"""),167.75)</f>
        <v>167.75</v>
      </c>
    </row>
    <row r="96" ht="15.75" customHeight="1">
      <c r="B96" s="3">
        <f>IFERROR(__xludf.DUMMYFUNCTION("""COMPUTED_VALUE"""),41922.645833333336)</f>
        <v>41922.64583</v>
      </c>
      <c r="C96" s="2">
        <f>IFERROR(__xludf.DUMMYFUNCTION("""COMPUTED_VALUE"""),167.7)</f>
        <v>167.7</v>
      </c>
    </row>
    <row r="97" ht="15.75" customHeight="1">
      <c r="B97" s="3">
        <f>IFERROR(__xludf.DUMMYFUNCTION("""COMPUTED_VALUE"""),41929.645833333336)</f>
        <v>41929.64583</v>
      </c>
      <c r="C97" s="2">
        <f>IFERROR(__xludf.DUMMYFUNCTION("""COMPUTED_VALUE"""),160.6)</f>
        <v>160.6</v>
      </c>
    </row>
    <row r="98" ht="15.75" customHeight="1">
      <c r="B98" s="3">
        <f>IFERROR(__xludf.DUMMYFUNCTION("""COMPUTED_VALUE"""),41935.645833333336)</f>
        <v>41935.64583</v>
      </c>
      <c r="C98" s="2">
        <f>IFERROR(__xludf.DUMMYFUNCTION("""COMPUTED_VALUE"""),164.75)</f>
        <v>164.75</v>
      </c>
    </row>
    <row r="99" ht="15.75" customHeight="1">
      <c r="B99" s="3">
        <f>IFERROR(__xludf.DUMMYFUNCTION("""COMPUTED_VALUE"""),41943.645833333336)</f>
        <v>41943.64583</v>
      </c>
      <c r="C99" s="2">
        <f>IFERROR(__xludf.DUMMYFUNCTION("""COMPUTED_VALUE"""),173.8)</f>
        <v>173.8</v>
      </c>
    </row>
    <row r="100" ht="15.75" customHeight="1">
      <c r="B100" s="3">
        <f>IFERROR(__xludf.DUMMYFUNCTION("""COMPUTED_VALUE"""),41950.645833333336)</f>
        <v>41950.64583</v>
      </c>
      <c r="C100" s="2">
        <f>IFERROR(__xludf.DUMMYFUNCTION("""COMPUTED_VALUE"""),173.1)</f>
        <v>173.1</v>
      </c>
    </row>
    <row r="101" ht="15.75" customHeight="1">
      <c r="B101" s="3">
        <f>IFERROR(__xludf.DUMMYFUNCTION("""COMPUTED_VALUE"""),41957.64583333333)</f>
        <v>41957.64583</v>
      </c>
      <c r="C101" s="2">
        <f>IFERROR(__xludf.DUMMYFUNCTION("""COMPUTED_VALUE"""),160.4)</f>
        <v>160.4</v>
      </c>
    </row>
    <row r="102" ht="15.75" customHeight="1">
      <c r="B102" s="3">
        <f>IFERROR(__xludf.DUMMYFUNCTION("""COMPUTED_VALUE"""),41964.64583333333)</f>
        <v>41964.64583</v>
      </c>
      <c r="C102" s="2">
        <f>IFERROR(__xludf.DUMMYFUNCTION("""COMPUTED_VALUE"""),155.0)</f>
        <v>155</v>
      </c>
    </row>
    <row r="103" ht="15.75" customHeight="1">
      <c r="B103" s="3">
        <f>IFERROR(__xludf.DUMMYFUNCTION("""COMPUTED_VALUE"""),41971.64583333333)</f>
        <v>41971.64583</v>
      </c>
      <c r="C103" s="2">
        <f>IFERROR(__xludf.DUMMYFUNCTION("""COMPUTED_VALUE"""),149.9)</f>
        <v>149.9</v>
      </c>
    </row>
    <row r="104" ht="15.75" customHeight="1">
      <c r="B104" s="3">
        <f>IFERROR(__xludf.DUMMYFUNCTION("""COMPUTED_VALUE"""),41978.64583333333)</f>
        <v>41978.64583</v>
      </c>
      <c r="C104" s="2">
        <f>IFERROR(__xludf.DUMMYFUNCTION("""COMPUTED_VALUE"""),141.2)</f>
        <v>141.2</v>
      </c>
    </row>
    <row r="105" ht="15.75" customHeight="1">
      <c r="B105" s="3">
        <f>IFERROR(__xludf.DUMMYFUNCTION("""COMPUTED_VALUE"""),41985.64583333333)</f>
        <v>41985.64583</v>
      </c>
      <c r="C105" s="2">
        <f>IFERROR(__xludf.DUMMYFUNCTION("""COMPUTED_VALUE"""),141.3)</f>
        <v>141.3</v>
      </c>
    </row>
    <row r="106" ht="15.75" customHeight="1">
      <c r="B106" s="3">
        <f>IFERROR(__xludf.DUMMYFUNCTION("""COMPUTED_VALUE"""),41992.64583333333)</f>
        <v>41992.64583</v>
      </c>
      <c r="C106" s="2">
        <f>IFERROR(__xludf.DUMMYFUNCTION("""COMPUTED_VALUE"""),142.9)</f>
        <v>142.9</v>
      </c>
    </row>
    <row r="107" ht="15.75" customHeight="1">
      <c r="B107" s="3">
        <f>IFERROR(__xludf.DUMMYFUNCTION("""COMPUTED_VALUE"""),41999.64583333333)</f>
        <v>41999.64583</v>
      </c>
      <c r="C107" s="2">
        <f>IFERROR(__xludf.DUMMYFUNCTION("""COMPUTED_VALUE"""),147.55)</f>
        <v>147.55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IFERROR(__xludf.DUMMYFUNCTION("GOOGLEFINANCE(""NSE:TECHM"", ""high"",DATE(2014,1,1),DATE(2015,1,1),""weekly"")"),"Date")</f>
        <v>Date</v>
      </c>
      <c r="C1" s="2" t="str">
        <f>IFERROR(__xludf.DUMMYFUNCTION("""COMPUTED_VALUE"""),"High")</f>
        <v>High</v>
      </c>
    </row>
    <row r="2">
      <c r="A2" s="2" t="s">
        <v>13</v>
      </c>
      <c r="B2" s="3">
        <f>IFERROR(__xludf.DUMMYFUNCTION("""COMPUTED_VALUE"""),41642.645833333336)</f>
        <v>41642.64583</v>
      </c>
      <c r="C2" s="2">
        <f>IFERROR(__xludf.DUMMYFUNCTION("""COMPUTED_VALUE"""),468.74)</f>
        <v>468.74</v>
      </c>
    </row>
    <row r="3">
      <c r="A3" s="2" t="s">
        <v>14</v>
      </c>
      <c r="B3" s="3">
        <f>IFERROR(__xludf.DUMMYFUNCTION("""COMPUTED_VALUE"""),41649.645833333336)</f>
        <v>41649.64583</v>
      </c>
      <c r="C3" s="2">
        <f>IFERROR(__xludf.DUMMYFUNCTION("""COMPUTED_VALUE"""),472.95)</f>
        <v>472.95</v>
      </c>
    </row>
    <row r="4">
      <c r="A4" s="2" t="s">
        <v>15</v>
      </c>
      <c r="B4" s="3">
        <f>IFERROR(__xludf.DUMMYFUNCTION("""COMPUTED_VALUE"""),41656.645833333336)</f>
        <v>41656.64583</v>
      </c>
      <c r="C4" s="2">
        <f>IFERROR(__xludf.DUMMYFUNCTION("""COMPUTED_VALUE"""),476.53)</f>
        <v>476.53</v>
      </c>
    </row>
    <row r="5">
      <c r="A5" s="2" t="s">
        <v>16</v>
      </c>
      <c r="B5" s="3">
        <f>IFERROR(__xludf.DUMMYFUNCTION("""COMPUTED_VALUE"""),41663.645833333336)</f>
        <v>41663.64583</v>
      </c>
      <c r="C5" s="2">
        <f>IFERROR(__xludf.DUMMYFUNCTION("""COMPUTED_VALUE"""),464.0)</f>
        <v>464</v>
      </c>
    </row>
    <row r="6">
      <c r="A6" s="2" t="s">
        <v>17</v>
      </c>
      <c r="B6" s="3">
        <f>IFERROR(__xludf.DUMMYFUNCTION("""COMPUTED_VALUE"""),41670.645833333336)</f>
        <v>41670.64583</v>
      </c>
      <c r="C6" s="2">
        <f>IFERROR(__xludf.DUMMYFUNCTION("""COMPUTED_VALUE"""),450.0)</f>
        <v>450</v>
      </c>
    </row>
    <row r="7">
      <c r="A7" s="2" t="s">
        <v>18</v>
      </c>
      <c r="B7" s="3">
        <f>IFERROR(__xludf.DUMMYFUNCTION("""COMPUTED_VALUE"""),41677.645833333336)</f>
        <v>41677.64583</v>
      </c>
      <c r="C7" s="2">
        <f>IFERROR(__xludf.DUMMYFUNCTION("""COMPUTED_VALUE"""),467.5)</f>
        <v>467.5</v>
      </c>
    </row>
    <row r="8">
      <c r="A8" s="2" t="s">
        <v>19</v>
      </c>
      <c r="B8" s="3">
        <f>IFERROR(__xludf.DUMMYFUNCTION("""COMPUTED_VALUE"""),41684.645833333336)</f>
        <v>41684.64583</v>
      </c>
      <c r="C8" s="2">
        <f>IFERROR(__xludf.DUMMYFUNCTION("""COMPUTED_VALUE"""),470.98)</f>
        <v>470.98</v>
      </c>
    </row>
    <row r="9">
      <c r="B9" s="3">
        <f>IFERROR(__xludf.DUMMYFUNCTION("""COMPUTED_VALUE"""),41691.645833333336)</f>
        <v>41691.64583</v>
      </c>
      <c r="C9" s="2">
        <f>IFERROR(__xludf.DUMMYFUNCTION("""COMPUTED_VALUE"""),464.99)</f>
        <v>464.99</v>
      </c>
    </row>
    <row r="10">
      <c r="B10" s="3">
        <f>IFERROR(__xludf.DUMMYFUNCTION("""COMPUTED_VALUE"""),41698.645833333336)</f>
        <v>41698.64583</v>
      </c>
      <c r="C10" s="2">
        <f>IFERROR(__xludf.DUMMYFUNCTION("""COMPUTED_VALUE"""),472.74)</f>
        <v>472.74</v>
      </c>
    </row>
    <row r="11">
      <c r="B11" s="3">
        <f>IFERROR(__xludf.DUMMYFUNCTION("""COMPUTED_VALUE"""),41705.645833333336)</f>
        <v>41705.64583</v>
      </c>
      <c r="C11" s="2">
        <f>IFERROR(__xludf.DUMMYFUNCTION("""COMPUTED_VALUE"""),484.23)</f>
        <v>484.23</v>
      </c>
    </row>
    <row r="12">
      <c r="B12" s="3">
        <f>IFERROR(__xludf.DUMMYFUNCTION("""COMPUTED_VALUE"""),41712.645833333336)</f>
        <v>41712.64583</v>
      </c>
      <c r="C12" s="2">
        <f>IFERROR(__xludf.DUMMYFUNCTION("""COMPUTED_VALUE"""),461.3)</f>
        <v>461.3</v>
      </c>
    </row>
    <row r="13">
      <c r="B13" s="3">
        <f>IFERROR(__xludf.DUMMYFUNCTION("""COMPUTED_VALUE"""),41726.645833333336)</f>
        <v>41726.64583</v>
      </c>
      <c r="C13" s="2">
        <f>IFERROR(__xludf.DUMMYFUNCTION("""COMPUTED_VALUE"""),468.93)</f>
        <v>468.93</v>
      </c>
    </row>
    <row r="14">
      <c r="B14" s="3">
        <f>IFERROR(__xludf.DUMMYFUNCTION("""COMPUTED_VALUE"""),41733.645833333336)</f>
        <v>41733.64583</v>
      </c>
      <c r="C14" s="2">
        <f>IFERROR(__xludf.DUMMYFUNCTION("""COMPUTED_VALUE"""),461.0)</f>
        <v>461</v>
      </c>
    </row>
    <row r="15">
      <c r="B15" s="3">
        <f>IFERROR(__xludf.DUMMYFUNCTION("""COMPUTED_VALUE"""),41740.645833333336)</f>
        <v>41740.64583</v>
      </c>
      <c r="C15" s="2">
        <f>IFERROR(__xludf.DUMMYFUNCTION("""COMPUTED_VALUE"""),452.74)</f>
        <v>452.74</v>
      </c>
    </row>
    <row r="16">
      <c r="B16" s="3">
        <f>IFERROR(__xludf.DUMMYFUNCTION("""COMPUTED_VALUE"""),41746.645833333336)</f>
        <v>41746.64583</v>
      </c>
      <c r="C16" s="2">
        <f>IFERROR(__xludf.DUMMYFUNCTION("""COMPUTED_VALUE"""),445.19)</f>
        <v>445.19</v>
      </c>
    </row>
    <row r="17">
      <c r="B17" s="3">
        <f>IFERROR(__xludf.DUMMYFUNCTION("""COMPUTED_VALUE"""),41754.645833333336)</f>
        <v>41754.64583</v>
      </c>
      <c r="C17" s="2">
        <f>IFERROR(__xludf.DUMMYFUNCTION("""COMPUTED_VALUE"""),453.0)</f>
        <v>453</v>
      </c>
    </row>
    <row r="18">
      <c r="B18" s="3">
        <f>IFERROR(__xludf.DUMMYFUNCTION("""COMPUTED_VALUE"""),41761.645833333336)</f>
        <v>41761.64583</v>
      </c>
      <c r="C18" s="2">
        <f>IFERROR(__xludf.DUMMYFUNCTION("""COMPUTED_VALUE"""),464.75)</f>
        <v>464.75</v>
      </c>
    </row>
    <row r="19">
      <c r="B19" s="3">
        <f>IFERROR(__xludf.DUMMYFUNCTION("""COMPUTED_VALUE"""),41768.645833333336)</f>
        <v>41768.64583</v>
      </c>
      <c r="C19" s="2">
        <f>IFERROR(__xludf.DUMMYFUNCTION("""COMPUTED_VALUE"""),461.91)</f>
        <v>461.91</v>
      </c>
    </row>
    <row r="20">
      <c r="B20" s="3">
        <f>IFERROR(__xludf.DUMMYFUNCTION("""COMPUTED_VALUE"""),41775.645833333336)</f>
        <v>41775.64583</v>
      </c>
      <c r="C20" s="2">
        <f>IFERROR(__xludf.DUMMYFUNCTION("""COMPUTED_VALUE"""),468.28)</f>
        <v>468.28</v>
      </c>
    </row>
    <row r="21" ht="15.75" customHeight="1">
      <c r="B21" s="3">
        <f>IFERROR(__xludf.DUMMYFUNCTION("""COMPUTED_VALUE"""),41782.645833333336)</f>
        <v>41782.64583</v>
      </c>
      <c r="C21" s="2">
        <f>IFERROR(__xludf.DUMMYFUNCTION("""COMPUTED_VALUE"""),459.0)</f>
        <v>459</v>
      </c>
    </row>
    <row r="22" ht="15.75" customHeight="1">
      <c r="B22" s="3">
        <f>IFERROR(__xludf.DUMMYFUNCTION("""COMPUTED_VALUE"""),41789.645833333336)</f>
        <v>41789.64583</v>
      </c>
      <c r="C22" s="2">
        <f>IFERROR(__xludf.DUMMYFUNCTION("""COMPUTED_VALUE"""),484.75)</f>
        <v>484.75</v>
      </c>
    </row>
    <row r="23" ht="15.75" customHeight="1">
      <c r="B23" s="3">
        <f>IFERROR(__xludf.DUMMYFUNCTION("""COMPUTED_VALUE"""),41796.645833333336)</f>
        <v>41796.64583</v>
      </c>
      <c r="C23" s="2">
        <f>IFERROR(__xludf.DUMMYFUNCTION("""COMPUTED_VALUE"""),485.8)</f>
        <v>485.8</v>
      </c>
    </row>
    <row r="24" ht="15.75" customHeight="1">
      <c r="B24" s="3">
        <f>IFERROR(__xludf.DUMMYFUNCTION("""COMPUTED_VALUE"""),41803.645833333336)</f>
        <v>41803.64583</v>
      </c>
      <c r="C24" s="2">
        <f>IFERROR(__xludf.DUMMYFUNCTION("""COMPUTED_VALUE"""),512.05)</f>
        <v>512.05</v>
      </c>
    </row>
    <row r="25" ht="15.75" customHeight="1">
      <c r="B25" s="3">
        <f>IFERROR(__xludf.DUMMYFUNCTION("""COMPUTED_VALUE"""),41810.645833333336)</f>
        <v>41810.64583</v>
      </c>
      <c r="C25" s="2">
        <f>IFERROR(__xludf.DUMMYFUNCTION("""COMPUTED_VALUE"""),512.41)</f>
        <v>512.41</v>
      </c>
    </row>
    <row r="26" ht="15.75" customHeight="1">
      <c r="B26" s="3">
        <f>IFERROR(__xludf.DUMMYFUNCTION("""COMPUTED_VALUE"""),41817.645833333336)</f>
        <v>41817.64583</v>
      </c>
      <c r="C26" s="2">
        <f>IFERROR(__xludf.DUMMYFUNCTION("""COMPUTED_VALUE"""),533.88)</f>
        <v>533.88</v>
      </c>
    </row>
    <row r="27" ht="15.75" customHeight="1">
      <c r="B27" s="3">
        <f>IFERROR(__xludf.DUMMYFUNCTION("""COMPUTED_VALUE"""),41824.645833333336)</f>
        <v>41824.64583</v>
      </c>
      <c r="C27" s="2">
        <f>IFERROR(__xludf.DUMMYFUNCTION("""COMPUTED_VALUE"""),541.6)</f>
        <v>541.6</v>
      </c>
    </row>
    <row r="28" ht="15.75" customHeight="1">
      <c r="B28" s="3">
        <f>IFERROR(__xludf.DUMMYFUNCTION("""COMPUTED_VALUE"""),41831.645833333336)</f>
        <v>41831.64583</v>
      </c>
      <c r="C28" s="2">
        <f>IFERROR(__xludf.DUMMYFUNCTION("""COMPUTED_VALUE"""),539.63)</f>
        <v>539.63</v>
      </c>
    </row>
    <row r="29" ht="15.75" customHeight="1">
      <c r="B29" s="3">
        <f>IFERROR(__xludf.DUMMYFUNCTION("""COMPUTED_VALUE"""),41838.645833333336)</f>
        <v>41838.64583</v>
      </c>
      <c r="C29" s="2">
        <f>IFERROR(__xludf.DUMMYFUNCTION("""COMPUTED_VALUE"""),534.75)</f>
        <v>534.75</v>
      </c>
    </row>
    <row r="30" ht="15.75" customHeight="1">
      <c r="B30" s="3">
        <f>IFERROR(__xludf.DUMMYFUNCTION("""COMPUTED_VALUE"""),41845.645833333336)</f>
        <v>41845.64583</v>
      </c>
      <c r="C30" s="2">
        <f>IFERROR(__xludf.DUMMYFUNCTION("""COMPUTED_VALUE"""),548.13)</f>
        <v>548.13</v>
      </c>
    </row>
    <row r="31" ht="15.75" customHeight="1">
      <c r="B31" s="3">
        <f>IFERROR(__xludf.DUMMYFUNCTION("""COMPUTED_VALUE"""),41852.645833333336)</f>
        <v>41852.64583</v>
      </c>
      <c r="C31" s="2">
        <f>IFERROR(__xludf.DUMMYFUNCTION("""COMPUTED_VALUE"""),549.63)</f>
        <v>549.63</v>
      </c>
    </row>
    <row r="32" ht="15.75" customHeight="1">
      <c r="B32" s="3">
        <f>IFERROR(__xludf.DUMMYFUNCTION("""COMPUTED_VALUE"""),41859.645833333336)</f>
        <v>41859.64583</v>
      </c>
      <c r="C32" s="2">
        <f>IFERROR(__xludf.DUMMYFUNCTION("""COMPUTED_VALUE"""),557.88)</f>
        <v>557.88</v>
      </c>
    </row>
    <row r="33" ht="15.75" customHeight="1">
      <c r="B33" s="3">
        <f>IFERROR(__xludf.DUMMYFUNCTION("""COMPUTED_VALUE"""),41865.645833333336)</f>
        <v>41865.64583</v>
      </c>
      <c r="C33" s="2">
        <f>IFERROR(__xludf.DUMMYFUNCTION("""COMPUTED_VALUE"""),551.5)</f>
        <v>551.5</v>
      </c>
    </row>
    <row r="34" ht="15.75" customHeight="1">
      <c r="B34" s="3">
        <f>IFERROR(__xludf.DUMMYFUNCTION("""COMPUTED_VALUE"""),41873.645833333336)</f>
        <v>41873.64583</v>
      </c>
      <c r="C34" s="2">
        <f>IFERROR(__xludf.DUMMYFUNCTION("""COMPUTED_VALUE"""),581.75)</f>
        <v>581.75</v>
      </c>
    </row>
    <row r="35" ht="15.75" customHeight="1">
      <c r="B35" s="3">
        <f>IFERROR(__xludf.DUMMYFUNCTION("""COMPUTED_VALUE"""),41879.645833333336)</f>
        <v>41879.64583</v>
      </c>
      <c r="C35" s="2">
        <f>IFERROR(__xludf.DUMMYFUNCTION("""COMPUTED_VALUE"""),594.38)</f>
        <v>594.38</v>
      </c>
    </row>
    <row r="36" ht="15.75" customHeight="1">
      <c r="B36" s="3">
        <f>IFERROR(__xludf.DUMMYFUNCTION("""COMPUTED_VALUE"""),41887.645833333336)</f>
        <v>41887.64583</v>
      </c>
      <c r="C36" s="2">
        <f>IFERROR(__xludf.DUMMYFUNCTION("""COMPUTED_VALUE"""),630.8)</f>
        <v>630.8</v>
      </c>
    </row>
    <row r="37" ht="15.75" customHeight="1">
      <c r="B37" s="3">
        <f>IFERROR(__xludf.DUMMYFUNCTION("""COMPUTED_VALUE"""),41894.645833333336)</f>
        <v>41894.64583</v>
      </c>
      <c r="C37" s="2">
        <f>IFERROR(__xludf.DUMMYFUNCTION("""COMPUTED_VALUE"""),624.8)</f>
        <v>624.8</v>
      </c>
    </row>
    <row r="38" ht="15.75" customHeight="1">
      <c r="B38" s="3">
        <f>IFERROR(__xludf.DUMMYFUNCTION("""COMPUTED_VALUE"""),41901.645833333336)</f>
        <v>41901.64583</v>
      </c>
      <c r="C38" s="2">
        <f>IFERROR(__xludf.DUMMYFUNCTION("""COMPUTED_VALUE"""),623.84)</f>
        <v>623.84</v>
      </c>
    </row>
    <row r="39" ht="15.75" customHeight="1">
      <c r="B39" s="3">
        <f>IFERROR(__xludf.DUMMYFUNCTION("""COMPUTED_VALUE"""),41908.645833333336)</f>
        <v>41908.64583</v>
      </c>
      <c r="C39" s="2">
        <f>IFERROR(__xludf.DUMMYFUNCTION("""COMPUTED_VALUE"""),632.5)</f>
        <v>632.5</v>
      </c>
    </row>
    <row r="40" ht="15.75" customHeight="1">
      <c r="B40" s="3">
        <f>IFERROR(__xludf.DUMMYFUNCTION("""COMPUTED_VALUE"""),41913.645833333336)</f>
        <v>41913.64583</v>
      </c>
      <c r="C40" s="2">
        <f>IFERROR(__xludf.DUMMYFUNCTION("""COMPUTED_VALUE"""),635.13)</f>
        <v>635.13</v>
      </c>
    </row>
    <row r="41" ht="15.75" customHeight="1">
      <c r="B41" s="3">
        <f>IFERROR(__xludf.DUMMYFUNCTION("""COMPUTED_VALUE"""),41922.645833333336)</f>
        <v>41922.64583</v>
      </c>
      <c r="C41" s="2">
        <f>IFERROR(__xludf.DUMMYFUNCTION("""COMPUTED_VALUE"""),635.88)</f>
        <v>635.88</v>
      </c>
    </row>
    <row r="42" ht="15.75" customHeight="1">
      <c r="B42" s="3">
        <f>IFERROR(__xludf.DUMMYFUNCTION("""COMPUTED_VALUE"""),41929.645833333336)</f>
        <v>41929.64583</v>
      </c>
      <c r="C42" s="2">
        <f>IFERROR(__xludf.DUMMYFUNCTION("""COMPUTED_VALUE"""),597.73)</f>
        <v>597.73</v>
      </c>
    </row>
    <row r="43" ht="15.75" customHeight="1">
      <c r="B43" s="3">
        <f>IFERROR(__xludf.DUMMYFUNCTION("""COMPUTED_VALUE"""),41935.645833333336)</f>
        <v>41935.64583</v>
      </c>
      <c r="C43" s="2">
        <f>IFERROR(__xludf.DUMMYFUNCTION("""COMPUTED_VALUE"""),591.81)</f>
        <v>591.81</v>
      </c>
    </row>
    <row r="44" ht="15.75" customHeight="1">
      <c r="B44" s="3">
        <f>IFERROR(__xludf.DUMMYFUNCTION("""COMPUTED_VALUE"""),41943.645833333336)</f>
        <v>41943.64583</v>
      </c>
      <c r="C44" s="2">
        <f>IFERROR(__xludf.DUMMYFUNCTION("""COMPUTED_VALUE"""),630.9)</f>
        <v>630.9</v>
      </c>
    </row>
    <row r="45" ht="15.75" customHeight="1">
      <c r="B45" s="3">
        <f>IFERROR(__xludf.DUMMYFUNCTION("""COMPUTED_VALUE"""),41950.645833333336)</f>
        <v>41950.64583</v>
      </c>
      <c r="C45" s="2">
        <f>IFERROR(__xludf.DUMMYFUNCTION("""COMPUTED_VALUE"""),666.23)</f>
        <v>666.23</v>
      </c>
    </row>
    <row r="46" ht="15.75" customHeight="1">
      <c r="B46" s="3">
        <f>IFERROR(__xludf.DUMMYFUNCTION("""COMPUTED_VALUE"""),41957.64583333333)</f>
        <v>41957.64583</v>
      </c>
      <c r="C46" s="2">
        <f>IFERROR(__xludf.DUMMYFUNCTION("""COMPUTED_VALUE"""),669.5)</f>
        <v>669.5</v>
      </c>
    </row>
    <row r="47" ht="15.75" customHeight="1">
      <c r="B47" s="3">
        <f>IFERROR(__xludf.DUMMYFUNCTION("""COMPUTED_VALUE"""),41964.64583333333)</f>
        <v>41964.64583</v>
      </c>
      <c r="C47" s="2">
        <f>IFERROR(__xludf.DUMMYFUNCTION("""COMPUTED_VALUE"""),683.5)</f>
        <v>683.5</v>
      </c>
    </row>
    <row r="48" ht="15.75" customHeight="1">
      <c r="B48" s="3">
        <f>IFERROR(__xludf.DUMMYFUNCTION("""COMPUTED_VALUE"""),41971.64583333333)</f>
        <v>41971.64583</v>
      </c>
      <c r="C48" s="2">
        <f>IFERROR(__xludf.DUMMYFUNCTION("""COMPUTED_VALUE"""),673.19)</f>
        <v>673.19</v>
      </c>
    </row>
    <row r="49" ht="15.75" customHeight="1">
      <c r="B49" s="3">
        <f>IFERROR(__xludf.DUMMYFUNCTION("""COMPUTED_VALUE"""),41978.64583333333)</f>
        <v>41978.64583</v>
      </c>
      <c r="C49" s="2">
        <f>IFERROR(__xludf.DUMMYFUNCTION("""COMPUTED_VALUE"""),676.25)</f>
        <v>676.25</v>
      </c>
    </row>
    <row r="50" ht="15.75" customHeight="1">
      <c r="B50" s="3">
        <f>IFERROR(__xludf.DUMMYFUNCTION("""COMPUTED_VALUE"""),41985.64583333333)</f>
        <v>41985.64583</v>
      </c>
      <c r="C50" s="2">
        <f>IFERROR(__xludf.DUMMYFUNCTION("""COMPUTED_VALUE"""),657.26)</f>
        <v>657.26</v>
      </c>
    </row>
    <row r="51" ht="15.75" customHeight="1">
      <c r="B51" s="3">
        <f>IFERROR(__xludf.DUMMYFUNCTION("""COMPUTED_VALUE"""),41992.64583333333)</f>
        <v>41992.64583</v>
      </c>
      <c r="C51" s="2">
        <f>IFERROR(__xludf.DUMMYFUNCTION("""COMPUTED_VALUE"""),651.64)</f>
        <v>651.64</v>
      </c>
    </row>
    <row r="52" ht="15.75" customHeight="1">
      <c r="B52" s="3">
        <f>IFERROR(__xludf.DUMMYFUNCTION("""COMPUTED_VALUE"""),41999.64583333333)</f>
        <v>41999.64583</v>
      </c>
      <c r="C52" s="2">
        <f>IFERROR(__xludf.DUMMYFUNCTION("""COMPUTED_VALUE"""),653.99)</f>
        <v>653.99</v>
      </c>
    </row>
    <row r="53" ht="15.75" customHeight="1"/>
    <row r="54" ht="15.75" customHeight="1"/>
    <row r="55" ht="15.75" customHeight="1"/>
    <row r="56" ht="15.75" customHeight="1">
      <c r="B56" s="2" t="str">
        <f>IFERROR(__xludf.DUMMYFUNCTION("GOOGLEFINANCE(""NSE:TECHM"", ""high"",DATE(2015,1,1),DATE(2016,1,1),""weekly"")"),"Date")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IFERROR(__xludf.DUMMYFUNCTION("""COMPUTED_VALUE"""),42006.64583333333)</f>
        <v>42006.64583</v>
      </c>
      <c r="C57" s="2">
        <f>IFERROR(__xludf.DUMMYFUNCTION("""COMPUTED_VALUE"""),657.6)</f>
        <v>657.6</v>
      </c>
    </row>
    <row r="58" ht="15.75" customHeight="1">
      <c r="B58" s="3">
        <f>IFERROR(__xludf.DUMMYFUNCTION("""COMPUTED_VALUE"""),42013.64583333333)</f>
        <v>42013.64583</v>
      </c>
      <c r="C58" s="2">
        <f>IFERROR(__xludf.DUMMYFUNCTION("""COMPUTED_VALUE"""),672.48)</f>
        <v>672.48</v>
      </c>
    </row>
    <row r="59" ht="15.75" customHeight="1">
      <c r="B59" s="3">
        <f>IFERROR(__xludf.DUMMYFUNCTION("""COMPUTED_VALUE"""),42020.64583333333)</f>
        <v>42020.64583</v>
      </c>
      <c r="C59" s="2">
        <f>IFERROR(__xludf.DUMMYFUNCTION("""COMPUTED_VALUE"""),704.99)</f>
        <v>704.99</v>
      </c>
    </row>
    <row r="60" ht="15.75" customHeight="1">
      <c r="B60" s="3">
        <f>IFERROR(__xludf.DUMMYFUNCTION("""COMPUTED_VALUE"""),42027.64583333333)</f>
        <v>42027.64583</v>
      </c>
      <c r="C60" s="2">
        <f>IFERROR(__xludf.DUMMYFUNCTION("""COMPUTED_VALUE"""),705.0)</f>
        <v>705</v>
      </c>
    </row>
    <row r="61" ht="15.75" customHeight="1">
      <c r="B61" s="3">
        <f>IFERROR(__xludf.DUMMYFUNCTION("""COMPUTED_VALUE"""),42034.64583333333)</f>
        <v>42034.64583</v>
      </c>
      <c r="C61" s="2">
        <f>IFERROR(__xludf.DUMMYFUNCTION("""COMPUTED_VALUE"""),747.88)</f>
        <v>747.88</v>
      </c>
    </row>
    <row r="62" ht="15.75" customHeight="1">
      <c r="B62" s="3">
        <f>IFERROR(__xludf.DUMMYFUNCTION("""COMPUTED_VALUE"""),42041.64583333333)</f>
        <v>42041.64583</v>
      </c>
      <c r="C62" s="2">
        <f>IFERROR(__xludf.DUMMYFUNCTION("""COMPUTED_VALUE"""),748.78)</f>
        <v>748.78</v>
      </c>
    </row>
    <row r="63" ht="15.75" customHeight="1">
      <c r="B63" s="3">
        <f>IFERROR(__xludf.DUMMYFUNCTION("""COMPUTED_VALUE"""),42048.64583333333)</f>
        <v>42048.64583</v>
      </c>
      <c r="C63" s="2">
        <f>IFERROR(__xludf.DUMMYFUNCTION("""COMPUTED_VALUE"""),730.6)</f>
        <v>730.6</v>
      </c>
    </row>
    <row r="64" ht="15.75" customHeight="1">
      <c r="B64" s="3">
        <f>IFERROR(__xludf.DUMMYFUNCTION("""COMPUTED_VALUE"""),42055.64583333333)</f>
        <v>42055.64583</v>
      </c>
      <c r="C64" s="2">
        <f>IFERROR(__xludf.DUMMYFUNCTION("""COMPUTED_VALUE"""),736.99)</f>
        <v>736.99</v>
      </c>
    </row>
    <row r="65" ht="15.75" customHeight="1">
      <c r="B65" s="3">
        <f>IFERROR(__xludf.DUMMYFUNCTION("""COMPUTED_VALUE"""),42068.64583333333)</f>
        <v>42068.64583</v>
      </c>
      <c r="C65" s="2">
        <f>IFERROR(__xludf.DUMMYFUNCTION("""COMPUTED_VALUE"""),734.75)</f>
        <v>734.75</v>
      </c>
    </row>
    <row r="66" ht="15.75" customHeight="1">
      <c r="B66" s="3">
        <f>IFERROR(__xludf.DUMMYFUNCTION("""COMPUTED_VALUE"""),42076.64583333333)</f>
        <v>42076.64583</v>
      </c>
      <c r="C66" s="2">
        <f>IFERROR(__xludf.DUMMYFUNCTION("""COMPUTED_VALUE"""),735.94)</f>
        <v>735.94</v>
      </c>
    </row>
    <row r="67" ht="15.75" customHeight="1">
      <c r="B67" s="3">
        <f>IFERROR(__xludf.DUMMYFUNCTION("""COMPUTED_VALUE"""),42083.64583333333)</f>
        <v>42083.64583</v>
      </c>
      <c r="C67" s="2">
        <f>IFERROR(__xludf.DUMMYFUNCTION("""COMPUTED_VALUE"""),720.45)</f>
        <v>720.45</v>
      </c>
    </row>
    <row r="68" ht="15.75" customHeight="1">
      <c r="B68" s="3">
        <f>IFERROR(__xludf.DUMMYFUNCTION("""COMPUTED_VALUE"""),42090.64583333333)</f>
        <v>42090.64583</v>
      </c>
      <c r="C68" s="2">
        <f>IFERROR(__xludf.DUMMYFUNCTION("""COMPUTED_VALUE"""),685.45)</f>
        <v>685.45</v>
      </c>
    </row>
    <row r="69" ht="15.75" customHeight="1">
      <c r="B69" s="3">
        <f>IFERROR(__xludf.DUMMYFUNCTION("""COMPUTED_VALUE"""),42095.64583333333)</f>
        <v>42095.64583</v>
      </c>
      <c r="C69" s="2">
        <f>IFERROR(__xludf.DUMMYFUNCTION("""COMPUTED_VALUE"""),652.75)</f>
        <v>652.75</v>
      </c>
    </row>
    <row r="70" ht="15.75" customHeight="1">
      <c r="B70" s="3">
        <f>IFERROR(__xludf.DUMMYFUNCTION("""COMPUTED_VALUE"""),42104.64583333333)</f>
        <v>42104.64583</v>
      </c>
      <c r="C70" s="2">
        <f>IFERROR(__xludf.DUMMYFUNCTION("""COMPUTED_VALUE"""),680.6)</f>
        <v>680.6</v>
      </c>
    </row>
    <row r="71" ht="15.75" customHeight="1">
      <c r="B71" s="3">
        <f>IFERROR(__xludf.DUMMYFUNCTION("""COMPUTED_VALUE"""),42111.64583333333)</f>
        <v>42111.64583</v>
      </c>
      <c r="C71" s="2">
        <f>IFERROR(__xludf.DUMMYFUNCTION("""COMPUTED_VALUE"""),674.4)</f>
        <v>674.4</v>
      </c>
    </row>
    <row r="72" ht="15.75" customHeight="1">
      <c r="B72" s="3">
        <f>IFERROR(__xludf.DUMMYFUNCTION("""COMPUTED_VALUE"""),42118.64583333333)</f>
        <v>42118.64583</v>
      </c>
      <c r="C72" s="2">
        <f>IFERROR(__xludf.DUMMYFUNCTION("""COMPUTED_VALUE"""),644.25)</f>
        <v>644.25</v>
      </c>
    </row>
    <row r="73" ht="15.75" customHeight="1">
      <c r="B73" s="3">
        <f>IFERROR(__xludf.DUMMYFUNCTION("""COMPUTED_VALUE"""),42124.64583333333)</f>
        <v>42124.64583</v>
      </c>
      <c r="C73" s="2">
        <f>IFERROR(__xludf.DUMMYFUNCTION("""COMPUTED_VALUE"""),626.85)</f>
        <v>626.85</v>
      </c>
    </row>
    <row r="74" ht="15.75" customHeight="1">
      <c r="B74" s="3">
        <f>IFERROR(__xludf.DUMMYFUNCTION("""COMPUTED_VALUE"""),42132.64583333333)</f>
        <v>42132.64583</v>
      </c>
      <c r="C74" s="2">
        <f>IFERROR(__xludf.DUMMYFUNCTION("""COMPUTED_VALUE"""),624.9)</f>
        <v>624.9</v>
      </c>
    </row>
    <row r="75" ht="15.75" customHeight="1">
      <c r="B75" s="3">
        <f>IFERROR(__xludf.DUMMYFUNCTION("""COMPUTED_VALUE"""),42139.64583333333)</f>
        <v>42139.64583</v>
      </c>
      <c r="C75" s="2">
        <f>IFERROR(__xludf.DUMMYFUNCTION("""COMPUTED_VALUE"""),639.9)</f>
        <v>639.9</v>
      </c>
    </row>
    <row r="76" ht="15.75" customHeight="1">
      <c r="B76" s="3">
        <f>IFERROR(__xludf.DUMMYFUNCTION("""COMPUTED_VALUE"""),42146.64583333333)</f>
        <v>42146.64583</v>
      </c>
      <c r="C76" s="2">
        <f>IFERROR(__xludf.DUMMYFUNCTION("""COMPUTED_VALUE"""),669.0)</f>
        <v>669</v>
      </c>
    </row>
    <row r="77" ht="15.75" customHeight="1">
      <c r="B77" s="3">
        <f>IFERROR(__xludf.DUMMYFUNCTION("""COMPUTED_VALUE"""),42153.64583333333)</f>
        <v>42153.64583</v>
      </c>
      <c r="C77" s="2">
        <f>IFERROR(__xludf.DUMMYFUNCTION("""COMPUTED_VALUE"""),668.9)</f>
        <v>668.9</v>
      </c>
    </row>
    <row r="78" ht="15.75" customHeight="1">
      <c r="B78" s="3">
        <f>IFERROR(__xludf.DUMMYFUNCTION("""COMPUTED_VALUE"""),42160.64583333333)</f>
        <v>42160.64583</v>
      </c>
      <c r="C78" s="2">
        <f>IFERROR(__xludf.DUMMYFUNCTION("""COMPUTED_VALUE"""),559.8)</f>
        <v>559.8</v>
      </c>
    </row>
    <row r="79" ht="15.75" customHeight="1">
      <c r="B79" s="3">
        <f>IFERROR(__xludf.DUMMYFUNCTION("""COMPUTED_VALUE"""),42167.64583333333)</f>
        <v>42167.64583</v>
      </c>
      <c r="C79" s="2">
        <f>IFERROR(__xludf.DUMMYFUNCTION("""COMPUTED_VALUE"""),564.3)</f>
        <v>564.3</v>
      </c>
    </row>
    <row r="80" ht="15.75" customHeight="1">
      <c r="B80" s="3">
        <f>IFERROR(__xludf.DUMMYFUNCTION("""COMPUTED_VALUE"""),42174.64583333333)</f>
        <v>42174.64583</v>
      </c>
      <c r="C80" s="2">
        <f>IFERROR(__xludf.DUMMYFUNCTION("""COMPUTED_VALUE"""),561.0)</f>
        <v>561</v>
      </c>
    </row>
    <row r="81" ht="15.75" customHeight="1">
      <c r="B81" s="3">
        <f>IFERROR(__xludf.DUMMYFUNCTION("""COMPUTED_VALUE"""),42181.64583333333)</f>
        <v>42181.64583</v>
      </c>
      <c r="C81" s="2">
        <f>IFERROR(__xludf.DUMMYFUNCTION("""COMPUTED_VALUE"""),558.6)</f>
        <v>558.6</v>
      </c>
    </row>
    <row r="82" ht="15.75" customHeight="1">
      <c r="B82" s="3">
        <f>IFERROR(__xludf.DUMMYFUNCTION("""COMPUTED_VALUE"""),42188.64583333333)</f>
        <v>42188.64583</v>
      </c>
      <c r="C82" s="2">
        <f>IFERROR(__xludf.DUMMYFUNCTION("""COMPUTED_VALUE"""),517.6)</f>
        <v>517.6</v>
      </c>
    </row>
    <row r="83" ht="15.75" customHeight="1">
      <c r="B83" s="3">
        <f>IFERROR(__xludf.DUMMYFUNCTION("""COMPUTED_VALUE"""),42195.64583333333)</f>
        <v>42195.64583</v>
      </c>
      <c r="C83" s="2">
        <f>IFERROR(__xludf.DUMMYFUNCTION("""COMPUTED_VALUE"""),478.9)</f>
        <v>478.9</v>
      </c>
    </row>
    <row r="84" ht="15.75" customHeight="1">
      <c r="B84" s="3">
        <f>IFERROR(__xludf.DUMMYFUNCTION("""COMPUTED_VALUE"""),42202.64583333333)</f>
        <v>42202.64583</v>
      </c>
      <c r="C84" s="2">
        <f>IFERROR(__xludf.DUMMYFUNCTION("""COMPUTED_VALUE"""),505.8)</f>
        <v>505.8</v>
      </c>
    </row>
    <row r="85" ht="15.75" customHeight="1">
      <c r="B85" s="3">
        <f>IFERROR(__xludf.DUMMYFUNCTION("""COMPUTED_VALUE"""),42209.64583333333)</f>
        <v>42209.64583</v>
      </c>
      <c r="C85" s="2">
        <f>IFERROR(__xludf.DUMMYFUNCTION("""COMPUTED_VALUE"""),520.5)</f>
        <v>520.5</v>
      </c>
    </row>
    <row r="86" ht="15.75" customHeight="1">
      <c r="B86" s="3">
        <f>IFERROR(__xludf.DUMMYFUNCTION("""COMPUTED_VALUE"""),42216.64583333333)</f>
        <v>42216.64583</v>
      </c>
      <c r="C86" s="2">
        <f>IFERROR(__xludf.DUMMYFUNCTION("""COMPUTED_VALUE"""),532.8)</f>
        <v>532.8</v>
      </c>
    </row>
    <row r="87" ht="15.75" customHeight="1">
      <c r="B87" s="3">
        <f>IFERROR(__xludf.DUMMYFUNCTION("""COMPUTED_VALUE"""),42223.64583333333)</f>
        <v>42223.64583</v>
      </c>
      <c r="C87" s="2">
        <f>IFERROR(__xludf.DUMMYFUNCTION("""COMPUTED_VALUE"""),558.8)</f>
        <v>558.8</v>
      </c>
    </row>
    <row r="88" ht="15.75" customHeight="1">
      <c r="B88" s="3">
        <f>IFERROR(__xludf.DUMMYFUNCTION("""COMPUTED_VALUE"""),42230.64583333333)</f>
        <v>42230.64583</v>
      </c>
      <c r="C88" s="2">
        <f>IFERROR(__xludf.DUMMYFUNCTION("""COMPUTED_VALUE"""),567.5)</f>
        <v>567.5</v>
      </c>
    </row>
    <row r="89" ht="15.75" customHeight="1">
      <c r="B89" s="3">
        <f>IFERROR(__xludf.DUMMYFUNCTION("""COMPUTED_VALUE"""),42237.64583333333)</f>
        <v>42237.64583</v>
      </c>
      <c r="C89" s="2">
        <f>IFERROR(__xludf.DUMMYFUNCTION("""COMPUTED_VALUE"""),575.75)</f>
        <v>575.75</v>
      </c>
    </row>
    <row r="90" ht="15.75" customHeight="1">
      <c r="B90" s="3">
        <f>IFERROR(__xludf.DUMMYFUNCTION("""COMPUTED_VALUE"""),42244.64583333333)</f>
        <v>42244.64583</v>
      </c>
      <c r="C90" s="2">
        <f>IFERROR(__xludf.DUMMYFUNCTION("""COMPUTED_VALUE"""),557.85)</f>
        <v>557.85</v>
      </c>
    </row>
    <row r="91" ht="15.75" customHeight="1">
      <c r="B91" s="3">
        <f>IFERROR(__xludf.DUMMYFUNCTION("""COMPUTED_VALUE"""),42251.64583333333)</f>
        <v>42251.64583</v>
      </c>
      <c r="C91" s="2">
        <f>IFERROR(__xludf.DUMMYFUNCTION("""COMPUTED_VALUE"""),552.7)</f>
        <v>552.7</v>
      </c>
    </row>
    <row r="92" ht="15.75" customHeight="1">
      <c r="B92" s="3">
        <f>IFERROR(__xludf.DUMMYFUNCTION("""COMPUTED_VALUE"""),42258.64583333333)</f>
        <v>42258.64583</v>
      </c>
      <c r="C92" s="2">
        <f>IFERROR(__xludf.DUMMYFUNCTION("""COMPUTED_VALUE"""),547.7)</f>
        <v>547.7</v>
      </c>
    </row>
    <row r="93" ht="15.75" customHeight="1">
      <c r="B93" s="3">
        <f>IFERROR(__xludf.DUMMYFUNCTION("""COMPUTED_VALUE"""),42265.64583333333)</f>
        <v>42265.64583</v>
      </c>
      <c r="C93" s="2">
        <f>IFERROR(__xludf.DUMMYFUNCTION("""COMPUTED_VALUE"""),564.35)</f>
        <v>564.35</v>
      </c>
    </row>
    <row r="94" ht="15.75" customHeight="1">
      <c r="B94" s="3">
        <f>IFERROR(__xludf.DUMMYFUNCTION("""COMPUTED_VALUE"""),42271.64583333333)</f>
        <v>42271.64583</v>
      </c>
      <c r="C94" s="2">
        <f>IFERROR(__xludf.DUMMYFUNCTION("""COMPUTED_VALUE"""),578.9)</f>
        <v>578.9</v>
      </c>
    </row>
    <row r="95" ht="15.75" customHeight="1">
      <c r="B95" s="3">
        <f>IFERROR(__xludf.DUMMYFUNCTION("""COMPUTED_VALUE"""),42278.64583333333)</f>
        <v>42278.64583</v>
      </c>
      <c r="C95" s="2">
        <f>IFERROR(__xludf.DUMMYFUNCTION("""COMPUTED_VALUE"""),582.0)</f>
        <v>582</v>
      </c>
    </row>
    <row r="96" ht="15.75" customHeight="1">
      <c r="B96" s="3">
        <f>IFERROR(__xludf.DUMMYFUNCTION("""COMPUTED_VALUE"""),42286.64583333333)</f>
        <v>42286.64583</v>
      </c>
      <c r="C96" s="2">
        <f>IFERROR(__xludf.DUMMYFUNCTION("""COMPUTED_VALUE"""),578.85)</f>
        <v>578.85</v>
      </c>
    </row>
    <row r="97" ht="15.75" customHeight="1">
      <c r="B97" s="3">
        <f>IFERROR(__xludf.DUMMYFUNCTION("""COMPUTED_VALUE"""),42293.64583333333)</f>
        <v>42293.64583</v>
      </c>
      <c r="C97" s="2">
        <f>IFERROR(__xludf.DUMMYFUNCTION("""COMPUTED_VALUE"""),570.0)</f>
        <v>570</v>
      </c>
    </row>
    <row r="98" ht="15.75" customHeight="1">
      <c r="B98" s="3">
        <f>IFERROR(__xludf.DUMMYFUNCTION("""COMPUTED_VALUE"""),42300.64583333333)</f>
        <v>42300.64583</v>
      </c>
      <c r="C98" s="2">
        <f>IFERROR(__xludf.DUMMYFUNCTION("""COMPUTED_VALUE"""),560.0)</f>
        <v>560</v>
      </c>
    </row>
    <row r="99" ht="15.75" customHeight="1">
      <c r="B99" s="3">
        <f>IFERROR(__xludf.DUMMYFUNCTION("""COMPUTED_VALUE"""),42307.64583333333)</f>
        <v>42307.64583</v>
      </c>
      <c r="C99" s="2">
        <f>IFERROR(__xludf.DUMMYFUNCTION("""COMPUTED_VALUE"""),556.55)</f>
        <v>556.55</v>
      </c>
    </row>
    <row r="100" ht="15.75" customHeight="1">
      <c r="B100" s="3">
        <f>IFERROR(__xludf.DUMMYFUNCTION("""COMPUTED_VALUE"""),42314.64583333333)</f>
        <v>42314.64583</v>
      </c>
      <c r="C100" s="2">
        <f>IFERROR(__xludf.DUMMYFUNCTION("""COMPUTED_VALUE"""),568.5)</f>
        <v>568.5</v>
      </c>
    </row>
    <row r="101" ht="15.75" customHeight="1">
      <c r="B101" s="3">
        <f>IFERROR(__xludf.DUMMYFUNCTION("""COMPUTED_VALUE"""),42321.64583333333)</f>
        <v>42321.64583</v>
      </c>
      <c r="C101" s="2">
        <f>IFERROR(__xludf.DUMMYFUNCTION("""COMPUTED_VALUE"""),534.85)</f>
        <v>534.85</v>
      </c>
    </row>
    <row r="102" ht="15.75" customHeight="1">
      <c r="B102" s="3">
        <f>IFERROR(__xludf.DUMMYFUNCTION("""COMPUTED_VALUE"""),42328.64583333333)</f>
        <v>42328.64583</v>
      </c>
      <c r="C102" s="2">
        <f>IFERROR(__xludf.DUMMYFUNCTION("""COMPUTED_VALUE"""),540.0)</f>
        <v>540</v>
      </c>
    </row>
    <row r="103" ht="15.75" customHeight="1">
      <c r="B103" s="3">
        <f>IFERROR(__xludf.DUMMYFUNCTION("""COMPUTED_VALUE"""),42335.64583333333)</f>
        <v>42335.64583</v>
      </c>
      <c r="C103" s="2">
        <f>IFERROR(__xludf.DUMMYFUNCTION("""COMPUTED_VALUE"""),544.75)</f>
        <v>544.75</v>
      </c>
    </row>
    <row r="104" ht="15.75" customHeight="1">
      <c r="B104" s="3">
        <f>IFERROR(__xludf.DUMMYFUNCTION("""COMPUTED_VALUE"""),42342.64583333333)</f>
        <v>42342.64583</v>
      </c>
      <c r="C104" s="2">
        <f>IFERROR(__xludf.DUMMYFUNCTION("""COMPUTED_VALUE"""),545.6)</f>
        <v>545.6</v>
      </c>
    </row>
    <row r="105" ht="15.75" customHeight="1">
      <c r="B105" s="3">
        <f>IFERROR(__xludf.DUMMYFUNCTION("""COMPUTED_VALUE"""),42349.64583333333)</f>
        <v>42349.64583</v>
      </c>
      <c r="C105" s="2">
        <f>IFERROR(__xludf.DUMMYFUNCTION("""COMPUTED_VALUE"""),546.5)</f>
        <v>546.5</v>
      </c>
    </row>
    <row r="106" ht="15.75" customHeight="1">
      <c r="B106" s="3">
        <f>IFERROR(__xludf.DUMMYFUNCTION("""COMPUTED_VALUE"""),42356.64583333333)</f>
        <v>42356.64583</v>
      </c>
      <c r="C106" s="2">
        <f>IFERROR(__xludf.DUMMYFUNCTION("""COMPUTED_VALUE"""),548.0)</f>
        <v>548</v>
      </c>
    </row>
    <row r="107" ht="15.75" customHeight="1">
      <c r="B107" s="3">
        <f>IFERROR(__xludf.DUMMYFUNCTION("""COMPUTED_VALUE"""),42362.64583333333)</f>
        <v>42362.64583</v>
      </c>
      <c r="C107" s="2">
        <f>IFERROR(__xludf.DUMMYFUNCTION("""COMPUTED_VALUE"""),526.8)</f>
        <v>526.8</v>
      </c>
    </row>
    <row r="108" ht="15.75" customHeight="1">
      <c r="B108" s="3">
        <f>IFERROR(__xludf.DUMMYFUNCTION("""COMPUTED_VALUE"""),42370.64583333333)</f>
        <v>42370.64583</v>
      </c>
      <c r="C108" s="2">
        <f>IFERROR(__xludf.DUMMYFUNCTION("""COMPUTED_VALUE"""),528.0)</f>
        <v>528</v>
      </c>
    </row>
    <row r="109" ht="15.75" customHeight="1"/>
    <row r="110" ht="15.75" customHeight="1"/>
    <row r="111" ht="15.75" customHeight="1">
      <c r="B111" s="2" t="str">
        <f>IFERROR(__xludf.DUMMYFUNCTION("GOOGLEFINANCE(""NSE:TECHM"", ""high"",DATE(2016,1,1),DATE(2017,1,1),""weekly"")"),"Date")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IFERROR(__xludf.DUMMYFUNCTION("""COMPUTED_VALUE"""),42377.64583333333)</f>
        <v>42377.64583</v>
      </c>
      <c r="C112" s="2">
        <f>IFERROR(__xludf.DUMMYFUNCTION("""COMPUTED_VALUE"""),527.0)</f>
        <v>527</v>
      </c>
    </row>
    <row r="113" ht="15.75" customHeight="1">
      <c r="B113" s="3">
        <f>IFERROR(__xludf.DUMMYFUNCTION("""COMPUTED_VALUE"""),42384.64583333333)</f>
        <v>42384.64583</v>
      </c>
      <c r="C113" s="2">
        <f>IFERROR(__xludf.DUMMYFUNCTION("""COMPUTED_VALUE"""),529.95)</f>
        <v>529.95</v>
      </c>
    </row>
    <row r="114" ht="15.75" customHeight="1">
      <c r="B114" s="3">
        <f>IFERROR(__xludf.DUMMYFUNCTION("""COMPUTED_VALUE"""),42391.64583333333)</f>
        <v>42391.64583</v>
      </c>
      <c r="C114" s="2">
        <f>IFERROR(__xludf.DUMMYFUNCTION("""COMPUTED_VALUE"""),526.95)</f>
        <v>526.95</v>
      </c>
    </row>
    <row r="115" ht="15.75" customHeight="1">
      <c r="B115" s="3">
        <f>IFERROR(__xludf.DUMMYFUNCTION("""COMPUTED_VALUE"""),42398.64583333333)</f>
        <v>42398.64583</v>
      </c>
      <c r="C115" s="2">
        <f>IFERROR(__xludf.DUMMYFUNCTION("""COMPUTED_VALUE"""),523.75)</f>
        <v>523.75</v>
      </c>
    </row>
    <row r="116" ht="15.75" customHeight="1">
      <c r="B116" s="3">
        <f>IFERROR(__xludf.DUMMYFUNCTION("""COMPUTED_VALUE"""),42405.64583333333)</f>
        <v>42405.64583</v>
      </c>
      <c r="C116" s="2">
        <f>IFERROR(__xludf.DUMMYFUNCTION("""COMPUTED_VALUE"""),518.4)</f>
        <v>518.4</v>
      </c>
    </row>
    <row r="117" ht="15.75" customHeight="1">
      <c r="B117" s="3">
        <f>IFERROR(__xludf.DUMMYFUNCTION("""COMPUTED_VALUE"""),42412.64583333333)</f>
        <v>42412.64583</v>
      </c>
      <c r="C117" s="2">
        <f>IFERROR(__xludf.DUMMYFUNCTION("""COMPUTED_VALUE"""),482.0)</f>
        <v>482</v>
      </c>
    </row>
    <row r="118" ht="15.75" customHeight="1">
      <c r="B118" s="3">
        <f>IFERROR(__xludf.DUMMYFUNCTION("""COMPUTED_VALUE"""),42419.64583333333)</f>
        <v>42419.64583</v>
      </c>
      <c r="C118" s="2">
        <f>IFERROR(__xludf.DUMMYFUNCTION("""COMPUTED_VALUE"""),442.55)</f>
        <v>442.55</v>
      </c>
    </row>
    <row r="119" ht="15.75" customHeight="1">
      <c r="B119" s="3">
        <f>IFERROR(__xludf.DUMMYFUNCTION("""COMPUTED_VALUE"""),42426.64583333333)</f>
        <v>42426.64583</v>
      </c>
      <c r="C119" s="2">
        <f>IFERROR(__xludf.DUMMYFUNCTION("""COMPUTED_VALUE"""),441.9)</f>
        <v>441.9</v>
      </c>
    </row>
    <row r="120" ht="15.75" customHeight="1">
      <c r="B120" s="3">
        <f>IFERROR(__xludf.DUMMYFUNCTION("""COMPUTED_VALUE"""),42433.64583333333)</f>
        <v>42433.64583</v>
      </c>
      <c r="C120" s="2">
        <f>IFERROR(__xludf.DUMMYFUNCTION("""COMPUTED_VALUE"""),464.0)</f>
        <v>464</v>
      </c>
    </row>
    <row r="121" ht="15.75" customHeight="1">
      <c r="B121" s="3">
        <f>IFERROR(__xludf.DUMMYFUNCTION("""COMPUTED_VALUE"""),42440.64583333333)</f>
        <v>42440.64583</v>
      </c>
      <c r="C121" s="2">
        <f>IFERROR(__xludf.DUMMYFUNCTION("""COMPUTED_VALUE"""),473.2)</f>
        <v>473.2</v>
      </c>
    </row>
    <row r="122" ht="15.75" customHeight="1">
      <c r="B122" s="3">
        <f>IFERROR(__xludf.DUMMYFUNCTION("""COMPUTED_VALUE"""),42447.64583333333)</f>
        <v>42447.64583</v>
      </c>
      <c r="C122" s="2">
        <f>IFERROR(__xludf.DUMMYFUNCTION("""COMPUTED_VALUE"""),496.0)</f>
        <v>496</v>
      </c>
    </row>
    <row r="123" ht="15.75" customHeight="1">
      <c r="B123" s="3">
        <f>IFERROR(__xludf.DUMMYFUNCTION("""COMPUTED_VALUE"""),42452.64583333333)</f>
        <v>42452.64583</v>
      </c>
      <c r="C123" s="2">
        <f>IFERROR(__xludf.DUMMYFUNCTION("""COMPUTED_VALUE"""),498.4)</f>
        <v>498.4</v>
      </c>
    </row>
    <row r="124" ht="15.75" customHeight="1">
      <c r="B124" s="3">
        <f>IFERROR(__xludf.DUMMYFUNCTION("""COMPUTED_VALUE"""),42461.64583333333)</f>
        <v>42461.64583</v>
      </c>
      <c r="C124" s="2">
        <f>IFERROR(__xludf.DUMMYFUNCTION("""COMPUTED_VALUE"""),485.25)</f>
        <v>485.25</v>
      </c>
    </row>
    <row r="125" ht="15.75" customHeight="1">
      <c r="B125" s="3">
        <f>IFERROR(__xludf.DUMMYFUNCTION("""COMPUTED_VALUE"""),42468.64583333333)</f>
        <v>42468.64583</v>
      </c>
      <c r="C125" s="2">
        <f>IFERROR(__xludf.DUMMYFUNCTION("""COMPUTED_VALUE"""),474.0)</f>
        <v>474</v>
      </c>
    </row>
    <row r="126" ht="15.75" customHeight="1">
      <c r="B126" s="3">
        <f>IFERROR(__xludf.DUMMYFUNCTION("""COMPUTED_VALUE"""),42473.64583333333)</f>
        <v>42473.64583</v>
      </c>
      <c r="C126" s="2">
        <f>IFERROR(__xludf.DUMMYFUNCTION("""COMPUTED_VALUE"""),472.7)</f>
        <v>472.7</v>
      </c>
    </row>
    <row r="127" ht="15.75" customHeight="1">
      <c r="B127" s="3">
        <f>IFERROR(__xludf.DUMMYFUNCTION("""COMPUTED_VALUE"""),42482.64583333333)</f>
        <v>42482.64583</v>
      </c>
      <c r="C127" s="2">
        <f>IFERROR(__xludf.DUMMYFUNCTION("""COMPUTED_VALUE"""),488.5)</f>
        <v>488.5</v>
      </c>
    </row>
    <row r="128" ht="15.75" customHeight="1">
      <c r="B128" s="3">
        <f>IFERROR(__xludf.DUMMYFUNCTION("""COMPUTED_VALUE"""),42489.64583333333)</f>
        <v>42489.64583</v>
      </c>
      <c r="C128" s="2">
        <f>IFERROR(__xludf.DUMMYFUNCTION("""COMPUTED_VALUE"""),489.0)</f>
        <v>489</v>
      </c>
    </row>
    <row r="129" ht="15.75" customHeight="1">
      <c r="B129" s="3">
        <f>IFERROR(__xludf.DUMMYFUNCTION("""COMPUTED_VALUE"""),42496.64583333333)</f>
        <v>42496.64583</v>
      </c>
      <c r="C129" s="2">
        <f>IFERROR(__xludf.DUMMYFUNCTION("""COMPUTED_VALUE"""),485.0)</f>
        <v>485</v>
      </c>
    </row>
    <row r="130" ht="15.75" customHeight="1">
      <c r="B130" s="3">
        <f>IFERROR(__xludf.DUMMYFUNCTION("""COMPUTED_VALUE"""),42503.64583333333)</f>
        <v>42503.64583</v>
      </c>
      <c r="C130" s="2">
        <f>IFERROR(__xludf.DUMMYFUNCTION("""COMPUTED_VALUE"""),485.6)</f>
        <v>485.6</v>
      </c>
    </row>
    <row r="131" ht="15.75" customHeight="1">
      <c r="B131" s="3">
        <f>IFERROR(__xludf.DUMMYFUNCTION("""COMPUTED_VALUE"""),42510.64583333333)</f>
        <v>42510.64583</v>
      </c>
      <c r="C131" s="2">
        <f>IFERROR(__xludf.DUMMYFUNCTION("""COMPUTED_VALUE"""),494.9)</f>
        <v>494.9</v>
      </c>
    </row>
    <row r="132" ht="15.75" customHeight="1">
      <c r="B132" s="3">
        <f>IFERROR(__xludf.DUMMYFUNCTION("""COMPUTED_VALUE"""),42517.64583333333)</f>
        <v>42517.64583</v>
      </c>
      <c r="C132" s="2">
        <f>IFERROR(__xludf.DUMMYFUNCTION("""COMPUTED_VALUE"""),547.0)</f>
        <v>547</v>
      </c>
    </row>
    <row r="133" ht="15.75" customHeight="1">
      <c r="B133" s="3">
        <f>IFERROR(__xludf.DUMMYFUNCTION("""COMPUTED_VALUE"""),42524.64583333333)</f>
        <v>42524.64583</v>
      </c>
      <c r="C133" s="2">
        <f>IFERROR(__xludf.DUMMYFUNCTION("""COMPUTED_VALUE"""),564.0)</f>
        <v>564</v>
      </c>
    </row>
    <row r="134" ht="15.75" customHeight="1">
      <c r="B134" s="3">
        <f>IFERROR(__xludf.DUMMYFUNCTION("""COMPUTED_VALUE"""),42531.64583333333)</f>
        <v>42531.64583</v>
      </c>
      <c r="C134" s="2">
        <f>IFERROR(__xludf.DUMMYFUNCTION("""COMPUTED_VALUE"""),551.9)</f>
        <v>551.9</v>
      </c>
    </row>
    <row r="135" ht="15.75" customHeight="1">
      <c r="B135" s="3">
        <f>IFERROR(__xludf.DUMMYFUNCTION("""COMPUTED_VALUE"""),42538.64583333333)</f>
        <v>42538.64583</v>
      </c>
      <c r="C135" s="2">
        <f>IFERROR(__xludf.DUMMYFUNCTION("""COMPUTED_VALUE"""),543.35)</f>
        <v>543.35</v>
      </c>
    </row>
    <row r="136" ht="15.75" customHeight="1">
      <c r="B136" s="3">
        <f>IFERROR(__xludf.DUMMYFUNCTION("""COMPUTED_VALUE"""),42545.64583333333)</f>
        <v>42545.64583</v>
      </c>
      <c r="C136" s="2">
        <f>IFERROR(__xludf.DUMMYFUNCTION("""COMPUTED_VALUE"""),548.85)</f>
        <v>548.85</v>
      </c>
    </row>
    <row r="137" ht="15.75" customHeight="1">
      <c r="B137" s="3">
        <f>IFERROR(__xludf.DUMMYFUNCTION("""COMPUTED_VALUE"""),42552.64583333333)</f>
        <v>42552.64583</v>
      </c>
      <c r="C137" s="2">
        <f>IFERROR(__xludf.DUMMYFUNCTION("""COMPUTED_VALUE"""),516.55)</f>
        <v>516.55</v>
      </c>
    </row>
    <row r="138" ht="15.75" customHeight="1">
      <c r="B138" s="3">
        <f>IFERROR(__xludf.DUMMYFUNCTION("""COMPUTED_VALUE"""),42559.64583333333)</f>
        <v>42559.64583</v>
      </c>
      <c r="C138" s="2">
        <f>IFERROR(__xludf.DUMMYFUNCTION("""COMPUTED_VALUE"""),524.0)</f>
        <v>524</v>
      </c>
    </row>
    <row r="139" ht="15.75" customHeight="1">
      <c r="B139" s="3">
        <f>IFERROR(__xludf.DUMMYFUNCTION("""COMPUTED_VALUE"""),42566.64583333333)</f>
        <v>42566.64583</v>
      </c>
      <c r="C139" s="2">
        <f>IFERROR(__xludf.DUMMYFUNCTION("""COMPUTED_VALUE"""),523.8)</f>
        <v>523.8</v>
      </c>
    </row>
    <row r="140" ht="15.75" customHeight="1">
      <c r="B140" s="3">
        <f>IFERROR(__xludf.DUMMYFUNCTION("""COMPUTED_VALUE"""),42573.64583333333)</f>
        <v>42573.64583</v>
      </c>
      <c r="C140" s="2">
        <f>IFERROR(__xludf.DUMMYFUNCTION("""COMPUTED_VALUE"""),511.9)</f>
        <v>511.9</v>
      </c>
    </row>
    <row r="141" ht="15.75" customHeight="1">
      <c r="B141" s="3">
        <f>IFERROR(__xludf.DUMMYFUNCTION("""COMPUTED_VALUE"""),42580.64583333333)</f>
        <v>42580.64583</v>
      </c>
      <c r="C141" s="2">
        <f>IFERROR(__xludf.DUMMYFUNCTION("""COMPUTED_VALUE"""),512.75)</f>
        <v>512.75</v>
      </c>
    </row>
    <row r="142" ht="15.75" customHeight="1">
      <c r="B142" s="3">
        <f>IFERROR(__xludf.DUMMYFUNCTION("""COMPUTED_VALUE"""),42587.64583333333)</f>
        <v>42587.64583</v>
      </c>
      <c r="C142" s="2">
        <f>IFERROR(__xludf.DUMMYFUNCTION("""COMPUTED_VALUE"""),509.7)</f>
        <v>509.7</v>
      </c>
    </row>
    <row r="143" ht="15.75" customHeight="1">
      <c r="B143" s="3">
        <f>IFERROR(__xludf.DUMMYFUNCTION("""COMPUTED_VALUE"""),42594.64583333333)</f>
        <v>42594.64583</v>
      </c>
      <c r="C143" s="2">
        <f>IFERROR(__xludf.DUMMYFUNCTION("""COMPUTED_VALUE"""),505.8)</f>
        <v>505.8</v>
      </c>
    </row>
    <row r="144" ht="15.75" customHeight="1">
      <c r="B144" s="3">
        <f>IFERROR(__xludf.DUMMYFUNCTION("""COMPUTED_VALUE"""),42601.64583333333)</f>
        <v>42601.64583</v>
      </c>
      <c r="C144" s="2">
        <f>IFERROR(__xludf.DUMMYFUNCTION("""COMPUTED_VALUE"""),491.75)</f>
        <v>491.75</v>
      </c>
    </row>
    <row r="145" ht="15.75" customHeight="1">
      <c r="B145" s="3">
        <f>IFERROR(__xludf.DUMMYFUNCTION("""COMPUTED_VALUE"""),42608.64583333333)</f>
        <v>42608.64583</v>
      </c>
      <c r="C145" s="2">
        <f>IFERROR(__xludf.DUMMYFUNCTION("""COMPUTED_VALUE"""),474.5)</f>
        <v>474.5</v>
      </c>
    </row>
    <row r="146" ht="15.75" customHeight="1">
      <c r="B146" s="3">
        <f>IFERROR(__xludf.DUMMYFUNCTION("""COMPUTED_VALUE"""),42615.64583333333)</f>
        <v>42615.64583</v>
      </c>
      <c r="C146" s="2">
        <f>IFERROR(__xludf.DUMMYFUNCTION("""COMPUTED_VALUE"""),476.4)</f>
        <v>476.4</v>
      </c>
    </row>
    <row r="147" ht="15.75" customHeight="1">
      <c r="B147" s="3">
        <f>IFERROR(__xludf.DUMMYFUNCTION("""COMPUTED_VALUE"""),42622.64583333333)</f>
        <v>42622.64583</v>
      </c>
      <c r="C147" s="2">
        <f>IFERROR(__xludf.DUMMYFUNCTION("""COMPUTED_VALUE"""),483.5)</f>
        <v>483.5</v>
      </c>
    </row>
    <row r="148" ht="15.75" customHeight="1">
      <c r="B148" s="3">
        <f>IFERROR(__xludf.DUMMYFUNCTION("""COMPUTED_VALUE"""),42629.64583333333)</f>
        <v>42629.64583</v>
      </c>
      <c r="C148" s="2">
        <f>IFERROR(__xludf.DUMMYFUNCTION("""COMPUTED_VALUE"""),472.6)</f>
        <v>472.6</v>
      </c>
    </row>
    <row r="149" ht="15.75" customHeight="1">
      <c r="B149" s="3">
        <f>IFERROR(__xludf.DUMMYFUNCTION("""COMPUTED_VALUE"""),42636.64583333333)</f>
        <v>42636.64583</v>
      </c>
      <c r="C149" s="2">
        <f>IFERROR(__xludf.DUMMYFUNCTION("""COMPUTED_VALUE"""),474.7)</f>
        <v>474.7</v>
      </c>
    </row>
    <row r="150" ht="15.75" customHeight="1">
      <c r="B150" s="3">
        <f>IFERROR(__xludf.DUMMYFUNCTION("""COMPUTED_VALUE"""),42643.64583333333)</f>
        <v>42643.64583</v>
      </c>
      <c r="C150" s="2">
        <f>IFERROR(__xludf.DUMMYFUNCTION("""COMPUTED_VALUE"""),454.2)</f>
        <v>454.2</v>
      </c>
    </row>
    <row r="151" ht="15.75" customHeight="1">
      <c r="B151" s="3">
        <f>IFERROR(__xludf.DUMMYFUNCTION("""COMPUTED_VALUE"""),42650.64583333333)</f>
        <v>42650.64583</v>
      </c>
      <c r="C151" s="2">
        <f>IFERROR(__xludf.DUMMYFUNCTION("""COMPUTED_VALUE"""),433.0)</f>
        <v>433</v>
      </c>
    </row>
    <row r="152" ht="15.75" customHeight="1">
      <c r="B152" s="3">
        <f>IFERROR(__xludf.DUMMYFUNCTION("""COMPUTED_VALUE"""),42657.64583333333)</f>
        <v>42657.64583</v>
      </c>
      <c r="C152" s="2">
        <f>IFERROR(__xludf.DUMMYFUNCTION("""COMPUTED_VALUE"""),429.65)</f>
        <v>429.65</v>
      </c>
    </row>
    <row r="153" ht="15.75" customHeight="1">
      <c r="B153" s="3">
        <f>IFERROR(__xludf.DUMMYFUNCTION("""COMPUTED_VALUE"""),42664.64583333333)</f>
        <v>42664.64583</v>
      </c>
      <c r="C153" s="2">
        <f>IFERROR(__xludf.DUMMYFUNCTION("""COMPUTED_VALUE"""),436.45)</f>
        <v>436.45</v>
      </c>
    </row>
    <row r="154" ht="15.75" customHeight="1">
      <c r="B154" s="3">
        <f>IFERROR(__xludf.DUMMYFUNCTION("""COMPUTED_VALUE"""),42671.64583333333)</f>
        <v>42671.64583</v>
      </c>
      <c r="C154" s="2">
        <f>IFERROR(__xludf.DUMMYFUNCTION("""COMPUTED_VALUE"""),444.0)</f>
        <v>444</v>
      </c>
    </row>
    <row r="155" ht="15.75" customHeight="1">
      <c r="B155" s="3">
        <f>IFERROR(__xludf.DUMMYFUNCTION("""COMPUTED_VALUE"""),42678.64583333333)</f>
        <v>42678.64583</v>
      </c>
      <c r="C155" s="2">
        <f>IFERROR(__xludf.DUMMYFUNCTION("""COMPUTED_VALUE"""),445.0)</f>
        <v>445</v>
      </c>
    </row>
    <row r="156" ht="15.75" customHeight="1">
      <c r="B156" s="3">
        <f>IFERROR(__xludf.DUMMYFUNCTION("""COMPUTED_VALUE"""),42685.64583333333)</f>
        <v>42685.64583</v>
      </c>
      <c r="C156" s="2">
        <f>IFERROR(__xludf.DUMMYFUNCTION("""COMPUTED_VALUE"""),455.8)</f>
        <v>455.8</v>
      </c>
    </row>
    <row r="157" ht="15.75" customHeight="1">
      <c r="B157" s="3">
        <f>IFERROR(__xludf.DUMMYFUNCTION("""COMPUTED_VALUE"""),42692.64583333333)</f>
        <v>42692.64583</v>
      </c>
      <c r="C157" s="2">
        <f>IFERROR(__xludf.DUMMYFUNCTION("""COMPUTED_VALUE"""),455.0)</f>
        <v>455</v>
      </c>
    </row>
    <row r="158" ht="15.75" customHeight="1">
      <c r="B158" s="3">
        <f>IFERROR(__xludf.DUMMYFUNCTION("""COMPUTED_VALUE"""),42699.64583333333)</f>
        <v>42699.64583</v>
      </c>
      <c r="C158" s="2">
        <f>IFERROR(__xludf.DUMMYFUNCTION("""COMPUTED_VALUE"""),489.5)</f>
        <v>489.5</v>
      </c>
    </row>
    <row r="159" ht="15.75" customHeight="1">
      <c r="B159" s="3">
        <f>IFERROR(__xludf.DUMMYFUNCTION("""COMPUTED_VALUE"""),42706.64583333333)</f>
        <v>42706.64583</v>
      </c>
      <c r="C159" s="2">
        <f>IFERROR(__xludf.DUMMYFUNCTION("""COMPUTED_VALUE"""),495.85)</f>
        <v>495.85</v>
      </c>
    </row>
    <row r="160" ht="15.75" customHeight="1">
      <c r="B160" s="3">
        <f>IFERROR(__xludf.DUMMYFUNCTION("""COMPUTED_VALUE"""),42713.64583333333)</f>
        <v>42713.64583</v>
      </c>
      <c r="C160" s="2">
        <f>IFERROR(__xludf.DUMMYFUNCTION("""COMPUTED_VALUE"""),476.6)</f>
        <v>476.6</v>
      </c>
    </row>
    <row r="161" ht="15.75" customHeight="1">
      <c r="B161" s="3">
        <f>IFERROR(__xludf.DUMMYFUNCTION("""COMPUTED_VALUE"""),42720.64583333333)</f>
        <v>42720.64583</v>
      </c>
      <c r="C161" s="2">
        <f>IFERROR(__xludf.DUMMYFUNCTION("""COMPUTED_VALUE"""),487.5)</f>
        <v>487.5</v>
      </c>
    </row>
    <row r="162" ht="15.75" customHeight="1">
      <c r="B162" s="3">
        <f>IFERROR(__xludf.DUMMYFUNCTION("""COMPUTED_VALUE"""),42727.64583333333)</f>
        <v>42727.64583</v>
      </c>
      <c r="C162" s="2">
        <f>IFERROR(__xludf.DUMMYFUNCTION("""COMPUTED_VALUE"""),480.75)</f>
        <v>480.75</v>
      </c>
    </row>
    <row r="163" ht="15.75" customHeight="1">
      <c r="B163" s="3">
        <f>IFERROR(__xludf.DUMMYFUNCTION("""COMPUTED_VALUE"""),42734.64583333333)</f>
        <v>42734.64583</v>
      </c>
      <c r="C163" s="2">
        <f>IFERROR(__xludf.DUMMYFUNCTION("""COMPUTED_VALUE"""),493.0)</f>
        <v>493</v>
      </c>
    </row>
    <row r="164" ht="15.75" customHeight="1"/>
    <row r="165" ht="15.75" customHeight="1"/>
    <row r="166" ht="15.75" customHeight="1">
      <c r="B166" s="2" t="str">
        <f>IFERROR(__xludf.DUMMYFUNCTION("GOOGLEFINANCE(""NSE:TECHM"", ""high"",DATE(2017,1,1),DATE(2018,1,1),""weekly"")"),"Date")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IFERROR(__xludf.DUMMYFUNCTION("""COMPUTED_VALUE"""),42741.64583333333)</f>
        <v>42741.64583</v>
      </c>
      <c r="C167" s="2">
        <f>IFERROR(__xludf.DUMMYFUNCTION("""COMPUTED_VALUE"""),507.0)</f>
        <v>507</v>
      </c>
    </row>
    <row r="168" ht="15.75" customHeight="1">
      <c r="B168" s="3">
        <f>IFERROR(__xludf.DUMMYFUNCTION("""COMPUTED_VALUE"""),42748.64583333333)</f>
        <v>42748.64583</v>
      </c>
      <c r="C168" s="2">
        <f>IFERROR(__xludf.DUMMYFUNCTION("""COMPUTED_VALUE"""),492.9)</f>
        <v>492.9</v>
      </c>
    </row>
    <row r="169" ht="15.75" customHeight="1">
      <c r="B169" s="3">
        <f>IFERROR(__xludf.DUMMYFUNCTION("""COMPUTED_VALUE"""),42755.64583333333)</f>
        <v>42755.64583</v>
      </c>
      <c r="C169" s="2">
        <f>IFERROR(__xludf.DUMMYFUNCTION("""COMPUTED_VALUE"""),495.0)</f>
        <v>495</v>
      </c>
    </row>
    <row r="170" ht="15.75" customHeight="1">
      <c r="B170" s="3">
        <f>IFERROR(__xludf.DUMMYFUNCTION("""COMPUTED_VALUE"""),42762.64583333333)</f>
        <v>42762.64583</v>
      </c>
      <c r="C170" s="2">
        <f>IFERROR(__xludf.DUMMYFUNCTION("""COMPUTED_VALUE"""),473.75)</f>
        <v>473.75</v>
      </c>
    </row>
    <row r="171" ht="15.75" customHeight="1">
      <c r="B171" s="3">
        <f>IFERROR(__xludf.DUMMYFUNCTION("""COMPUTED_VALUE"""),42769.64583333333)</f>
        <v>42769.64583</v>
      </c>
      <c r="C171" s="2">
        <f>IFERROR(__xludf.DUMMYFUNCTION("""COMPUTED_VALUE"""),484.7)</f>
        <v>484.7</v>
      </c>
    </row>
    <row r="172" ht="15.75" customHeight="1">
      <c r="B172" s="3">
        <f>IFERROR(__xludf.DUMMYFUNCTION("""COMPUTED_VALUE"""),42776.64583333333)</f>
        <v>42776.64583</v>
      </c>
      <c r="C172" s="2">
        <f>IFERROR(__xludf.DUMMYFUNCTION("""COMPUTED_VALUE"""),503.5)</f>
        <v>503.5</v>
      </c>
    </row>
    <row r="173" ht="15.75" customHeight="1">
      <c r="B173" s="3">
        <f>IFERROR(__xludf.DUMMYFUNCTION("""COMPUTED_VALUE"""),42783.64583333333)</f>
        <v>42783.64583</v>
      </c>
      <c r="C173" s="2">
        <f>IFERROR(__xludf.DUMMYFUNCTION("""COMPUTED_VALUE"""),511.6)</f>
        <v>511.6</v>
      </c>
    </row>
    <row r="174" ht="15.75" customHeight="1">
      <c r="B174" s="3">
        <f>IFERROR(__xludf.DUMMYFUNCTION("""COMPUTED_VALUE"""),42789.64583333333)</f>
        <v>42789.64583</v>
      </c>
      <c r="C174" s="2">
        <f>IFERROR(__xludf.DUMMYFUNCTION("""COMPUTED_VALUE"""),515.25)</f>
        <v>515.25</v>
      </c>
    </row>
    <row r="175" ht="15.75" customHeight="1">
      <c r="B175" s="3">
        <f>IFERROR(__xludf.DUMMYFUNCTION("""COMPUTED_VALUE"""),42797.64583333333)</f>
        <v>42797.64583</v>
      </c>
      <c r="C175" s="2">
        <f>IFERROR(__xludf.DUMMYFUNCTION("""COMPUTED_VALUE"""),510.05)</f>
        <v>510.05</v>
      </c>
    </row>
    <row r="176" ht="15.75" customHeight="1">
      <c r="B176" s="3">
        <f>IFERROR(__xludf.DUMMYFUNCTION("""COMPUTED_VALUE"""),42804.64583333333)</f>
        <v>42804.64583</v>
      </c>
      <c r="C176" s="2">
        <f>IFERROR(__xludf.DUMMYFUNCTION("""COMPUTED_VALUE"""),507.25)</f>
        <v>507.25</v>
      </c>
    </row>
    <row r="177" ht="15.75" customHeight="1">
      <c r="B177" s="3">
        <f>IFERROR(__xludf.DUMMYFUNCTION("""COMPUTED_VALUE"""),42811.64583333333)</f>
        <v>42811.64583</v>
      </c>
      <c r="C177" s="2">
        <f>IFERROR(__xludf.DUMMYFUNCTION("""COMPUTED_VALUE"""),487.8)</f>
        <v>487.8</v>
      </c>
    </row>
    <row r="178" ht="15.75" customHeight="1">
      <c r="B178" s="3">
        <f>IFERROR(__xludf.DUMMYFUNCTION("""COMPUTED_VALUE"""),42818.64583333333)</f>
        <v>42818.64583</v>
      </c>
      <c r="C178" s="2">
        <f>IFERROR(__xludf.DUMMYFUNCTION("""COMPUTED_VALUE"""),491.0)</f>
        <v>491</v>
      </c>
    </row>
    <row r="179" ht="15.75" customHeight="1">
      <c r="B179" s="3">
        <f>IFERROR(__xludf.DUMMYFUNCTION("""COMPUTED_VALUE"""),42825.64583333333)</f>
        <v>42825.64583</v>
      </c>
      <c r="C179" s="2">
        <f>IFERROR(__xludf.DUMMYFUNCTION("""COMPUTED_VALUE"""),477.65)</f>
        <v>477.65</v>
      </c>
    </row>
    <row r="180" ht="15.75" customHeight="1">
      <c r="B180" s="3">
        <f>IFERROR(__xludf.DUMMYFUNCTION("""COMPUTED_VALUE"""),42832.64583333333)</f>
        <v>42832.64583</v>
      </c>
      <c r="C180" s="2">
        <f>IFERROR(__xludf.DUMMYFUNCTION("""COMPUTED_VALUE"""),459.0)</f>
        <v>459</v>
      </c>
    </row>
    <row r="181" ht="15.75" customHeight="1">
      <c r="B181" s="3">
        <f>IFERROR(__xludf.DUMMYFUNCTION("""COMPUTED_VALUE"""),42838.64583333333)</f>
        <v>42838.64583</v>
      </c>
      <c r="C181" s="2">
        <f>IFERROR(__xludf.DUMMYFUNCTION("""COMPUTED_VALUE"""),448.7)</f>
        <v>448.7</v>
      </c>
    </row>
    <row r="182" ht="15.75" customHeight="1">
      <c r="B182" s="3">
        <f>IFERROR(__xludf.DUMMYFUNCTION("""COMPUTED_VALUE"""),42846.64583333333)</f>
        <v>42846.64583</v>
      </c>
      <c r="C182" s="2">
        <f>IFERROR(__xludf.DUMMYFUNCTION("""COMPUTED_VALUE"""),431.8)</f>
        <v>431.8</v>
      </c>
    </row>
    <row r="183" ht="15.75" customHeight="1">
      <c r="B183" s="3">
        <f>IFERROR(__xludf.DUMMYFUNCTION("""COMPUTED_VALUE"""),42853.64583333333)</f>
        <v>42853.64583</v>
      </c>
      <c r="C183" s="2">
        <f>IFERROR(__xludf.DUMMYFUNCTION("""COMPUTED_VALUE"""),441.95)</f>
        <v>441.95</v>
      </c>
    </row>
    <row r="184" ht="15.75" customHeight="1">
      <c r="B184" s="3">
        <f>IFERROR(__xludf.DUMMYFUNCTION("""COMPUTED_VALUE"""),42860.64583333333)</f>
        <v>42860.64583</v>
      </c>
      <c r="C184" s="2">
        <f>IFERROR(__xludf.DUMMYFUNCTION("""COMPUTED_VALUE"""),425.0)</f>
        <v>425</v>
      </c>
    </row>
    <row r="185" ht="15.75" customHeight="1">
      <c r="B185" s="3">
        <f>IFERROR(__xludf.DUMMYFUNCTION("""COMPUTED_VALUE"""),42867.64583333333)</f>
        <v>42867.64583</v>
      </c>
      <c r="C185" s="2">
        <f>IFERROR(__xludf.DUMMYFUNCTION("""COMPUTED_VALUE"""),444.6)</f>
        <v>444.6</v>
      </c>
    </row>
    <row r="186" ht="15.75" customHeight="1">
      <c r="B186" s="3">
        <f>IFERROR(__xludf.DUMMYFUNCTION("""COMPUTED_VALUE"""),42874.64583333333)</f>
        <v>42874.64583</v>
      </c>
      <c r="C186" s="2">
        <f>IFERROR(__xludf.DUMMYFUNCTION("""COMPUTED_VALUE"""),446.9)</f>
        <v>446.9</v>
      </c>
    </row>
    <row r="187" ht="15.75" customHeight="1">
      <c r="B187" s="3">
        <f>IFERROR(__xludf.DUMMYFUNCTION("""COMPUTED_VALUE"""),42881.64583333333)</f>
        <v>42881.64583</v>
      </c>
      <c r="C187" s="2">
        <f>IFERROR(__xludf.DUMMYFUNCTION("""COMPUTED_VALUE"""),434.0)</f>
        <v>434</v>
      </c>
    </row>
    <row r="188" ht="15.75" customHeight="1">
      <c r="B188" s="3">
        <f>IFERROR(__xludf.DUMMYFUNCTION("""COMPUTED_VALUE"""),42888.64583333333)</f>
        <v>42888.64583</v>
      </c>
      <c r="C188" s="2">
        <f>IFERROR(__xludf.DUMMYFUNCTION("""COMPUTED_VALUE"""),403.9)</f>
        <v>403.9</v>
      </c>
    </row>
    <row r="189" ht="15.75" customHeight="1">
      <c r="B189" s="3">
        <f>IFERROR(__xludf.DUMMYFUNCTION("""COMPUTED_VALUE"""),42895.64583333333)</f>
        <v>42895.64583</v>
      </c>
      <c r="C189" s="2">
        <f>IFERROR(__xludf.DUMMYFUNCTION("""COMPUTED_VALUE"""),414.85)</f>
        <v>414.85</v>
      </c>
    </row>
    <row r="190" ht="15.75" customHeight="1">
      <c r="B190" s="3">
        <f>IFERROR(__xludf.DUMMYFUNCTION("""COMPUTED_VALUE"""),42902.64583333333)</f>
        <v>42902.64583</v>
      </c>
      <c r="C190" s="2">
        <f>IFERROR(__xludf.DUMMYFUNCTION("""COMPUTED_VALUE"""),400.0)</f>
        <v>400</v>
      </c>
    </row>
    <row r="191" ht="15.75" customHeight="1">
      <c r="B191" s="3">
        <f>IFERROR(__xludf.DUMMYFUNCTION("""COMPUTED_VALUE"""),42909.64583333333)</f>
        <v>42909.64583</v>
      </c>
      <c r="C191" s="2">
        <f>IFERROR(__xludf.DUMMYFUNCTION("""COMPUTED_VALUE"""),396.9)</f>
        <v>396.9</v>
      </c>
    </row>
    <row r="192" ht="15.75" customHeight="1">
      <c r="B192" s="3">
        <f>IFERROR(__xludf.DUMMYFUNCTION("""COMPUTED_VALUE"""),42916.64583333333)</f>
        <v>42916.64583</v>
      </c>
      <c r="C192" s="2">
        <f>IFERROR(__xludf.DUMMYFUNCTION("""COMPUTED_VALUE"""),396.0)</f>
        <v>396</v>
      </c>
    </row>
    <row r="193" ht="15.75" customHeight="1">
      <c r="B193" s="3">
        <f>IFERROR(__xludf.DUMMYFUNCTION("""COMPUTED_VALUE"""),42923.64583333333)</f>
        <v>42923.64583</v>
      </c>
      <c r="C193" s="2">
        <f>IFERROR(__xludf.DUMMYFUNCTION("""COMPUTED_VALUE"""),385.25)</f>
        <v>385.25</v>
      </c>
    </row>
    <row r="194" ht="15.75" customHeight="1">
      <c r="B194" s="3">
        <f>IFERROR(__xludf.DUMMYFUNCTION("""COMPUTED_VALUE"""),42930.64583333333)</f>
        <v>42930.64583</v>
      </c>
      <c r="C194" s="2">
        <f>IFERROR(__xludf.DUMMYFUNCTION("""COMPUTED_VALUE"""),393.3)</f>
        <v>393.3</v>
      </c>
    </row>
    <row r="195" ht="15.75" customHeight="1">
      <c r="B195" s="3">
        <f>IFERROR(__xludf.DUMMYFUNCTION("""COMPUTED_VALUE"""),42937.64583333333)</f>
        <v>42937.64583</v>
      </c>
      <c r="C195" s="2">
        <f>IFERROR(__xludf.DUMMYFUNCTION("""COMPUTED_VALUE"""),400.95)</f>
        <v>400.95</v>
      </c>
    </row>
    <row r="196" ht="15.75" customHeight="1">
      <c r="B196" s="3">
        <f>IFERROR(__xludf.DUMMYFUNCTION("""COMPUTED_VALUE"""),42944.64583333333)</f>
        <v>42944.64583</v>
      </c>
      <c r="C196" s="2">
        <f>IFERROR(__xludf.DUMMYFUNCTION("""COMPUTED_VALUE"""),400.5)</f>
        <v>400.5</v>
      </c>
    </row>
    <row r="197" ht="15.75" customHeight="1">
      <c r="B197" s="3">
        <f>IFERROR(__xludf.DUMMYFUNCTION("""COMPUTED_VALUE"""),42951.64583333333)</f>
        <v>42951.64583</v>
      </c>
      <c r="C197" s="2">
        <f>IFERROR(__xludf.DUMMYFUNCTION("""COMPUTED_VALUE"""),413.9)</f>
        <v>413.9</v>
      </c>
    </row>
    <row r="198" ht="15.75" customHeight="1">
      <c r="B198" s="3">
        <f>IFERROR(__xludf.DUMMYFUNCTION("""COMPUTED_VALUE"""),42958.64583333333)</f>
        <v>42958.64583</v>
      </c>
      <c r="C198" s="2">
        <f>IFERROR(__xludf.DUMMYFUNCTION("""COMPUTED_VALUE"""),414.9)</f>
        <v>414.9</v>
      </c>
    </row>
    <row r="199" ht="15.75" customHeight="1">
      <c r="B199" s="3">
        <f>IFERROR(__xludf.DUMMYFUNCTION("""COMPUTED_VALUE"""),42965.64583333333)</f>
        <v>42965.64583</v>
      </c>
      <c r="C199" s="2">
        <f>IFERROR(__xludf.DUMMYFUNCTION("""COMPUTED_VALUE"""),436.4)</f>
        <v>436.4</v>
      </c>
    </row>
    <row r="200" ht="15.75" customHeight="1">
      <c r="B200" s="3">
        <f>IFERROR(__xludf.DUMMYFUNCTION("""COMPUTED_VALUE"""),42971.64583333333)</f>
        <v>42971.64583</v>
      </c>
      <c r="C200" s="2">
        <f>IFERROR(__xludf.DUMMYFUNCTION("""COMPUTED_VALUE"""),444.25)</f>
        <v>444.25</v>
      </c>
    </row>
    <row r="201" ht="15.75" customHeight="1">
      <c r="B201" s="3">
        <f>IFERROR(__xludf.DUMMYFUNCTION("""COMPUTED_VALUE"""),42979.64583333333)</f>
        <v>42979.64583</v>
      </c>
      <c r="C201" s="2">
        <f>IFERROR(__xludf.DUMMYFUNCTION("""COMPUTED_VALUE"""),436.0)</f>
        <v>436</v>
      </c>
    </row>
    <row r="202" ht="15.75" customHeight="1">
      <c r="B202" s="3">
        <f>IFERROR(__xludf.DUMMYFUNCTION("""COMPUTED_VALUE"""),42986.64583333333)</f>
        <v>42986.64583</v>
      </c>
      <c r="C202" s="2">
        <f>IFERROR(__xludf.DUMMYFUNCTION("""COMPUTED_VALUE"""),431.7)</f>
        <v>431.7</v>
      </c>
    </row>
    <row r="203" ht="15.75" customHeight="1">
      <c r="B203" s="3">
        <f>IFERROR(__xludf.DUMMYFUNCTION("""COMPUTED_VALUE"""),42993.64583333333)</f>
        <v>42993.64583</v>
      </c>
      <c r="C203" s="2">
        <f>IFERROR(__xludf.DUMMYFUNCTION("""COMPUTED_VALUE"""),453.7)</f>
        <v>453.7</v>
      </c>
    </row>
    <row r="204" ht="15.75" customHeight="1">
      <c r="B204" s="3">
        <f>IFERROR(__xludf.DUMMYFUNCTION("""COMPUTED_VALUE"""),43000.64583333333)</f>
        <v>43000.64583</v>
      </c>
      <c r="C204" s="2">
        <f>IFERROR(__xludf.DUMMYFUNCTION("""COMPUTED_VALUE"""),464.25)</f>
        <v>464.25</v>
      </c>
    </row>
    <row r="205" ht="15.75" customHeight="1">
      <c r="B205" s="3">
        <f>IFERROR(__xludf.DUMMYFUNCTION("""COMPUTED_VALUE"""),43007.64583333333)</f>
        <v>43007.64583</v>
      </c>
      <c r="C205" s="2">
        <f>IFERROR(__xludf.DUMMYFUNCTION("""COMPUTED_VALUE"""),462.45)</f>
        <v>462.45</v>
      </c>
    </row>
    <row r="206" ht="15.75" customHeight="1">
      <c r="B206" s="3">
        <f>IFERROR(__xludf.DUMMYFUNCTION("""COMPUTED_VALUE"""),43014.64583333333)</f>
        <v>43014.64583</v>
      </c>
      <c r="C206" s="2">
        <f>IFERROR(__xludf.DUMMYFUNCTION("""COMPUTED_VALUE"""),468.5)</f>
        <v>468.5</v>
      </c>
    </row>
    <row r="207" ht="15.75" customHeight="1">
      <c r="B207" s="3">
        <f>IFERROR(__xludf.DUMMYFUNCTION("""COMPUTED_VALUE"""),43021.64583333333)</f>
        <v>43021.64583</v>
      </c>
      <c r="C207" s="2">
        <f>IFERROR(__xludf.DUMMYFUNCTION("""COMPUTED_VALUE"""),479.9)</f>
        <v>479.9</v>
      </c>
    </row>
    <row r="208" ht="15.75" customHeight="1">
      <c r="B208" s="3">
        <f>IFERROR(__xludf.DUMMYFUNCTION("""COMPUTED_VALUE"""),43027.83333333333)</f>
        <v>43027.83333</v>
      </c>
      <c r="C208" s="2">
        <f>IFERROR(__xludf.DUMMYFUNCTION("""COMPUTED_VALUE"""),476.7)</f>
        <v>476.7</v>
      </c>
    </row>
    <row r="209" ht="15.75" customHeight="1">
      <c r="B209" s="3">
        <f>IFERROR(__xludf.DUMMYFUNCTION("""COMPUTED_VALUE"""),43035.64583333333)</f>
        <v>43035.64583</v>
      </c>
      <c r="C209" s="2">
        <f>IFERROR(__xludf.DUMMYFUNCTION("""COMPUTED_VALUE"""),480.0)</f>
        <v>480</v>
      </c>
    </row>
    <row r="210" ht="15.75" customHeight="1">
      <c r="B210" s="3">
        <f>IFERROR(__xludf.DUMMYFUNCTION("""COMPUTED_VALUE"""),43042.64583333333)</f>
        <v>43042.64583</v>
      </c>
      <c r="C210" s="2">
        <f>IFERROR(__xludf.DUMMYFUNCTION("""COMPUTED_VALUE"""),498.0)</f>
        <v>498</v>
      </c>
    </row>
    <row r="211" ht="15.75" customHeight="1">
      <c r="B211" s="3">
        <f>IFERROR(__xludf.DUMMYFUNCTION("""COMPUTED_VALUE"""),43049.64583333333)</f>
        <v>43049.64583</v>
      </c>
      <c r="C211" s="2">
        <f>IFERROR(__xludf.DUMMYFUNCTION("""COMPUTED_VALUE"""),497.75)</f>
        <v>497.75</v>
      </c>
    </row>
    <row r="212" ht="15.75" customHeight="1">
      <c r="B212" s="3">
        <f>IFERROR(__xludf.DUMMYFUNCTION("""COMPUTED_VALUE"""),43056.64583333333)</f>
        <v>43056.64583</v>
      </c>
      <c r="C212" s="2">
        <f>IFERROR(__xludf.DUMMYFUNCTION("""COMPUTED_VALUE"""),502.0)</f>
        <v>502</v>
      </c>
    </row>
    <row r="213" ht="15.75" customHeight="1">
      <c r="B213" s="3">
        <f>IFERROR(__xludf.DUMMYFUNCTION("""COMPUTED_VALUE"""),43063.64583333333)</f>
        <v>43063.64583</v>
      </c>
      <c r="C213" s="2">
        <f>IFERROR(__xludf.DUMMYFUNCTION("""COMPUTED_VALUE"""),499.0)</f>
        <v>499</v>
      </c>
    </row>
    <row r="214" ht="15.75" customHeight="1">
      <c r="B214" s="3">
        <f>IFERROR(__xludf.DUMMYFUNCTION("""COMPUTED_VALUE"""),43070.64583333333)</f>
        <v>43070.64583</v>
      </c>
      <c r="C214" s="2">
        <f>IFERROR(__xludf.DUMMYFUNCTION("""COMPUTED_VALUE"""),502.8)</f>
        <v>502.8</v>
      </c>
    </row>
    <row r="215" ht="15.75" customHeight="1">
      <c r="B215" s="3">
        <f>IFERROR(__xludf.DUMMYFUNCTION("""COMPUTED_VALUE"""),43077.64583333333)</f>
        <v>43077.64583</v>
      </c>
      <c r="C215" s="2">
        <f>IFERROR(__xludf.DUMMYFUNCTION("""COMPUTED_VALUE"""),499.55)</f>
        <v>499.55</v>
      </c>
    </row>
    <row r="216" ht="15.75" customHeight="1">
      <c r="B216" s="3">
        <f>IFERROR(__xludf.DUMMYFUNCTION("""COMPUTED_VALUE"""),43084.64583333333)</f>
        <v>43084.64583</v>
      </c>
      <c r="C216" s="2">
        <f>IFERROR(__xludf.DUMMYFUNCTION("""COMPUTED_VALUE"""),518.15)</f>
        <v>518.15</v>
      </c>
    </row>
    <row r="217" ht="15.75" customHeight="1">
      <c r="B217" s="3">
        <f>IFERROR(__xludf.DUMMYFUNCTION("""COMPUTED_VALUE"""),43091.64583333333)</f>
        <v>43091.64583</v>
      </c>
      <c r="C217" s="2">
        <f>IFERROR(__xludf.DUMMYFUNCTION("""COMPUTED_VALUE"""),500.0)</f>
        <v>500</v>
      </c>
    </row>
    <row r="218" ht="15.75" customHeight="1">
      <c r="B218" s="3">
        <f>IFERROR(__xludf.DUMMYFUNCTION("""COMPUTED_VALUE"""),43098.64583333333)</f>
        <v>43098.64583</v>
      </c>
      <c r="C218" s="2">
        <f>IFERROR(__xludf.DUMMYFUNCTION("""COMPUTED_VALUE"""),508.0)</f>
        <v>508</v>
      </c>
    </row>
    <row r="219" ht="15.75" customHeight="1"/>
    <row r="220" ht="15.75" customHeight="1"/>
    <row r="221" ht="15.75" customHeight="1">
      <c r="B221" s="2" t="str">
        <f>IFERROR(__xludf.DUMMYFUNCTION("GOOGLEFINANCE(""NSE:TECHM"", ""high"",DATE(2018,1,1),DATE(2019,1,1),""weekly"")"),"Date")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IFERROR(__xludf.DUMMYFUNCTION("""COMPUTED_VALUE"""),43105.64583333333)</f>
        <v>43105.64583</v>
      </c>
      <c r="C222" s="2">
        <f>IFERROR(__xludf.DUMMYFUNCTION("""COMPUTED_VALUE"""),527.0)</f>
        <v>527</v>
      </c>
    </row>
    <row r="223" ht="15.75" customHeight="1">
      <c r="B223" s="3">
        <f>IFERROR(__xludf.DUMMYFUNCTION("""COMPUTED_VALUE"""),43112.64583333333)</f>
        <v>43112.64583</v>
      </c>
      <c r="C223" s="2">
        <f>IFERROR(__xludf.DUMMYFUNCTION("""COMPUTED_VALUE"""),555.85)</f>
        <v>555.85</v>
      </c>
    </row>
    <row r="224" ht="15.75" customHeight="1">
      <c r="B224" s="3">
        <f>IFERROR(__xludf.DUMMYFUNCTION("""COMPUTED_VALUE"""),43119.64583333333)</f>
        <v>43119.64583</v>
      </c>
      <c r="C224" s="2">
        <f>IFERROR(__xludf.DUMMYFUNCTION("""COMPUTED_VALUE"""),564.55)</f>
        <v>564.55</v>
      </c>
    </row>
    <row r="225" ht="15.75" customHeight="1">
      <c r="B225" s="3">
        <f>IFERROR(__xludf.DUMMYFUNCTION("""COMPUTED_VALUE"""),43125.64583333333)</f>
        <v>43125.64583</v>
      </c>
      <c r="C225" s="2">
        <f>IFERROR(__xludf.DUMMYFUNCTION("""COMPUTED_VALUE"""),613.45)</f>
        <v>613.45</v>
      </c>
    </row>
    <row r="226" ht="15.75" customHeight="1">
      <c r="B226" s="3">
        <f>IFERROR(__xludf.DUMMYFUNCTION("""COMPUTED_VALUE"""),43133.64583333333)</f>
        <v>43133.64583</v>
      </c>
      <c r="C226" s="2">
        <f>IFERROR(__xludf.DUMMYFUNCTION("""COMPUTED_VALUE"""),626.2)</f>
        <v>626.2</v>
      </c>
    </row>
    <row r="227" ht="15.75" customHeight="1">
      <c r="B227" s="3">
        <f>IFERROR(__xludf.DUMMYFUNCTION("""COMPUTED_VALUE"""),43140.64583333333)</f>
        <v>43140.64583</v>
      </c>
      <c r="C227" s="2">
        <f>IFERROR(__xludf.DUMMYFUNCTION("""COMPUTED_VALUE"""),631.2)</f>
        <v>631.2</v>
      </c>
    </row>
    <row r="228" ht="15.75" customHeight="1">
      <c r="B228" s="3">
        <f>IFERROR(__xludf.DUMMYFUNCTION("""COMPUTED_VALUE"""),43147.64583333333)</f>
        <v>43147.64583</v>
      </c>
      <c r="C228" s="2">
        <f>IFERROR(__xludf.DUMMYFUNCTION("""COMPUTED_VALUE"""),618.6)</f>
        <v>618.6</v>
      </c>
    </row>
    <row r="229" ht="15.75" customHeight="1">
      <c r="B229" s="3">
        <f>IFERROR(__xludf.DUMMYFUNCTION("""COMPUTED_VALUE"""),43154.64583333333)</f>
        <v>43154.64583</v>
      </c>
      <c r="C229" s="2">
        <f>IFERROR(__xludf.DUMMYFUNCTION("""COMPUTED_VALUE"""),624.95)</f>
        <v>624.95</v>
      </c>
    </row>
    <row r="230" ht="15.75" customHeight="1">
      <c r="B230" s="3">
        <f>IFERROR(__xludf.DUMMYFUNCTION("""COMPUTED_VALUE"""),43160.64583333333)</f>
        <v>43160.64583</v>
      </c>
      <c r="C230" s="2">
        <f>IFERROR(__xludf.DUMMYFUNCTION("""COMPUTED_VALUE"""),627.45)</f>
        <v>627.45</v>
      </c>
    </row>
    <row r="231" ht="15.75" customHeight="1">
      <c r="B231" s="3">
        <f>IFERROR(__xludf.DUMMYFUNCTION("""COMPUTED_VALUE"""),43168.64583333333)</f>
        <v>43168.64583</v>
      </c>
      <c r="C231" s="2">
        <f>IFERROR(__xludf.DUMMYFUNCTION("""COMPUTED_VALUE"""),634.9)</f>
        <v>634.9</v>
      </c>
    </row>
    <row r="232" ht="15.75" customHeight="1">
      <c r="B232" s="3">
        <f>IFERROR(__xludf.DUMMYFUNCTION("""COMPUTED_VALUE"""),43175.64583333333)</f>
        <v>43175.64583</v>
      </c>
      <c r="C232" s="2">
        <f>IFERROR(__xludf.DUMMYFUNCTION("""COMPUTED_VALUE"""),651.95)</f>
        <v>651.95</v>
      </c>
    </row>
    <row r="233" ht="15.75" customHeight="1">
      <c r="B233" s="3">
        <f>IFERROR(__xludf.DUMMYFUNCTION("""COMPUTED_VALUE"""),43182.64583333333)</f>
        <v>43182.64583</v>
      </c>
      <c r="C233" s="2">
        <f>IFERROR(__xludf.DUMMYFUNCTION("""COMPUTED_VALUE"""),637.4)</f>
        <v>637.4</v>
      </c>
    </row>
    <row r="234" ht="15.75" customHeight="1">
      <c r="B234" s="3">
        <f>IFERROR(__xludf.DUMMYFUNCTION("""COMPUTED_VALUE"""),43187.64583333333)</f>
        <v>43187.64583</v>
      </c>
      <c r="C234" s="2">
        <f>IFERROR(__xludf.DUMMYFUNCTION("""COMPUTED_VALUE"""),641.0)</f>
        <v>641</v>
      </c>
    </row>
    <row r="235" ht="15.75" customHeight="1">
      <c r="B235" s="3">
        <f>IFERROR(__xludf.DUMMYFUNCTION("""COMPUTED_VALUE"""),43196.64583333333)</f>
        <v>43196.64583</v>
      </c>
      <c r="C235" s="2">
        <f>IFERROR(__xludf.DUMMYFUNCTION("""COMPUTED_VALUE"""),646.5)</f>
        <v>646.5</v>
      </c>
    </row>
    <row r="236" ht="15.75" customHeight="1">
      <c r="B236" s="3">
        <f>IFERROR(__xludf.DUMMYFUNCTION("""COMPUTED_VALUE"""),43203.64583333333)</f>
        <v>43203.64583</v>
      </c>
      <c r="C236" s="2">
        <f>IFERROR(__xludf.DUMMYFUNCTION("""COMPUTED_VALUE"""),673.85)</f>
        <v>673.85</v>
      </c>
    </row>
    <row r="237" ht="15.75" customHeight="1">
      <c r="B237" s="3">
        <f>IFERROR(__xludf.DUMMYFUNCTION("""COMPUTED_VALUE"""),43210.64583333333)</f>
        <v>43210.64583</v>
      </c>
      <c r="C237" s="2">
        <f>IFERROR(__xludf.DUMMYFUNCTION("""COMPUTED_VALUE"""),706.0)</f>
        <v>706</v>
      </c>
    </row>
    <row r="238" ht="15.75" customHeight="1">
      <c r="B238" s="3">
        <f>IFERROR(__xludf.DUMMYFUNCTION("""COMPUTED_VALUE"""),43217.64583333333)</f>
        <v>43217.64583</v>
      </c>
      <c r="C238" s="2">
        <f>IFERROR(__xludf.DUMMYFUNCTION("""COMPUTED_VALUE"""),729.5)</f>
        <v>729.5</v>
      </c>
    </row>
    <row r="239" ht="15.75" customHeight="1">
      <c r="B239" s="3">
        <f>IFERROR(__xludf.DUMMYFUNCTION("""COMPUTED_VALUE"""),43224.64583333333)</f>
        <v>43224.64583</v>
      </c>
      <c r="C239" s="2">
        <f>IFERROR(__xludf.DUMMYFUNCTION("""COMPUTED_VALUE"""),684.15)</f>
        <v>684.15</v>
      </c>
    </row>
    <row r="240" ht="15.75" customHeight="1">
      <c r="B240" s="3">
        <f>IFERROR(__xludf.DUMMYFUNCTION("""COMPUTED_VALUE"""),43231.64583333333)</f>
        <v>43231.64583</v>
      </c>
      <c r="C240" s="2">
        <f>IFERROR(__xludf.DUMMYFUNCTION("""COMPUTED_VALUE"""),675.5)</f>
        <v>675.5</v>
      </c>
    </row>
    <row r="241" ht="15.75" customHeight="1">
      <c r="B241" s="3">
        <f>IFERROR(__xludf.DUMMYFUNCTION("""COMPUTED_VALUE"""),43238.64583333333)</f>
        <v>43238.64583</v>
      </c>
      <c r="C241" s="2">
        <f>IFERROR(__xludf.DUMMYFUNCTION("""COMPUTED_VALUE"""),697.5)</f>
        <v>697.5</v>
      </c>
    </row>
    <row r="242" ht="15.75" customHeight="1">
      <c r="B242" s="3">
        <f>IFERROR(__xludf.DUMMYFUNCTION("""COMPUTED_VALUE"""),43245.64583333333)</f>
        <v>43245.64583</v>
      </c>
      <c r="C242" s="2">
        <f>IFERROR(__xludf.DUMMYFUNCTION("""COMPUTED_VALUE"""),718.7)</f>
        <v>718.7</v>
      </c>
    </row>
    <row r="243" ht="15.75" customHeight="1">
      <c r="B243" s="3">
        <f>IFERROR(__xludf.DUMMYFUNCTION("""COMPUTED_VALUE"""),43252.64583333333)</f>
        <v>43252.64583</v>
      </c>
      <c r="C243" s="2">
        <f>IFERROR(__xludf.DUMMYFUNCTION("""COMPUTED_VALUE"""),721.5)</f>
        <v>721.5</v>
      </c>
    </row>
    <row r="244" ht="15.75" customHeight="1">
      <c r="B244" s="3">
        <f>IFERROR(__xludf.DUMMYFUNCTION("""COMPUTED_VALUE"""),43259.64583333333)</f>
        <v>43259.64583</v>
      </c>
      <c r="C244" s="2">
        <f>IFERROR(__xludf.DUMMYFUNCTION("""COMPUTED_VALUE"""),721.3)</f>
        <v>721.3</v>
      </c>
    </row>
    <row r="245" ht="15.75" customHeight="1">
      <c r="B245" s="3">
        <f>IFERROR(__xludf.DUMMYFUNCTION("""COMPUTED_VALUE"""),43266.64583333333)</f>
        <v>43266.64583</v>
      </c>
      <c r="C245" s="2">
        <f>IFERROR(__xludf.DUMMYFUNCTION("""COMPUTED_VALUE"""),721.9)</f>
        <v>721.9</v>
      </c>
    </row>
    <row r="246" ht="15.75" customHeight="1">
      <c r="B246" s="3">
        <f>IFERROR(__xludf.DUMMYFUNCTION("""COMPUTED_VALUE"""),43273.64583333333)</f>
        <v>43273.64583</v>
      </c>
      <c r="C246" s="2">
        <f>IFERROR(__xludf.DUMMYFUNCTION("""COMPUTED_VALUE"""),714.15)</f>
        <v>714.15</v>
      </c>
    </row>
    <row r="247" ht="15.75" customHeight="1">
      <c r="B247" s="3">
        <f>IFERROR(__xludf.DUMMYFUNCTION("""COMPUTED_VALUE"""),43280.64583333333)</f>
        <v>43280.64583</v>
      </c>
      <c r="C247" s="2">
        <f>IFERROR(__xludf.DUMMYFUNCTION("""COMPUTED_VALUE"""),721.75)</f>
        <v>721.75</v>
      </c>
    </row>
    <row r="248" ht="15.75" customHeight="1">
      <c r="B248" s="3">
        <f>IFERROR(__xludf.DUMMYFUNCTION("""COMPUTED_VALUE"""),43287.64583333333)</f>
        <v>43287.64583</v>
      </c>
      <c r="C248" s="2">
        <f>IFERROR(__xludf.DUMMYFUNCTION("""COMPUTED_VALUE"""),669.5)</f>
        <v>669.5</v>
      </c>
    </row>
    <row r="249" ht="15.75" customHeight="1">
      <c r="B249" s="3">
        <f>IFERROR(__xludf.DUMMYFUNCTION("""COMPUTED_VALUE"""),43294.64583333333)</f>
        <v>43294.64583</v>
      </c>
      <c r="C249" s="2">
        <f>IFERROR(__xludf.DUMMYFUNCTION("""COMPUTED_VALUE"""),669.8)</f>
        <v>669.8</v>
      </c>
    </row>
    <row r="250" ht="15.75" customHeight="1">
      <c r="B250" s="3">
        <f>IFERROR(__xludf.DUMMYFUNCTION("""COMPUTED_VALUE"""),43301.64583333333)</f>
        <v>43301.64583</v>
      </c>
      <c r="C250" s="2">
        <f>IFERROR(__xludf.DUMMYFUNCTION("""COMPUTED_VALUE"""),664.9)</f>
        <v>664.9</v>
      </c>
    </row>
    <row r="251" ht="15.75" customHeight="1">
      <c r="B251" s="3">
        <f>IFERROR(__xludf.DUMMYFUNCTION("""COMPUTED_VALUE"""),43308.64583333333)</f>
        <v>43308.64583</v>
      </c>
      <c r="C251" s="2">
        <f>IFERROR(__xludf.DUMMYFUNCTION("""COMPUTED_VALUE"""),660.95)</f>
        <v>660.95</v>
      </c>
    </row>
    <row r="252" ht="15.75" customHeight="1">
      <c r="B252" s="3">
        <f>IFERROR(__xludf.DUMMYFUNCTION("""COMPUTED_VALUE"""),43315.64583333333)</f>
        <v>43315.64583</v>
      </c>
      <c r="C252" s="2">
        <f>IFERROR(__xludf.DUMMYFUNCTION("""COMPUTED_VALUE"""),687.5)</f>
        <v>687.5</v>
      </c>
    </row>
    <row r="253" ht="15.75" customHeight="1">
      <c r="B253" s="3">
        <f>IFERROR(__xludf.DUMMYFUNCTION("""COMPUTED_VALUE"""),43322.64583333333)</f>
        <v>43322.64583</v>
      </c>
      <c r="C253" s="2">
        <f>IFERROR(__xludf.DUMMYFUNCTION("""COMPUTED_VALUE"""),674.75)</f>
        <v>674.75</v>
      </c>
    </row>
    <row r="254" ht="15.75" customHeight="1">
      <c r="B254" s="3">
        <f>IFERROR(__xludf.DUMMYFUNCTION("""COMPUTED_VALUE"""),43329.64583333333)</f>
        <v>43329.64583</v>
      </c>
      <c r="C254" s="2">
        <f>IFERROR(__xludf.DUMMYFUNCTION("""COMPUTED_VALUE"""),690.0)</f>
        <v>690</v>
      </c>
    </row>
    <row r="255" ht="15.75" customHeight="1">
      <c r="B255" s="3">
        <f>IFERROR(__xludf.DUMMYFUNCTION("""COMPUTED_VALUE"""),43336.64583333333)</f>
        <v>43336.64583</v>
      </c>
      <c r="C255" s="2">
        <f>IFERROR(__xludf.DUMMYFUNCTION("""COMPUTED_VALUE"""),738.0)</f>
        <v>738</v>
      </c>
    </row>
    <row r="256" ht="15.75" customHeight="1">
      <c r="B256" s="3">
        <f>IFERROR(__xludf.DUMMYFUNCTION("""COMPUTED_VALUE"""),43343.64583333333)</f>
        <v>43343.64583</v>
      </c>
      <c r="C256" s="2">
        <f>IFERROR(__xludf.DUMMYFUNCTION("""COMPUTED_VALUE"""),768.75)</f>
        <v>768.75</v>
      </c>
    </row>
    <row r="257" ht="15.75" customHeight="1">
      <c r="B257" s="3">
        <f>IFERROR(__xludf.DUMMYFUNCTION("""COMPUTED_VALUE"""),43350.64583333333)</f>
        <v>43350.64583</v>
      </c>
      <c r="C257" s="2">
        <f>IFERROR(__xludf.DUMMYFUNCTION("""COMPUTED_VALUE"""),780.0)</f>
        <v>780</v>
      </c>
    </row>
    <row r="258" ht="15.75" customHeight="1">
      <c r="B258" s="3">
        <f>IFERROR(__xludf.DUMMYFUNCTION("""COMPUTED_VALUE"""),43357.64583333333)</f>
        <v>43357.64583</v>
      </c>
      <c r="C258" s="2">
        <f>IFERROR(__xludf.DUMMYFUNCTION("""COMPUTED_VALUE"""),776.6)</f>
        <v>776.6</v>
      </c>
    </row>
    <row r="259" ht="15.75" customHeight="1">
      <c r="B259" s="3">
        <f>IFERROR(__xludf.DUMMYFUNCTION("""COMPUTED_VALUE"""),43364.64583333333)</f>
        <v>43364.64583</v>
      </c>
      <c r="C259" s="2">
        <f>IFERROR(__xludf.DUMMYFUNCTION("""COMPUTED_VALUE"""),772.75)</f>
        <v>772.75</v>
      </c>
    </row>
    <row r="260" ht="15.75" customHeight="1">
      <c r="B260" s="3">
        <f>IFERROR(__xludf.DUMMYFUNCTION("""COMPUTED_VALUE"""),43371.64583333333)</f>
        <v>43371.64583</v>
      </c>
      <c r="C260" s="2">
        <f>IFERROR(__xludf.DUMMYFUNCTION("""COMPUTED_VALUE"""),772.7)</f>
        <v>772.7</v>
      </c>
    </row>
    <row r="261" ht="15.75" customHeight="1">
      <c r="B261" s="3">
        <f>IFERROR(__xludf.DUMMYFUNCTION("""COMPUTED_VALUE"""),43378.64583333333)</f>
        <v>43378.64583</v>
      </c>
      <c r="C261" s="2">
        <f>IFERROR(__xludf.DUMMYFUNCTION("""COMPUTED_VALUE"""),780.8)</f>
        <v>780.8</v>
      </c>
    </row>
    <row r="262" ht="15.75" customHeight="1">
      <c r="B262" s="3">
        <f>IFERROR(__xludf.DUMMYFUNCTION("""COMPUTED_VALUE"""),43385.64583333333)</f>
        <v>43385.64583</v>
      </c>
      <c r="C262" s="2">
        <f>IFERROR(__xludf.DUMMYFUNCTION("""COMPUTED_VALUE"""),719.4)</f>
        <v>719.4</v>
      </c>
    </row>
    <row r="263" ht="15.75" customHeight="1">
      <c r="B263" s="3">
        <f>IFERROR(__xludf.DUMMYFUNCTION("""COMPUTED_VALUE"""),43392.64583333333)</f>
        <v>43392.64583</v>
      </c>
      <c r="C263" s="2">
        <f>IFERROR(__xludf.DUMMYFUNCTION("""COMPUTED_VALUE"""),735.0)</f>
        <v>735</v>
      </c>
    </row>
    <row r="264" ht="15.75" customHeight="1">
      <c r="B264" s="3">
        <f>IFERROR(__xludf.DUMMYFUNCTION("""COMPUTED_VALUE"""),43399.64583333333)</f>
        <v>43399.64583</v>
      </c>
      <c r="C264" s="2">
        <f>IFERROR(__xludf.DUMMYFUNCTION("""COMPUTED_VALUE"""),690.0)</f>
        <v>690</v>
      </c>
    </row>
    <row r="265" ht="15.75" customHeight="1">
      <c r="B265" s="3">
        <f>IFERROR(__xludf.DUMMYFUNCTION("""COMPUTED_VALUE"""),43406.64583333333)</f>
        <v>43406.64583</v>
      </c>
      <c r="C265" s="2">
        <f>IFERROR(__xludf.DUMMYFUNCTION("""COMPUTED_VALUE"""),748.8)</f>
        <v>748.8</v>
      </c>
    </row>
    <row r="266" ht="15.75" customHeight="1">
      <c r="B266" s="3">
        <f>IFERROR(__xludf.DUMMYFUNCTION("""COMPUTED_VALUE"""),43413.64583333333)</f>
        <v>43413.64583</v>
      </c>
      <c r="C266" s="2">
        <f>IFERROR(__xludf.DUMMYFUNCTION("""COMPUTED_VALUE"""),711.0)</f>
        <v>711</v>
      </c>
    </row>
    <row r="267" ht="15.75" customHeight="1">
      <c r="B267" s="3">
        <f>IFERROR(__xludf.DUMMYFUNCTION("""COMPUTED_VALUE"""),43420.64583333333)</f>
        <v>43420.64583</v>
      </c>
      <c r="C267" s="2">
        <f>IFERROR(__xludf.DUMMYFUNCTION("""COMPUTED_VALUE"""),739.35)</f>
        <v>739.35</v>
      </c>
    </row>
    <row r="268" ht="15.75" customHeight="1">
      <c r="B268" s="3">
        <f>IFERROR(__xludf.DUMMYFUNCTION("""COMPUTED_VALUE"""),43426.64583333333)</f>
        <v>43426.64583</v>
      </c>
      <c r="C268" s="2">
        <f>IFERROR(__xludf.DUMMYFUNCTION("""COMPUTED_VALUE"""),734.75)</f>
        <v>734.75</v>
      </c>
    </row>
    <row r="269" ht="15.75" customHeight="1">
      <c r="B269" s="3">
        <f>IFERROR(__xludf.DUMMYFUNCTION("""COMPUTED_VALUE"""),43434.64583333333)</f>
        <v>43434.64583</v>
      </c>
      <c r="C269" s="2">
        <f>IFERROR(__xludf.DUMMYFUNCTION("""COMPUTED_VALUE"""),709.9)</f>
        <v>709.9</v>
      </c>
    </row>
    <row r="270" ht="15.75" customHeight="1">
      <c r="B270" s="3">
        <f>IFERROR(__xludf.DUMMYFUNCTION("""COMPUTED_VALUE"""),43441.64583333333)</f>
        <v>43441.64583</v>
      </c>
      <c r="C270" s="2">
        <f>IFERROR(__xludf.DUMMYFUNCTION("""COMPUTED_VALUE"""),739.9)</f>
        <v>739.9</v>
      </c>
    </row>
    <row r="271" ht="15.75" customHeight="1">
      <c r="B271" s="3">
        <f>IFERROR(__xludf.DUMMYFUNCTION("""COMPUTED_VALUE"""),43448.64583333333)</f>
        <v>43448.64583</v>
      </c>
      <c r="C271" s="2">
        <f>IFERROR(__xludf.DUMMYFUNCTION("""COMPUTED_VALUE"""),716.8)</f>
        <v>716.8</v>
      </c>
    </row>
    <row r="272" ht="15.75" customHeight="1">
      <c r="B272" s="3">
        <f>IFERROR(__xludf.DUMMYFUNCTION("""COMPUTED_VALUE"""),43455.64583333333)</f>
        <v>43455.64583</v>
      </c>
      <c r="C272" s="2">
        <f>IFERROR(__xludf.DUMMYFUNCTION("""COMPUTED_VALUE"""),722.5)</f>
        <v>722.5</v>
      </c>
    </row>
    <row r="273" ht="15.75" customHeight="1">
      <c r="B273" s="3">
        <f>IFERROR(__xludf.DUMMYFUNCTION("""COMPUTED_VALUE"""),43462.64583333333)</f>
        <v>43462.64583</v>
      </c>
      <c r="C273" s="2">
        <f>IFERROR(__xludf.DUMMYFUNCTION("""COMPUTED_VALUE"""),718.4)</f>
        <v>718.4</v>
      </c>
    </row>
    <row r="274" ht="15.75" customHeight="1"/>
    <row r="275" ht="15.75" customHeight="1"/>
    <row r="276" ht="15.75" customHeight="1">
      <c r="B276" s="2" t="str">
        <f>IFERROR(__xludf.DUMMYFUNCTION("GOOGLEFINANCE(""NSE:TECHM"", ""high"",DATE(2019,1,1),DATE(2020,1,1),""weekly"")"),"Date")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IFERROR(__xludf.DUMMYFUNCTION("""COMPUTED_VALUE"""),43469.64583333333)</f>
        <v>43469.64583</v>
      </c>
      <c r="C277" s="2">
        <f>IFERROR(__xludf.DUMMYFUNCTION("""COMPUTED_VALUE"""),729.7)</f>
        <v>729.7</v>
      </c>
    </row>
    <row r="278" ht="15.75" customHeight="1">
      <c r="B278" s="3">
        <f>IFERROR(__xludf.DUMMYFUNCTION("""COMPUTED_VALUE"""),43476.64583333333)</f>
        <v>43476.64583</v>
      </c>
      <c r="C278" s="2">
        <f>IFERROR(__xludf.DUMMYFUNCTION("""COMPUTED_VALUE"""),701.4)</f>
        <v>701.4</v>
      </c>
    </row>
    <row r="279" ht="15.75" customHeight="1">
      <c r="B279" s="3">
        <f>IFERROR(__xludf.DUMMYFUNCTION("""COMPUTED_VALUE"""),43483.64583333333)</f>
        <v>43483.64583</v>
      </c>
      <c r="C279" s="2">
        <f>IFERROR(__xludf.DUMMYFUNCTION("""COMPUTED_VALUE"""),714.2)</f>
        <v>714.2</v>
      </c>
    </row>
    <row r="280" ht="15.75" customHeight="1">
      <c r="B280" s="3">
        <f>IFERROR(__xludf.DUMMYFUNCTION("""COMPUTED_VALUE"""),43490.64583333333)</f>
        <v>43490.64583</v>
      </c>
      <c r="C280" s="2">
        <f>IFERROR(__xludf.DUMMYFUNCTION("""COMPUTED_VALUE"""),735.2)</f>
        <v>735.2</v>
      </c>
    </row>
    <row r="281" ht="15.75" customHeight="1">
      <c r="B281" s="3">
        <f>IFERROR(__xludf.DUMMYFUNCTION("""COMPUTED_VALUE"""),43497.64583333333)</f>
        <v>43497.64583</v>
      </c>
      <c r="C281" s="2">
        <f>IFERROR(__xludf.DUMMYFUNCTION("""COMPUTED_VALUE"""),750.6)</f>
        <v>750.6</v>
      </c>
    </row>
    <row r="282" ht="15.75" customHeight="1">
      <c r="B282" s="3">
        <f>IFERROR(__xludf.DUMMYFUNCTION("""COMPUTED_VALUE"""),43504.64583333333)</f>
        <v>43504.64583</v>
      </c>
      <c r="C282" s="2">
        <f>IFERROR(__xludf.DUMMYFUNCTION("""COMPUTED_VALUE"""),818.0)</f>
        <v>818</v>
      </c>
    </row>
    <row r="283" ht="15.75" customHeight="1">
      <c r="B283" s="3">
        <f>IFERROR(__xludf.DUMMYFUNCTION("""COMPUTED_VALUE"""),43511.64583333333)</f>
        <v>43511.64583</v>
      </c>
      <c r="C283" s="2">
        <f>IFERROR(__xludf.DUMMYFUNCTION("""COMPUTED_VALUE"""),814.9)</f>
        <v>814.9</v>
      </c>
    </row>
    <row r="284" ht="15.75" customHeight="1">
      <c r="B284" s="3">
        <f>IFERROR(__xludf.DUMMYFUNCTION("""COMPUTED_VALUE"""),43518.64583333333)</f>
        <v>43518.64583</v>
      </c>
      <c r="C284" s="2">
        <f>IFERROR(__xludf.DUMMYFUNCTION("""COMPUTED_VALUE"""),840.0)</f>
        <v>840</v>
      </c>
    </row>
    <row r="285" ht="15.75" customHeight="1">
      <c r="B285" s="3">
        <f>IFERROR(__xludf.DUMMYFUNCTION("""COMPUTED_VALUE"""),43525.64583333333)</f>
        <v>43525.64583</v>
      </c>
      <c r="C285" s="2">
        <f>IFERROR(__xludf.DUMMYFUNCTION("""COMPUTED_VALUE"""),838.4)</f>
        <v>838.4</v>
      </c>
    </row>
    <row r="286" ht="15.75" customHeight="1">
      <c r="B286" s="3">
        <f>IFERROR(__xludf.DUMMYFUNCTION("""COMPUTED_VALUE"""),43532.64583333333)</f>
        <v>43532.64583</v>
      </c>
      <c r="C286" s="2">
        <f>IFERROR(__xludf.DUMMYFUNCTION("""COMPUTED_VALUE"""),829.7)</f>
        <v>829.7</v>
      </c>
    </row>
    <row r="287" ht="15.75" customHeight="1">
      <c r="B287" s="3">
        <f>IFERROR(__xludf.DUMMYFUNCTION("""COMPUTED_VALUE"""),43539.64583333333)</f>
        <v>43539.64583</v>
      </c>
      <c r="C287" s="2">
        <f>IFERROR(__xludf.DUMMYFUNCTION("""COMPUTED_VALUE"""),816.0)</f>
        <v>816</v>
      </c>
    </row>
    <row r="288" ht="15.75" customHeight="1">
      <c r="B288" s="3">
        <f>IFERROR(__xludf.DUMMYFUNCTION("""COMPUTED_VALUE"""),43546.64583333333)</f>
        <v>43546.64583</v>
      </c>
      <c r="C288" s="2">
        <f>IFERROR(__xludf.DUMMYFUNCTION("""COMPUTED_VALUE"""),806.2)</f>
        <v>806.2</v>
      </c>
    </row>
    <row r="289" ht="15.75" customHeight="1">
      <c r="B289" s="3">
        <f>IFERROR(__xludf.DUMMYFUNCTION("""COMPUTED_VALUE"""),43553.64583333333)</f>
        <v>43553.64583</v>
      </c>
      <c r="C289" s="2">
        <f>IFERROR(__xludf.DUMMYFUNCTION("""COMPUTED_VALUE"""),795.45)</f>
        <v>795.45</v>
      </c>
    </row>
    <row r="290" ht="15.75" customHeight="1">
      <c r="B290" s="3">
        <f>IFERROR(__xludf.DUMMYFUNCTION("""COMPUTED_VALUE"""),43560.64583333333)</f>
        <v>43560.64583</v>
      </c>
      <c r="C290" s="2">
        <f>IFERROR(__xludf.DUMMYFUNCTION("""COMPUTED_VALUE"""),794.8)</f>
        <v>794.8</v>
      </c>
    </row>
    <row r="291" ht="15.75" customHeight="1">
      <c r="B291" s="3">
        <f>IFERROR(__xludf.DUMMYFUNCTION("""COMPUTED_VALUE"""),43567.64583333333)</f>
        <v>43567.64583</v>
      </c>
      <c r="C291" s="2">
        <f>IFERROR(__xludf.DUMMYFUNCTION("""COMPUTED_VALUE"""),798.95)</f>
        <v>798.95</v>
      </c>
    </row>
    <row r="292" ht="15.75" customHeight="1">
      <c r="B292" s="3">
        <f>IFERROR(__xludf.DUMMYFUNCTION("""COMPUTED_VALUE"""),43573.64583333333)</f>
        <v>43573.64583</v>
      </c>
      <c r="C292" s="2">
        <f>IFERROR(__xludf.DUMMYFUNCTION("""COMPUTED_VALUE"""),809.0)</f>
        <v>809</v>
      </c>
    </row>
    <row r="293" ht="15.75" customHeight="1">
      <c r="B293" s="3">
        <f>IFERROR(__xludf.DUMMYFUNCTION("""COMPUTED_VALUE"""),43581.64583333333)</f>
        <v>43581.64583</v>
      </c>
      <c r="C293" s="2">
        <f>IFERROR(__xludf.DUMMYFUNCTION("""COMPUTED_VALUE"""),827.0)</f>
        <v>827</v>
      </c>
    </row>
    <row r="294" ht="15.75" customHeight="1">
      <c r="B294" s="3">
        <f>IFERROR(__xludf.DUMMYFUNCTION("""COMPUTED_VALUE"""),43588.64583333333)</f>
        <v>43588.64583</v>
      </c>
      <c r="C294" s="2">
        <f>IFERROR(__xludf.DUMMYFUNCTION("""COMPUTED_VALUE"""),846.5)</f>
        <v>846.5</v>
      </c>
    </row>
    <row r="295" ht="15.75" customHeight="1">
      <c r="B295" s="3">
        <f>IFERROR(__xludf.DUMMYFUNCTION("""COMPUTED_VALUE"""),43595.64583333333)</f>
        <v>43595.64583</v>
      </c>
      <c r="C295" s="2">
        <f>IFERROR(__xludf.DUMMYFUNCTION("""COMPUTED_VALUE"""),825.5)</f>
        <v>825.5</v>
      </c>
    </row>
    <row r="296" ht="15.75" customHeight="1">
      <c r="B296" s="3">
        <f>IFERROR(__xludf.DUMMYFUNCTION("""COMPUTED_VALUE"""),43602.64583333333)</f>
        <v>43602.64583</v>
      </c>
      <c r="C296" s="2">
        <f>IFERROR(__xludf.DUMMYFUNCTION("""COMPUTED_VALUE"""),825.7)</f>
        <v>825.7</v>
      </c>
    </row>
    <row r="297" ht="15.75" customHeight="1">
      <c r="B297" s="3">
        <f>IFERROR(__xludf.DUMMYFUNCTION("""COMPUTED_VALUE"""),43609.64583333333)</f>
        <v>43609.64583</v>
      </c>
      <c r="C297" s="2">
        <f>IFERROR(__xludf.DUMMYFUNCTION("""COMPUTED_VALUE"""),790.0)</f>
        <v>790</v>
      </c>
    </row>
    <row r="298" ht="15.75" customHeight="1">
      <c r="B298" s="3">
        <f>IFERROR(__xludf.DUMMYFUNCTION("""COMPUTED_VALUE"""),43616.64583333333)</f>
        <v>43616.64583</v>
      </c>
      <c r="C298" s="2">
        <f>IFERROR(__xludf.DUMMYFUNCTION("""COMPUTED_VALUE"""),763.8)</f>
        <v>763.8</v>
      </c>
    </row>
    <row r="299" ht="15.75" customHeight="1">
      <c r="B299" s="3">
        <f>IFERROR(__xludf.DUMMYFUNCTION("""COMPUTED_VALUE"""),43623.64583333333)</f>
        <v>43623.64583</v>
      </c>
      <c r="C299" s="2">
        <f>IFERROR(__xludf.DUMMYFUNCTION("""COMPUTED_VALUE"""),763.9)</f>
        <v>763.9</v>
      </c>
    </row>
    <row r="300" ht="15.75" customHeight="1">
      <c r="B300" s="3">
        <f>IFERROR(__xludf.DUMMYFUNCTION("""COMPUTED_VALUE"""),43630.64583333333)</f>
        <v>43630.64583</v>
      </c>
      <c r="C300" s="2">
        <f>IFERROR(__xludf.DUMMYFUNCTION("""COMPUTED_VALUE"""),770.75)</f>
        <v>770.75</v>
      </c>
    </row>
    <row r="301" ht="15.75" customHeight="1">
      <c r="B301" s="3">
        <f>IFERROR(__xludf.DUMMYFUNCTION("""COMPUTED_VALUE"""),43637.64583333333)</f>
        <v>43637.64583</v>
      </c>
      <c r="C301" s="2">
        <f>IFERROR(__xludf.DUMMYFUNCTION("""COMPUTED_VALUE"""),744.4)</f>
        <v>744.4</v>
      </c>
    </row>
    <row r="302" ht="15.75" customHeight="1">
      <c r="B302" s="3">
        <f>IFERROR(__xludf.DUMMYFUNCTION("""COMPUTED_VALUE"""),43644.64583333333)</f>
        <v>43644.64583</v>
      </c>
      <c r="C302" s="2">
        <f>IFERROR(__xludf.DUMMYFUNCTION("""COMPUTED_VALUE"""),738.0)</f>
        <v>738</v>
      </c>
    </row>
    <row r="303" ht="15.75" customHeight="1">
      <c r="B303" s="3">
        <f>IFERROR(__xludf.DUMMYFUNCTION("""COMPUTED_VALUE"""),43651.64583333333)</f>
        <v>43651.64583</v>
      </c>
      <c r="C303" s="2">
        <f>IFERROR(__xludf.DUMMYFUNCTION("""COMPUTED_VALUE"""),713.45)</f>
        <v>713.45</v>
      </c>
    </row>
    <row r="304" ht="15.75" customHeight="1">
      <c r="B304" s="3">
        <f>IFERROR(__xludf.DUMMYFUNCTION("""COMPUTED_VALUE"""),43658.64583333333)</f>
        <v>43658.64583</v>
      </c>
      <c r="C304" s="2">
        <f>IFERROR(__xludf.DUMMYFUNCTION("""COMPUTED_VALUE"""),685.75)</f>
        <v>685.75</v>
      </c>
    </row>
    <row r="305" ht="15.75" customHeight="1">
      <c r="B305" s="3">
        <f>IFERROR(__xludf.DUMMYFUNCTION("""COMPUTED_VALUE"""),43665.64583333333)</f>
        <v>43665.64583</v>
      </c>
      <c r="C305" s="2">
        <f>IFERROR(__xludf.DUMMYFUNCTION("""COMPUTED_VALUE"""),695.5)</f>
        <v>695.5</v>
      </c>
    </row>
    <row r="306" ht="15.75" customHeight="1">
      <c r="B306" s="3">
        <f>IFERROR(__xludf.DUMMYFUNCTION("""COMPUTED_VALUE"""),43672.64583333333)</f>
        <v>43672.64583</v>
      </c>
      <c r="C306" s="2">
        <f>IFERROR(__xludf.DUMMYFUNCTION("""COMPUTED_VALUE"""),679.8)</f>
        <v>679.8</v>
      </c>
    </row>
    <row r="307" ht="15.75" customHeight="1">
      <c r="B307" s="3">
        <f>IFERROR(__xludf.DUMMYFUNCTION("""COMPUTED_VALUE"""),43679.64583333333)</f>
        <v>43679.64583</v>
      </c>
      <c r="C307" s="2">
        <f>IFERROR(__xludf.DUMMYFUNCTION("""COMPUTED_VALUE"""),654.65)</f>
        <v>654.65</v>
      </c>
    </row>
    <row r="308" ht="15.75" customHeight="1">
      <c r="B308" s="3">
        <f>IFERROR(__xludf.DUMMYFUNCTION("""COMPUTED_VALUE"""),43686.64583333333)</f>
        <v>43686.64583</v>
      </c>
      <c r="C308" s="2">
        <f>IFERROR(__xludf.DUMMYFUNCTION("""COMPUTED_VALUE"""),683.9)</f>
        <v>683.9</v>
      </c>
    </row>
    <row r="309" ht="15.75" customHeight="1">
      <c r="B309" s="3">
        <f>IFERROR(__xludf.DUMMYFUNCTION("""COMPUTED_VALUE"""),43693.64583333333)</f>
        <v>43693.64583</v>
      </c>
      <c r="C309" s="2">
        <f>IFERROR(__xludf.DUMMYFUNCTION("""COMPUTED_VALUE"""),662.5)</f>
        <v>662.5</v>
      </c>
    </row>
    <row r="310" ht="15.75" customHeight="1">
      <c r="B310" s="3">
        <f>IFERROR(__xludf.DUMMYFUNCTION("""COMPUTED_VALUE"""),43700.64583333333)</f>
        <v>43700.64583</v>
      </c>
      <c r="C310" s="2">
        <f>IFERROR(__xludf.DUMMYFUNCTION("""COMPUTED_VALUE"""),694.4)</f>
        <v>694.4</v>
      </c>
    </row>
    <row r="311" ht="15.75" customHeight="1">
      <c r="B311" s="3">
        <f>IFERROR(__xludf.DUMMYFUNCTION("""COMPUTED_VALUE"""),43707.64583333333)</f>
        <v>43707.64583</v>
      </c>
      <c r="C311" s="2">
        <f>IFERROR(__xludf.DUMMYFUNCTION("""COMPUTED_VALUE"""),700.7)</f>
        <v>700.7</v>
      </c>
    </row>
    <row r="312" ht="15.75" customHeight="1">
      <c r="B312" s="3">
        <f>IFERROR(__xludf.DUMMYFUNCTION("""COMPUTED_VALUE"""),43714.64583333333)</f>
        <v>43714.64583</v>
      </c>
      <c r="C312" s="2">
        <f>IFERROR(__xludf.DUMMYFUNCTION("""COMPUTED_VALUE"""),734.45)</f>
        <v>734.45</v>
      </c>
    </row>
    <row r="313" ht="15.75" customHeight="1">
      <c r="B313" s="3">
        <f>IFERROR(__xludf.DUMMYFUNCTION("""COMPUTED_VALUE"""),43721.64583333333)</f>
        <v>43721.64583</v>
      </c>
      <c r="C313" s="2">
        <f>IFERROR(__xludf.DUMMYFUNCTION("""COMPUTED_VALUE"""),723.25)</f>
        <v>723.25</v>
      </c>
    </row>
    <row r="314" ht="15.75" customHeight="1">
      <c r="B314" s="3">
        <f>IFERROR(__xludf.DUMMYFUNCTION("""COMPUTED_VALUE"""),43728.64583333333)</f>
        <v>43728.64583</v>
      </c>
      <c r="C314" s="2">
        <f>IFERROR(__xludf.DUMMYFUNCTION("""COMPUTED_VALUE"""),723.25)</f>
        <v>723.25</v>
      </c>
    </row>
    <row r="315" ht="15.75" customHeight="1">
      <c r="B315" s="3">
        <f>IFERROR(__xludf.DUMMYFUNCTION("""COMPUTED_VALUE"""),43735.64583333333)</f>
        <v>43735.64583</v>
      </c>
      <c r="C315" s="2">
        <f>IFERROR(__xludf.DUMMYFUNCTION("""COMPUTED_VALUE"""),718.65)</f>
        <v>718.65</v>
      </c>
    </row>
    <row r="316" ht="15.75" customHeight="1">
      <c r="B316" s="3">
        <f>IFERROR(__xludf.DUMMYFUNCTION("""COMPUTED_VALUE"""),43742.64583333333)</f>
        <v>43742.64583</v>
      </c>
      <c r="C316" s="2">
        <f>IFERROR(__xludf.DUMMYFUNCTION("""COMPUTED_VALUE"""),717.75)</f>
        <v>717.75</v>
      </c>
    </row>
    <row r="317" ht="15.75" customHeight="1">
      <c r="B317" s="3">
        <f>IFERROR(__xludf.DUMMYFUNCTION("""COMPUTED_VALUE"""),43749.64583333333)</f>
        <v>43749.64583</v>
      </c>
      <c r="C317" s="2">
        <f>IFERROR(__xludf.DUMMYFUNCTION("""COMPUTED_VALUE"""),723.9)</f>
        <v>723.9</v>
      </c>
    </row>
    <row r="318" ht="15.75" customHeight="1">
      <c r="B318" s="3">
        <f>IFERROR(__xludf.DUMMYFUNCTION("""COMPUTED_VALUE"""),43756.64583333333)</f>
        <v>43756.64583</v>
      </c>
      <c r="C318" s="2">
        <f>IFERROR(__xludf.DUMMYFUNCTION("""COMPUTED_VALUE"""),737.75)</f>
        <v>737.75</v>
      </c>
    </row>
    <row r="319" ht="15.75" customHeight="1">
      <c r="B319" s="3">
        <f>IFERROR(__xludf.DUMMYFUNCTION("""COMPUTED_VALUE"""),43763.79166666667)</f>
        <v>43763.79167</v>
      </c>
      <c r="C319" s="2">
        <f>IFERROR(__xludf.DUMMYFUNCTION("""COMPUTED_VALUE"""),745.0)</f>
        <v>745</v>
      </c>
    </row>
    <row r="320" ht="15.75" customHeight="1">
      <c r="B320" s="3">
        <f>IFERROR(__xludf.DUMMYFUNCTION("""COMPUTED_VALUE"""),43770.64583333333)</f>
        <v>43770.64583</v>
      </c>
      <c r="C320" s="2">
        <f>IFERROR(__xludf.DUMMYFUNCTION("""COMPUTED_VALUE"""),764.8)</f>
        <v>764.8</v>
      </c>
    </row>
    <row r="321" ht="15.75" customHeight="1">
      <c r="B321" s="3">
        <f>IFERROR(__xludf.DUMMYFUNCTION("""COMPUTED_VALUE"""),43777.64583333333)</f>
        <v>43777.64583</v>
      </c>
      <c r="C321" s="2">
        <f>IFERROR(__xludf.DUMMYFUNCTION("""COMPUTED_VALUE"""),784.0)</f>
        <v>784</v>
      </c>
    </row>
    <row r="322" ht="15.75" customHeight="1">
      <c r="B322" s="3">
        <f>IFERROR(__xludf.DUMMYFUNCTION("""COMPUTED_VALUE"""),43784.64583333333)</f>
        <v>43784.64583</v>
      </c>
      <c r="C322" s="2">
        <f>IFERROR(__xludf.DUMMYFUNCTION("""COMPUTED_VALUE"""),774.5)</f>
        <v>774.5</v>
      </c>
    </row>
    <row r="323" ht="15.75" customHeight="1">
      <c r="B323" s="3">
        <f>IFERROR(__xludf.DUMMYFUNCTION("""COMPUTED_VALUE"""),43791.64583333333)</f>
        <v>43791.64583</v>
      </c>
      <c r="C323" s="2">
        <f>IFERROR(__xludf.DUMMYFUNCTION("""COMPUTED_VALUE"""),780.0)</f>
        <v>780</v>
      </c>
    </row>
    <row r="324" ht="15.75" customHeight="1">
      <c r="B324" s="3">
        <f>IFERROR(__xludf.DUMMYFUNCTION("""COMPUTED_VALUE"""),43798.64583333333)</f>
        <v>43798.64583</v>
      </c>
      <c r="C324" s="2">
        <f>IFERROR(__xludf.DUMMYFUNCTION("""COMPUTED_VALUE"""),772.35)</f>
        <v>772.35</v>
      </c>
    </row>
    <row r="325" ht="15.75" customHeight="1">
      <c r="B325" s="3">
        <f>IFERROR(__xludf.DUMMYFUNCTION("""COMPUTED_VALUE"""),43805.64583333333)</f>
        <v>43805.64583</v>
      </c>
      <c r="C325" s="2">
        <f>IFERROR(__xludf.DUMMYFUNCTION("""COMPUTED_VALUE"""),771.35)</f>
        <v>771.35</v>
      </c>
    </row>
    <row r="326" ht="15.75" customHeight="1">
      <c r="B326" s="3">
        <f>IFERROR(__xludf.DUMMYFUNCTION("""COMPUTED_VALUE"""),43812.64583333333)</f>
        <v>43812.64583</v>
      </c>
      <c r="C326" s="2">
        <f>IFERROR(__xludf.DUMMYFUNCTION("""COMPUTED_VALUE"""),766.0)</f>
        <v>766</v>
      </c>
    </row>
    <row r="327" ht="15.75" customHeight="1">
      <c r="B327" s="3">
        <f>IFERROR(__xludf.DUMMYFUNCTION("""COMPUTED_VALUE"""),43819.64583333333)</f>
        <v>43819.64583</v>
      </c>
      <c r="C327" s="2">
        <f>IFERROR(__xludf.DUMMYFUNCTION("""COMPUTED_VALUE"""),794.0)</f>
        <v>794</v>
      </c>
    </row>
    <row r="328" ht="15.75" customHeight="1">
      <c r="B328" s="3">
        <f>IFERROR(__xludf.DUMMYFUNCTION("""COMPUTED_VALUE"""),43826.64583333333)</f>
        <v>43826.64583</v>
      </c>
      <c r="C328" s="2">
        <f>IFERROR(__xludf.DUMMYFUNCTION("""COMPUTED_VALUE"""),787.4)</f>
        <v>787.4</v>
      </c>
    </row>
    <row r="329" ht="15.75" customHeight="1"/>
    <row r="330" ht="15.75" customHeight="1"/>
    <row r="331" ht="15.75" customHeight="1">
      <c r="B331" s="2" t="str">
        <f>IFERROR(__xludf.DUMMYFUNCTION("GOOGLEFINANCE(""NSE:TECHM"", ""high"",DATE(2020,1,1),DATE(2021,1,1),""weekly"")"),"Date")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IFERROR(__xludf.DUMMYFUNCTION("""COMPUTED_VALUE"""),43833.64583333333)</f>
        <v>43833.64583</v>
      </c>
      <c r="C332" s="2">
        <f>IFERROR(__xludf.DUMMYFUNCTION("""COMPUTED_VALUE"""),784.85)</f>
        <v>784.85</v>
      </c>
    </row>
    <row r="333" ht="15.75" customHeight="1">
      <c r="B333" s="3">
        <f>IFERROR(__xludf.DUMMYFUNCTION("""COMPUTED_VALUE"""),43840.64583333333)</f>
        <v>43840.64583</v>
      </c>
      <c r="C333" s="2">
        <f>IFERROR(__xludf.DUMMYFUNCTION("""COMPUTED_VALUE"""),784.9)</f>
        <v>784.9</v>
      </c>
    </row>
    <row r="334" ht="15.75" customHeight="1">
      <c r="B334" s="3">
        <f>IFERROR(__xludf.DUMMYFUNCTION("""COMPUTED_VALUE"""),43847.64583333333)</f>
        <v>43847.64583</v>
      </c>
      <c r="C334" s="2">
        <f>IFERROR(__xludf.DUMMYFUNCTION("""COMPUTED_VALUE"""),803.65)</f>
        <v>803.65</v>
      </c>
    </row>
    <row r="335" ht="15.75" customHeight="1">
      <c r="B335" s="3">
        <f>IFERROR(__xludf.DUMMYFUNCTION("""COMPUTED_VALUE"""),43854.64583333333)</f>
        <v>43854.64583</v>
      </c>
      <c r="C335" s="2">
        <f>IFERROR(__xludf.DUMMYFUNCTION("""COMPUTED_VALUE"""),790.45)</f>
        <v>790.45</v>
      </c>
    </row>
    <row r="336" ht="15.75" customHeight="1">
      <c r="B336" s="3">
        <f>IFERROR(__xludf.DUMMYFUNCTION("""COMPUTED_VALUE"""),43862.70833333333)</f>
        <v>43862.70833</v>
      </c>
      <c r="C336" s="2">
        <f>IFERROR(__xludf.DUMMYFUNCTION("""COMPUTED_VALUE"""),812.0)</f>
        <v>812</v>
      </c>
    </row>
    <row r="337" ht="15.75" customHeight="1">
      <c r="B337" s="3">
        <f>IFERROR(__xludf.DUMMYFUNCTION("""COMPUTED_VALUE"""),43868.64583333333)</f>
        <v>43868.64583</v>
      </c>
      <c r="C337" s="2">
        <f>IFERROR(__xludf.DUMMYFUNCTION("""COMPUTED_VALUE"""),825.95)</f>
        <v>825.95</v>
      </c>
    </row>
    <row r="338" ht="15.75" customHeight="1">
      <c r="B338" s="3">
        <f>IFERROR(__xludf.DUMMYFUNCTION("""COMPUTED_VALUE"""),43875.64583333333)</f>
        <v>43875.64583</v>
      </c>
      <c r="C338" s="2">
        <f>IFERROR(__xludf.DUMMYFUNCTION("""COMPUTED_VALUE"""),838.0)</f>
        <v>838</v>
      </c>
    </row>
    <row r="339" ht="15.75" customHeight="1">
      <c r="B339" s="3">
        <f>IFERROR(__xludf.DUMMYFUNCTION("""COMPUTED_VALUE"""),43881.64583333333)</f>
        <v>43881.64583</v>
      </c>
      <c r="C339" s="2">
        <f>IFERROR(__xludf.DUMMYFUNCTION("""COMPUTED_VALUE"""),845.9)</f>
        <v>845.9</v>
      </c>
    </row>
    <row r="340" ht="15.75" customHeight="1">
      <c r="B340" s="3">
        <f>IFERROR(__xludf.DUMMYFUNCTION("""COMPUTED_VALUE"""),43889.64583333333)</f>
        <v>43889.64583</v>
      </c>
      <c r="C340" s="2">
        <f>IFERROR(__xludf.DUMMYFUNCTION("""COMPUTED_VALUE"""),843.9)</f>
        <v>843.9</v>
      </c>
    </row>
    <row r="341" ht="15.75" customHeight="1">
      <c r="B341" s="3">
        <f>IFERROR(__xludf.DUMMYFUNCTION("""COMPUTED_VALUE"""),43896.64583333333)</f>
        <v>43896.64583</v>
      </c>
      <c r="C341" s="2">
        <f>IFERROR(__xludf.DUMMYFUNCTION("""COMPUTED_VALUE"""),784.0)</f>
        <v>784</v>
      </c>
    </row>
    <row r="342" ht="15.75" customHeight="1">
      <c r="B342" s="3">
        <f>IFERROR(__xludf.DUMMYFUNCTION("""COMPUTED_VALUE"""),43903.64583333333)</f>
        <v>43903.64583</v>
      </c>
      <c r="C342" s="2">
        <f>IFERROR(__xludf.DUMMYFUNCTION("""COMPUTED_VALUE"""),730.0)</f>
        <v>730</v>
      </c>
    </row>
    <row r="343" ht="15.75" customHeight="1">
      <c r="B343" s="3">
        <f>IFERROR(__xludf.DUMMYFUNCTION("""COMPUTED_VALUE"""),43910.64583333333)</f>
        <v>43910.64583</v>
      </c>
      <c r="C343" s="2">
        <f>IFERROR(__xludf.DUMMYFUNCTION("""COMPUTED_VALUE"""),634.8)</f>
        <v>634.8</v>
      </c>
    </row>
    <row r="344" ht="15.75" customHeight="1">
      <c r="B344" s="3">
        <f>IFERROR(__xludf.DUMMYFUNCTION("""COMPUTED_VALUE"""),43917.64583333333)</f>
        <v>43917.64583</v>
      </c>
      <c r="C344" s="2">
        <f>IFERROR(__xludf.DUMMYFUNCTION("""COMPUTED_VALUE"""),564.9)</f>
        <v>564.9</v>
      </c>
    </row>
    <row r="345" ht="15.75" customHeight="1">
      <c r="B345" s="3">
        <f>IFERROR(__xludf.DUMMYFUNCTION("""COMPUTED_VALUE"""),43924.64583333333)</f>
        <v>43924.64583</v>
      </c>
      <c r="C345" s="2">
        <f>IFERROR(__xludf.DUMMYFUNCTION("""COMPUTED_VALUE"""),575.25)</f>
        <v>575.25</v>
      </c>
    </row>
    <row r="346" ht="15.75" customHeight="1">
      <c r="B346" s="3">
        <f>IFERROR(__xludf.DUMMYFUNCTION("""COMPUTED_VALUE"""),43930.64583333333)</f>
        <v>43930.64583</v>
      </c>
      <c r="C346" s="2">
        <f>IFERROR(__xludf.DUMMYFUNCTION("""COMPUTED_VALUE"""),582.7)</f>
        <v>582.7</v>
      </c>
    </row>
    <row r="347" ht="15.75" customHeight="1">
      <c r="B347" s="3">
        <f>IFERROR(__xludf.DUMMYFUNCTION("""COMPUTED_VALUE"""),43938.64583333333)</f>
        <v>43938.64583</v>
      </c>
      <c r="C347" s="2">
        <f>IFERROR(__xludf.DUMMYFUNCTION("""COMPUTED_VALUE"""),551.0)</f>
        <v>551</v>
      </c>
    </row>
    <row r="348" ht="15.75" customHeight="1">
      <c r="B348" s="3">
        <f>IFERROR(__xludf.DUMMYFUNCTION("""COMPUTED_VALUE"""),43945.64583333333)</f>
        <v>43945.64583</v>
      </c>
      <c r="C348" s="2">
        <f>IFERROR(__xludf.DUMMYFUNCTION("""COMPUTED_VALUE"""),532.6)</f>
        <v>532.6</v>
      </c>
    </row>
    <row r="349" ht="15.75" customHeight="1">
      <c r="B349" s="3">
        <f>IFERROR(__xludf.DUMMYFUNCTION("""COMPUTED_VALUE"""),43951.64583333333)</f>
        <v>43951.64583</v>
      </c>
      <c r="C349" s="2">
        <f>IFERROR(__xludf.DUMMYFUNCTION("""COMPUTED_VALUE"""),552.9)</f>
        <v>552.9</v>
      </c>
    </row>
    <row r="350" ht="15.75" customHeight="1">
      <c r="B350" s="3">
        <f>IFERROR(__xludf.DUMMYFUNCTION("""COMPUTED_VALUE"""),43959.64583333333)</f>
        <v>43959.64583</v>
      </c>
      <c r="C350" s="2">
        <f>IFERROR(__xludf.DUMMYFUNCTION("""COMPUTED_VALUE"""),538.6)</f>
        <v>538.6</v>
      </c>
    </row>
    <row r="351" ht="15.75" customHeight="1">
      <c r="B351" s="3">
        <f>IFERROR(__xludf.DUMMYFUNCTION("""COMPUTED_VALUE"""),43966.64583333333)</f>
        <v>43966.64583</v>
      </c>
      <c r="C351" s="2">
        <f>IFERROR(__xludf.DUMMYFUNCTION("""COMPUTED_VALUE"""),549.75)</f>
        <v>549.75</v>
      </c>
    </row>
    <row r="352" ht="15.75" customHeight="1">
      <c r="B352" s="3">
        <f>IFERROR(__xludf.DUMMYFUNCTION("""COMPUTED_VALUE"""),43973.64583333333)</f>
        <v>43973.64583</v>
      </c>
      <c r="C352" s="2">
        <f>IFERROR(__xludf.DUMMYFUNCTION("""COMPUTED_VALUE"""),531.0)</f>
        <v>531</v>
      </c>
    </row>
    <row r="353" ht="15.75" customHeight="1">
      <c r="B353" s="3">
        <f>IFERROR(__xludf.DUMMYFUNCTION("""COMPUTED_VALUE"""),43980.64583333333)</f>
        <v>43980.64583</v>
      </c>
      <c r="C353" s="2">
        <f>IFERROR(__xludf.DUMMYFUNCTION("""COMPUTED_VALUE"""),540.75)</f>
        <v>540.75</v>
      </c>
    </row>
    <row r="354" ht="15.75" customHeight="1">
      <c r="B354" s="3">
        <f>IFERROR(__xludf.DUMMYFUNCTION("""COMPUTED_VALUE"""),43987.64583333333)</f>
        <v>43987.64583</v>
      </c>
      <c r="C354" s="2">
        <f>IFERROR(__xludf.DUMMYFUNCTION("""COMPUTED_VALUE"""),593.55)</f>
        <v>593.55</v>
      </c>
    </row>
    <row r="355" ht="15.75" customHeight="1">
      <c r="B355" s="3">
        <f>IFERROR(__xludf.DUMMYFUNCTION("""COMPUTED_VALUE"""),43994.64583333333)</f>
        <v>43994.64583</v>
      </c>
      <c r="C355" s="2">
        <f>IFERROR(__xludf.DUMMYFUNCTION("""COMPUTED_VALUE"""),605.35)</f>
        <v>605.35</v>
      </c>
    </row>
    <row r="356" ht="15.75" customHeight="1">
      <c r="B356" s="3">
        <f>IFERROR(__xludf.DUMMYFUNCTION("""COMPUTED_VALUE"""),44001.64583333333)</f>
        <v>44001.64583</v>
      </c>
      <c r="C356" s="2">
        <f>IFERROR(__xludf.DUMMYFUNCTION("""COMPUTED_VALUE"""),560.5)</f>
        <v>560.5</v>
      </c>
    </row>
    <row r="357" ht="15.75" customHeight="1">
      <c r="B357" s="3">
        <f>IFERROR(__xludf.DUMMYFUNCTION("""COMPUTED_VALUE"""),44008.64583333333)</f>
        <v>44008.64583</v>
      </c>
      <c r="C357" s="2">
        <f>IFERROR(__xludf.DUMMYFUNCTION("""COMPUTED_VALUE"""),574.95)</f>
        <v>574.95</v>
      </c>
    </row>
    <row r="358" ht="15.75" customHeight="1">
      <c r="B358" s="3">
        <f>IFERROR(__xludf.DUMMYFUNCTION("""COMPUTED_VALUE"""),44015.64583333333)</f>
        <v>44015.64583</v>
      </c>
      <c r="C358" s="2">
        <f>IFERROR(__xludf.DUMMYFUNCTION("""COMPUTED_VALUE"""),572.25)</f>
        <v>572.25</v>
      </c>
    </row>
    <row r="359" ht="15.75" customHeight="1">
      <c r="B359" s="3">
        <f>IFERROR(__xludf.DUMMYFUNCTION("""COMPUTED_VALUE"""),44022.64583333333)</f>
        <v>44022.64583</v>
      </c>
      <c r="C359" s="2">
        <f>IFERROR(__xludf.DUMMYFUNCTION("""COMPUTED_VALUE"""),593.9)</f>
        <v>593.9</v>
      </c>
    </row>
    <row r="360" ht="15.75" customHeight="1">
      <c r="B360" s="3">
        <f>IFERROR(__xludf.DUMMYFUNCTION("""COMPUTED_VALUE"""),44029.64583333333)</f>
        <v>44029.64583</v>
      </c>
      <c r="C360" s="2">
        <f>IFERROR(__xludf.DUMMYFUNCTION("""COMPUTED_VALUE"""),638.95)</f>
        <v>638.95</v>
      </c>
    </row>
    <row r="361" ht="15.75" customHeight="1">
      <c r="B361" s="3">
        <f>IFERROR(__xludf.DUMMYFUNCTION("""COMPUTED_VALUE"""),44036.64583333333)</f>
        <v>44036.64583</v>
      </c>
      <c r="C361" s="2">
        <f>IFERROR(__xludf.DUMMYFUNCTION("""COMPUTED_VALUE"""),655.4)</f>
        <v>655.4</v>
      </c>
    </row>
    <row r="362" ht="15.75" customHeight="1">
      <c r="B362" s="3">
        <f>IFERROR(__xludf.DUMMYFUNCTION("""COMPUTED_VALUE"""),44043.64583333333)</f>
        <v>44043.64583</v>
      </c>
      <c r="C362" s="2">
        <f>IFERROR(__xludf.DUMMYFUNCTION("""COMPUTED_VALUE"""),702.75)</f>
        <v>702.75</v>
      </c>
    </row>
    <row r="363" ht="15.75" customHeight="1">
      <c r="B363" s="3">
        <f>IFERROR(__xludf.DUMMYFUNCTION("""COMPUTED_VALUE"""),44050.64583333333)</f>
        <v>44050.64583</v>
      </c>
      <c r="C363" s="2">
        <f>IFERROR(__xludf.DUMMYFUNCTION("""COMPUTED_VALUE"""),686.95)</f>
        <v>686.95</v>
      </c>
    </row>
    <row r="364" ht="15.75" customHeight="1">
      <c r="B364" s="3">
        <f>IFERROR(__xludf.DUMMYFUNCTION("""COMPUTED_VALUE"""),44057.64583333333)</f>
        <v>44057.64583</v>
      </c>
      <c r="C364" s="2">
        <f>IFERROR(__xludf.DUMMYFUNCTION("""COMPUTED_VALUE"""),711.0)</f>
        <v>711</v>
      </c>
    </row>
    <row r="365" ht="15.75" customHeight="1">
      <c r="B365" s="3">
        <f>IFERROR(__xludf.DUMMYFUNCTION("""COMPUTED_VALUE"""),44064.64583333333)</f>
        <v>44064.64583</v>
      </c>
      <c r="C365" s="2">
        <f>IFERROR(__xludf.DUMMYFUNCTION("""COMPUTED_VALUE"""),736.65)</f>
        <v>736.65</v>
      </c>
    </row>
    <row r="366" ht="15.75" customHeight="1">
      <c r="B366" s="3">
        <f>IFERROR(__xludf.DUMMYFUNCTION("""COMPUTED_VALUE"""),44071.64583333333)</f>
        <v>44071.64583</v>
      </c>
      <c r="C366" s="2">
        <f>IFERROR(__xludf.DUMMYFUNCTION("""COMPUTED_VALUE"""),758.35)</f>
        <v>758.35</v>
      </c>
    </row>
    <row r="367" ht="15.75" customHeight="1">
      <c r="B367" s="3">
        <f>IFERROR(__xludf.DUMMYFUNCTION("""COMPUTED_VALUE"""),44078.64583333333)</f>
        <v>44078.64583</v>
      </c>
      <c r="C367" s="2">
        <f>IFERROR(__xludf.DUMMYFUNCTION("""COMPUTED_VALUE"""),774.7)</f>
        <v>774.7</v>
      </c>
    </row>
    <row r="368" ht="15.75" customHeight="1">
      <c r="B368" s="3">
        <f>IFERROR(__xludf.DUMMYFUNCTION("""COMPUTED_VALUE"""),44085.64583333333)</f>
        <v>44085.64583</v>
      </c>
      <c r="C368" s="2">
        <f>IFERROR(__xludf.DUMMYFUNCTION("""COMPUTED_VALUE"""),770.6)</f>
        <v>770.6</v>
      </c>
    </row>
    <row r="369" ht="15.75" customHeight="1">
      <c r="B369" s="3">
        <f>IFERROR(__xludf.DUMMYFUNCTION("""COMPUTED_VALUE"""),44092.64583333333)</f>
        <v>44092.64583</v>
      </c>
      <c r="C369" s="2">
        <f>IFERROR(__xludf.DUMMYFUNCTION("""COMPUTED_VALUE"""),811.45)</f>
        <v>811.45</v>
      </c>
    </row>
    <row r="370" ht="15.75" customHeight="1">
      <c r="B370" s="3">
        <f>IFERROR(__xludf.DUMMYFUNCTION("""COMPUTED_VALUE"""),44099.64583333333)</f>
        <v>44099.64583</v>
      </c>
      <c r="C370" s="2">
        <f>IFERROR(__xludf.DUMMYFUNCTION("""COMPUTED_VALUE"""),830.0)</f>
        <v>830</v>
      </c>
    </row>
    <row r="371" ht="15.75" customHeight="1">
      <c r="B371" s="3">
        <f>IFERROR(__xludf.DUMMYFUNCTION("""COMPUTED_VALUE"""),44105.64583333333)</f>
        <v>44105.64583</v>
      </c>
      <c r="C371" s="2">
        <f>IFERROR(__xludf.DUMMYFUNCTION("""COMPUTED_VALUE"""),825.35)</f>
        <v>825.35</v>
      </c>
    </row>
    <row r="372" ht="15.75" customHeight="1">
      <c r="B372" s="3">
        <f>IFERROR(__xludf.DUMMYFUNCTION("""COMPUTED_VALUE"""),44113.64583333333)</f>
        <v>44113.64583</v>
      </c>
      <c r="C372" s="2">
        <f>IFERROR(__xludf.DUMMYFUNCTION("""COMPUTED_VALUE"""),887.55)</f>
        <v>887.55</v>
      </c>
    </row>
    <row r="373" ht="15.75" customHeight="1">
      <c r="B373" s="3">
        <f>IFERROR(__xludf.DUMMYFUNCTION("""COMPUTED_VALUE"""),44120.64583333333)</f>
        <v>44120.64583</v>
      </c>
      <c r="C373" s="2">
        <f>IFERROR(__xludf.DUMMYFUNCTION("""COMPUTED_VALUE"""),879.9)</f>
        <v>879.9</v>
      </c>
    </row>
    <row r="374" ht="15.75" customHeight="1">
      <c r="B374" s="3">
        <f>IFERROR(__xludf.DUMMYFUNCTION("""COMPUTED_VALUE"""),44127.64583333333)</f>
        <v>44127.64583</v>
      </c>
      <c r="C374" s="2">
        <f>IFERROR(__xludf.DUMMYFUNCTION("""COMPUTED_VALUE"""),857.45)</f>
        <v>857.45</v>
      </c>
    </row>
    <row r="375" ht="15.75" customHeight="1">
      <c r="B375" s="3">
        <f>IFERROR(__xludf.DUMMYFUNCTION("""COMPUTED_VALUE"""),44134.64583333333)</f>
        <v>44134.64583</v>
      </c>
      <c r="C375" s="2">
        <f>IFERROR(__xludf.DUMMYFUNCTION("""COMPUTED_VALUE"""),854.7)</f>
        <v>854.7</v>
      </c>
    </row>
    <row r="376" ht="15.75" customHeight="1">
      <c r="B376" s="3">
        <f>IFERROR(__xludf.DUMMYFUNCTION("""COMPUTED_VALUE"""),44141.64583333333)</f>
        <v>44141.64583</v>
      </c>
      <c r="C376" s="2">
        <f>IFERROR(__xludf.DUMMYFUNCTION("""COMPUTED_VALUE"""),854.0)</f>
        <v>854</v>
      </c>
    </row>
    <row r="377" ht="15.75" customHeight="1">
      <c r="B377" s="3">
        <f>IFERROR(__xludf.DUMMYFUNCTION("""COMPUTED_VALUE"""),44155.64583333333)</f>
        <v>44155.64583</v>
      </c>
      <c r="C377" s="2">
        <f>IFERROR(__xludf.DUMMYFUNCTION("""COMPUTED_VALUE"""),856.5)</f>
        <v>856.5</v>
      </c>
    </row>
    <row r="378" ht="15.75" customHeight="1">
      <c r="B378" s="3">
        <f>IFERROR(__xludf.DUMMYFUNCTION("""COMPUTED_VALUE"""),44162.64583333333)</f>
        <v>44162.64583</v>
      </c>
      <c r="C378" s="2">
        <f>IFERROR(__xludf.DUMMYFUNCTION("""COMPUTED_VALUE"""),890.0)</f>
        <v>890</v>
      </c>
    </row>
    <row r="379" ht="15.75" customHeight="1">
      <c r="B379" s="3">
        <f>IFERROR(__xludf.DUMMYFUNCTION("""COMPUTED_VALUE"""),44169.64583333333)</f>
        <v>44169.64583</v>
      </c>
      <c r="C379" s="2">
        <f>IFERROR(__xludf.DUMMYFUNCTION("""COMPUTED_VALUE"""),929.3)</f>
        <v>929.3</v>
      </c>
    </row>
    <row r="380" ht="15.75" customHeight="1">
      <c r="B380" s="3">
        <f>IFERROR(__xludf.DUMMYFUNCTION("""COMPUTED_VALUE"""),44176.64583333333)</f>
        <v>44176.64583</v>
      </c>
      <c r="C380" s="2">
        <f>IFERROR(__xludf.DUMMYFUNCTION("""COMPUTED_VALUE"""),950.85)</f>
        <v>950.85</v>
      </c>
    </row>
    <row r="381" ht="15.75" customHeight="1">
      <c r="B381" s="3">
        <f>IFERROR(__xludf.DUMMYFUNCTION("""COMPUTED_VALUE"""),44183.64583333333)</f>
        <v>44183.64583</v>
      </c>
      <c r="C381" s="2">
        <f>IFERROR(__xludf.DUMMYFUNCTION("""COMPUTED_VALUE"""),947.0)</f>
        <v>947</v>
      </c>
    </row>
    <row r="382" ht="15.75" customHeight="1">
      <c r="B382" s="3">
        <f>IFERROR(__xludf.DUMMYFUNCTION("""COMPUTED_VALUE"""),44189.64583333333)</f>
        <v>44189.64583</v>
      </c>
      <c r="C382" s="2">
        <f>IFERROR(__xludf.DUMMYFUNCTION("""COMPUTED_VALUE"""),959.75)</f>
        <v>959.75</v>
      </c>
    </row>
    <row r="383" ht="15.75" customHeight="1">
      <c r="B383" s="3">
        <f>IFERROR(__xludf.DUMMYFUNCTION("""COMPUTED_VALUE"""),44197.64583333333)</f>
        <v>44197.64583</v>
      </c>
      <c r="C383" s="2">
        <f>IFERROR(__xludf.DUMMYFUNCTION("""COMPUTED_VALUE"""),986.4)</f>
        <v>986.4</v>
      </c>
    </row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IFERROR(__xludf.DUMMYFUNCTION("GOOGLEFINANCE(""NSE:ADANIPORTS"", ""high"",DATE(2015,1,1),DATE(2016,1,1),""weekly"")"),"Date")</f>
        <v>Date</v>
      </c>
      <c r="C1" s="2" t="str">
        <f>IFERROR(__xludf.DUMMYFUNCTION("""COMPUTED_VALUE"""),"High")</f>
        <v>High</v>
      </c>
    </row>
    <row r="2">
      <c r="A2" s="2" t="s">
        <v>14</v>
      </c>
      <c r="B2" s="3">
        <f>IFERROR(__xludf.DUMMYFUNCTION("""COMPUTED_VALUE"""),42006.64583333333)</f>
        <v>42006.64583</v>
      </c>
      <c r="C2" s="2">
        <f>IFERROR(__xludf.DUMMYFUNCTION("""COMPUTED_VALUE"""),325.8)</f>
        <v>325.8</v>
      </c>
    </row>
    <row r="3">
      <c r="A3" s="2" t="s">
        <v>15</v>
      </c>
      <c r="B3" s="3">
        <f>IFERROR(__xludf.DUMMYFUNCTION("""COMPUTED_VALUE"""),42013.64583333333)</f>
        <v>42013.64583</v>
      </c>
      <c r="C3" s="2">
        <f>IFERROR(__xludf.DUMMYFUNCTION("""COMPUTED_VALUE"""),343.1)</f>
        <v>343.1</v>
      </c>
    </row>
    <row r="4">
      <c r="A4" s="2" t="s">
        <v>16</v>
      </c>
      <c r="B4" s="3">
        <f>IFERROR(__xludf.DUMMYFUNCTION("""COMPUTED_VALUE"""),42020.64583333333)</f>
        <v>42020.64583</v>
      </c>
      <c r="C4" s="2">
        <f>IFERROR(__xludf.DUMMYFUNCTION("""COMPUTED_VALUE"""),337.3)</f>
        <v>337.3</v>
      </c>
    </row>
    <row r="5">
      <c r="A5" s="2" t="s">
        <v>17</v>
      </c>
      <c r="B5" s="3">
        <f>IFERROR(__xludf.DUMMYFUNCTION("""COMPUTED_VALUE"""),42027.64583333333)</f>
        <v>42027.64583</v>
      </c>
      <c r="C5" s="2">
        <f>IFERROR(__xludf.DUMMYFUNCTION("""COMPUTED_VALUE"""),352.75)</f>
        <v>352.75</v>
      </c>
    </row>
    <row r="6">
      <c r="A6" s="2" t="s">
        <v>18</v>
      </c>
      <c r="B6" s="3">
        <f>IFERROR(__xludf.DUMMYFUNCTION("""COMPUTED_VALUE"""),42034.64583333333)</f>
        <v>42034.64583</v>
      </c>
      <c r="C6" s="2">
        <f>IFERROR(__xludf.DUMMYFUNCTION("""COMPUTED_VALUE"""),352.0)</f>
        <v>352</v>
      </c>
    </row>
    <row r="7">
      <c r="A7" s="2" t="s">
        <v>19</v>
      </c>
      <c r="B7" s="3">
        <f>IFERROR(__xludf.DUMMYFUNCTION("""COMPUTED_VALUE"""),42041.64583333333)</f>
        <v>42041.64583</v>
      </c>
      <c r="C7" s="2">
        <f>IFERROR(__xludf.DUMMYFUNCTION("""COMPUTED_VALUE"""),343.9)</f>
        <v>343.9</v>
      </c>
    </row>
    <row r="8">
      <c r="B8" s="3">
        <f>IFERROR(__xludf.DUMMYFUNCTION("""COMPUTED_VALUE"""),42048.64583333333)</f>
        <v>42048.64583</v>
      </c>
      <c r="C8" s="2">
        <f>IFERROR(__xludf.DUMMYFUNCTION("""COMPUTED_VALUE"""),344.35)</f>
        <v>344.35</v>
      </c>
    </row>
    <row r="9">
      <c r="B9" s="3">
        <f>IFERROR(__xludf.DUMMYFUNCTION("""COMPUTED_VALUE"""),42055.64583333333)</f>
        <v>42055.64583</v>
      </c>
      <c r="C9" s="2">
        <f>IFERROR(__xludf.DUMMYFUNCTION("""COMPUTED_VALUE"""),341.7)</f>
        <v>341.7</v>
      </c>
    </row>
    <row r="10">
      <c r="B10" s="3">
        <f>IFERROR(__xludf.DUMMYFUNCTION("""COMPUTED_VALUE"""),42068.64583333333)</f>
        <v>42068.64583</v>
      </c>
      <c r="C10" s="2">
        <f>IFERROR(__xludf.DUMMYFUNCTION("""COMPUTED_VALUE"""),343.3)</f>
        <v>343.3</v>
      </c>
    </row>
    <row r="11">
      <c r="B11" s="3">
        <f>IFERROR(__xludf.DUMMYFUNCTION("""COMPUTED_VALUE"""),42076.64583333333)</f>
        <v>42076.64583</v>
      </c>
      <c r="C11" s="2">
        <f>IFERROR(__xludf.DUMMYFUNCTION("""COMPUTED_VALUE"""),335.9)</f>
        <v>335.9</v>
      </c>
    </row>
    <row r="12">
      <c r="B12" s="3">
        <f>IFERROR(__xludf.DUMMYFUNCTION("""COMPUTED_VALUE"""),42083.64583333333)</f>
        <v>42083.64583</v>
      </c>
      <c r="C12" s="2">
        <f>IFERROR(__xludf.DUMMYFUNCTION("""COMPUTED_VALUE"""),322.65)</f>
        <v>322.65</v>
      </c>
    </row>
    <row r="13">
      <c r="B13" s="3">
        <f>IFERROR(__xludf.DUMMYFUNCTION("""COMPUTED_VALUE"""),42090.64583333333)</f>
        <v>42090.64583</v>
      </c>
      <c r="C13" s="2">
        <f>IFERROR(__xludf.DUMMYFUNCTION("""COMPUTED_VALUE"""),315.6)</f>
        <v>315.6</v>
      </c>
    </row>
    <row r="14">
      <c r="B14" s="3">
        <f>IFERROR(__xludf.DUMMYFUNCTION("""COMPUTED_VALUE"""),42095.64583333333)</f>
        <v>42095.64583</v>
      </c>
      <c r="C14" s="2">
        <f>IFERROR(__xludf.DUMMYFUNCTION("""COMPUTED_VALUE"""),315.45)</f>
        <v>315.45</v>
      </c>
    </row>
    <row r="15">
      <c r="B15" s="3">
        <f>IFERROR(__xludf.DUMMYFUNCTION("""COMPUTED_VALUE"""),42104.64583333333)</f>
        <v>42104.64583</v>
      </c>
      <c r="C15" s="2">
        <f>IFERROR(__xludf.DUMMYFUNCTION("""COMPUTED_VALUE"""),325.6)</f>
        <v>325.6</v>
      </c>
    </row>
    <row r="16">
      <c r="B16" s="3">
        <f>IFERROR(__xludf.DUMMYFUNCTION("""COMPUTED_VALUE"""),42111.64583333333)</f>
        <v>42111.64583</v>
      </c>
      <c r="C16" s="2">
        <f>IFERROR(__xludf.DUMMYFUNCTION("""COMPUTED_VALUE"""),333.6)</f>
        <v>333.6</v>
      </c>
    </row>
    <row r="17">
      <c r="B17" s="3">
        <f>IFERROR(__xludf.DUMMYFUNCTION("""COMPUTED_VALUE"""),42118.64583333333)</f>
        <v>42118.64583</v>
      </c>
      <c r="C17" s="2">
        <f>IFERROR(__xludf.DUMMYFUNCTION("""COMPUTED_VALUE"""),324.95)</f>
        <v>324.95</v>
      </c>
    </row>
    <row r="18">
      <c r="B18" s="3">
        <f>IFERROR(__xludf.DUMMYFUNCTION("""COMPUTED_VALUE"""),42124.64583333333)</f>
        <v>42124.64583</v>
      </c>
      <c r="C18" s="2">
        <f>IFERROR(__xludf.DUMMYFUNCTION("""COMPUTED_VALUE"""),323.45)</f>
        <v>323.45</v>
      </c>
    </row>
    <row r="19">
      <c r="B19" s="3">
        <f>IFERROR(__xludf.DUMMYFUNCTION("""COMPUTED_VALUE"""),42132.64583333333)</f>
        <v>42132.64583</v>
      </c>
      <c r="C19" s="2">
        <f>IFERROR(__xludf.DUMMYFUNCTION("""COMPUTED_VALUE"""),353.0)</f>
        <v>353</v>
      </c>
    </row>
    <row r="20">
      <c r="B20" s="3">
        <f>IFERROR(__xludf.DUMMYFUNCTION("""COMPUTED_VALUE"""),42139.64583333333)</f>
        <v>42139.64583</v>
      </c>
      <c r="C20" s="2">
        <f>IFERROR(__xludf.DUMMYFUNCTION("""COMPUTED_VALUE"""),345.0)</f>
        <v>345</v>
      </c>
    </row>
    <row r="21" ht="15.75" customHeight="1">
      <c r="B21" s="3">
        <f>IFERROR(__xludf.DUMMYFUNCTION("""COMPUTED_VALUE"""),42146.64583333333)</f>
        <v>42146.64583</v>
      </c>
      <c r="C21" s="2">
        <f>IFERROR(__xludf.DUMMYFUNCTION("""COMPUTED_VALUE"""),354.8)</f>
        <v>354.8</v>
      </c>
    </row>
    <row r="22" ht="15.75" customHeight="1">
      <c r="B22" s="3">
        <f>IFERROR(__xludf.DUMMYFUNCTION("""COMPUTED_VALUE"""),42153.64583333333)</f>
        <v>42153.64583</v>
      </c>
      <c r="C22" s="2">
        <f>IFERROR(__xludf.DUMMYFUNCTION("""COMPUTED_VALUE"""),350.3)</f>
        <v>350.3</v>
      </c>
    </row>
    <row r="23" ht="15.75" customHeight="1">
      <c r="B23" s="3">
        <f>IFERROR(__xludf.DUMMYFUNCTION("""COMPUTED_VALUE"""),42160.64583333333)</f>
        <v>42160.64583</v>
      </c>
      <c r="C23" s="2">
        <f>IFERROR(__xludf.DUMMYFUNCTION("""COMPUTED_VALUE"""),325.8)</f>
        <v>325.8</v>
      </c>
    </row>
    <row r="24" ht="15.75" customHeight="1">
      <c r="B24" s="3">
        <f>IFERROR(__xludf.DUMMYFUNCTION("""COMPUTED_VALUE"""),42167.64583333333)</f>
        <v>42167.64583</v>
      </c>
      <c r="C24" s="2">
        <f>IFERROR(__xludf.DUMMYFUNCTION("""COMPUTED_VALUE"""),320.3)</f>
        <v>320.3</v>
      </c>
    </row>
    <row r="25" ht="15.75" customHeight="1">
      <c r="B25" s="3">
        <f>IFERROR(__xludf.DUMMYFUNCTION("""COMPUTED_VALUE"""),42174.64583333333)</f>
        <v>42174.64583</v>
      </c>
      <c r="C25" s="2">
        <f>IFERROR(__xludf.DUMMYFUNCTION("""COMPUTED_VALUE"""),317.0)</f>
        <v>317</v>
      </c>
    </row>
    <row r="26" ht="15.75" customHeight="1">
      <c r="B26" s="3">
        <f>IFERROR(__xludf.DUMMYFUNCTION("""COMPUTED_VALUE"""),42181.64583333333)</f>
        <v>42181.64583</v>
      </c>
      <c r="C26" s="2">
        <f>IFERROR(__xludf.DUMMYFUNCTION("""COMPUTED_VALUE"""),318.4)</f>
        <v>318.4</v>
      </c>
    </row>
    <row r="27" ht="15.75" customHeight="1">
      <c r="B27" s="3">
        <f>IFERROR(__xludf.DUMMYFUNCTION("""COMPUTED_VALUE"""),42188.64583333333)</f>
        <v>42188.64583</v>
      </c>
      <c r="C27" s="2">
        <f>IFERROR(__xludf.DUMMYFUNCTION("""COMPUTED_VALUE"""),325.75)</f>
        <v>325.75</v>
      </c>
    </row>
    <row r="28" ht="15.75" customHeight="1">
      <c r="B28" s="3">
        <f>IFERROR(__xludf.DUMMYFUNCTION("""COMPUTED_VALUE"""),42195.64583333333)</f>
        <v>42195.64583</v>
      </c>
      <c r="C28" s="2">
        <f>IFERROR(__xludf.DUMMYFUNCTION("""COMPUTED_VALUE"""),334.7)</f>
        <v>334.7</v>
      </c>
    </row>
    <row r="29" ht="15.75" customHeight="1">
      <c r="B29" s="3">
        <f>IFERROR(__xludf.DUMMYFUNCTION("""COMPUTED_VALUE"""),42202.64583333333)</f>
        <v>42202.64583</v>
      </c>
      <c r="C29" s="2">
        <f>IFERROR(__xludf.DUMMYFUNCTION("""COMPUTED_VALUE"""),330.7)</f>
        <v>330.7</v>
      </c>
    </row>
    <row r="30" ht="15.75" customHeight="1">
      <c r="B30" s="3">
        <f>IFERROR(__xludf.DUMMYFUNCTION("""COMPUTED_VALUE"""),42209.64583333333)</f>
        <v>42209.64583</v>
      </c>
      <c r="C30" s="2">
        <f>IFERROR(__xludf.DUMMYFUNCTION("""COMPUTED_VALUE"""),333.35)</f>
        <v>333.35</v>
      </c>
    </row>
    <row r="31" ht="15.75" customHeight="1">
      <c r="B31" s="3">
        <f>IFERROR(__xludf.DUMMYFUNCTION("""COMPUTED_VALUE"""),42216.64583333333)</f>
        <v>42216.64583</v>
      </c>
      <c r="C31" s="2">
        <f>IFERROR(__xludf.DUMMYFUNCTION("""COMPUTED_VALUE"""),326.5)</f>
        <v>326.5</v>
      </c>
    </row>
    <row r="32" ht="15.75" customHeight="1">
      <c r="B32" s="3">
        <f>IFERROR(__xludf.DUMMYFUNCTION("""COMPUTED_VALUE"""),42223.64583333333)</f>
        <v>42223.64583</v>
      </c>
      <c r="C32" s="2">
        <f>IFERROR(__xludf.DUMMYFUNCTION("""COMPUTED_VALUE"""),348.4)</f>
        <v>348.4</v>
      </c>
    </row>
    <row r="33" ht="15.75" customHeight="1">
      <c r="B33" s="3">
        <f>IFERROR(__xludf.DUMMYFUNCTION("""COMPUTED_VALUE"""),42230.64583333333)</f>
        <v>42230.64583</v>
      </c>
      <c r="C33" s="2">
        <f>IFERROR(__xludf.DUMMYFUNCTION("""COMPUTED_VALUE"""),365.8)</f>
        <v>365.8</v>
      </c>
    </row>
    <row r="34" ht="15.75" customHeight="1">
      <c r="B34" s="3">
        <f>IFERROR(__xludf.DUMMYFUNCTION("""COMPUTED_VALUE"""),42237.64583333333)</f>
        <v>42237.64583</v>
      </c>
      <c r="C34" s="2">
        <f>IFERROR(__xludf.DUMMYFUNCTION("""COMPUTED_VALUE"""),374.8)</f>
        <v>374.8</v>
      </c>
    </row>
    <row r="35" ht="15.75" customHeight="1">
      <c r="B35" s="3">
        <f>IFERROR(__xludf.DUMMYFUNCTION("""COMPUTED_VALUE"""),42244.64583333333)</f>
        <v>42244.64583</v>
      </c>
      <c r="C35" s="2">
        <f>IFERROR(__xludf.DUMMYFUNCTION("""COMPUTED_VALUE"""),369.45)</f>
        <v>369.45</v>
      </c>
    </row>
    <row r="36" ht="15.75" customHeight="1">
      <c r="B36" s="3">
        <f>IFERROR(__xludf.DUMMYFUNCTION("""COMPUTED_VALUE"""),42251.64583333333)</f>
        <v>42251.64583</v>
      </c>
      <c r="C36" s="2">
        <f>IFERROR(__xludf.DUMMYFUNCTION("""COMPUTED_VALUE"""),372.4)</f>
        <v>372.4</v>
      </c>
    </row>
    <row r="37" ht="15.75" customHeight="1">
      <c r="B37" s="3">
        <f>IFERROR(__xludf.DUMMYFUNCTION("""COMPUTED_VALUE"""),42258.64583333333)</f>
        <v>42258.64583</v>
      </c>
      <c r="C37" s="2">
        <f>IFERROR(__xludf.DUMMYFUNCTION("""COMPUTED_VALUE"""),345.5)</f>
        <v>345.5</v>
      </c>
    </row>
    <row r="38" ht="15.75" customHeight="1">
      <c r="B38" s="3">
        <f>IFERROR(__xludf.DUMMYFUNCTION("""COMPUTED_VALUE"""),42265.64583333333)</f>
        <v>42265.64583</v>
      </c>
      <c r="C38" s="2">
        <f>IFERROR(__xludf.DUMMYFUNCTION("""COMPUTED_VALUE"""),351.2)</f>
        <v>351.2</v>
      </c>
    </row>
    <row r="39" ht="15.75" customHeight="1">
      <c r="B39" s="3">
        <f>IFERROR(__xludf.DUMMYFUNCTION("""COMPUTED_VALUE"""),42271.64583333333)</f>
        <v>42271.64583</v>
      </c>
      <c r="C39" s="2">
        <f>IFERROR(__xludf.DUMMYFUNCTION("""COMPUTED_VALUE"""),337.3)</f>
        <v>337.3</v>
      </c>
    </row>
    <row r="40" ht="15.75" customHeight="1">
      <c r="B40" s="3">
        <f>IFERROR(__xludf.DUMMYFUNCTION("""COMPUTED_VALUE"""),42278.64583333333)</f>
        <v>42278.64583</v>
      </c>
      <c r="C40" s="2">
        <f>IFERROR(__xludf.DUMMYFUNCTION("""COMPUTED_VALUE"""),312.0)</f>
        <v>312</v>
      </c>
    </row>
    <row r="41" ht="15.75" customHeight="1">
      <c r="B41" s="3">
        <f>IFERROR(__xludf.DUMMYFUNCTION("""COMPUTED_VALUE"""),42286.64583333333)</f>
        <v>42286.64583</v>
      </c>
      <c r="C41" s="2">
        <f>IFERROR(__xludf.DUMMYFUNCTION("""COMPUTED_VALUE"""),324.7)</f>
        <v>324.7</v>
      </c>
    </row>
    <row r="42" ht="15.75" customHeight="1">
      <c r="B42" s="3">
        <f>IFERROR(__xludf.DUMMYFUNCTION("""COMPUTED_VALUE"""),42293.64583333333)</f>
        <v>42293.64583</v>
      </c>
      <c r="C42" s="2">
        <f>IFERROR(__xludf.DUMMYFUNCTION("""COMPUTED_VALUE"""),331.0)</f>
        <v>331</v>
      </c>
    </row>
    <row r="43" ht="15.75" customHeight="1">
      <c r="B43" s="3">
        <f>IFERROR(__xludf.DUMMYFUNCTION("""COMPUTED_VALUE"""),42300.64583333333)</f>
        <v>42300.64583</v>
      </c>
      <c r="C43" s="2">
        <f>IFERROR(__xludf.DUMMYFUNCTION("""COMPUTED_VALUE"""),324.7)</f>
        <v>324.7</v>
      </c>
    </row>
    <row r="44" ht="15.75" customHeight="1">
      <c r="B44" s="3">
        <f>IFERROR(__xludf.DUMMYFUNCTION("""COMPUTED_VALUE"""),42307.64583333333)</f>
        <v>42307.64583</v>
      </c>
      <c r="C44" s="2">
        <f>IFERROR(__xludf.DUMMYFUNCTION("""COMPUTED_VALUE"""),317.0)</f>
        <v>317</v>
      </c>
    </row>
    <row r="45" ht="15.75" customHeight="1">
      <c r="B45" s="3">
        <f>IFERROR(__xludf.DUMMYFUNCTION("""COMPUTED_VALUE"""),42314.64583333333)</f>
        <v>42314.64583</v>
      </c>
      <c r="C45" s="2">
        <f>IFERROR(__xludf.DUMMYFUNCTION("""COMPUTED_VALUE"""),302.7)</f>
        <v>302.7</v>
      </c>
    </row>
    <row r="46" ht="15.75" customHeight="1">
      <c r="B46" s="3">
        <f>IFERROR(__xludf.DUMMYFUNCTION("""COMPUTED_VALUE"""),42321.64583333333)</f>
        <v>42321.64583</v>
      </c>
      <c r="C46" s="2">
        <f>IFERROR(__xludf.DUMMYFUNCTION("""COMPUTED_VALUE"""),283.5)</f>
        <v>283.5</v>
      </c>
    </row>
    <row r="47" ht="15.75" customHeight="1">
      <c r="B47" s="3">
        <f>IFERROR(__xludf.DUMMYFUNCTION("""COMPUTED_VALUE"""),42328.64583333333)</f>
        <v>42328.64583</v>
      </c>
      <c r="C47" s="2">
        <f>IFERROR(__xludf.DUMMYFUNCTION("""COMPUTED_VALUE"""),276.4)</f>
        <v>276.4</v>
      </c>
    </row>
    <row r="48" ht="15.75" customHeight="1">
      <c r="B48" s="3">
        <f>IFERROR(__xludf.DUMMYFUNCTION("""COMPUTED_VALUE"""),42335.64583333333)</f>
        <v>42335.64583</v>
      </c>
      <c r="C48" s="2">
        <f>IFERROR(__xludf.DUMMYFUNCTION("""COMPUTED_VALUE"""),278.9)</f>
        <v>278.9</v>
      </c>
    </row>
    <row r="49" ht="15.75" customHeight="1">
      <c r="B49" s="3">
        <f>IFERROR(__xludf.DUMMYFUNCTION("""COMPUTED_VALUE"""),42342.64583333333)</f>
        <v>42342.64583</v>
      </c>
      <c r="C49" s="2">
        <f>IFERROR(__xludf.DUMMYFUNCTION("""COMPUTED_VALUE"""),269.35)</f>
        <v>269.35</v>
      </c>
    </row>
    <row r="50" ht="15.75" customHeight="1">
      <c r="B50" s="3">
        <f>IFERROR(__xludf.DUMMYFUNCTION("""COMPUTED_VALUE"""),42349.64583333333)</f>
        <v>42349.64583</v>
      </c>
      <c r="C50" s="2">
        <f>IFERROR(__xludf.DUMMYFUNCTION("""COMPUTED_VALUE"""),258.9)</f>
        <v>258.9</v>
      </c>
    </row>
    <row r="51" ht="15.75" customHeight="1">
      <c r="B51" s="3">
        <f>IFERROR(__xludf.DUMMYFUNCTION("""COMPUTED_VALUE"""),42356.64583333333)</f>
        <v>42356.64583</v>
      </c>
      <c r="C51" s="2">
        <f>IFERROR(__xludf.DUMMYFUNCTION("""COMPUTED_VALUE"""),261.25)</f>
        <v>261.25</v>
      </c>
    </row>
    <row r="52" ht="15.75" customHeight="1">
      <c r="B52" s="3">
        <f>IFERROR(__xludf.DUMMYFUNCTION("""COMPUTED_VALUE"""),42362.64583333333)</f>
        <v>42362.64583</v>
      </c>
      <c r="C52" s="2">
        <f>IFERROR(__xludf.DUMMYFUNCTION("""COMPUTED_VALUE"""),262.6)</f>
        <v>262.6</v>
      </c>
    </row>
    <row r="53" ht="15.75" customHeight="1">
      <c r="B53" s="3">
        <f>IFERROR(__xludf.DUMMYFUNCTION("""COMPUTED_VALUE"""),42370.64583333333)</f>
        <v>42370.64583</v>
      </c>
      <c r="C53" s="2">
        <f>IFERROR(__xludf.DUMMYFUNCTION("""COMPUTED_VALUE"""),268.3)</f>
        <v>268.3</v>
      </c>
    </row>
    <row r="54" ht="15.75" customHeight="1"/>
    <row r="55" ht="15.75" customHeight="1"/>
    <row r="56" ht="15.75" customHeight="1">
      <c r="B56" s="2" t="str">
        <f>IFERROR(__xludf.DUMMYFUNCTION("GOOGLEFINANCE(""NSE:ADANIPORTS"", ""high"",DATE(2016,1,1),DATE(2017,1,1),""weekly"")"),"Date")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IFERROR(__xludf.DUMMYFUNCTION("""COMPUTED_VALUE"""),42377.64583333333)</f>
        <v>42377.64583</v>
      </c>
      <c r="C57" s="2">
        <f>IFERROR(__xludf.DUMMYFUNCTION("""COMPUTED_VALUE"""),266.5)</f>
        <v>266.5</v>
      </c>
    </row>
    <row r="58" ht="15.75" customHeight="1">
      <c r="B58" s="3">
        <f>IFERROR(__xludf.DUMMYFUNCTION("""COMPUTED_VALUE"""),42384.64583333333)</f>
        <v>42384.64583</v>
      </c>
      <c r="C58" s="2">
        <f>IFERROR(__xludf.DUMMYFUNCTION("""COMPUTED_VALUE"""),240.5)</f>
        <v>240.5</v>
      </c>
    </row>
    <row r="59" ht="15.75" customHeight="1">
      <c r="B59" s="3">
        <f>IFERROR(__xludf.DUMMYFUNCTION("""COMPUTED_VALUE"""),42391.64583333333)</f>
        <v>42391.64583</v>
      </c>
      <c r="C59" s="2">
        <f>IFERROR(__xludf.DUMMYFUNCTION("""COMPUTED_VALUE"""),233.9)</f>
        <v>233.9</v>
      </c>
    </row>
    <row r="60" ht="15.75" customHeight="1">
      <c r="B60" s="3">
        <f>IFERROR(__xludf.DUMMYFUNCTION("""COMPUTED_VALUE"""),42398.64583333333)</f>
        <v>42398.64583</v>
      </c>
      <c r="C60" s="2">
        <f>IFERROR(__xludf.DUMMYFUNCTION("""COMPUTED_VALUE"""),225.8)</f>
        <v>225.8</v>
      </c>
    </row>
    <row r="61" ht="15.75" customHeight="1">
      <c r="B61" s="3">
        <f>IFERROR(__xludf.DUMMYFUNCTION("""COMPUTED_VALUE"""),42405.64583333333)</f>
        <v>42405.64583</v>
      </c>
      <c r="C61" s="2">
        <f>IFERROR(__xludf.DUMMYFUNCTION("""COMPUTED_VALUE"""),223.95)</f>
        <v>223.95</v>
      </c>
    </row>
    <row r="62" ht="15.75" customHeight="1">
      <c r="B62" s="3">
        <f>IFERROR(__xludf.DUMMYFUNCTION("""COMPUTED_VALUE"""),42412.64583333333)</f>
        <v>42412.64583</v>
      </c>
      <c r="C62" s="2">
        <f>IFERROR(__xludf.DUMMYFUNCTION("""COMPUTED_VALUE"""),216.9)</f>
        <v>216.9</v>
      </c>
    </row>
    <row r="63" ht="15.75" customHeight="1">
      <c r="B63" s="3">
        <f>IFERROR(__xludf.DUMMYFUNCTION("""COMPUTED_VALUE"""),42419.64583333333)</f>
        <v>42419.64583</v>
      </c>
      <c r="C63" s="2">
        <f>IFERROR(__xludf.DUMMYFUNCTION("""COMPUTED_VALUE"""),215.8)</f>
        <v>215.8</v>
      </c>
    </row>
    <row r="64" ht="15.75" customHeight="1">
      <c r="B64" s="3">
        <f>IFERROR(__xludf.DUMMYFUNCTION("""COMPUTED_VALUE"""),42426.64583333333)</f>
        <v>42426.64583</v>
      </c>
      <c r="C64" s="2">
        <f>IFERROR(__xludf.DUMMYFUNCTION("""COMPUTED_VALUE"""),211.7)</f>
        <v>211.7</v>
      </c>
    </row>
    <row r="65" ht="15.75" customHeight="1">
      <c r="B65" s="3">
        <f>IFERROR(__xludf.DUMMYFUNCTION("""COMPUTED_VALUE"""),42433.64583333333)</f>
        <v>42433.64583</v>
      </c>
      <c r="C65" s="2">
        <f>IFERROR(__xludf.DUMMYFUNCTION("""COMPUTED_VALUE"""),229.45)</f>
        <v>229.45</v>
      </c>
    </row>
    <row r="66" ht="15.75" customHeight="1">
      <c r="B66" s="3">
        <f>IFERROR(__xludf.DUMMYFUNCTION("""COMPUTED_VALUE"""),42440.64583333333)</f>
        <v>42440.64583</v>
      </c>
      <c r="C66" s="2">
        <f>IFERROR(__xludf.DUMMYFUNCTION("""COMPUTED_VALUE"""),232.85)</f>
        <v>232.85</v>
      </c>
    </row>
    <row r="67" ht="15.75" customHeight="1">
      <c r="B67" s="3">
        <f>IFERROR(__xludf.DUMMYFUNCTION("""COMPUTED_VALUE"""),42447.64583333333)</f>
        <v>42447.64583</v>
      </c>
      <c r="C67" s="2">
        <f>IFERROR(__xludf.DUMMYFUNCTION("""COMPUTED_VALUE"""),243.2)</f>
        <v>243.2</v>
      </c>
    </row>
    <row r="68" ht="15.75" customHeight="1">
      <c r="B68" s="3">
        <f>IFERROR(__xludf.DUMMYFUNCTION("""COMPUTED_VALUE"""),42452.64583333333)</f>
        <v>42452.64583</v>
      </c>
      <c r="C68" s="2">
        <f>IFERROR(__xludf.DUMMYFUNCTION("""COMPUTED_VALUE"""),245.0)</f>
        <v>245</v>
      </c>
    </row>
    <row r="69" ht="15.75" customHeight="1">
      <c r="B69" s="3">
        <f>IFERROR(__xludf.DUMMYFUNCTION("""COMPUTED_VALUE"""),42461.64583333333)</f>
        <v>42461.64583</v>
      </c>
      <c r="C69" s="2">
        <f>IFERROR(__xludf.DUMMYFUNCTION("""COMPUTED_VALUE"""),250.0)</f>
        <v>250</v>
      </c>
    </row>
    <row r="70" ht="15.75" customHeight="1">
      <c r="B70" s="3">
        <f>IFERROR(__xludf.DUMMYFUNCTION("""COMPUTED_VALUE"""),42468.64583333333)</f>
        <v>42468.64583</v>
      </c>
      <c r="C70" s="2">
        <f>IFERROR(__xludf.DUMMYFUNCTION("""COMPUTED_VALUE"""),249.45)</f>
        <v>249.45</v>
      </c>
    </row>
    <row r="71" ht="15.75" customHeight="1">
      <c r="B71" s="3">
        <f>IFERROR(__xludf.DUMMYFUNCTION("""COMPUTED_VALUE"""),42473.64583333333)</f>
        <v>42473.64583</v>
      </c>
      <c r="C71" s="2">
        <f>IFERROR(__xludf.DUMMYFUNCTION("""COMPUTED_VALUE"""),237.95)</f>
        <v>237.95</v>
      </c>
    </row>
    <row r="72" ht="15.75" customHeight="1">
      <c r="B72" s="3">
        <f>IFERROR(__xludf.DUMMYFUNCTION("""COMPUTED_VALUE"""),42482.64583333333)</f>
        <v>42482.64583</v>
      </c>
      <c r="C72" s="2">
        <f>IFERROR(__xludf.DUMMYFUNCTION("""COMPUTED_VALUE"""),236.75)</f>
        <v>236.75</v>
      </c>
    </row>
    <row r="73" ht="15.75" customHeight="1">
      <c r="B73" s="3">
        <f>IFERROR(__xludf.DUMMYFUNCTION("""COMPUTED_VALUE"""),42489.64583333333)</f>
        <v>42489.64583</v>
      </c>
      <c r="C73" s="2">
        <f>IFERROR(__xludf.DUMMYFUNCTION("""COMPUTED_VALUE"""),242.0)</f>
        <v>242</v>
      </c>
    </row>
    <row r="74" ht="15.75" customHeight="1">
      <c r="B74" s="3">
        <f>IFERROR(__xludf.DUMMYFUNCTION("""COMPUTED_VALUE"""),42496.64583333333)</f>
        <v>42496.64583</v>
      </c>
      <c r="C74" s="2">
        <f>IFERROR(__xludf.DUMMYFUNCTION("""COMPUTED_VALUE"""),242.45)</f>
        <v>242.45</v>
      </c>
    </row>
    <row r="75" ht="15.75" customHeight="1">
      <c r="B75" s="3">
        <f>IFERROR(__xludf.DUMMYFUNCTION("""COMPUTED_VALUE"""),42503.64583333333)</f>
        <v>42503.64583</v>
      </c>
      <c r="C75" s="2">
        <f>IFERROR(__xludf.DUMMYFUNCTION("""COMPUTED_VALUE"""),200.25)</f>
        <v>200.25</v>
      </c>
    </row>
    <row r="76" ht="15.75" customHeight="1">
      <c r="B76" s="3">
        <f>IFERROR(__xludf.DUMMYFUNCTION("""COMPUTED_VALUE"""),42510.64583333333)</f>
        <v>42510.64583</v>
      </c>
      <c r="C76" s="2">
        <f>IFERROR(__xludf.DUMMYFUNCTION("""COMPUTED_VALUE"""),192.2)</f>
        <v>192.2</v>
      </c>
    </row>
    <row r="77" ht="15.75" customHeight="1">
      <c r="B77" s="3">
        <f>IFERROR(__xludf.DUMMYFUNCTION("""COMPUTED_VALUE"""),42517.64583333333)</f>
        <v>42517.64583</v>
      </c>
      <c r="C77" s="2">
        <f>IFERROR(__xludf.DUMMYFUNCTION("""COMPUTED_VALUE"""),192.95)</f>
        <v>192.95</v>
      </c>
    </row>
    <row r="78" ht="15.75" customHeight="1">
      <c r="B78" s="3">
        <f>IFERROR(__xludf.DUMMYFUNCTION("""COMPUTED_VALUE"""),42524.64583333333)</f>
        <v>42524.64583</v>
      </c>
      <c r="C78" s="2">
        <f>IFERROR(__xludf.DUMMYFUNCTION("""COMPUTED_VALUE"""),206.5)</f>
        <v>206.5</v>
      </c>
    </row>
    <row r="79" ht="15.75" customHeight="1">
      <c r="B79" s="3">
        <f>IFERROR(__xludf.DUMMYFUNCTION("""COMPUTED_VALUE"""),42531.64583333333)</f>
        <v>42531.64583</v>
      </c>
      <c r="C79" s="2">
        <f>IFERROR(__xludf.DUMMYFUNCTION("""COMPUTED_VALUE"""),207.85)</f>
        <v>207.85</v>
      </c>
    </row>
    <row r="80" ht="15.75" customHeight="1">
      <c r="B80" s="3">
        <f>IFERROR(__xludf.DUMMYFUNCTION("""COMPUTED_VALUE"""),42538.64583333333)</f>
        <v>42538.64583</v>
      </c>
      <c r="C80" s="2">
        <f>IFERROR(__xludf.DUMMYFUNCTION("""COMPUTED_VALUE"""),211.9)</f>
        <v>211.9</v>
      </c>
    </row>
    <row r="81" ht="15.75" customHeight="1">
      <c r="B81" s="3">
        <f>IFERROR(__xludf.DUMMYFUNCTION("""COMPUTED_VALUE"""),42545.64583333333)</f>
        <v>42545.64583</v>
      </c>
      <c r="C81" s="2">
        <f>IFERROR(__xludf.DUMMYFUNCTION("""COMPUTED_VALUE"""),209.95)</f>
        <v>209.95</v>
      </c>
    </row>
    <row r="82" ht="15.75" customHeight="1">
      <c r="B82" s="3">
        <f>IFERROR(__xludf.DUMMYFUNCTION("""COMPUTED_VALUE"""),42552.64583333333)</f>
        <v>42552.64583</v>
      </c>
      <c r="C82" s="2">
        <f>IFERROR(__xludf.DUMMYFUNCTION("""COMPUTED_VALUE"""),207.9)</f>
        <v>207.9</v>
      </c>
    </row>
    <row r="83" ht="15.75" customHeight="1">
      <c r="B83" s="3">
        <f>IFERROR(__xludf.DUMMYFUNCTION("""COMPUTED_VALUE"""),42559.64583333333)</f>
        <v>42559.64583</v>
      </c>
      <c r="C83" s="2">
        <f>IFERROR(__xludf.DUMMYFUNCTION("""COMPUTED_VALUE"""),216.45)</f>
        <v>216.45</v>
      </c>
    </row>
    <row r="84" ht="15.75" customHeight="1">
      <c r="B84" s="3">
        <f>IFERROR(__xludf.DUMMYFUNCTION("""COMPUTED_VALUE"""),42566.64583333333)</f>
        <v>42566.64583</v>
      </c>
      <c r="C84" s="2">
        <f>IFERROR(__xludf.DUMMYFUNCTION("""COMPUTED_VALUE"""),223.65)</f>
        <v>223.65</v>
      </c>
    </row>
    <row r="85" ht="15.75" customHeight="1">
      <c r="B85" s="3">
        <f>IFERROR(__xludf.DUMMYFUNCTION("""COMPUTED_VALUE"""),42573.64583333333)</f>
        <v>42573.64583</v>
      </c>
      <c r="C85" s="2">
        <f>IFERROR(__xludf.DUMMYFUNCTION("""COMPUTED_VALUE"""),226.35)</f>
        <v>226.35</v>
      </c>
    </row>
    <row r="86" ht="15.75" customHeight="1">
      <c r="B86" s="3">
        <f>IFERROR(__xludf.DUMMYFUNCTION("""COMPUTED_VALUE"""),42580.64583333333)</f>
        <v>42580.64583</v>
      </c>
      <c r="C86" s="2">
        <f>IFERROR(__xludf.DUMMYFUNCTION("""COMPUTED_VALUE"""),233.5)</f>
        <v>233.5</v>
      </c>
    </row>
    <row r="87" ht="15.75" customHeight="1">
      <c r="B87" s="3">
        <f>IFERROR(__xludf.DUMMYFUNCTION("""COMPUTED_VALUE"""),42587.64583333333)</f>
        <v>42587.64583</v>
      </c>
      <c r="C87" s="2">
        <f>IFERROR(__xludf.DUMMYFUNCTION("""COMPUTED_VALUE"""),236.25)</f>
        <v>236.25</v>
      </c>
    </row>
    <row r="88" ht="15.75" customHeight="1">
      <c r="B88" s="3">
        <f>IFERROR(__xludf.DUMMYFUNCTION("""COMPUTED_VALUE"""),42594.64583333333)</f>
        <v>42594.64583</v>
      </c>
      <c r="C88" s="2">
        <f>IFERROR(__xludf.DUMMYFUNCTION("""COMPUTED_VALUE"""),261.25)</f>
        <v>261.25</v>
      </c>
    </row>
    <row r="89" ht="15.75" customHeight="1">
      <c r="B89" s="3">
        <f>IFERROR(__xludf.DUMMYFUNCTION("""COMPUTED_VALUE"""),42601.64583333333)</f>
        <v>42601.64583</v>
      </c>
      <c r="C89" s="2">
        <f>IFERROR(__xludf.DUMMYFUNCTION("""COMPUTED_VALUE"""),277.9)</f>
        <v>277.9</v>
      </c>
    </row>
    <row r="90" ht="15.75" customHeight="1">
      <c r="B90" s="3">
        <f>IFERROR(__xludf.DUMMYFUNCTION("""COMPUTED_VALUE"""),42608.64583333333)</f>
        <v>42608.64583</v>
      </c>
      <c r="C90" s="2">
        <f>IFERROR(__xludf.DUMMYFUNCTION("""COMPUTED_VALUE"""),279.7)</f>
        <v>279.7</v>
      </c>
    </row>
    <row r="91" ht="15.75" customHeight="1">
      <c r="B91" s="3">
        <f>IFERROR(__xludf.DUMMYFUNCTION("""COMPUTED_VALUE"""),42615.64583333333)</f>
        <v>42615.64583</v>
      </c>
      <c r="C91" s="2">
        <f>IFERROR(__xludf.DUMMYFUNCTION("""COMPUTED_VALUE"""),269.4)</f>
        <v>269.4</v>
      </c>
    </row>
    <row r="92" ht="15.75" customHeight="1">
      <c r="B92" s="3">
        <f>IFERROR(__xludf.DUMMYFUNCTION("""COMPUTED_VALUE"""),42622.64583333333)</f>
        <v>42622.64583</v>
      </c>
      <c r="C92" s="2">
        <f>IFERROR(__xludf.DUMMYFUNCTION("""COMPUTED_VALUE"""),276.5)</f>
        <v>276.5</v>
      </c>
    </row>
    <row r="93" ht="15.75" customHeight="1">
      <c r="B93" s="3">
        <f>IFERROR(__xludf.DUMMYFUNCTION("""COMPUTED_VALUE"""),42629.64583333333)</f>
        <v>42629.64583</v>
      </c>
      <c r="C93" s="2">
        <f>IFERROR(__xludf.DUMMYFUNCTION("""COMPUTED_VALUE"""),275.0)</f>
        <v>275</v>
      </c>
    </row>
    <row r="94" ht="15.75" customHeight="1">
      <c r="B94" s="3">
        <f>IFERROR(__xludf.DUMMYFUNCTION("""COMPUTED_VALUE"""),42636.64583333333)</f>
        <v>42636.64583</v>
      </c>
      <c r="C94" s="2">
        <f>IFERROR(__xludf.DUMMYFUNCTION("""COMPUTED_VALUE"""),277.7)</f>
        <v>277.7</v>
      </c>
    </row>
    <row r="95" ht="15.75" customHeight="1">
      <c r="B95" s="3">
        <f>IFERROR(__xludf.DUMMYFUNCTION("""COMPUTED_VALUE"""),42643.64583333333)</f>
        <v>42643.64583</v>
      </c>
      <c r="C95" s="2">
        <f>IFERROR(__xludf.DUMMYFUNCTION("""COMPUTED_VALUE"""),274.5)</f>
        <v>274.5</v>
      </c>
    </row>
    <row r="96" ht="15.75" customHeight="1">
      <c r="B96" s="3">
        <f>IFERROR(__xludf.DUMMYFUNCTION("""COMPUTED_VALUE"""),42650.64583333333)</f>
        <v>42650.64583</v>
      </c>
      <c r="C96" s="2">
        <f>IFERROR(__xludf.DUMMYFUNCTION("""COMPUTED_VALUE"""),269.95)</f>
        <v>269.95</v>
      </c>
    </row>
    <row r="97" ht="15.75" customHeight="1">
      <c r="B97" s="3">
        <f>IFERROR(__xludf.DUMMYFUNCTION("""COMPUTED_VALUE"""),42657.64583333333)</f>
        <v>42657.64583</v>
      </c>
      <c r="C97" s="2">
        <f>IFERROR(__xludf.DUMMYFUNCTION("""COMPUTED_VALUE"""),268.95)</f>
        <v>268.95</v>
      </c>
    </row>
    <row r="98" ht="15.75" customHeight="1">
      <c r="B98" s="3">
        <f>IFERROR(__xludf.DUMMYFUNCTION("""COMPUTED_VALUE"""),42664.64583333333)</f>
        <v>42664.64583</v>
      </c>
      <c r="C98" s="2">
        <f>IFERROR(__xludf.DUMMYFUNCTION("""COMPUTED_VALUE"""),288.25)</f>
        <v>288.25</v>
      </c>
    </row>
    <row r="99" ht="15.75" customHeight="1">
      <c r="B99" s="3">
        <f>IFERROR(__xludf.DUMMYFUNCTION("""COMPUTED_VALUE"""),42671.64583333333)</f>
        <v>42671.64583</v>
      </c>
      <c r="C99" s="2">
        <f>IFERROR(__xludf.DUMMYFUNCTION("""COMPUTED_VALUE"""),317.0)</f>
        <v>317</v>
      </c>
    </row>
    <row r="100" ht="15.75" customHeight="1">
      <c r="B100" s="3">
        <f>IFERROR(__xludf.DUMMYFUNCTION("""COMPUTED_VALUE"""),42678.64583333333)</f>
        <v>42678.64583</v>
      </c>
      <c r="C100" s="2">
        <f>IFERROR(__xludf.DUMMYFUNCTION("""COMPUTED_VALUE"""),308.9)</f>
        <v>308.9</v>
      </c>
    </row>
    <row r="101" ht="15.75" customHeight="1">
      <c r="B101" s="3">
        <f>IFERROR(__xludf.DUMMYFUNCTION("""COMPUTED_VALUE"""),42685.64583333333)</f>
        <v>42685.64583</v>
      </c>
      <c r="C101" s="2">
        <f>IFERROR(__xludf.DUMMYFUNCTION("""COMPUTED_VALUE"""),298.3)</f>
        <v>298.3</v>
      </c>
    </row>
    <row r="102" ht="15.75" customHeight="1">
      <c r="B102" s="3">
        <f>IFERROR(__xludf.DUMMYFUNCTION("""COMPUTED_VALUE"""),42692.64583333333)</f>
        <v>42692.64583</v>
      </c>
      <c r="C102" s="2">
        <f>IFERROR(__xludf.DUMMYFUNCTION("""COMPUTED_VALUE"""),280.7)</f>
        <v>280.7</v>
      </c>
    </row>
    <row r="103" ht="15.75" customHeight="1">
      <c r="B103" s="3">
        <f>IFERROR(__xludf.DUMMYFUNCTION("""COMPUTED_VALUE"""),42699.64583333333)</f>
        <v>42699.64583</v>
      </c>
      <c r="C103" s="2">
        <f>IFERROR(__xludf.DUMMYFUNCTION("""COMPUTED_VALUE"""),266.0)</f>
        <v>266</v>
      </c>
    </row>
    <row r="104" ht="15.75" customHeight="1">
      <c r="B104" s="3">
        <f>IFERROR(__xludf.DUMMYFUNCTION("""COMPUTED_VALUE"""),42706.64583333333)</f>
        <v>42706.64583</v>
      </c>
      <c r="C104" s="2">
        <f>IFERROR(__xludf.DUMMYFUNCTION("""COMPUTED_VALUE"""),281.9)</f>
        <v>281.9</v>
      </c>
    </row>
    <row r="105" ht="15.75" customHeight="1">
      <c r="B105" s="3">
        <f>IFERROR(__xludf.DUMMYFUNCTION("""COMPUTED_VALUE"""),42713.64583333333)</f>
        <v>42713.64583</v>
      </c>
      <c r="C105" s="2">
        <f>IFERROR(__xludf.DUMMYFUNCTION("""COMPUTED_VALUE"""),291.3)</f>
        <v>291.3</v>
      </c>
    </row>
    <row r="106" ht="15.75" customHeight="1">
      <c r="B106" s="3">
        <f>IFERROR(__xludf.DUMMYFUNCTION("""COMPUTED_VALUE"""),42720.64583333333)</f>
        <v>42720.64583</v>
      </c>
      <c r="C106" s="2">
        <f>IFERROR(__xludf.DUMMYFUNCTION("""COMPUTED_VALUE"""),291.65)</f>
        <v>291.65</v>
      </c>
    </row>
    <row r="107" ht="15.75" customHeight="1">
      <c r="B107" s="3">
        <f>IFERROR(__xludf.DUMMYFUNCTION("""COMPUTED_VALUE"""),42727.64583333333)</f>
        <v>42727.64583</v>
      </c>
      <c r="C107" s="2">
        <f>IFERROR(__xludf.DUMMYFUNCTION("""COMPUTED_VALUE"""),281.0)</f>
        <v>281</v>
      </c>
    </row>
    <row r="108" ht="15.75" customHeight="1">
      <c r="B108" s="3">
        <f>IFERROR(__xludf.DUMMYFUNCTION("""COMPUTED_VALUE"""),42734.64583333333)</f>
        <v>42734.64583</v>
      </c>
      <c r="C108" s="2">
        <f>IFERROR(__xludf.DUMMYFUNCTION("""COMPUTED_VALUE"""),271.85)</f>
        <v>271.85</v>
      </c>
    </row>
    <row r="109" ht="15.75" customHeight="1"/>
    <row r="110" ht="15.75" customHeight="1"/>
    <row r="111" ht="15.75" customHeight="1">
      <c r="B111" s="2" t="str">
        <f>IFERROR(__xludf.DUMMYFUNCTION("GOOGLEFINANCE(""NSE:ADANIPORTS"", ""high"",DATE(2017,1,1),DATE(2018,1,1),""weekly"")"),"Date")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IFERROR(__xludf.DUMMYFUNCTION("""COMPUTED_VALUE"""),42741.64583333333)</f>
        <v>42741.64583</v>
      </c>
      <c r="C112" s="2">
        <f>IFERROR(__xludf.DUMMYFUNCTION("""COMPUTED_VALUE"""),291.8)</f>
        <v>291.8</v>
      </c>
    </row>
    <row r="113" ht="15.75" customHeight="1">
      <c r="B113" s="3">
        <f>IFERROR(__xludf.DUMMYFUNCTION("""COMPUTED_VALUE"""),42748.64583333333)</f>
        <v>42748.64583</v>
      </c>
      <c r="C113" s="2">
        <f>IFERROR(__xludf.DUMMYFUNCTION("""COMPUTED_VALUE"""),299.75)</f>
        <v>299.75</v>
      </c>
    </row>
    <row r="114" ht="15.75" customHeight="1">
      <c r="B114" s="3">
        <f>IFERROR(__xludf.DUMMYFUNCTION("""COMPUTED_VALUE"""),42755.64583333333)</f>
        <v>42755.64583</v>
      </c>
      <c r="C114" s="2">
        <f>IFERROR(__xludf.DUMMYFUNCTION("""COMPUTED_VALUE"""),302.95)</f>
        <v>302.95</v>
      </c>
    </row>
    <row r="115" ht="15.75" customHeight="1">
      <c r="B115" s="3">
        <f>IFERROR(__xludf.DUMMYFUNCTION("""COMPUTED_VALUE"""),42762.64583333333)</f>
        <v>42762.64583</v>
      </c>
      <c r="C115" s="2">
        <f>IFERROR(__xludf.DUMMYFUNCTION("""COMPUTED_VALUE"""),308.95)</f>
        <v>308.95</v>
      </c>
    </row>
    <row r="116" ht="15.75" customHeight="1">
      <c r="B116" s="3">
        <f>IFERROR(__xludf.DUMMYFUNCTION("""COMPUTED_VALUE"""),42769.64583333333)</f>
        <v>42769.64583</v>
      </c>
      <c r="C116" s="2">
        <f>IFERROR(__xludf.DUMMYFUNCTION("""COMPUTED_VALUE"""),311.25)</f>
        <v>311.25</v>
      </c>
    </row>
    <row r="117" ht="15.75" customHeight="1">
      <c r="B117" s="3">
        <f>IFERROR(__xludf.DUMMYFUNCTION("""COMPUTED_VALUE"""),42776.64583333333)</f>
        <v>42776.64583</v>
      </c>
      <c r="C117" s="2">
        <f>IFERROR(__xludf.DUMMYFUNCTION("""COMPUTED_VALUE"""),313.7)</f>
        <v>313.7</v>
      </c>
    </row>
    <row r="118" ht="15.75" customHeight="1">
      <c r="B118" s="3">
        <f>IFERROR(__xludf.DUMMYFUNCTION("""COMPUTED_VALUE"""),42783.64583333333)</f>
        <v>42783.64583</v>
      </c>
      <c r="C118" s="2">
        <f>IFERROR(__xludf.DUMMYFUNCTION("""COMPUTED_VALUE"""),315.9)</f>
        <v>315.9</v>
      </c>
    </row>
    <row r="119" ht="15.75" customHeight="1">
      <c r="B119" s="3">
        <f>IFERROR(__xludf.DUMMYFUNCTION("""COMPUTED_VALUE"""),42789.64583333333)</f>
        <v>42789.64583</v>
      </c>
      <c r="C119" s="2">
        <f>IFERROR(__xludf.DUMMYFUNCTION("""COMPUTED_VALUE"""),306.5)</f>
        <v>306.5</v>
      </c>
    </row>
    <row r="120" ht="15.75" customHeight="1">
      <c r="B120" s="3">
        <f>IFERROR(__xludf.DUMMYFUNCTION("""COMPUTED_VALUE"""),42797.64583333333)</f>
        <v>42797.64583</v>
      </c>
      <c r="C120" s="2">
        <f>IFERROR(__xludf.DUMMYFUNCTION("""COMPUTED_VALUE"""),305.7)</f>
        <v>305.7</v>
      </c>
    </row>
    <row r="121" ht="15.75" customHeight="1">
      <c r="B121" s="3">
        <f>IFERROR(__xludf.DUMMYFUNCTION("""COMPUTED_VALUE"""),42804.64583333333)</f>
        <v>42804.64583</v>
      </c>
      <c r="C121" s="2">
        <f>IFERROR(__xludf.DUMMYFUNCTION("""COMPUTED_VALUE"""),309.4)</f>
        <v>309.4</v>
      </c>
    </row>
    <row r="122" ht="15.75" customHeight="1">
      <c r="B122" s="3">
        <f>IFERROR(__xludf.DUMMYFUNCTION("""COMPUTED_VALUE"""),42811.64583333333)</f>
        <v>42811.64583</v>
      </c>
      <c r="C122" s="2">
        <f>IFERROR(__xludf.DUMMYFUNCTION("""COMPUTED_VALUE"""),328.9)</f>
        <v>328.9</v>
      </c>
    </row>
    <row r="123" ht="15.75" customHeight="1">
      <c r="B123" s="3">
        <f>IFERROR(__xludf.DUMMYFUNCTION("""COMPUTED_VALUE"""),42818.64583333333)</f>
        <v>42818.64583</v>
      </c>
      <c r="C123" s="2">
        <f>IFERROR(__xludf.DUMMYFUNCTION("""COMPUTED_VALUE"""),329.8)</f>
        <v>329.8</v>
      </c>
    </row>
    <row r="124" ht="15.75" customHeight="1">
      <c r="B124" s="3">
        <f>IFERROR(__xludf.DUMMYFUNCTION("""COMPUTED_VALUE"""),42825.64583333333)</f>
        <v>42825.64583</v>
      </c>
      <c r="C124" s="2">
        <f>IFERROR(__xludf.DUMMYFUNCTION("""COMPUTED_VALUE"""),342.7)</f>
        <v>342.7</v>
      </c>
    </row>
    <row r="125" ht="15.75" customHeight="1">
      <c r="B125" s="3">
        <f>IFERROR(__xludf.DUMMYFUNCTION("""COMPUTED_VALUE"""),42832.64583333333)</f>
        <v>42832.64583</v>
      </c>
      <c r="C125" s="2">
        <f>IFERROR(__xludf.DUMMYFUNCTION("""COMPUTED_VALUE"""),359.25)</f>
        <v>359.25</v>
      </c>
    </row>
    <row r="126" ht="15.75" customHeight="1">
      <c r="B126" s="3">
        <f>IFERROR(__xludf.DUMMYFUNCTION("""COMPUTED_VALUE"""),42838.64583333333)</f>
        <v>42838.64583</v>
      </c>
      <c r="C126" s="2">
        <f>IFERROR(__xludf.DUMMYFUNCTION("""COMPUTED_VALUE"""),355.85)</f>
        <v>355.85</v>
      </c>
    </row>
    <row r="127" ht="15.75" customHeight="1">
      <c r="B127" s="3">
        <f>IFERROR(__xludf.DUMMYFUNCTION("""COMPUTED_VALUE"""),42846.64583333333)</f>
        <v>42846.64583</v>
      </c>
      <c r="C127" s="2">
        <f>IFERROR(__xludf.DUMMYFUNCTION("""COMPUTED_VALUE"""),335.25)</f>
        <v>335.25</v>
      </c>
    </row>
    <row r="128" ht="15.75" customHeight="1">
      <c r="B128" s="3">
        <f>IFERROR(__xludf.DUMMYFUNCTION("""COMPUTED_VALUE"""),42853.64583333333)</f>
        <v>42853.64583</v>
      </c>
      <c r="C128" s="2">
        <f>IFERROR(__xludf.DUMMYFUNCTION("""COMPUTED_VALUE"""),334.2)</f>
        <v>334.2</v>
      </c>
    </row>
    <row r="129" ht="15.75" customHeight="1">
      <c r="B129" s="3">
        <f>IFERROR(__xludf.DUMMYFUNCTION("""COMPUTED_VALUE"""),42860.64583333333)</f>
        <v>42860.64583</v>
      </c>
      <c r="C129" s="2">
        <f>IFERROR(__xludf.DUMMYFUNCTION("""COMPUTED_VALUE"""),346.45)</f>
        <v>346.45</v>
      </c>
    </row>
    <row r="130" ht="15.75" customHeight="1">
      <c r="B130" s="3">
        <f>IFERROR(__xludf.DUMMYFUNCTION("""COMPUTED_VALUE"""),42867.64583333333)</f>
        <v>42867.64583</v>
      </c>
      <c r="C130" s="2">
        <f>IFERROR(__xludf.DUMMYFUNCTION("""COMPUTED_VALUE"""),362.55)</f>
        <v>362.55</v>
      </c>
    </row>
    <row r="131" ht="15.75" customHeight="1">
      <c r="B131" s="3">
        <f>IFERROR(__xludf.DUMMYFUNCTION("""COMPUTED_VALUE"""),42874.64583333333)</f>
        <v>42874.64583</v>
      </c>
      <c r="C131" s="2">
        <f>IFERROR(__xludf.DUMMYFUNCTION("""COMPUTED_VALUE"""),359.75)</f>
        <v>359.75</v>
      </c>
    </row>
    <row r="132" ht="15.75" customHeight="1">
      <c r="B132" s="3">
        <f>IFERROR(__xludf.DUMMYFUNCTION("""COMPUTED_VALUE"""),42881.64583333333)</f>
        <v>42881.64583</v>
      </c>
      <c r="C132" s="2">
        <f>IFERROR(__xludf.DUMMYFUNCTION("""COMPUTED_VALUE"""),357.4)</f>
        <v>357.4</v>
      </c>
    </row>
    <row r="133" ht="15.75" customHeight="1">
      <c r="B133" s="3">
        <f>IFERROR(__xludf.DUMMYFUNCTION("""COMPUTED_VALUE"""),42888.64583333333)</f>
        <v>42888.64583</v>
      </c>
      <c r="C133" s="2">
        <f>IFERROR(__xludf.DUMMYFUNCTION("""COMPUTED_VALUE"""),359.4)</f>
        <v>359.4</v>
      </c>
    </row>
    <row r="134" ht="15.75" customHeight="1">
      <c r="B134" s="3">
        <f>IFERROR(__xludf.DUMMYFUNCTION("""COMPUTED_VALUE"""),42895.64583333333)</f>
        <v>42895.64583</v>
      </c>
      <c r="C134" s="2">
        <f>IFERROR(__xludf.DUMMYFUNCTION("""COMPUTED_VALUE"""),368.75)</f>
        <v>368.75</v>
      </c>
    </row>
    <row r="135" ht="15.75" customHeight="1">
      <c r="B135" s="3">
        <f>IFERROR(__xludf.DUMMYFUNCTION("""COMPUTED_VALUE"""),42902.64583333333)</f>
        <v>42902.64583</v>
      </c>
      <c r="C135" s="2">
        <f>IFERROR(__xludf.DUMMYFUNCTION("""COMPUTED_VALUE"""),366.4)</f>
        <v>366.4</v>
      </c>
    </row>
    <row r="136" ht="15.75" customHeight="1">
      <c r="B136" s="3">
        <f>IFERROR(__xludf.DUMMYFUNCTION("""COMPUTED_VALUE"""),42909.64583333333)</f>
        <v>42909.64583</v>
      </c>
      <c r="C136" s="2">
        <f>IFERROR(__xludf.DUMMYFUNCTION("""COMPUTED_VALUE"""),377.7)</f>
        <v>377.7</v>
      </c>
    </row>
    <row r="137" ht="15.75" customHeight="1">
      <c r="B137" s="3">
        <f>IFERROR(__xludf.DUMMYFUNCTION("""COMPUTED_VALUE"""),42916.64583333333)</f>
        <v>42916.64583</v>
      </c>
      <c r="C137" s="2">
        <f>IFERROR(__xludf.DUMMYFUNCTION("""COMPUTED_VALUE"""),372.8)</f>
        <v>372.8</v>
      </c>
    </row>
    <row r="138" ht="15.75" customHeight="1">
      <c r="B138" s="3">
        <f>IFERROR(__xludf.DUMMYFUNCTION("""COMPUTED_VALUE"""),42923.64583333333)</f>
        <v>42923.64583</v>
      </c>
      <c r="C138" s="2">
        <f>IFERROR(__xludf.DUMMYFUNCTION("""COMPUTED_VALUE"""),375.7)</f>
        <v>375.7</v>
      </c>
    </row>
    <row r="139" ht="15.75" customHeight="1">
      <c r="B139" s="3">
        <f>IFERROR(__xludf.DUMMYFUNCTION("""COMPUTED_VALUE"""),42930.64583333333)</f>
        <v>42930.64583</v>
      </c>
      <c r="C139" s="2">
        <f>IFERROR(__xludf.DUMMYFUNCTION("""COMPUTED_VALUE"""),378.45)</f>
        <v>378.45</v>
      </c>
    </row>
    <row r="140" ht="15.75" customHeight="1">
      <c r="B140" s="3">
        <f>IFERROR(__xludf.DUMMYFUNCTION("""COMPUTED_VALUE"""),42937.64583333333)</f>
        <v>42937.64583</v>
      </c>
      <c r="C140" s="2">
        <f>IFERROR(__xludf.DUMMYFUNCTION("""COMPUTED_VALUE"""),384.1)</f>
        <v>384.1</v>
      </c>
    </row>
    <row r="141" ht="15.75" customHeight="1">
      <c r="B141" s="3">
        <f>IFERROR(__xludf.DUMMYFUNCTION("""COMPUTED_VALUE"""),42944.64583333333)</f>
        <v>42944.64583</v>
      </c>
      <c r="C141" s="2">
        <f>IFERROR(__xludf.DUMMYFUNCTION("""COMPUTED_VALUE"""),398.45)</f>
        <v>398.45</v>
      </c>
    </row>
    <row r="142" ht="15.75" customHeight="1">
      <c r="B142" s="3">
        <f>IFERROR(__xludf.DUMMYFUNCTION("""COMPUTED_VALUE"""),42951.64583333333)</f>
        <v>42951.64583</v>
      </c>
      <c r="C142" s="2">
        <f>IFERROR(__xludf.DUMMYFUNCTION("""COMPUTED_VALUE"""),413.5)</f>
        <v>413.5</v>
      </c>
    </row>
    <row r="143" ht="15.75" customHeight="1">
      <c r="B143" s="3">
        <f>IFERROR(__xludf.DUMMYFUNCTION("""COMPUTED_VALUE"""),42958.64583333333)</f>
        <v>42958.64583</v>
      </c>
      <c r="C143" s="2">
        <f>IFERROR(__xludf.DUMMYFUNCTION("""COMPUTED_VALUE"""),421.5)</f>
        <v>421.5</v>
      </c>
    </row>
    <row r="144" ht="15.75" customHeight="1">
      <c r="B144" s="3">
        <f>IFERROR(__xludf.DUMMYFUNCTION("""COMPUTED_VALUE"""),42965.64583333333)</f>
        <v>42965.64583</v>
      </c>
      <c r="C144" s="2">
        <f>IFERROR(__xludf.DUMMYFUNCTION("""COMPUTED_VALUE"""),405.8)</f>
        <v>405.8</v>
      </c>
    </row>
    <row r="145" ht="15.75" customHeight="1">
      <c r="B145" s="3">
        <f>IFERROR(__xludf.DUMMYFUNCTION("""COMPUTED_VALUE"""),42971.64583333333)</f>
        <v>42971.64583</v>
      </c>
      <c r="C145" s="2">
        <f>IFERROR(__xludf.DUMMYFUNCTION("""COMPUTED_VALUE"""),388.7)</f>
        <v>388.7</v>
      </c>
    </row>
    <row r="146" ht="15.75" customHeight="1">
      <c r="B146" s="3">
        <f>IFERROR(__xludf.DUMMYFUNCTION("""COMPUTED_VALUE"""),42979.64583333333)</f>
        <v>42979.64583</v>
      </c>
      <c r="C146" s="2">
        <f>IFERROR(__xludf.DUMMYFUNCTION("""COMPUTED_VALUE"""),397.7)</f>
        <v>397.7</v>
      </c>
    </row>
    <row r="147" ht="15.75" customHeight="1">
      <c r="B147" s="3">
        <f>IFERROR(__xludf.DUMMYFUNCTION("""COMPUTED_VALUE"""),42986.64583333333)</f>
        <v>42986.64583</v>
      </c>
      <c r="C147" s="2">
        <f>IFERROR(__xludf.DUMMYFUNCTION("""COMPUTED_VALUE"""),396.0)</f>
        <v>396</v>
      </c>
    </row>
    <row r="148" ht="15.75" customHeight="1">
      <c r="B148" s="3">
        <f>IFERROR(__xludf.DUMMYFUNCTION("""COMPUTED_VALUE"""),42993.64583333333)</f>
        <v>42993.64583</v>
      </c>
      <c r="C148" s="2">
        <f>IFERROR(__xludf.DUMMYFUNCTION("""COMPUTED_VALUE"""),409.75)</f>
        <v>409.75</v>
      </c>
    </row>
    <row r="149" ht="15.75" customHeight="1">
      <c r="B149" s="3">
        <f>IFERROR(__xludf.DUMMYFUNCTION("""COMPUTED_VALUE"""),43000.64583333333)</f>
        <v>43000.64583</v>
      </c>
      <c r="C149" s="2">
        <f>IFERROR(__xludf.DUMMYFUNCTION("""COMPUTED_VALUE"""),414.7)</f>
        <v>414.7</v>
      </c>
    </row>
    <row r="150" ht="15.75" customHeight="1">
      <c r="B150" s="3">
        <f>IFERROR(__xludf.DUMMYFUNCTION("""COMPUTED_VALUE"""),43007.64583333333)</f>
        <v>43007.64583</v>
      </c>
      <c r="C150" s="2">
        <f>IFERROR(__xludf.DUMMYFUNCTION("""COMPUTED_VALUE"""),401.15)</f>
        <v>401.15</v>
      </c>
    </row>
    <row r="151" ht="15.75" customHeight="1">
      <c r="B151" s="3">
        <f>IFERROR(__xludf.DUMMYFUNCTION("""COMPUTED_VALUE"""),43014.64583333333)</f>
        <v>43014.64583</v>
      </c>
      <c r="C151" s="2">
        <f>IFERROR(__xludf.DUMMYFUNCTION("""COMPUTED_VALUE"""),392.3)</f>
        <v>392.3</v>
      </c>
    </row>
    <row r="152" ht="15.75" customHeight="1">
      <c r="B152" s="3">
        <f>IFERROR(__xludf.DUMMYFUNCTION("""COMPUTED_VALUE"""),43021.64583333333)</f>
        <v>43021.64583</v>
      </c>
      <c r="C152" s="2">
        <f>IFERROR(__xludf.DUMMYFUNCTION("""COMPUTED_VALUE"""),409.5)</f>
        <v>409.5</v>
      </c>
    </row>
    <row r="153" ht="15.75" customHeight="1">
      <c r="B153" s="3">
        <f>IFERROR(__xludf.DUMMYFUNCTION("""COMPUTED_VALUE"""),43027.83333333333)</f>
        <v>43027.83333</v>
      </c>
      <c r="C153" s="2">
        <f>IFERROR(__xludf.DUMMYFUNCTION("""COMPUTED_VALUE"""),410.8)</f>
        <v>410.8</v>
      </c>
    </row>
    <row r="154" ht="15.75" customHeight="1">
      <c r="B154" s="3">
        <f>IFERROR(__xludf.DUMMYFUNCTION("""COMPUTED_VALUE"""),43035.64583333333)</f>
        <v>43035.64583</v>
      </c>
      <c r="C154" s="2">
        <f>IFERROR(__xludf.DUMMYFUNCTION("""COMPUTED_VALUE"""),439.0)</f>
        <v>439</v>
      </c>
    </row>
    <row r="155" ht="15.75" customHeight="1">
      <c r="B155" s="3">
        <f>IFERROR(__xludf.DUMMYFUNCTION("""COMPUTED_VALUE"""),43042.64583333333)</f>
        <v>43042.64583</v>
      </c>
      <c r="C155" s="2">
        <f>IFERROR(__xludf.DUMMYFUNCTION("""COMPUTED_VALUE"""),440.8)</f>
        <v>440.8</v>
      </c>
    </row>
    <row r="156" ht="15.75" customHeight="1">
      <c r="B156" s="3">
        <f>IFERROR(__xludf.DUMMYFUNCTION("""COMPUTED_VALUE"""),43049.64583333333)</f>
        <v>43049.64583</v>
      </c>
      <c r="C156" s="2">
        <f>IFERROR(__xludf.DUMMYFUNCTION("""COMPUTED_VALUE"""),443.3)</f>
        <v>443.3</v>
      </c>
    </row>
    <row r="157" ht="15.75" customHeight="1">
      <c r="B157" s="3">
        <f>IFERROR(__xludf.DUMMYFUNCTION("""COMPUTED_VALUE"""),43056.64583333333)</f>
        <v>43056.64583</v>
      </c>
      <c r="C157" s="2">
        <f>IFERROR(__xludf.DUMMYFUNCTION("""COMPUTED_VALUE"""),433.55)</f>
        <v>433.55</v>
      </c>
    </row>
    <row r="158" ht="15.75" customHeight="1">
      <c r="B158" s="3">
        <f>IFERROR(__xludf.DUMMYFUNCTION("""COMPUTED_VALUE"""),43063.64583333333)</f>
        <v>43063.64583</v>
      </c>
      <c r="C158" s="2">
        <f>IFERROR(__xludf.DUMMYFUNCTION("""COMPUTED_VALUE"""),416.65)</f>
        <v>416.65</v>
      </c>
    </row>
    <row r="159" ht="15.75" customHeight="1">
      <c r="B159" s="3">
        <f>IFERROR(__xludf.DUMMYFUNCTION("""COMPUTED_VALUE"""),43070.64583333333)</f>
        <v>43070.64583</v>
      </c>
      <c r="C159" s="2">
        <f>IFERROR(__xludf.DUMMYFUNCTION("""COMPUTED_VALUE"""),405.6)</f>
        <v>405.6</v>
      </c>
    </row>
    <row r="160" ht="15.75" customHeight="1">
      <c r="B160" s="3">
        <f>IFERROR(__xludf.DUMMYFUNCTION("""COMPUTED_VALUE"""),43077.64583333333)</f>
        <v>43077.64583</v>
      </c>
      <c r="C160" s="2">
        <f>IFERROR(__xludf.DUMMYFUNCTION("""COMPUTED_VALUE"""),396.9)</f>
        <v>396.9</v>
      </c>
    </row>
    <row r="161" ht="15.75" customHeight="1">
      <c r="B161" s="3">
        <f>IFERROR(__xludf.DUMMYFUNCTION("""COMPUTED_VALUE"""),43084.64583333333)</f>
        <v>43084.64583</v>
      </c>
      <c r="C161" s="2">
        <f>IFERROR(__xludf.DUMMYFUNCTION("""COMPUTED_VALUE"""),408.0)</f>
        <v>408</v>
      </c>
    </row>
    <row r="162" ht="15.75" customHeight="1">
      <c r="B162" s="3">
        <f>IFERROR(__xludf.DUMMYFUNCTION("""COMPUTED_VALUE"""),43091.64583333333)</f>
        <v>43091.64583</v>
      </c>
      <c r="C162" s="2">
        <f>IFERROR(__xludf.DUMMYFUNCTION("""COMPUTED_VALUE"""),414.5)</f>
        <v>414.5</v>
      </c>
    </row>
    <row r="163" ht="15.75" customHeight="1">
      <c r="B163" s="3">
        <f>IFERROR(__xludf.DUMMYFUNCTION("""COMPUTED_VALUE"""),43098.64583333333)</f>
        <v>43098.64583</v>
      </c>
      <c r="C163" s="2">
        <f>IFERROR(__xludf.DUMMYFUNCTION("""COMPUTED_VALUE"""),407.15)</f>
        <v>407.15</v>
      </c>
    </row>
    <row r="164" ht="15.75" customHeight="1"/>
    <row r="165" ht="15.75" customHeight="1"/>
    <row r="166" ht="15.75" customHeight="1">
      <c r="B166" s="2" t="str">
        <f>IFERROR(__xludf.DUMMYFUNCTION("GOOGLEFINANCE(""NSE:ADANIPORTS"", ""high"",DATE(2018,1,1),DATE(2019,1,1),""weekly"")"),"Date")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IFERROR(__xludf.DUMMYFUNCTION("""COMPUTED_VALUE"""),43105.64583333333)</f>
        <v>43105.64583</v>
      </c>
      <c r="C167" s="2">
        <f>IFERROR(__xludf.DUMMYFUNCTION("""COMPUTED_VALUE"""),426.95)</f>
        <v>426.95</v>
      </c>
    </row>
    <row r="168" ht="15.75" customHeight="1">
      <c r="B168" s="3">
        <f>IFERROR(__xludf.DUMMYFUNCTION("""COMPUTED_VALUE"""),43112.64583333333)</f>
        <v>43112.64583</v>
      </c>
      <c r="C168" s="2">
        <f>IFERROR(__xludf.DUMMYFUNCTION("""COMPUTED_VALUE"""),430.65)</f>
        <v>430.65</v>
      </c>
    </row>
    <row r="169" ht="15.75" customHeight="1">
      <c r="B169" s="3">
        <f>IFERROR(__xludf.DUMMYFUNCTION("""COMPUTED_VALUE"""),43119.64583333333)</f>
        <v>43119.64583</v>
      </c>
      <c r="C169" s="2">
        <f>IFERROR(__xludf.DUMMYFUNCTION("""COMPUTED_VALUE"""),438.15)</f>
        <v>438.15</v>
      </c>
    </row>
    <row r="170" ht="15.75" customHeight="1">
      <c r="B170" s="3">
        <f>IFERROR(__xludf.DUMMYFUNCTION("""COMPUTED_VALUE"""),43125.64583333333)</f>
        <v>43125.64583</v>
      </c>
      <c r="C170" s="2">
        <f>IFERROR(__xludf.DUMMYFUNCTION("""COMPUTED_VALUE"""),452.35)</f>
        <v>452.35</v>
      </c>
    </row>
    <row r="171" ht="15.75" customHeight="1">
      <c r="B171" s="3">
        <f>IFERROR(__xludf.DUMMYFUNCTION("""COMPUTED_VALUE"""),43133.64583333333)</f>
        <v>43133.64583</v>
      </c>
      <c r="C171" s="2">
        <f>IFERROR(__xludf.DUMMYFUNCTION("""COMPUTED_VALUE"""),442.35)</f>
        <v>442.35</v>
      </c>
    </row>
    <row r="172" ht="15.75" customHeight="1">
      <c r="B172" s="3">
        <f>IFERROR(__xludf.DUMMYFUNCTION("""COMPUTED_VALUE"""),43140.64583333333)</f>
        <v>43140.64583</v>
      </c>
      <c r="C172" s="2">
        <f>IFERROR(__xludf.DUMMYFUNCTION("""COMPUTED_VALUE"""),416.15)</f>
        <v>416.15</v>
      </c>
    </row>
    <row r="173" ht="15.75" customHeight="1">
      <c r="B173" s="3">
        <f>IFERROR(__xludf.DUMMYFUNCTION("""COMPUTED_VALUE"""),43147.64583333333)</f>
        <v>43147.64583</v>
      </c>
      <c r="C173" s="2">
        <f>IFERROR(__xludf.DUMMYFUNCTION("""COMPUTED_VALUE"""),424.0)</f>
        <v>424</v>
      </c>
    </row>
    <row r="174" ht="15.75" customHeight="1">
      <c r="B174" s="3">
        <f>IFERROR(__xludf.DUMMYFUNCTION("""COMPUTED_VALUE"""),43154.64583333333)</f>
        <v>43154.64583</v>
      </c>
      <c r="C174" s="2">
        <f>IFERROR(__xludf.DUMMYFUNCTION("""COMPUTED_VALUE"""),409.25)</f>
        <v>409.25</v>
      </c>
    </row>
    <row r="175" ht="15.75" customHeight="1">
      <c r="B175" s="3">
        <f>IFERROR(__xludf.DUMMYFUNCTION("""COMPUTED_VALUE"""),43160.64583333333)</f>
        <v>43160.64583</v>
      </c>
      <c r="C175" s="2">
        <f>IFERROR(__xludf.DUMMYFUNCTION("""COMPUTED_VALUE"""),417.0)</f>
        <v>417</v>
      </c>
    </row>
    <row r="176" ht="15.75" customHeight="1">
      <c r="B176" s="3">
        <f>IFERROR(__xludf.DUMMYFUNCTION("""COMPUTED_VALUE"""),43168.64583333333)</f>
        <v>43168.64583</v>
      </c>
      <c r="C176" s="2">
        <f>IFERROR(__xludf.DUMMYFUNCTION("""COMPUTED_VALUE"""),413.75)</f>
        <v>413.75</v>
      </c>
    </row>
    <row r="177" ht="15.75" customHeight="1">
      <c r="B177" s="3">
        <f>IFERROR(__xludf.DUMMYFUNCTION("""COMPUTED_VALUE"""),43175.64583333333)</f>
        <v>43175.64583</v>
      </c>
      <c r="C177" s="2">
        <f>IFERROR(__xludf.DUMMYFUNCTION("""COMPUTED_VALUE"""),391.4)</f>
        <v>391.4</v>
      </c>
    </row>
    <row r="178" ht="15.75" customHeight="1">
      <c r="B178" s="3">
        <f>IFERROR(__xludf.DUMMYFUNCTION("""COMPUTED_VALUE"""),43182.64583333333)</f>
        <v>43182.64583</v>
      </c>
      <c r="C178" s="2">
        <f>IFERROR(__xludf.DUMMYFUNCTION("""COMPUTED_VALUE"""),373.75)</f>
        <v>373.75</v>
      </c>
    </row>
    <row r="179" ht="15.75" customHeight="1">
      <c r="B179" s="3">
        <f>IFERROR(__xludf.DUMMYFUNCTION("""COMPUTED_VALUE"""),43187.64583333333)</f>
        <v>43187.64583</v>
      </c>
      <c r="C179" s="2">
        <f>IFERROR(__xludf.DUMMYFUNCTION("""COMPUTED_VALUE"""),369.4)</f>
        <v>369.4</v>
      </c>
    </row>
    <row r="180" ht="15.75" customHeight="1">
      <c r="B180" s="3">
        <f>IFERROR(__xludf.DUMMYFUNCTION("""COMPUTED_VALUE"""),43196.64583333333)</f>
        <v>43196.64583</v>
      </c>
      <c r="C180" s="2">
        <f>IFERROR(__xludf.DUMMYFUNCTION("""COMPUTED_VALUE"""),383.6)</f>
        <v>383.6</v>
      </c>
    </row>
    <row r="181" ht="15.75" customHeight="1">
      <c r="B181" s="3">
        <f>IFERROR(__xludf.DUMMYFUNCTION("""COMPUTED_VALUE"""),43203.64583333333)</f>
        <v>43203.64583</v>
      </c>
      <c r="C181" s="2">
        <f>IFERROR(__xludf.DUMMYFUNCTION("""COMPUTED_VALUE"""),390.5)</f>
        <v>390.5</v>
      </c>
    </row>
    <row r="182" ht="15.75" customHeight="1">
      <c r="B182" s="3">
        <f>IFERROR(__xludf.DUMMYFUNCTION("""COMPUTED_VALUE"""),43210.64583333333)</f>
        <v>43210.64583</v>
      </c>
      <c r="C182" s="2">
        <f>IFERROR(__xludf.DUMMYFUNCTION("""COMPUTED_VALUE"""),393.95)</f>
        <v>393.95</v>
      </c>
    </row>
    <row r="183" ht="15.75" customHeight="1">
      <c r="B183" s="3">
        <f>IFERROR(__xludf.DUMMYFUNCTION("""COMPUTED_VALUE"""),43217.64583333333)</f>
        <v>43217.64583</v>
      </c>
      <c r="C183" s="2">
        <f>IFERROR(__xludf.DUMMYFUNCTION("""COMPUTED_VALUE"""),405.9)</f>
        <v>405.9</v>
      </c>
    </row>
    <row r="184" ht="15.75" customHeight="1">
      <c r="B184" s="3">
        <f>IFERROR(__xludf.DUMMYFUNCTION("""COMPUTED_VALUE"""),43224.64583333333)</f>
        <v>43224.64583</v>
      </c>
      <c r="C184" s="2">
        <f>IFERROR(__xludf.DUMMYFUNCTION("""COMPUTED_VALUE"""),411.3)</f>
        <v>411.3</v>
      </c>
    </row>
    <row r="185" ht="15.75" customHeight="1">
      <c r="B185" s="3">
        <f>IFERROR(__xludf.DUMMYFUNCTION("""COMPUTED_VALUE"""),43231.64583333333)</f>
        <v>43231.64583</v>
      </c>
      <c r="C185" s="2">
        <f>IFERROR(__xludf.DUMMYFUNCTION("""COMPUTED_VALUE"""),415.65)</f>
        <v>415.65</v>
      </c>
    </row>
    <row r="186" ht="15.75" customHeight="1">
      <c r="B186" s="3">
        <f>IFERROR(__xludf.DUMMYFUNCTION("""COMPUTED_VALUE"""),43238.64583333333)</f>
        <v>43238.64583</v>
      </c>
      <c r="C186" s="2">
        <f>IFERROR(__xludf.DUMMYFUNCTION("""COMPUTED_VALUE"""),414.0)</f>
        <v>414</v>
      </c>
    </row>
    <row r="187" ht="15.75" customHeight="1">
      <c r="B187" s="3">
        <f>IFERROR(__xludf.DUMMYFUNCTION("""COMPUTED_VALUE"""),43245.64583333333)</f>
        <v>43245.64583</v>
      </c>
      <c r="C187" s="2">
        <f>IFERROR(__xludf.DUMMYFUNCTION("""COMPUTED_VALUE"""),392.55)</f>
        <v>392.55</v>
      </c>
    </row>
    <row r="188" ht="15.75" customHeight="1">
      <c r="B188" s="3">
        <f>IFERROR(__xludf.DUMMYFUNCTION("""COMPUTED_VALUE"""),43252.64583333333)</f>
        <v>43252.64583</v>
      </c>
      <c r="C188" s="2">
        <f>IFERROR(__xludf.DUMMYFUNCTION("""COMPUTED_VALUE"""),397.6)</f>
        <v>397.6</v>
      </c>
    </row>
    <row r="189" ht="15.75" customHeight="1">
      <c r="B189" s="3">
        <f>IFERROR(__xludf.DUMMYFUNCTION("""COMPUTED_VALUE"""),43259.64583333333)</f>
        <v>43259.64583</v>
      </c>
      <c r="C189" s="2">
        <f>IFERROR(__xludf.DUMMYFUNCTION("""COMPUTED_VALUE"""),388.95)</f>
        <v>388.95</v>
      </c>
    </row>
    <row r="190" ht="15.75" customHeight="1">
      <c r="B190" s="3">
        <f>IFERROR(__xludf.DUMMYFUNCTION("""COMPUTED_VALUE"""),43266.64583333333)</f>
        <v>43266.64583</v>
      </c>
      <c r="C190" s="2">
        <f>IFERROR(__xludf.DUMMYFUNCTION("""COMPUTED_VALUE"""),392.0)</f>
        <v>392</v>
      </c>
    </row>
    <row r="191" ht="15.75" customHeight="1">
      <c r="B191" s="3">
        <f>IFERROR(__xludf.DUMMYFUNCTION("""COMPUTED_VALUE"""),43273.64583333333)</f>
        <v>43273.64583</v>
      </c>
      <c r="C191" s="2">
        <f>IFERROR(__xludf.DUMMYFUNCTION("""COMPUTED_VALUE"""),375.75)</f>
        <v>375.75</v>
      </c>
    </row>
    <row r="192" ht="15.75" customHeight="1">
      <c r="B192" s="3">
        <f>IFERROR(__xludf.DUMMYFUNCTION("""COMPUTED_VALUE"""),43280.64583333333)</f>
        <v>43280.64583</v>
      </c>
      <c r="C192" s="2">
        <f>IFERROR(__xludf.DUMMYFUNCTION("""COMPUTED_VALUE"""),377.4)</f>
        <v>377.4</v>
      </c>
    </row>
    <row r="193" ht="15.75" customHeight="1">
      <c r="B193" s="3">
        <f>IFERROR(__xludf.DUMMYFUNCTION("""COMPUTED_VALUE"""),43287.64583333333)</f>
        <v>43287.64583</v>
      </c>
      <c r="C193" s="2">
        <f>IFERROR(__xludf.DUMMYFUNCTION("""COMPUTED_VALUE"""),373.9)</f>
        <v>373.9</v>
      </c>
    </row>
    <row r="194" ht="15.75" customHeight="1">
      <c r="B194" s="3">
        <f>IFERROR(__xludf.DUMMYFUNCTION("""COMPUTED_VALUE"""),43294.64583333333)</f>
        <v>43294.64583</v>
      </c>
      <c r="C194" s="2">
        <f>IFERROR(__xludf.DUMMYFUNCTION("""COMPUTED_VALUE"""),378.3)</f>
        <v>378.3</v>
      </c>
    </row>
    <row r="195" ht="15.75" customHeight="1">
      <c r="B195" s="3">
        <f>IFERROR(__xludf.DUMMYFUNCTION("""COMPUTED_VALUE"""),43301.64583333333)</f>
        <v>43301.64583</v>
      </c>
      <c r="C195" s="2">
        <f>IFERROR(__xludf.DUMMYFUNCTION("""COMPUTED_VALUE"""),376.9)</f>
        <v>376.9</v>
      </c>
    </row>
    <row r="196" ht="15.75" customHeight="1">
      <c r="B196" s="3">
        <f>IFERROR(__xludf.DUMMYFUNCTION("""COMPUTED_VALUE"""),43308.64583333333)</f>
        <v>43308.64583</v>
      </c>
      <c r="C196" s="2">
        <f>IFERROR(__xludf.DUMMYFUNCTION("""COMPUTED_VALUE"""),402.45)</f>
        <v>402.45</v>
      </c>
    </row>
    <row r="197" ht="15.75" customHeight="1">
      <c r="B197" s="3">
        <f>IFERROR(__xludf.DUMMYFUNCTION("""COMPUTED_VALUE"""),43315.64583333333)</f>
        <v>43315.64583</v>
      </c>
      <c r="C197" s="2">
        <f>IFERROR(__xludf.DUMMYFUNCTION("""COMPUTED_VALUE"""),404.6)</f>
        <v>404.6</v>
      </c>
    </row>
    <row r="198" ht="15.75" customHeight="1">
      <c r="B198" s="3">
        <f>IFERROR(__xludf.DUMMYFUNCTION("""COMPUTED_VALUE"""),43322.64583333333)</f>
        <v>43322.64583</v>
      </c>
      <c r="C198" s="2">
        <f>IFERROR(__xludf.DUMMYFUNCTION("""COMPUTED_VALUE"""),406.4)</f>
        <v>406.4</v>
      </c>
    </row>
    <row r="199" ht="15.75" customHeight="1">
      <c r="B199" s="3">
        <f>IFERROR(__xludf.DUMMYFUNCTION("""COMPUTED_VALUE"""),43329.64583333333)</f>
        <v>43329.64583</v>
      </c>
      <c r="C199" s="2">
        <f>IFERROR(__xludf.DUMMYFUNCTION("""COMPUTED_VALUE"""),379.6)</f>
        <v>379.6</v>
      </c>
    </row>
    <row r="200" ht="15.75" customHeight="1">
      <c r="B200" s="3">
        <f>IFERROR(__xludf.DUMMYFUNCTION("""COMPUTED_VALUE"""),43336.64583333333)</f>
        <v>43336.64583</v>
      </c>
      <c r="C200" s="2">
        <f>IFERROR(__xludf.DUMMYFUNCTION("""COMPUTED_VALUE"""),387.8)</f>
        <v>387.8</v>
      </c>
    </row>
    <row r="201" ht="15.75" customHeight="1">
      <c r="B201" s="3">
        <f>IFERROR(__xludf.DUMMYFUNCTION("""COMPUTED_VALUE"""),43343.64583333333)</f>
        <v>43343.64583</v>
      </c>
      <c r="C201" s="2">
        <f>IFERROR(__xludf.DUMMYFUNCTION("""COMPUTED_VALUE"""),394.0)</f>
        <v>394</v>
      </c>
    </row>
    <row r="202" ht="15.75" customHeight="1">
      <c r="B202" s="3">
        <f>IFERROR(__xludf.DUMMYFUNCTION("""COMPUTED_VALUE"""),43350.64583333333)</f>
        <v>43350.64583</v>
      </c>
      <c r="C202" s="2">
        <f>IFERROR(__xludf.DUMMYFUNCTION("""COMPUTED_VALUE"""),392.95)</f>
        <v>392.95</v>
      </c>
    </row>
    <row r="203" ht="15.75" customHeight="1">
      <c r="B203" s="3">
        <f>IFERROR(__xludf.DUMMYFUNCTION("""COMPUTED_VALUE"""),43357.64583333333)</f>
        <v>43357.64583</v>
      </c>
      <c r="C203" s="2">
        <f>IFERROR(__xludf.DUMMYFUNCTION("""COMPUTED_VALUE"""),385.9)</f>
        <v>385.9</v>
      </c>
    </row>
    <row r="204" ht="15.75" customHeight="1">
      <c r="B204" s="3">
        <f>IFERROR(__xludf.DUMMYFUNCTION("""COMPUTED_VALUE"""),43364.64583333333)</f>
        <v>43364.64583</v>
      </c>
      <c r="C204" s="2">
        <f>IFERROR(__xludf.DUMMYFUNCTION("""COMPUTED_VALUE"""),388.0)</f>
        <v>388</v>
      </c>
    </row>
    <row r="205" ht="15.75" customHeight="1">
      <c r="B205" s="3">
        <f>IFERROR(__xludf.DUMMYFUNCTION("""COMPUTED_VALUE"""),43371.64583333333)</f>
        <v>43371.64583</v>
      </c>
      <c r="C205" s="2">
        <f>IFERROR(__xludf.DUMMYFUNCTION("""COMPUTED_VALUE"""),366.0)</f>
        <v>366</v>
      </c>
    </row>
    <row r="206" ht="15.75" customHeight="1">
      <c r="B206" s="3">
        <f>IFERROR(__xludf.DUMMYFUNCTION("""COMPUTED_VALUE"""),43378.64583333333)</f>
        <v>43378.64583</v>
      </c>
      <c r="C206" s="2">
        <f>IFERROR(__xludf.DUMMYFUNCTION("""COMPUTED_VALUE"""),338.0)</f>
        <v>338</v>
      </c>
    </row>
    <row r="207" ht="15.75" customHeight="1">
      <c r="B207" s="3">
        <f>IFERROR(__xludf.DUMMYFUNCTION("""COMPUTED_VALUE"""),43385.64583333333)</f>
        <v>43385.64583</v>
      </c>
      <c r="C207" s="2">
        <f>IFERROR(__xludf.DUMMYFUNCTION("""COMPUTED_VALUE"""),332.9)</f>
        <v>332.9</v>
      </c>
    </row>
    <row r="208" ht="15.75" customHeight="1">
      <c r="B208" s="3">
        <f>IFERROR(__xludf.DUMMYFUNCTION("""COMPUTED_VALUE"""),43392.64583333333)</f>
        <v>43392.64583</v>
      </c>
      <c r="C208" s="2">
        <f>IFERROR(__xludf.DUMMYFUNCTION("""COMPUTED_VALUE"""),339.3)</f>
        <v>339.3</v>
      </c>
    </row>
    <row r="209" ht="15.75" customHeight="1">
      <c r="B209" s="3">
        <f>IFERROR(__xludf.DUMMYFUNCTION("""COMPUTED_VALUE"""),43399.64583333333)</f>
        <v>43399.64583</v>
      </c>
      <c r="C209" s="2">
        <f>IFERROR(__xludf.DUMMYFUNCTION("""COMPUTED_VALUE"""),329.4)</f>
        <v>329.4</v>
      </c>
    </row>
    <row r="210" ht="15.75" customHeight="1">
      <c r="B210" s="3">
        <f>IFERROR(__xludf.DUMMYFUNCTION("""COMPUTED_VALUE"""),43406.64583333333)</f>
        <v>43406.64583</v>
      </c>
      <c r="C210" s="2">
        <f>IFERROR(__xludf.DUMMYFUNCTION("""COMPUTED_VALUE"""),340.15)</f>
        <v>340.15</v>
      </c>
    </row>
    <row r="211" ht="15.75" customHeight="1">
      <c r="B211" s="3">
        <f>IFERROR(__xludf.DUMMYFUNCTION("""COMPUTED_VALUE"""),43413.64583333333)</f>
        <v>43413.64583</v>
      </c>
      <c r="C211" s="2">
        <f>IFERROR(__xludf.DUMMYFUNCTION("""COMPUTED_VALUE"""),338.85)</f>
        <v>338.85</v>
      </c>
    </row>
    <row r="212" ht="15.75" customHeight="1">
      <c r="B212" s="3">
        <f>IFERROR(__xludf.DUMMYFUNCTION("""COMPUTED_VALUE"""),43420.64583333333)</f>
        <v>43420.64583</v>
      </c>
      <c r="C212" s="2">
        <f>IFERROR(__xludf.DUMMYFUNCTION("""COMPUTED_VALUE"""),351.4)</f>
        <v>351.4</v>
      </c>
    </row>
    <row r="213" ht="15.75" customHeight="1">
      <c r="B213" s="3">
        <f>IFERROR(__xludf.DUMMYFUNCTION("""COMPUTED_VALUE"""),43426.64583333333)</f>
        <v>43426.64583</v>
      </c>
      <c r="C213" s="2">
        <f>IFERROR(__xludf.DUMMYFUNCTION("""COMPUTED_VALUE"""),370.9)</f>
        <v>370.9</v>
      </c>
    </row>
    <row r="214" ht="15.75" customHeight="1">
      <c r="B214" s="3">
        <f>IFERROR(__xludf.DUMMYFUNCTION("""COMPUTED_VALUE"""),43434.64583333333)</f>
        <v>43434.64583</v>
      </c>
      <c r="C214" s="2">
        <f>IFERROR(__xludf.DUMMYFUNCTION("""COMPUTED_VALUE"""),374.6)</f>
        <v>374.6</v>
      </c>
    </row>
    <row r="215" ht="15.75" customHeight="1">
      <c r="B215" s="3">
        <f>IFERROR(__xludf.DUMMYFUNCTION("""COMPUTED_VALUE"""),43441.64583333333)</f>
        <v>43441.64583</v>
      </c>
      <c r="C215" s="2">
        <f>IFERROR(__xludf.DUMMYFUNCTION("""COMPUTED_VALUE"""),379.9)</f>
        <v>379.9</v>
      </c>
    </row>
    <row r="216" ht="15.75" customHeight="1">
      <c r="B216" s="3">
        <f>IFERROR(__xludf.DUMMYFUNCTION("""COMPUTED_VALUE"""),43448.64583333333)</f>
        <v>43448.64583</v>
      </c>
      <c r="C216" s="2">
        <f>IFERROR(__xludf.DUMMYFUNCTION("""COMPUTED_VALUE"""),376.45)</f>
        <v>376.45</v>
      </c>
    </row>
    <row r="217" ht="15.75" customHeight="1">
      <c r="B217" s="3">
        <f>IFERROR(__xludf.DUMMYFUNCTION("""COMPUTED_VALUE"""),43455.64583333333)</f>
        <v>43455.64583</v>
      </c>
      <c r="C217" s="2">
        <f>IFERROR(__xludf.DUMMYFUNCTION("""COMPUTED_VALUE"""),379.5)</f>
        <v>379.5</v>
      </c>
    </row>
    <row r="218" ht="15.75" customHeight="1">
      <c r="B218" s="3">
        <f>IFERROR(__xludf.DUMMYFUNCTION("""COMPUTED_VALUE"""),43462.64583333333)</f>
        <v>43462.64583</v>
      </c>
      <c r="C218" s="2">
        <f>IFERROR(__xludf.DUMMYFUNCTION("""COMPUTED_VALUE"""),390.75)</f>
        <v>390.75</v>
      </c>
    </row>
    <row r="219" ht="15.75" customHeight="1"/>
    <row r="220" ht="15.75" customHeight="1"/>
    <row r="221" ht="15.75" customHeight="1">
      <c r="B221" s="2" t="str">
        <f>IFERROR(__xludf.DUMMYFUNCTION("GOOGLEFINANCE(""NSE:ADANIPORTS"", ""high"",DATE(2019,1,1),DATE(2020,1,1),""weekly"")"),"Date")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IFERROR(__xludf.DUMMYFUNCTION("""COMPUTED_VALUE"""),43469.64583333333)</f>
        <v>43469.64583</v>
      </c>
      <c r="C222" s="2">
        <f>IFERROR(__xludf.DUMMYFUNCTION("""COMPUTED_VALUE"""),390.9)</f>
        <v>390.9</v>
      </c>
    </row>
    <row r="223" ht="15.75" customHeight="1">
      <c r="B223" s="3">
        <f>IFERROR(__xludf.DUMMYFUNCTION("""COMPUTED_VALUE"""),43476.64583333333)</f>
        <v>43476.64583</v>
      </c>
      <c r="C223" s="2">
        <f>IFERROR(__xludf.DUMMYFUNCTION("""COMPUTED_VALUE"""),386.95)</f>
        <v>386.95</v>
      </c>
    </row>
    <row r="224" ht="15.75" customHeight="1">
      <c r="B224" s="3">
        <f>IFERROR(__xludf.DUMMYFUNCTION("""COMPUTED_VALUE"""),43483.64583333333)</f>
        <v>43483.64583</v>
      </c>
      <c r="C224" s="2">
        <f>IFERROR(__xludf.DUMMYFUNCTION("""COMPUTED_VALUE"""),399.95)</f>
        <v>399.95</v>
      </c>
    </row>
    <row r="225" ht="15.75" customHeight="1">
      <c r="B225" s="3">
        <f>IFERROR(__xludf.DUMMYFUNCTION("""COMPUTED_VALUE"""),43490.64583333333)</f>
        <v>43490.64583</v>
      </c>
      <c r="C225" s="2">
        <f>IFERROR(__xludf.DUMMYFUNCTION("""COMPUTED_VALUE"""),402.7)</f>
        <v>402.7</v>
      </c>
    </row>
    <row r="226" ht="15.75" customHeight="1">
      <c r="B226" s="3">
        <f>IFERROR(__xludf.DUMMYFUNCTION("""COMPUTED_VALUE"""),43497.64583333333)</f>
        <v>43497.64583</v>
      </c>
      <c r="C226" s="2">
        <f>IFERROR(__xludf.DUMMYFUNCTION("""COMPUTED_VALUE"""),375.35)</f>
        <v>375.35</v>
      </c>
    </row>
    <row r="227" ht="15.75" customHeight="1">
      <c r="B227" s="3">
        <f>IFERROR(__xludf.DUMMYFUNCTION("""COMPUTED_VALUE"""),43504.64583333333)</f>
        <v>43504.64583</v>
      </c>
      <c r="C227" s="2">
        <f>IFERROR(__xludf.DUMMYFUNCTION("""COMPUTED_VALUE"""),341.8)</f>
        <v>341.8</v>
      </c>
    </row>
    <row r="228" ht="15.75" customHeight="1">
      <c r="B228" s="3">
        <f>IFERROR(__xludf.DUMMYFUNCTION("""COMPUTED_VALUE"""),43511.64583333333)</f>
        <v>43511.64583</v>
      </c>
      <c r="C228" s="2">
        <f>IFERROR(__xludf.DUMMYFUNCTION("""COMPUTED_VALUE"""),352.9)</f>
        <v>352.9</v>
      </c>
    </row>
    <row r="229" ht="15.75" customHeight="1">
      <c r="B229" s="3">
        <f>IFERROR(__xludf.DUMMYFUNCTION("""COMPUTED_VALUE"""),43518.64583333333)</f>
        <v>43518.64583</v>
      </c>
      <c r="C229" s="2">
        <f>IFERROR(__xludf.DUMMYFUNCTION("""COMPUTED_VALUE"""),359.25)</f>
        <v>359.25</v>
      </c>
    </row>
    <row r="230" ht="15.75" customHeight="1">
      <c r="B230" s="3">
        <f>IFERROR(__xludf.DUMMYFUNCTION("""COMPUTED_VALUE"""),43525.64583333333)</f>
        <v>43525.64583</v>
      </c>
      <c r="C230" s="2">
        <f>IFERROR(__xludf.DUMMYFUNCTION("""COMPUTED_VALUE"""),339.55)</f>
        <v>339.55</v>
      </c>
    </row>
    <row r="231" ht="15.75" customHeight="1">
      <c r="B231" s="3">
        <f>IFERROR(__xludf.DUMMYFUNCTION("""COMPUTED_VALUE"""),43532.64583333333)</f>
        <v>43532.64583</v>
      </c>
      <c r="C231" s="2">
        <f>IFERROR(__xludf.DUMMYFUNCTION("""COMPUTED_VALUE"""),349.2)</f>
        <v>349.2</v>
      </c>
    </row>
    <row r="232" ht="15.75" customHeight="1">
      <c r="B232" s="3">
        <f>IFERROR(__xludf.DUMMYFUNCTION("""COMPUTED_VALUE"""),43539.64583333333)</f>
        <v>43539.64583</v>
      </c>
      <c r="C232" s="2">
        <f>IFERROR(__xludf.DUMMYFUNCTION("""COMPUTED_VALUE"""),369.4)</f>
        <v>369.4</v>
      </c>
    </row>
    <row r="233" ht="15.75" customHeight="1">
      <c r="B233" s="3">
        <f>IFERROR(__xludf.DUMMYFUNCTION("""COMPUTED_VALUE"""),43546.64583333333)</f>
        <v>43546.64583</v>
      </c>
      <c r="C233" s="2">
        <f>IFERROR(__xludf.DUMMYFUNCTION("""COMPUTED_VALUE"""),375.8)</f>
        <v>375.8</v>
      </c>
    </row>
    <row r="234" ht="15.75" customHeight="1">
      <c r="B234" s="3">
        <f>IFERROR(__xludf.DUMMYFUNCTION("""COMPUTED_VALUE"""),43553.64583333333)</f>
        <v>43553.64583</v>
      </c>
      <c r="C234" s="2">
        <f>IFERROR(__xludf.DUMMYFUNCTION("""COMPUTED_VALUE"""),385.9)</f>
        <v>385.9</v>
      </c>
    </row>
    <row r="235" ht="15.75" customHeight="1">
      <c r="B235" s="3">
        <f>IFERROR(__xludf.DUMMYFUNCTION("""COMPUTED_VALUE"""),43560.64583333333)</f>
        <v>43560.64583</v>
      </c>
      <c r="C235" s="2">
        <f>IFERROR(__xludf.DUMMYFUNCTION("""COMPUTED_VALUE"""),388.9)</f>
        <v>388.9</v>
      </c>
    </row>
    <row r="236" ht="15.75" customHeight="1">
      <c r="B236" s="3">
        <f>IFERROR(__xludf.DUMMYFUNCTION("""COMPUTED_VALUE"""),43567.64583333333)</f>
        <v>43567.64583</v>
      </c>
      <c r="C236" s="2">
        <f>IFERROR(__xludf.DUMMYFUNCTION("""COMPUTED_VALUE"""),388.3)</f>
        <v>388.3</v>
      </c>
    </row>
    <row r="237" ht="15.75" customHeight="1">
      <c r="B237" s="3">
        <f>IFERROR(__xludf.DUMMYFUNCTION("""COMPUTED_VALUE"""),43573.64583333333)</f>
        <v>43573.64583</v>
      </c>
      <c r="C237" s="2">
        <f>IFERROR(__xludf.DUMMYFUNCTION("""COMPUTED_VALUE"""),396.55)</f>
        <v>396.55</v>
      </c>
    </row>
    <row r="238" ht="15.75" customHeight="1">
      <c r="B238" s="3">
        <f>IFERROR(__xludf.DUMMYFUNCTION("""COMPUTED_VALUE"""),43581.64583333333)</f>
        <v>43581.64583</v>
      </c>
      <c r="C238" s="2">
        <f>IFERROR(__xludf.DUMMYFUNCTION("""COMPUTED_VALUE"""),394.0)</f>
        <v>394</v>
      </c>
    </row>
    <row r="239" ht="15.75" customHeight="1">
      <c r="B239" s="3">
        <f>IFERROR(__xludf.DUMMYFUNCTION("""COMPUTED_VALUE"""),43588.64583333333)</f>
        <v>43588.64583</v>
      </c>
      <c r="C239" s="2">
        <f>IFERROR(__xludf.DUMMYFUNCTION("""COMPUTED_VALUE"""),398.4)</f>
        <v>398.4</v>
      </c>
    </row>
    <row r="240" ht="15.75" customHeight="1">
      <c r="B240" s="3">
        <f>IFERROR(__xludf.DUMMYFUNCTION("""COMPUTED_VALUE"""),43595.64583333333)</f>
        <v>43595.64583</v>
      </c>
      <c r="C240" s="2">
        <f>IFERROR(__xludf.DUMMYFUNCTION("""COMPUTED_VALUE"""),386.05)</f>
        <v>386.05</v>
      </c>
    </row>
    <row r="241" ht="15.75" customHeight="1">
      <c r="B241" s="3">
        <f>IFERROR(__xludf.DUMMYFUNCTION("""COMPUTED_VALUE"""),43602.64583333333)</f>
        <v>43602.64583</v>
      </c>
      <c r="C241" s="2">
        <f>IFERROR(__xludf.DUMMYFUNCTION("""COMPUTED_VALUE"""),375.0)</f>
        <v>375</v>
      </c>
    </row>
    <row r="242" ht="15.75" customHeight="1">
      <c r="B242" s="3">
        <f>IFERROR(__xludf.DUMMYFUNCTION("""COMPUTED_VALUE"""),43609.64583333333)</f>
        <v>43609.64583</v>
      </c>
      <c r="C242" s="2">
        <f>IFERROR(__xludf.DUMMYFUNCTION("""COMPUTED_VALUE"""),430.6)</f>
        <v>430.6</v>
      </c>
    </row>
    <row r="243" ht="15.75" customHeight="1">
      <c r="B243" s="3">
        <f>IFERROR(__xludf.DUMMYFUNCTION("""COMPUTED_VALUE"""),43616.64583333333)</f>
        <v>43616.64583</v>
      </c>
      <c r="C243" s="2">
        <f>IFERROR(__xludf.DUMMYFUNCTION("""COMPUTED_VALUE"""),426.8)</f>
        <v>426.8</v>
      </c>
    </row>
    <row r="244" ht="15.75" customHeight="1">
      <c r="B244" s="3">
        <f>IFERROR(__xludf.DUMMYFUNCTION("""COMPUTED_VALUE"""),43623.64583333333)</f>
        <v>43623.64583</v>
      </c>
      <c r="C244" s="2">
        <f>IFERROR(__xludf.DUMMYFUNCTION("""COMPUTED_VALUE"""),429.85)</f>
        <v>429.85</v>
      </c>
    </row>
    <row r="245" ht="15.75" customHeight="1">
      <c r="B245" s="3">
        <f>IFERROR(__xludf.DUMMYFUNCTION("""COMPUTED_VALUE"""),43630.64583333333)</f>
        <v>43630.64583</v>
      </c>
      <c r="C245" s="2">
        <f>IFERROR(__xludf.DUMMYFUNCTION("""COMPUTED_VALUE"""),429.5)</f>
        <v>429.5</v>
      </c>
    </row>
    <row r="246" ht="15.75" customHeight="1">
      <c r="B246" s="3">
        <f>IFERROR(__xludf.DUMMYFUNCTION("""COMPUTED_VALUE"""),43637.64583333333)</f>
        <v>43637.64583</v>
      </c>
      <c r="C246" s="2">
        <f>IFERROR(__xludf.DUMMYFUNCTION("""COMPUTED_VALUE"""),426.35)</f>
        <v>426.35</v>
      </c>
    </row>
    <row r="247" ht="15.75" customHeight="1">
      <c r="B247" s="3">
        <f>IFERROR(__xludf.DUMMYFUNCTION("""COMPUTED_VALUE"""),43644.64583333333)</f>
        <v>43644.64583</v>
      </c>
      <c r="C247" s="2">
        <f>IFERROR(__xludf.DUMMYFUNCTION("""COMPUTED_VALUE"""),418.3)</f>
        <v>418.3</v>
      </c>
    </row>
    <row r="248" ht="15.75" customHeight="1">
      <c r="B248" s="3">
        <f>IFERROR(__xludf.DUMMYFUNCTION("""COMPUTED_VALUE"""),43651.64583333333)</f>
        <v>43651.64583</v>
      </c>
      <c r="C248" s="2">
        <f>IFERROR(__xludf.DUMMYFUNCTION("""COMPUTED_VALUE"""),419.5)</f>
        <v>419.5</v>
      </c>
    </row>
    <row r="249" ht="15.75" customHeight="1">
      <c r="B249" s="3">
        <f>IFERROR(__xludf.DUMMYFUNCTION("""COMPUTED_VALUE"""),43658.64583333333)</f>
        <v>43658.64583</v>
      </c>
      <c r="C249" s="2">
        <f>IFERROR(__xludf.DUMMYFUNCTION("""COMPUTED_VALUE"""),419.4)</f>
        <v>419.4</v>
      </c>
    </row>
    <row r="250" ht="15.75" customHeight="1">
      <c r="B250" s="3">
        <f>IFERROR(__xludf.DUMMYFUNCTION("""COMPUTED_VALUE"""),43665.64583333333)</f>
        <v>43665.64583</v>
      </c>
      <c r="C250" s="2">
        <f>IFERROR(__xludf.DUMMYFUNCTION("""COMPUTED_VALUE"""),421.5)</f>
        <v>421.5</v>
      </c>
    </row>
    <row r="251" ht="15.75" customHeight="1">
      <c r="B251" s="3">
        <f>IFERROR(__xludf.DUMMYFUNCTION("""COMPUTED_VALUE"""),43672.64583333333)</f>
        <v>43672.64583</v>
      </c>
      <c r="C251" s="2">
        <f>IFERROR(__xludf.DUMMYFUNCTION("""COMPUTED_VALUE"""),409.5)</f>
        <v>409.5</v>
      </c>
    </row>
    <row r="252" ht="15.75" customHeight="1">
      <c r="B252" s="3">
        <f>IFERROR(__xludf.DUMMYFUNCTION("""COMPUTED_VALUE"""),43679.64583333333)</f>
        <v>43679.64583</v>
      </c>
      <c r="C252" s="2">
        <f>IFERROR(__xludf.DUMMYFUNCTION("""COMPUTED_VALUE"""),382.8)</f>
        <v>382.8</v>
      </c>
    </row>
    <row r="253" ht="15.75" customHeight="1">
      <c r="B253" s="3">
        <f>IFERROR(__xludf.DUMMYFUNCTION("""COMPUTED_VALUE"""),43686.64583333333)</f>
        <v>43686.64583</v>
      </c>
      <c r="C253" s="2">
        <f>IFERROR(__xludf.DUMMYFUNCTION("""COMPUTED_VALUE"""),380.5)</f>
        <v>380.5</v>
      </c>
    </row>
    <row r="254" ht="15.75" customHeight="1">
      <c r="B254" s="3">
        <f>IFERROR(__xludf.DUMMYFUNCTION("""COMPUTED_VALUE"""),43693.64583333333)</f>
        <v>43693.64583</v>
      </c>
      <c r="C254" s="2">
        <f>IFERROR(__xludf.DUMMYFUNCTION("""COMPUTED_VALUE"""),379.55)</f>
        <v>379.55</v>
      </c>
    </row>
    <row r="255" ht="15.75" customHeight="1">
      <c r="B255" s="3">
        <f>IFERROR(__xludf.DUMMYFUNCTION("""COMPUTED_VALUE"""),43700.64583333333)</f>
        <v>43700.64583</v>
      </c>
      <c r="C255" s="2">
        <f>IFERROR(__xludf.DUMMYFUNCTION("""COMPUTED_VALUE"""),363.4)</f>
        <v>363.4</v>
      </c>
    </row>
    <row r="256" ht="15.75" customHeight="1">
      <c r="B256" s="3">
        <f>IFERROR(__xludf.DUMMYFUNCTION("""COMPUTED_VALUE"""),43707.64583333333)</f>
        <v>43707.64583</v>
      </c>
      <c r="C256" s="2">
        <f>IFERROR(__xludf.DUMMYFUNCTION("""COMPUTED_VALUE"""),375.0)</f>
        <v>375</v>
      </c>
    </row>
    <row r="257" ht="15.75" customHeight="1">
      <c r="B257" s="3">
        <f>IFERROR(__xludf.DUMMYFUNCTION("""COMPUTED_VALUE"""),43714.64583333333)</f>
        <v>43714.64583</v>
      </c>
      <c r="C257" s="2">
        <f>IFERROR(__xludf.DUMMYFUNCTION("""COMPUTED_VALUE"""),368.7)</f>
        <v>368.7</v>
      </c>
    </row>
    <row r="258" ht="15.75" customHeight="1">
      <c r="B258" s="3">
        <f>IFERROR(__xludf.DUMMYFUNCTION("""COMPUTED_VALUE"""),43721.64583333333)</f>
        <v>43721.64583</v>
      </c>
      <c r="C258" s="2">
        <f>IFERROR(__xludf.DUMMYFUNCTION("""COMPUTED_VALUE"""),377.0)</f>
        <v>377</v>
      </c>
    </row>
    <row r="259" ht="15.75" customHeight="1">
      <c r="B259" s="3">
        <f>IFERROR(__xludf.DUMMYFUNCTION("""COMPUTED_VALUE"""),43728.64583333333)</f>
        <v>43728.64583</v>
      </c>
      <c r="C259" s="2">
        <f>IFERROR(__xludf.DUMMYFUNCTION("""COMPUTED_VALUE"""),384.8)</f>
        <v>384.8</v>
      </c>
    </row>
    <row r="260" ht="15.75" customHeight="1">
      <c r="B260" s="3">
        <f>IFERROR(__xludf.DUMMYFUNCTION("""COMPUTED_VALUE"""),43735.64583333333)</f>
        <v>43735.64583</v>
      </c>
      <c r="C260" s="2">
        <f>IFERROR(__xludf.DUMMYFUNCTION("""COMPUTED_VALUE"""),420.6)</f>
        <v>420.6</v>
      </c>
    </row>
    <row r="261" ht="15.75" customHeight="1">
      <c r="B261" s="3">
        <f>IFERROR(__xludf.DUMMYFUNCTION("""COMPUTED_VALUE"""),43742.64583333333)</f>
        <v>43742.64583</v>
      </c>
      <c r="C261" s="2">
        <f>IFERROR(__xludf.DUMMYFUNCTION("""COMPUTED_VALUE"""),417.9)</f>
        <v>417.9</v>
      </c>
    </row>
    <row r="262" ht="15.75" customHeight="1">
      <c r="B262" s="3">
        <f>IFERROR(__xludf.DUMMYFUNCTION("""COMPUTED_VALUE"""),43749.64583333333)</f>
        <v>43749.64583</v>
      </c>
      <c r="C262" s="2">
        <f>IFERROR(__xludf.DUMMYFUNCTION("""COMPUTED_VALUE"""),410.25)</f>
        <v>410.25</v>
      </c>
    </row>
    <row r="263" ht="15.75" customHeight="1">
      <c r="B263" s="3">
        <f>IFERROR(__xludf.DUMMYFUNCTION("""COMPUTED_VALUE"""),43756.64583333333)</f>
        <v>43756.64583</v>
      </c>
      <c r="C263" s="2">
        <f>IFERROR(__xludf.DUMMYFUNCTION("""COMPUTED_VALUE"""),423.8)</f>
        <v>423.8</v>
      </c>
    </row>
    <row r="264" ht="15.75" customHeight="1">
      <c r="B264" s="3">
        <f>IFERROR(__xludf.DUMMYFUNCTION("""COMPUTED_VALUE"""),43763.79166666667)</f>
        <v>43763.79167</v>
      </c>
      <c r="C264" s="2">
        <f>IFERROR(__xludf.DUMMYFUNCTION("""COMPUTED_VALUE"""),428.85)</f>
        <v>428.85</v>
      </c>
    </row>
    <row r="265" ht="15.75" customHeight="1">
      <c r="B265" s="3">
        <f>IFERROR(__xludf.DUMMYFUNCTION("""COMPUTED_VALUE"""),43770.64583333333)</f>
        <v>43770.64583</v>
      </c>
      <c r="C265" s="2">
        <f>IFERROR(__xludf.DUMMYFUNCTION("""COMPUTED_VALUE"""),405.0)</f>
        <v>405</v>
      </c>
    </row>
    <row r="266" ht="15.75" customHeight="1">
      <c r="B266" s="3">
        <f>IFERROR(__xludf.DUMMYFUNCTION("""COMPUTED_VALUE"""),43777.64583333333)</f>
        <v>43777.64583</v>
      </c>
      <c r="C266" s="2">
        <f>IFERROR(__xludf.DUMMYFUNCTION("""COMPUTED_VALUE"""),394.95)</f>
        <v>394.95</v>
      </c>
    </row>
    <row r="267" ht="15.75" customHeight="1">
      <c r="B267" s="3">
        <f>IFERROR(__xludf.DUMMYFUNCTION("""COMPUTED_VALUE"""),43784.64583333333)</f>
        <v>43784.64583</v>
      </c>
      <c r="C267" s="2">
        <f>IFERROR(__xludf.DUMMYFUNCTION("""COMPUTED_VALUE"""),391.8)</f>
        <v>391.8</v>
      </c>
    </row>
    <row r="268" ht="15.75" customHeight="1">
      <c r="B268" s="3">
        <f>IFERROR(__xludf.DUMMYFUNCTION("""COMPUTED_VALUE"""),43791.64583333333)</f>
        <v>43791.64583</v>
      </c>
      <c r="C268" s="2">
        <f>IFERROR(__xludf.DUMMYFUNCTION("""COMPUTED_VALUE"""),377.1)</f>
        <v>377.1</v>
      </c>
    </row>
    <row r="269" ht="15.75" customHeight="1">
      <c r="B269" s="3">
        <f>IFERROR(__xludf.DUMMYFUNCTION("""COMPUTED_VALUE"""),43798.64583333333)</f>
        <v>43798.64583</v>
      </c>
      <c r="C269" s="2">
        <f>IFERROR(__xludf.DUMMYFUNCTION("""COMPUTED_VALUE"""),384.95)</f>
        <v>384.95</v>
      </c>
    </row>
    <row r="270" ht="15.75" customHeight="1">
      <c r="B270" s="3">
        <f>IFERROR(__xludf.DUMMYFUNCTION("""COMPUTED_VALUE"""),43805.64583333333)</f>
        <v>43805.64583</v>
      </c>
      <c r="C270" s="2">
        <f>IFERROR(__xludf.DUMMYFUNCTION("""COMPUTED_VALUE"""),380.0)</f>
        <v>380</v>
      </c>
    </row>
    <row r="271" ht="15.75" customHeight="1">
      <c r="B271" s="3">
        <f>IFERROR(__xludf.DUMMYFUNCTION("""COMPUTED_VALUE"""),43812.64583333333)</f>
        <v>43812.64583</v>
      </c>
      <c r="C271" s="2">
        <f>IFERROR(__xludf.DUMMYFUNCTION("""COMPUTED_VALUE"""),380.9)</f>
        <v>380.9</v>
      </c>
    </row>
    <row r="272" ht="15.75" customHeight="1">
      <c r="B272" s="3">
        <f>IFERROR(__xludf.DUMMYFUNCTION("""COMPUTED_VALUE"""),43819.64583333333)</f>
        <v>43819.64583</v>
      </c>
      <c r="C272" s="2">
        <f>IFERROR(__xludf.DUMMYFUNCTION("""COMPUTED_VALUE"""),380.45)</f>
        <v>380.45</v>
      </c>
    </row>
    <row r="273" ht="15.75" customHeight="1">
      <c r="B273" s="3">
        <f>IFERROR(__xludf.DUMMYFUNCTION("""COMPUTED_VALUE"""),43826.64583333333)</f>
        <v>43826.64583</v>
      </c>
      <c r="C273" s="2">
        <f>IFERROR(__xludf.DUMMYFUNCTION("""COMPUTED_VALUE"""),374.2)</f>
        <v>374.2</v>
      </c>
    </row>
    <row r="274" ht="15.75" customHeight="1"/>
    <row r="275" ht="15.75" customHeight="1"/>
    <row r="276" ht="15.75" customHeight="1">
      <c r="B276" s="2" t="str">
        <f>IFERROR(__xludf.DUMMYFUNCTION("GOOGLEFINANCE(""NSE:ADANIPORTS"", ""high"",DATE(2020,1,1),DATE(2021,1,1),""weekly"")"),"Date")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IFERROR(__xludf.DUMMYFUNCTION("""COMPUTED_VALUE"""),43833.64583333333)</f>
        <v>43833.64583</v>
      </c>
      <c r="C277" s="2">
        <f>IFERROR(__xludf.DUMMYFUNCTION("""COMPUTED_VALUE"""),384.7)</f>
        <v>384.7</v>
      </c>
    </row>
    <row r="278" ht="15.75" customHeight="1">
      <c r="B278" s="3">
        <f>IFERROR(__xludf.DUMMYFUNCTION("""COMPUTED_VALUE"""),43840.64583333333)</f>
        <v>43840.64583</v>
      </c>
      <c r="C278" s="2">
        <f>IFERROR(__xludf.DUMMYFUNCTION("""COMPUTED_VALUE"""),394.3)</f>
        <v>394.3</v>
      </c>
    </row>
    <row r="279" ht="15.75" customHeight="1">
      <c r="B279" s="3">
        <f>IFERROR(__xludf.DUMMYFUNCTION("""COMPUTED_VALUE"""),43847.64583333333)</f>
        <v>43847.64583</v>
      </c>
      <c r="C279" s="2">
        <f>IFERROR(__xludf.DUMMYFUNCTION("""COMPUTED_VALUE"""),394.6)</f>
        <v>394.6</v>
      </c>
    </row>
    <row r="280" ht="15.75" customHeight="1">
      <c r="B280" s="3">
        <f>IFERROR(__xludf.DUMMYFUNCTION("""COMPUTED_VALUE"""),43854.64583333333)</f>
        <v>43854.64583</v>
      </c>
      <c r="C280" s="2">
        <f>IFERROR(__xludf.DUMMYFUNCTION("""COMPUTED_VALUE"""),389.2)</f>
        <v>389.2</v>
      </c>
    </row>
    <row r="281" ht="15.75" customHeight="1">
      <c r="B281" s="3">
        <f>IFERROR(__xludf.DUMMYFUNCTION("""COMPUTED_VALUE"""),43862.70833333333)</f>
        <v>43862.70833</v>
      </c>
      <c r="C281" s="2">
        <f>IFERROR(__xludf.DUMMYFUNCTION("""COMPUTED_VALUE"""),387.75)</f>
        <v>387.75</v>
      </c>
    </row>
    <row r="282" ht="15.75" customHeight="1">
      <c r="B282" s="3">
        <f>IFERROR(__xludf.DUMMYFUNCTION("""COMPUTED_VALUE"""),43868.64583333333)</f>
        <v>43868.64583</v>
      </c>
      <c r="C282" s="2">
        <f>IFERROR(__xludf.DUMMYFUNCTION("""COMPUTED_VALUE"""),376.0)</f>
        <v>376</v>
      </c>
    </row>
    <row r="283" ht="15.75" customHeight="1">
      <c r="B283" s="3">
        <f>IFERROR(__xludf.DUMMYFUNCTION("""COMPUTED_VALUE"""),43875.64583333333)</f>
        <v>43875.64583</v>
      </c>
      <c r="C283" s="2">
        <f>IFERROR(__xludf.DUMMYFUNCTION("""COMPUTED_VALUE"""),378.9)</f>
        <v>378.9</v>
      </c>
    </row>
    <row r="284" ht="15.75" customHeight="1">
      <c r="B284" s="3">
        <f>IFERROR(__xludf.DUMMYFUNCTION("""COMPUTED_VALUE"""),43881.64583333333)</f>
        <v>43881.64583</v>
      </c>
      <c r="C284" s="2">
        <f>IFERROR(__xludf.DUMMYFUNCTION("""COMPUTED_VALUE"""),374.5)</f>
        <v>374.5</v>
      </c>
    </row>
    <row r="285" ht="15.75" customHeight="1">
      <c r="B285" s="3">
        <f>IFERROR(__xludf.DUMMYFUNCTION("""COMPUTED_VALUE"""),43889.64583333333)</f>
        <v>43889.64583</v>
      </c>
      <c r="C285" s="2">
        <f>IFERROR(__xludf.DUMMYFUNCTION("""COMPUTED_VALUE"""),371.4)</f>
        <v>371.4</v>
      </c>
    </row>
    <row r="286" ht="15.75" customHeight="1">
      <c r="B286" s="3">
        <f>IFERROR(__xludf.DUMMYFUNCTION("""COMPUTED_VALUE"""),43896.64583333333)</f>
        <v>43896.64583</v>
      </c>
      <c r="C286" s="2">
        <f>IFERROR(__xludf.DUMMYFUNCTION("""COMPUTED_VALUE"""),351.9)</f>
        <v>351.9</v>
      </c>
    </row>
    <row r="287" ht="15.75" customHeight="1">
      <c r="B287" s="3">
        <f>IFERROR(__xludf.DUMMYFUNCTION("""COMPUTED_VALUE"""),43903.64583333333)</f>
        <v>43903.64583</v>
      </c>
      <c r="C287" s="2">
        <f>IFERROR(__xludf.DUMMYFUNCTION("""COMPUTED_VALUE"""),334.7)</f>
        <v>334.7</v>
      </c>
    </row>
    <row r="288" ht="15.75" customHeight="1">
      <c r="B288" s="3">
        <f>IFERROR(__xludf.DUMMYFUNCTION("""COMPUTED_VALUE"""),43910.64583333333)</f>
        <v>43910.64583</v>
      </c>
      <c r="C288" s="2">
        <f>IFERROR(__xludf.DUMMYFUNCTION("""COMPUTED_VALUE"""),283.35)</f>
        <v>283.35</v>
      </c>
    </row>
    <row r="289" ht="15.75" customHeight="1">
      <c r="B289" s="3">
        <f>IFERROR(__xludf.DUMMYFUNCTION("""COMPUTED_VALUE"""),43917.64583333333)</f>
        <v>43917.64583</v>
      </c>
      <c r="C289" s="2">
        <f>IFERROR(__xludf.DUMMYFUNCTION("""COMPUTED_VALUE"""),266.5)</f>
        <v>266.5</v>
      </c>
    </row>
    <row r="290" ht="15.75" customHeight="1">
      <c r="B290" s="3">
        <f>IFERROR(__xludf.DUMMYFUNCTION("""COMPUTED_VALUE"""),43924.64583333333)</f>
        <v>43924.64583</v>
      </c>
      <c r="C290" s="2">
        <f>IFERROR(__xludf.DUMMYFUNCTION("""COMPUTED_VALUE"""),259.6)</f>
        <v>259.6</v>
      </c>
    </row>
    <row r="291" ht="15.75" customHeight="1">
      <c r="B291" s="3">
        <f>IFERROR(__xludf.DUMMYFUNCTION("""COMPUTED_VALUE"""),43930.64583333333)</f>
        <v>43930.64583</v>
      </c>
      <c r="C291" s="2">
        <f>IFERROR(__xludf.DUMMYFUNCTION("""COMPUTED_VALUE"""),255.85)</f>
        <v>255.85</v>
      </c>
    </row>
    <row r="292" ht="15.75" customHeight="1">
      <c r="B292" s="3">
        <f>IFERROR(__xludf.DUMMYFUNCTION("""COMPUTED_VALUE"""),43938.64583333333)</f>
        <v>43938.64583</v>
      </c>
      <c r="C292" s="2">
        <f>IFERROR(__xludf.DUMMYFUNCTION("""COMPUTED_VALUE"""),279.4)</f>
        <v>279.4</v>
      </c>
    </row>
    <row r="293" ht="15.75" customHeight="1">
      <c r="B293" s="3">
        <f>IFERROR(__xludf.DUMMYFUNCTION("""COMPUTED_VALUE"""),43945.64583333333)</f>
        <v>43945.64583</v>
      </c>
      <c r="C293" s="2">
        <f>IFERROR(__xludf.DUMMYFUNCTION("""COMPUTED_VALUE"""),279.7)</f>
        <v>279.7</v>
      </c>
    </row>
    <row r="294" ht="15.75" customHeight="1">
      <c r="B294" s="3">
        <f>IFERROR(__xludf.DUMMYFUNCTION("""COMPUTED_VALUE"""),43951.64583333333)</f>
        <v>43951.64583</v>
      </c>
      <c r="C294" s="2">
        <f>IFERROR(__xludf.DUMMYFUNCTION("""COMPUTED_VALUE"""),296.0)</f>
        <v>296</v>
      </c>
    </row>
    <row r="295" ht="15.75" customHeight="1">
      <c r="B295" s="3">
        <f>IFERROR(__xludf.DUMMYFUNCTION("""COMPUTED_VALUE"""),43959.64583333333)</f>
        <v>43959.64583</v>
      </c>
      <c r="C295" s="2">
        <f>IFERROR(__xludf.DUMMYFUNCTION("""COMPUTED_VALUE"""),286.85)</f>
        <v>286.85</v>
      </c>
    </row>
    <row r="296" ht="15.75" customHeight="1">
      <c r="B296" s="3">
        <f>IFERROR(__xludf.DUMMYFUNCTION("""COMPUTED_VALUE"""),43966.64583333333)</f>
        <v>43966.64583</v>
      </c>
      <c r="C296" s="2">
        <f>IFERROR(__xludf.DUMMYFUNCTION("""COMPUTED_VALUE"""),312.0)</f>
        <v>312</v>
      </c>
    </row>
    <row r="297" ht="15.75" customHeight="1">
      <c r="B297" s="3">
        <f>IFERROR(__xludf.DUMMYFUNCTION("""COMPUTED_VALUE"""),43973.64583333333)</f>
        <v>43973.64583</v>
      </c>
      <c r="C297" s="2">
        <f>IFERROR(__xludf.DUMMYFUNCTION("""COMPUTED_VALUE"""),324.8)</f>
        <v>324.8</v>
      </c>
    </row>
    <row r="298" ht="15.75" customHeight="1">
      <c r="B298" s="3">
        <f>IFERROR(__xludf.DUMMYFUNCTION("""COMPUTED_VALUE"""),43980.64583333333)</f>
        <v>43980.64583</v>
      </c>
      <c r="C298" s="2">
        <f>IFERROR(__xludf.DUMMYFUNCTION("""COMPUTED_VALUE"""),334.15)</f>
        <v>334.15</v>
      </c>
    </row>
    <row r="299" ht="15.75" customHeight="1">
      <c r="B299" s="3">
        <f>IFERROR(__xludf.DUMMYFUNCTION("""COMPUTED_VALUE"""),43987.64583333333)</f>
        <v>43987.64583</v>
      </c>
      <c r="C299" s="2">
        <f>IFERROR(__xludf.DUMMYFUNCTION("""COMPUTED_VALUE"""),347.15)</f>
        <v>347.15</v>
      </c>
    </row>
    <row r="300" ht="15.75" customHeight="1">
      <c r="B300" s="3">
        <f>IFERROR(__xludf.DUMMYFUNCTION("""COMPUTED_VALUE"""),43994.64583333333)</f>
        <v>43994.64583</v>
      </c>
      <c r="C300" s="2">
        <f>IFERROR(__xludf.DUMMYFUNCTION("""COMPUTED_VALUE"""),351.35)</f>
        <v>351.35</v>
      </c>
    </row>
    <row r="301" ht="15.75" customHeight="1">
      <c r="B301" s="3">
        <f>IFERROR(__xludf.DUMMYFUNCTION("""COMPUTED_VALUE"""),44001.64583333333)</f>
        <v>44001.64583</v>
      </c>
      <c r="C301" s="2">
        <f>IFERROR(__xludf.DUMMYFUNCTION("""COMPUTED_VALUE"""),354.9)</f>
        <v>354.9</v>
      </c>
    </row>
    <row r="302" ht="15.75" customHeight="1">
      <c r="B302" s="3">
        <f>IFERROR(__xludf.DUMMYFUNCTION("""COMPUTED_VALUE"""),44008.64583333333)</f>
        <v>44008.64583</v>
      </c>
      <c r="C302" s="2">
        <f>IFERROR(__xludf.DUMMYFUNCTION("""COMPUTED_VALUE"""),360.0)</f>
        <v>360</v>
      </c>
    </row>
    <row r="303" ht="15.75" customHeight="1">
      <c r="B303" s="3">
        <f>IFERROR(__xludf.DUMMYFUNCTION("""COMPUTED_VALUE"""),44015.64583333333)</f>
        <v>44015.64583</v>
      </c>
      <c r="C303" s="2">
        <f>IFERROR(__xludf.DUMMYFUNCTION("""COMPUTED_VALUE"""),366.8)</f>
        <v>366.8</v>
      </c>
    </row>
    <row r="304" ht="15.75" customHeight="1">
      <c r="B304" s="3">
        <f>IFERROR(__xludf.DUMMYFUNCTION("""COMPUTED_VALUE"""),44022.64583333333)</f>
        <v>44022.64583</v>
      </c>
      <c r="C304" s="2">
        <f>IFERROR(__xludf.DUMMYFUNCTION("""COMPUTED_VALUE"""),366.0)</f>
        <v>366</v>
      </c>
    </row>
    <row r="305" ht="15.75" customHeight="1">
      <c r="B305" s="3">
        <f>IFERROR(__xludf.DUMMYFUNCTION("""COMPUTED_VALUE"""),44029.64583333333)</f>
        <v>44029.64583</v>
      </c>
      <c r="C305" s="2">
        <f>IFERROR(__xludf.DUMMYFUNCTION("""COMPUTED_VALUE"""),339.65)</f>
        <v>339.65</v>
      </c>
    </row>
    <row r="306" ht="15.75" customHeight="1">
      <c r="B306" s="3">
        <f>IFERROR(__xludf.DUMMYFUNCTION("""COMPUTED_VALUE"""),44036.64583333333)</f>
        <v>44036.64583</v>
      </c>
      <c r="C306" s="2">
        <f>IFERROR(__xludf.DUMMYFUNCTION("""COMPUTED_VALUE"""),325.35)</f>
        <v>325.35</v>
      </c>
    </row>
    <row r="307" ht="15.75" customHeight="1">
      <c r="B307" s="3">
        <f>IFERROR(__xludf.DUMMYFUNCTION("""COMPUTED_VALUE"""),44043.64583333333)</f>
        <v>44043.64583</v>
      </c>
      <c r="C307" s="2">
        <f>IFERROR(__xludf.DUMMYFUNCTION("""COMPUTED_VALUE"""),323.0)</f>
        <v>323</v>
      </c>
    </row>
    <row r="308" ht="15.75" customHeight="1">
      <c r="B308" s="3">
        <f>IFERROR(__xludf.DUMMYFUNCTION("""COMPUTED_VALUE"""),44050.64583333333)</f>
        <v>44050.64583</v>
      </c>
      <c r="C308" s="2">
        <f>IFERROR(__xludf.DUMMYFUNCTION("""COMPUTED_VALUE"""),330.9)</f>
        <v>330.9</v>
      </c>
    </row>
    <row r="309" ht="15.75" customHeight="1">
      <c r="B309" s="3">
        <f>IFERROR(__xludf.DUMMYFUNCTION("""COMPUTED_VALUE"""),44057.64583333333)</f>
        <v>44057.64583</v>
      </c>
      <c r="C309" s="2">
        <f>IFERROR(__xludf.DUMMYFUNCTION("""COMPUTED_VALUE"""),353.75)</f>
        <v>353.75</v>
      </c>
    </row>
    <row r="310" ht="15.75" customHeight="1">
      <c r="B310" s="3">
        <f>IFERROR(__xludf.DUMMYFUNCTION("""COMPUTED_VALUE"""),44064.64583333333)</f>
        <v>44064.64583</v>
      </c>
      <c r="C310" s="2">
        <f>IFERROR(__xludf.DUMMYFUNCTION("""COMPUTED_VALUE"""),366.2)</f>
        <v>366.2</v>
      </c>
    </row>
    <row r="311" ht="15.75" customHeight="1">
      <c r="B311" s="3">
        <f>IFERROR(__xludf.DUMMYFUNCTION("""COMPUTED_VALUE"""),44071.64583333333)</f>
        <v>44071.64583</v>
      </c>
      <c r="C311" s="2">
        <f>IFERROR(__xludf.DUMMYFUNCTION("""COMPUTED_VALUE"""),366.9)</f>
        <v>366.9</v>
      </c>
    </row>
    <row r="312" ht="15.75" customHeight="1">
      <c r="B312" s="3">
        <f>IFERROR(__xludf.DUMMYFUNCTION("""COMPUTED_VALUE"""),44078.64583333333)</f>
        <v>44078.64583</v>
      </c>
      <c r="C312" s="2">
        <f>IFERROR(__xludf.DUMMYFUNCTION("""COMPUTED_VALUE"""),378.35)</f>
        <v>378.35</v>
      </c>
    </row>
    <row r="313" ht="15.75" customHeight="1">
      <c r="B313" s="3">
        <f>IFERROR(__xludf.DUMMYFUNCTION("""COMPUTED_VALUE"""),44085.64583333333)</f>
        <v>44085.64583</v>
      </c>
      <c r="C313" s="2">
        <f>IFERROR(__xludf.DUMMYFUNCTION("""COMPUTED_VALUE"""),357.95)</f>
        <v>357.95</v>
      </c>
    </row>
    <row r="314" ht="15.75" customHeight="1">
      <c r="B314" s="3">
        <f>IFERROR(__xludf.DUMMYFUNCTION("""COMPUTED_VALUE"""),44092.64583333333)</f>
        <v>44092.64583</v>
      </c>
      <c r="C314" s="2">
        <f>IFERROR(__xludf.DUMMYFUNCTION("""COMPUTED_VALUE"""),359.8)</f>
        <v>359.8</v>
      </c>
    </row>
    <row r="315" ht="15.75" customHeight="1">
      <c r="B315" s="3">
        <f>IFERROR(__xludf.DUMMYFUNCTION("""COMPUTED_VALUE"""),44099.64583333333)</f>
        <v>44099.64583</v>
      </c>
      <c r="C315" s="2">
        <f>IFERROR(__xludf.DUMMYFUNCTION("""COMPUTED_VALUE"""),359.0)</f>
        <v>359</v>
      </c>
    </row>
    <row r="316" ht="15.75" customHeight="1">
      <c r="B316" s="3">
        <f>IFERROR(__xludf.DUMMYFUNCTION("""COMPUTED_VALUE"""),44105.64583333333)</f>
        <v>44105.64583</v>
      </c>
      <c r="C316" s="2">
        <f>IFERROR(__xludf.DUMMYFUNCTION("""COMPUTED_VALUE"""),354.9)</f>
        <v>354.9</v>
      </c>
    </row>
    <row r="317" ht="15.75" customHeight="1">
      <c r="B317" s="3">
        <f>IFERROR(__xludf.DUMMYFUNCTION("""COMPUTED_VALUE"""),44113.64583333333)</f>
        <v>44113.64583</v>
      </c>
      <c r="C317" s="2">
        <f>IFERROR(__xludf.DUMMYFUNCTION("""COMPUTED_VALUE"""),368.75)</f>
        <v>368.75</v>
      </c>
    </row>
    <row r="318" ht="15.75" customHeight="1">
      <c r="B318" s="3">
        <f>IFERROR(__xludf.DUMMYFUNCTION("""COMPUTED_VALUE"""),44120.64583333333)</f>
        <v>44120.64583</v>
      </c>
      <c r="C318" s="2">
        <f>IFERROR(__xludf.DUMMYFUNCTION("""COMPUTED_VALUE"""),362.85)</f>
        <v>362.85</v>
      </c>
    </row>
    <row r="319" ht="15.75" customHeight="1">
      <c r="B319" s="3">
        <f>IFERROR(__xludf.DUMMYFUNCTION("""COMPUTED_VALUE"""),44127.64583333333)</f>
        <v>44127.64583</v>
      </c>
      <c r="C319" s="2">
        <f>IFERROR(__xludf.DUMMYFUNCTION("""COMPUTED_VALUE"""),369.0)</f>
        <v>369</v>
      </c>
    </row>
    <row r="320" ht="15.75" customHeight="1">
      <c r="B320" s="3">
        <f>IFERROR(__xludf.DUMMYFUNCTION("""COMPUTED_VALUE"""),44134.64583333333)</f>
        <v>44134.64583</v>
      </c>
      <c r="C320" s="2">
        <f>IFERROR(__xludf.DUMMYFUNCTION("""COMPUTED_VALUE"""),373.9)</f>
        <v>373.9</v>
      </c>
    </row>
    <row r="321" ht="15.75" customHeight="1">
      <c r="B321" s="3">
        <f>IFERROR(__xludf.DUMMYFUNCTION("""COMPUTED_VALUE"""),44141.64583333333)</f>
        <v>44141.64583</v>
      </c>
      <c r="C321" s="2">
        <f>IFERROR(__xludf.DUMMYFUNCTION("""COMPUTED_VALUE"""),375.9)</f>
        <v>375.9</v>
      </c>
    </row>
    <row r="322" ht="15.75" customHeight="1">
      <c r="B322" s="3">
        <f>IFERROR(__xludf.DUMMYFUNCTION("""COMPUTED_VALUE"""),44155.64583333333)</f>
        <v>44155.64583</v>
      </c>
      <c r="C322" s="2">
        <f>IFERROR(__xludf.DUMMYFUNCTION("""COMPUTED_VALUE"""),395.2)</f>
        <v>395.2</v>
      </c>
    </row>
    <row r="323" ht="15.75" customHeight="1">
      <c r="B323" s="3">
        <f>IFERROR(__xludf.DUMMYFUNCTION("""COMPUTED_VALUE"""),44162.64583333333)</f>
        <v>44162.64583</v>
      </c>
      <c r="C323" s="2">
        <f>IFERROR(__xludf.DUMMYFUNCTION("""COMPUTED_VALUE"""),416.0)</f>
        <v>416</v>
      </c>
    </row>
    <row r="324" ht="15.75" customHeight="1">
      <c r="B324" s="3">
        <f>IFERROR(__xludf.DUMMYFUNCTION("""COMPUTED_VALUE"""),44169.64583333333)</f>
        <v>44169.64583</v>
      </c>
      <c r="C324" s="2">
        <f>IFERROR(__xludf.DUMMYFUNCTION("""COMPUTED_VALUE"""),458.3)</f>
        <v>458.3</v>
      </c>
    </row>
    <row r="325" ht="15.75" customHeight="1">
      <c r="B325" s="3">
        <f>IFERROR(__xludf.DUMMYFUNCTION("""COMPUTED_VALUE"""),44176.64583333333)</f>
        <v>44176.64583</v>
      </c>
      <c r="C325" s="2">
        <f>IFERROR(__xludf.DUMMYFUNCTION("""COMPUTED_VALUE"""),475.0)</f>
        <v>475</v>
      </c>
    </row>
    <row r="326" ht="15.75" customHeight="1">
      <c r="B326" s="3">
        <f>IFERROR(__xludf.DUMMYFUNCTION("""COMPUTED_VALUE"""),44183.64583333333)</f>
        <v>44183.64583</v>
      </c>
      <c r="C326" s="2">
        <f>IFERROR(__xludf.DUMMYFUNCTION("""COMPUTED_VALUE"""),480.45)</f>
        <v>480.45</v>
      </c>
    </row>
    <row r="327" ht="15.75" customHeight="1">
      <c r="B327" s="3">
        <f>IFERROR(__xludf.DUMMYFUNCTION("""COMPUTED_VALUE"""),44189.64583333333)</f>
        <v>44189.64583</v>
      </c>
      <c r="C327" s="2">
        <f>IFERROR(__xludf.DUMMYFUNCTION("""COMPUTED_VALUE"""),482.9)</f>
        <v>482.9</v>
      </c>
    </row>
    <row r="328" ht="15.75" customHeight="1">
      <c r="B328" s="3">
        <f>IFERROR(__xludf.DUMMYFUNCTION("""COMPUTED_VALUE"""),44197.64583333333)</f>
        <v>44197.64583</v>
      </c>
      <c r="C328" s="2">
        <f>IFERROR(__xludf.DUMMYFUNCTION("""COMPUTED_VALUE"""),508.0)</f>
        <v>508</v>
      </c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IFERROR(__xludf.DUMMYFUNCTION("GOOGLEFINANCE(""NSE:BOSCHLTD"", ""high"",DATE(2015,1,1),DATE(2016,1,1),""weekly"")"),"Date")</f>
        <v>Date</v>
      </c>
      <c r="C1" s="2" t="str">
        <f>IFERROR(__xludf.DUMMYFUNCTION("""COMPUTED_VALUE"""),"High")</f>
        <v>High</v>
      </c>
    </row>
    <row r="2">
      <c r="A2" s="2" t="s">
        <v>14</v>
      </c>
      <c r="B2" s="3">
        <f>IFERROR(__xludf.DUMMYFUNCTION("""COMPUTED_VALUE"""),42006.64583333333)</f>
        <v>42006.64583</v>
      </c>
      <c r="C2" s="2">
        <f>IFERROR(__xludf.DUMMYFUNCTION("""COMPUTED_VALUE"""),19815.0)</f>
        <v>19815</v>
      </c>
    </row>
    <row r="3">
      <c r="A3" s="2" t="s">
        <v>15</v>
      </c>
      <c r="B3" s="3">
        <f>IFERROR(__xludf.DUMMYFUNCTION("""COMPUTED_VALUE"""),42013.64583333333)</f>
        <v>42013.64583</v>
      </c>
      <c r="C3" s="2">
        <f>IFERROR(__xludf.DUMMYFUNCTION("""COMPUTED_VALUE"""),19862.95)</f>
        <v>19862.95</v>
      </c>
    </row>
    <row r="4">
      <c r="A4" s="2" t="s">
        <v>16</v>
      </c>
      <c r="B4" s="3">
        <f>IFERROR(__xludf.DUMMYFUNCTION("""COMPUTED_VALUE"""),42020.64583333333)</f>
        <v>42020.64583</v>
      </c>
      <c r="C4" s="2">
        <f>IFERROR(__xludf.DUMMYFUNCTION("""COMPUTED_VALUE"""),21684.0)</f>
        <v>21684</v>
      </c>
    </row>
    <row r="5">
      <c r="B5" s="3">
        <f>IFERROR(__xludf.DUMMYFUNCTION("""COMPUTED_VALUE"""),42027.64583333333)</f>
        <v>42027.64583</v>
      </c>
      <c r="C5" s="2">
        <f>IFERROR(__xludf.DUMMYFUNCTION("""COMPUTED_VALUE"""),21998.7)</f>
        <v>21998.7</v>
      </c>
    </row>
    <row r="6">
      <c r="B6" s="3">
        <f>IFERROR(__xludf.DUMMYFUNCTION("""COMPUTED_VALUE"""),42034.64583333333)</f>
        <v>42034.64583</v>
      </c>
      <c r="C6" s="2">
        <f>IFERROR(__xludf.DUMMYFUNCTION("""COMPUTED_VALUE"""),23989.0)</f>
        <v>23989</v>
      </c>
    </row>
    <row r="7">
      <c r="B7" s="3">
        <f>IFERROR(__xludf.DUMMYFUNCTION("""COMPUTED_VALUE"""),42041.64583333333)</f>
        <v>42041.64583</v>
      </c>
      <c r="C7" s="2">
        <f>IFERROR(__xludf.DUMMYFUNCTION("""COMPUTED_VALUE"""),25899.8)</f>
        <v>25899.8</v>
      </c>
    </row>
    <row r="8">
      <c r="B8" s="3">
        <f>IFERROR(__xludf.DUMMYFUNCTION("""COMPUTED_VALUE"""),42048.64583333333)</f>
        <v>42048.64583</v>
      </c>
      <c r="C8" s="2">
        <f>IFERROR(__xludf.DUMMYFUNCTION("""COMPUTED_VALUE"""),26599.2)</f>
        <v>26599.2</v>
      </c>
    </row>
    <row r="9">
      <c r="B9" s="3">
        <f>IFERROR(__xludf.DUMMYFUNCTION("""COMPUTED_VALUE"""),42055.64583333333)</f>
        <v>42055.64583</v>
      </c>
      <c r="C9" s="2">
        <f>IFERROR(__xludf.DUMMYFUNCTION("""COMPUTED_VALUE"""),27398.9)</f>
        <v>27398.9</v>
      </c>
    </row>
    <row r="10">
      <c r="B10" s="3">
        <f>IFERROR(__xludf.DUMMYFUNCTION("""COMPUTED_VALUE"""),42068.64583333333)</f>
        <v>42068.64583</v>
      </c>
      <c r="C10" s="2">
        <f>IFERROR(__xludf.DUMMYFUNCTION("""COMPUTED_VALUE"""),26900.0)</f>
        <v>26900</v>
      </c>
    </row>
    <row r="11">
      <c r="B11" s="3">
        <f>IFERROR(__xludf.DUMMYFUNCTION("""COMPUTED_VALUE"""),42076.64583333333)</f>
        <v>42076.64583</v>
      </c>
      <c r="C11" s="2">
        <f>IFERROR(__xludf.DUMMYFUNCTION("""COMPUTED_VALUE"""),27548.05)</f>
        <v>27548.05</v>
      </c>
    </row>
    <row r="12">
      <c r="B12" s="3">
        <f>IFERROR(__xludf.DUMMYFUNCTION("""COMPUTED_VALUE"""),42083.64583333333)</f>
        <v>42083.64583</v>
      </c>
      <c r="C12" s="2">
        <f>IFERROR(__xludf.DUMMYFUNCTION("""COMPUTED_VALUE"""),27990.0)</f>
        <v>27990</v>
      </c>
    </row>
    <row r="13">
      <c r="B13" s="3">
        <f>IFERROR(__xludf.DUMMYFUNCTION("""COMPUTED_VALUE"""),42090.64583333333)</f>
        <v>42090.64583</v>
      </c>
      <c r="C13" s="2">
        <f>IFERROR(__xludf.DUMMYFUNCTION("""COMPUTED_VALUE"""),27649.95)</f>
        <v>27649.95</v>
      </c>
    </row>
    <row r="14">
      <c r="B14" s="3">
        <f>IFERROR(__xludf.DUMMYFUNCTION("""COMPUTED_VALUE"""),42095.64583333333)</f>
        <v>42095.64583</v>
      </c>
      <c r="C14" s="2">
        <f>IFERROR(__xludf.DUMMYFUNCTION("""COMPUTED_VALUE"""),25898.0)</f>
        <v>25898</v>
      </c>
    </row>
    <row r="15">
      <c r="B15" s="3">
        <f>IFERROR(__xludf.DUMMYFUNCTION("""COMPUTED_VALUE"""),42104.64583333333)</f>
        <v>42104.64583</v>
      </c>
      <c r="C15" s="2">
        <f>IFERROR(__xludf.DUMMYFUNCTION("""COMPUTED_VALUE"""),26159.95)</f>
        <v>26159.95</v>
      </c>
    </row>
    <row r="16">
      <c r="B16" s="3">
        <f>IFERROR(__xludf.DUMMYFUNCTION("""COMPUTED_VALUE"""),42111.64583333333)</f>
        <v>42111.64583</v>
      </c>
      <c r="C16" s="2">
        <f>IFERROR(__xludf.DUMMYFUNCTION("""COMPUTED_VALUE"""),26796.95)</f>
        <v>26796.95</v>
      </c>
    </row>
    <row r="17">
      <c r="B17" s="3">
        <f>IFERROR(__xludf.DUMMYFUNCTION("""COMPUTED_VALUE"""),42118.64583333333)</f>
        <v>42118.64583</v>
      </c>
      <c r="C17" s="2">
        <f>IFERROR(__xludf.DUMMYFUNCTION("""COMPUTED_VALUE"""),25784.9)</f>
        <v>25784.9</v>
      </c>
    </row>
    <row r="18">
      <c r="B18" s="3">
        <f>IFERROR(__xludf.DUMMYFUNCTION("""COMPUTED_VALUE"""),42124.64583333333)</f>
        <v>42124.64583</v>
      </c>
      <c r="C18" s="2">
        <f>IFERROR(__xludf.DUMMYFUNCTION("""COMPUTED_VALUE"""),22850.0)</f>
        <v>22850</v>
      </c>
    </row>
    <row r="19">
      <c r="B19" s="3">
        <f>IFERROR(__xludf.DUMMYFUNCTION("""COMPUTED_VALUE"""),42132.64583333333)</f>
        <v>42132.64583</v>
      </c>
      <c r="C19" s="2">
        <f>IFERROR(__xludf.DUMMYFUNCTION("""COMPUTED_VALUE"""),23070.0)</f>
        <v>23070</v>
      </c>
    </row>
    <row r="20">
      <c r="B20" s="3">
        <f>IFERROR(__xludf.DUMMYFUNCTION("""COMPUTED_VALUE"""),42139.64583333333)</f>
        <v>42139.64583</v>
      </c>
      <c r="C20" s="2">
        <f>IFERROR(__xludf.DUMMYFUNCTION("""COMPUTED_VALUE"""),23144.0)</f>
        <v>23144</v>
      </c>
    </row>
    <row r="21" ht="15.75" customHeight="1">
      <c r="B21" s="3">
        <f>IFERROR(__xludf.DUMMYFUNCTION("""COMPUTED_VALUE"""),42146.64583333333)</f>
        <v>42146.64583</v>
      </c>
      <c r="C21" s="2">
        <f>IFERROR(__xludf.DUMMYFUNCTION("""COMPUTED_VALUE"""),23550.0)</f>
        <v>23550</v>
      </c>
    </row>
    <row r="22" ht="15.75" customHeight="1">
      <c r="B22" s="3">
        <f>IFERROR(__xludf.DUMMYFUNCTION("""COMPUTED_VALUE"""),42153.64583333333)</f>
        <v>42153.64583</v>
      </c>
      <c r="C22" s="2">
        <f>IFERROR(__xludf.DUMMYFUNCTION("""COMPUTED_VALUE"""),23900.0)</f>
        <v>23900</v>
      </c>
    </row>
    <row r="23" ht="15.75" customHeight="1">
      <c r="B23" s="3">
        <f>IFERROR(__xludf.DUMMYFUNCTION("""COMPUTED_VALUE"""),42160.64583333333)</f>
        <v>42160.64583</v>
      </c>
      <c r="C23" s="2">
        <f>IFERROR(__xludf.DUMMYFUNCTION("""COMPUTED_VALUE"""),23860.0)</f>
        <v>23860</v>
      </c>
    </row>
    <row r="24" ht="15.75" customHeight="1">
      <c r="B24" s="3">
        <f>IFERROR(__xludf.DUMMYFUNCTION("""COMPUTED_VALUE"""),42167.64583333333)</f>
        <v>42167.64583</v>
      </c>
      <c r="C24" s="2">
        <f>IFERROR(__xludf.DUMMYFUNCTION("""COMPUTED_VALUE"""),22001.5)</f>
        <v>22001.5</v>
      </c>
    </row>
    <row r="25" ht="15.75" customHeight="1">
      <c r="B25" s="3">
        <f>IFERROR(__xludf.DUMMYFUNCTION("""COMPUTED_VALUE"""),42174.64583333333)</f>
        <v>42174.64583</v>
      </c>
      <c r="C25" s="2">
        <f>IFERROR(__xludf.DUMMYFUNCTION("""COMPUTED_VALUE"""),21251.45)</f>
        <v>21251.45</v>
      </c>
    </row>
    <row r="26" ht="15.75" customHeight="1">
      <c r="B26" s="3">
        <f>IFERROR(__xludf.DUMMYFUNCTION("""COMPUTED_VALUE"""),42181.64583333333)</f>
        <v>42181.64583</v>
      </c>
      <c r="C26" s="2">
        <f>IFERROR(__xludf.DUMMYFUNCTION("""COMPUTED_VALUE"""),22342.0)</f>
        <v>22342</v>
      </c>
    </row>
    <row r="27" ht="15.75" customHeight="1">
      <c r="B27" s="3">
        <f>IFERROR(__xludf.DUMMYFUNCTION("""COMPUTED_VALUE"""),42188.64583333333)</f>
        <v>42188.64583</v>
      </c>
      <c r="C27" s="2">
        <f>IFERROR(__xludf.DUMMYFUNCTION("""COMPUTED_VALUE"""),23500.0)</f>
        <v>23500</v>
      </c>
    </row>
    <row r="28" ht="15.75" customHeight="1">
      <c r="B28" s="3">
        <f>IFERROR(__xludf.DUMMYFUNCTION("""COMPUTED_VALUE"""),42195.64583333333)</f>
        <v>42195.64583</v>
      </c>
      <c r="C28" s="2">
        <f>IFERROR(__xludf.DUMMYFUNCTION("""COMPUTED_VALUE"""),23295.0)</f>
        <v>23295</v>
      </c>
    </row>
    <row r="29" ht="15.75" customHeight="1">
      <c r="B29" s="3">
        <f>IFERROR(__xludf.DUMMYFUNCTION("""COMPUTED_VALUE"""),42202.64583333333)</f>
        <v>42202.64583</v>
      </c>
      <c r="C29" s="2">
        <f>IFERROR(__xludf.DUMMYFUNCTION("""COMPUTED_VALUE"""),23835.0)</f>
        <v>23835</v>
      </c>
    </row>
    <row r="30" ht="15.75" customHeight="1">
      <c r="B30" s="3">
        <f>IFERROR(__xludf.DUMMYFUNCTION("""COMPUTED_VALUE"""),42209.64583333333)</f>
        <v>42209.64583</v>
      </c>
      <c r="C30" s="2">
        <f>IFERROR(__xludf.DUMMYFUNCTION("""COMPUTED_VALUE"""),24091.95)</f>
        <v>24091.95</v>
      </c>
    </row>
    <row r="31" ht="15.75" customHeight="1">
      <c r="B31" s="3">
        <f>IFERROR(__xludf.DUMMYFUNCTION("""COMPUTED_VALUE"""),42216.64583333333)</f>
        <v>42216.64583</v>
      </c>
      <c r="C31" s="2">
        <f>IFERROR(__xludf.DUMMYFUNCTION("""COMPUTED_VALUE"""),24908.05)</f>
        <v>24908.05</v>
      </c>
    </row>
    <row r="32" ht="15.75" customHeight="1">
      <c r="B32" s="3">
        <f>IFERROR(__xludf.DUMMYFUNCTION("""COMPUTED_VALUE"""),42223.64583333333)</f>
        <v>42223.64583</v>
      </c>
      <c r="C32" s="2">
        <f>IFERROR(__xludf.DUMMYFUNCTION("""COMPUTED_VALUE"""),26699.0)</f>
        <v>26699</v>
      </c>
    </row>
    <row r="33" ht="15.75" customHeight="1">
      <c r="B33" s="3">
        <f>IFERROR(__xludf.DUMMYFUNCTION("""COMPUTED_VALUE"""),42230.64583333333)</f>
        <v>42230.64583</v>
      </c>
      <c r="C33" s="2">
        <f>IFERROR(__xludf.DUMMYFUNCTION("""COMPUTED_VALUE"""),26719.95)</f>
        <v>26719.95</v>
      </c>
    </row>
    <row r="34" ht="15.75" customHeight="1">
      <c r="B34" s="3">
        <f>IFERROR(__xludf.DUMMYFUNCTION("""COMPUTED_VALUE"""),42237.64583333333)</f>
        <v>42237.64583</v>
      </c>
      <c r="C34" s="2">
        <f>IFERROR(__xludf.DUMMYFUNCTION("""COMPUTED_VALUE"""),25689.0)</f>
        <v>25689</v>
      </c>
    </row>
    <row r="35" ht="15.75" customHeight="1">
      <c r="B35" s="3">
        <f>IFERROR(__xludf.DUMMYFUNCTION("""COMPUTED_VALUE"""),42244.64583333333)</f>
        <v>42244.64583</v>
      </c>
      <c r="C35" s="2">
        <f>IFERROR(__xludf.DUMMYFUNCTION("""COMPUTED_VALUE"""),23832.8)</f>
        <v>23832.8</v>
      </c>
    </row>
    <row r="36" ht="15.75" customHeight="1">
      <c r="B36" s="3">
        <f>IFERROR(__xludf.DUMMYFUNCTION("""COMPUTED_VALUE"""),42251.64583333333)</f>
        <v>42251.64583</v>
      </c>
      <c r="C36" s="2">
        <f>IFERROR(__xludf.DUMMYFUNCTION("""COMPUTED_VALUE"""),23830.2)</f>
        <v>23830.2</v>
      </c>
    </row>
    <row r="37" ht="15.75" customHeight="1">
      <c r="B37" s="3">
        <f>IFERROR(__xludf.DUMMYFUNCTION("""COMPUTED_VALUE"""),42258.64583333333)</f>
        <v>42258.64583</v>
      </c>
      <c r="C37" s="2">
        <f>IFERROR(__xludf.DUMMYFUNCTION("""COMPUTED_VALUE"""),22444.75)</f>
        <v>22444.75</v>
      </c>
    </row>
    <row r="38" ht="15.75" customHeight="1">
      <c r="B38" s="3">
        <f>IFERROR(__xludf.DUMMYFUNCTION("""COMPUTED_VALUE"""),42265.64583333333)</f>
        <v>42265.64583</v>
      </c>
      <c r="C38" s="2">
        <f>IFERROR(__xludf.DUMMYFUNCTION("""COMPUTED_VALUE"""),22389.25)</f>
        <v>22389.25</v>
      </c>
    </row>
    <row r="39" ht="15.75" customHeight="1">
      <c r="B39" s="3">
        <f>IFERROR(__xludf.DUMMYFUNCTION("""COMPUTED_VALUE"""),42271.64583333333)</f>
        <v>42271.64583</v>
      </c>
      <c r="C39" s="2">
        <f>IFERROR(__xludf.DUMMYFUNCTION("""COMPUTED_VALUE"""),21899.0)</f>
        <v>21899</v>
      </c>
    </row>
    <row r="40" ht="15.75" customHeight="1">
      <c r="B40" s="3">
        <f>IFERROR(__xludf.DUMMYFUNCTION("""COMPUTED_VALUE"""),42278.64583333333)</f>
        <v>42278.64583</v>
      </c>
      <c r="C40" s="2">
        <f>IFERROR(__xludf.DUMMYFUNCTION("""COMPUTED_VALUE"""),20565.9)</f>
        <v>20565.9</v>
      </c>
    </row>
    <row r="41" ht="15.75" customHeight="1">
      <c r="B41" s="3">
        <f>IFERROR(__xludf.DUMMYFUNCTION("""COMPUTED_VALUE"""),42286.64583333333)</f>
        <v>42286.64583</v>
      </c>
      <c r="C41" s="2">
        <f>IFERROR(__xludf.DUMMYFUNCTION("""COMPUTED_VALUE"""),21659.45)</f>
        <v>21659.45</v>
      </c>
    </row>
    <row r="42" ht="15.75" customHeight="1">
      <c r="B42" s="3">
        <f>IFERROR(__xludf.DUMMYFUNCTION("""COMPUTED_VALUE"""),42293.64583333333)</f>
        <v>42293.64583</v>
      </c>
      <c r="C42" s="2">
        <f>IFERROR(__xludf.DUMMYFUNCTION("""COMPUTED_VALUE"""),21350.0)</f>
        <v>21350</v>
      </c>
    </row>
    <row r="43" ht="15.75" customHeight="1">
      <c r="B43" s="3">
        <f>IFERROR(__xludf.DUMMYFUNCTION("""COMPUTED_VALUE"""),42300.64583333333)</f>
        <v>42300.64583</v>
      </c>
      <c r="C43" s="2">
        <f>IFERROR(__xludf.DUMMYFUNCTION("""COMPUTED_VALUE"""),22049.9)</f>
        <v>22049.9</v>
      </c>
    </row>
    <row r="44" ht="15.75" customHeight="1">
      <c r="B44" s="3">
        <f>IFERROR(__xludf.DUMMYFUNCTION("""COMPUTED_VALUE"""),42307.64583333333)</f>
        <v>42307.64583</v>
      </c>
      <c r="C44" s="2">
        <f>IFERROR(__xludf.DUMMYFUNCTION("""COMPUTED_VALUE"""),21968.0)</f>
        <v>21968</v>
      </c>
    </row>
    <row r="45" ht="15.75" customHeight="1">
      <c r="B45" s="3">
        <f>IFERROR(__xludf.DUMMYFUNCTION("""COMPUTED_VALUE"""),42314.64583333333)</f>
        <v>42314.64583</v>
      </c>
      <c r="C45" s="2">
        <f>IFERROR(__xludf.DUMMYFUNCTION("""COMPUTED_VALUE"""),20890.0)</f>
        <v>20890</v>
      </c>
    </row>
    <row r="46" ht="15.75" customHeight="1">
      <c r="B46" s="3">
        <f>IFERROR(__xludf.DUMMYFUNCTION("""COMPUTED_VALUE"""),42321.64583333333)</f>
        <v>42321.64583</v>
      </c>
      <c r="C46" s="2">
        <f>IFERROR(__xludf.DUMMYFUNCTION("""COMPUTED_VALUE"""),19519.5)</f>
        <v>19519.5</v>
      </c>
    </row>
    <row r="47" ht="15.75" customHeight="1">
      <c r="B47" s="3">
        <f>IFERROR(__xludf.DUMMYFUNCTION("""COMPUTED_VALUE"""),42328.64583333333)</f>
        <v>42328.64583</v>
      </c>
      <c r="C47" s="2">
        <f>IFERROR(__xludf.DUMMYFUNCTION("""COMPUTED_VALUE"""),19601.0)</f>
        <v>19601</v>
      </c>
    </row>
    <row r="48" ht="15.75" customHeight="1">
      <c r="B48" s="3">
        <f>IFERROR(__xludf.DUMMYFUNCTION("""COMPUTED_VALUE"""),42335.64583333333)</f>
        <v>42335.64583</v>
      </c>
      <c r="C48" s="2">
        <f>IFERROR(__xludf.DUMMYFUNCTION("""COMPUTED_VALUE"""),19200.0)</f>
        <v>19200</v>
      </c>
    </row>
    <row r="49" ht="15.75" customHeight="1">
      <c r="B49" s="3">
        <f>IFERROR(__xludf.DUMMYFUNCTION("""COMPUTED_VALUE"""),42342.64583333333)</f>
        <v>42342.64583</v>
      </c>
      <c r="C49" s="2">
        <f>IFERROR(__xludf.DUMMYFUNCTION("""COMPUTED_VALUE"""),19057.9)</f>
        <v>19057.9</v>
      </c>
    </row>
    <row r="50" ht="15.75" customHeight="1">
      <c r="B50" s="3">
        <f>IFERROR(__xludf.DUMMYFUNCTION("""COMPUTED_VALUE"""),42349.64583333333)</f>
        <v>42349.64583</v>
      </c>
      <c r="C50" s="2">
        <f>IFERROR(__xludf.DUMMYFUNCTION("""COMPUTED_VALUE"""),18773.8)</f>
        <v>18773.8</v>
      </c>
    </row>
    <row r="51" ht="15.75" customHeight="1">
      <c r="B51" s="3">
        <f>IFERROR(__xludf.DUMMYFUNCTION("""COMPUTED_VALUE"""),42356.64583333333)</f>
        <v>42356.64583</v>
      </c>
      <c r="C51" s="2">
        <f>IFERROR(__xludf.DUMMYFUNCTION("""COMPUTED_VALUE"""),19112.0)</f>
        <v>19112</v>
      </c>
    </row>
    <row r="52" ht="15.75" customHeight="1">
      <c r="B52" s="3">
        <f>IFERROR(__xludf.DUMMYFUNCTION("""COMPUTED_VALUE"""),42362.64583333333)</f>
        <v>42362.64583</v>
      </c>
      <c r="C52" s="2">
        <f>IFERROR(__xludf.DUMMYFUNCTION("""COMPUTED_VALUE"""),18500.0)</f>
        <v>18500</v>
      </c>
    </row>
    <row r="53" ht="15.75" customHeight="1">
      <c r="B53" s="3">
        <f>IFERROR(__xludf.DUMMYFUNCTION("""COMPUTED_VALUE"""),42370.64583333333)</f>
        <v>42370.64583</v>
      </c>
      <c r="C53" s="2">
        <f>IFERROR(__xludf.DUMMYFUNCTION("""COMPUTED_VALUE"""),19300.0)</f>
        <v>19300</v>
      </c>
    </row>
    <row r="54" ht="15.75" customHeight="1"/>
    <row r="55" ht="15.75" customHeight="1"/>
    <row r="56" ht="15.75" customHeight="1">
      <c r="B56" s="2" t="str">
        <f>IFERROR(__xludf.DUMMYFUNCTION("GOOGLEFINANCE(""NSE:BOSCHLTD"", ""high"",DATE(2016,1,1),DATE(2017,1,1),""weekly"")"),"Date")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IFERROR(__xludf.DUMMYFUNCTION("""COMPUTED_VALUE"""),42377.64583333333)</f>
        <v>42377.64583</v>
      </c>
      <c r="C57" s="2">
        <f>IFERROR(__xludf.DUMMYFUNCTION("""COMPUTED_VALUE"""),19420.0)</f>
        <v>19420</v>
      </c>
    </row>
    <row r="58" ht="15.75" customHeight="1">
      <c r="B58" s="3">
        <f>IFERROR(__xludf.DUMMYFUNCTION("""COMPUTED_VALUE"""),42384.64583333333)</f>
        <v>42384.64583</v>
      </c>
      <c r="C58" s="2">
        <f>IFERROR(__xludf.DUMMYFUNCTION("""COMPUTED_VALUE"""),18303.2)</f>
        <v>18303.2</v>
      </c>
    </row>
    <row r="59" ht="15.75" customHeight="1">
      <c r="B59" s="3">
        <f>IFERROR(__xludf.DUMMYFUNCTION("""COMPUTED_VALUE"""),42391.64583333333)</f>
        <v>42391.64583</v>
      </c>
      <c r="C59" s="2">
        <f>IFERROR(__xludf.DUMMYFUNCTION("""COMPUTED_VALUE"""),18195.0)</f>
        <v>18195</v>
      </c>
    </row>
    <row r="60" ht="15.75" customHeight="1">
      <c r="B60" s="3">
        <f>IFERROR(__xludf.DUMMYFUNCTION("""COMPUTED_VALUE"""),42398.64583333333)</f>
        <v>42398.64583</v>
      </c>
      <c r="C60" s="2">
        <f>IFERROR(__xludf.DUMMYFUNCTION("""COMPUTED_VALUE"""),17679.95)</f>
        <v>17679.95</v>
      </c>
    </row>
    <row r="61" ht="15.75" customHeight="1">
      <c r="B61" s="3">
        <f>IFERROR(__xludf.DUMMYFUNCTION("""COMPUTED_VALUE"""),42405.64583333333)</f>
        <v>42405.64583</v>
      </c>
      <c r="C61" s="2">
        <f>IFERROR(__xludf.DUMMYFUNCTION("""COMPUTED_VALUE"""),17788.9)</f>
        <v>17788.9</v>
      </c>
    </row>
    <row r="62" ht="15.75" customHeight="1">
      <c r="B62" s="3">
        <f>IFERROR(__xludf.DUMMYFUNCTION("""COMPUTED_VALUE"""),42412.64583333333)</f>
        <v>42412.64583</v>
      </c>
      <c r="C62" s="2">
        <f>IFERROR(__xludf.DUMMYFUNCTION("""COMPUTED_VALUE"""),16575.0)</f>
        <v>16575</v>
      </c>
    </row>
    <row r="63" ht="15.75" customHeight="1">
      <c r="B63" s="3">
        <f>IFERROR(__xludf.DUMMYFUNCTION("""COMPUTED_VALUE"""),42419.64583333333)</f>
        <v>42419.64583</v>
      </c>
      <c r="C63" s="2">
        <f>IFERROR(__xludf.DUMMYFUNCTION("""COMPUTED_VALUE"""),16900.0)</f>
        <v>16900</v>
      </c>
    </row>
    <row r="64" ht="15.75" customHeight="1">
      <c r="B64" s="3">
        <f>IFERROR(__xludf.DUMMYFUNCTION("""COMPUTED_VALUE"""),42426.64583333333)</f>
        <v>42426.64583</v>
      </c>
      <c r="C64" s="2">
        <f>IFERROR(__xludf.DUMMYFUNCTION("""COMPUTED_VALUE"""),17486.95)</f>
        <v>17486.95</v>
      </c>
    </row>
    <row r="65" ht="15.75" customHeight="1">
      <c r="B65" s="3">
        <f>IFERROR(__xludf.DUMMYFUNCTION("""COMPUTED_VALUE"""),42433.64583333333)</f>
        <v>42433.64583</v>
      </c>
      <c r="C65" s="2">
        <f>IFERROR(__xludf.DUMMYFUNCTION("""COMPUTED_VALUE"""),17430.0)</f>
        <v>17430</v>
      </c>
    </row>
    <row r="66" ht="15.75" customHeight="1">
      <c r="B66" s="3">
        <f>IFERROR(__xludf.DUMMYFUNCTION("""COMPUTED_VALUE"""),42440.64583333333)</f>
        <v>42440.64583</v>
      </c>
      <c r="C66" s="2">
        <f>IFERROR(__xludf.DUMMYFUNCTION("""COMPUTED_VALUE"""),18242.0)</f>
        <v>18242</v>
      </c>
    </row>
    <row r="67" ht="15.75" customHeight="1">
      <c r="B67" s="3">
        <f>IFERROR(__xludf.DUMMYFUNCTION("""COMPUTED_VALUE"""),42447.64583333333)</f>
        <v>42447.64583</v>
      </c>
      <c r="C67" s="2">
        <f>IFERROR(__xludf.DUMMYFUNCTION("""COMPUTED_VALUE"""),18850.0)</f>
        <v>18850</v>
      </c>
    </row>
    <row r="68" ht="15.75" customHeight="1">
      <c r="B68" s="3">
        <f>IFERROR(__xludf.DUMMYFUNCTION("""COMPUTED_VALUE"""),42452.64583333333)</f>
        <v>42452.64583</v>
      </c>
      <c r="C68" s="2">
        <f>IFERROR(__xludf.DUMMYFUNCTION("""COMPUTED_VALUE"""),20543.6)</f>
        <v>20543.6</v>
      </c>
    </row>
    <row r="69" ht="15.75" customHeight="1">
      <c r="B69" s="3">
        <f>IFERROR(__xludf.DUMMYFUNCTION("""COMPUTED_VALUE"""),42461.64583333333)</f>
        <v>42461.64583</v>
      </c>
      <c r="C69" s="2">
        <f>IFERROR(__xludf.DUMMYFUNCTION("""COMPUTED_VALUE"""),21000.0)</f>
        <v>21000</v>
      </c>
    </row>
    <row r="70" ht="15.75" customHeight="1">
      <c r="B70" s="3">
        <f>IFERROR(__xludf.DUMMYFUNCTION("""COMPUTED_VALUE"""),42468.64583333333)</f>
        <v>42468.64583</v>
      </c>
      <c r="C70" s="2">
        <f>IFERROR(__xludf.DUMMYFUNCTION("""COMPUTED_VALUE"""),20312.25)</f>
        <v>20312.25</v>
      </c>
    </row>
    <row r="71" ht="15.75" customHeight="1">
      <c r="B71" s="3">
        <f>IFERROR(__xludf.DUMMYFUNCTION("""COMPUTED_VALUE"""),42473.64583333333)</f>
        <v>42473.64583</v>
      </c>
      <c r="C71" s="2">
        <f>IFERROR(__xludf.DUMMYFUNCTION("""COMPUTED_VALUE"""),20250.0)</f>
        <v>20250</v>
      </c>
    </row>
    <row r="72" ht="15.75" customHeight="1">
      <c r="B72" s="3">
        <f>IFERROR(__xludf.DUMMYFUNCTION("""COMPUTED_VALUE"""),42482.64583333333)</f>
        <v>42482.64583</v>
      </c>
      <c r="C72" s="2">
        <f>IFERROR(__xludf.DUMMYFUNCTION("""COMPUTED_VALUE"""),20299.0)</f>
        <v>20299</v>
      </c>
    </row>
    <row r="73" ht="15.75" customHeight="1">
      <c r="B73" s="3">
        <f>IFERROR(__xludf.DUMMYFUNCTION("""COMPUTED_VALUE"""),42489.64583333333)</f>
        <v>42489.64583</v>
      </c>
      <c r="C73" s="2">
        <f>IFERROR(__xludf.DUMMYFUNCTION("""COMPUTED_VALUE"""),20400.0)</f>
        <v>20400</v>
      </c>
    </row>
    <row r="74" ht="15.75" customHeight="1">
      <c r="B74" s="3">
        <f>IFERROR(__xludf.DUMMYFUNCTION("""COMPUTED_VALUE"""),42496.64583333333)</f>
        <v>42496.64583</v>
      </c>
      <c r="C74" s="2">
        <f>IFERROR(__xludf.DUMMYFUNCTION("""COMPUTED_VALUE"""),19903.95)</f>
        <v>19903.95</v>
      </c>
    </row>
    <row r="75" ht="15.75" customHeight="1">
      <c r="B75" s="3">
        <f>IFERROR(__xludf.DUMMYFUNCTION("""COMPUTED_VALUE"""),42503.64583333333)</f>
        <v>42503.64583</v>
      </c>
      <c r="C75" s="2">
        <f>IFERROR(__xludf.DUMMYFUNCTION("""COMPUTED_VALUE"""),21084.75)</f>
        <v>21084.75</v>
      </c>
    </row>
    <row r="76" ht="15.75" customHeight="1">
      <c r="B76" s="3">
        <f>IFERROR(__xludf.DUMMYFUNCTION("""COMPUTED_VALUE"""),42510.64583333333)</f>
        <v>42510.64583</v>
      </c>
      <c r="C76" s="2">
        <f>IFERROR(__xludf.DUMMYFUNCTION("""COMPUTED_VALUE"""),21850.0)</f>
        <v>21850</v>
      </c>
    </row>
    <row r="77" ht="15.75" customHeight="1">
      <c r="B77" s="3">
        <f>IFERROR(__xludf.DUMMYFUNCTION("""COMPUTED_VALUE"""),42517.64583333333)</f>
        <v>42517.64583</v>
      </c>
      <c r="C77" s="2">
        <f>IFERROR(__xludf.DUMMYFUNCTION("""COMPUTED_VALUE"""),22207.0)</f>
        <v>22207</v>
      </c>
    </row>
    <row r="78" ht="15.75" customHeight="1">
      <c r="B78" s="3">
        <f>IFERROR(__xludf.DUMMYFUNCTION("""COMPUTED_VALUE"""),42524.64583333333)</f>
        <v>42524.64583</v>
      </c>
      <c r="C78" s="2">
        <f>IFERROR(__xludf.DUMMYFUNCTION("""COMPUTED_VALUE"""),22541.05)</f>
        <v>22541.05</v>
      </c>
    </row>
    <row r="79" ht="15.75" customHeight="1">
      <c r="B79" s="3">
        <f>IFERROR(__xludf.DUMMYFUNCTION("""COMPUTED_VALUE"""),42531.64583333333)</f>
        <v>42531.64583</v>
      </c>
      <c r="C79" s="2">
        <f>IFERROR(__xludf.DUMMYFUNCTION("""COMPUTED_VALUE"""),22450.0)</f>
        <v>22450</v>
      </c>
    </row>
    <row r="80" ht="15.75" customHeight="1">
      <c r="B80" s="3">
        <f>IFERROR(__xludf.DUMMYFUNCTION("""COMPUTED_VALUE"""),42538.64583333333)</f>
        <v>42538.64583</v>
      </c>
      <c r="C80" s="2">
        <f>IFERROR(__xludf.DUMMYFUNCTION("""COMPUTED_VALUE"""),22160.35)</f>
        <v>22160.35</v>
      </c>
    </row>
    <row r="81" ht="15.75" customHeight="1">
      <c r="B81" s="3">
        <f>IFERROR(__xludf.DUMMYFUNCTION("""COMPUTED_VALUE"""),42545.64583333333)</f>
        <v>42545.64583</v>
      </c>
      <c r="C81" s="2">
        <f>IFERROR(__xludf.DUMMYFUNCTION("""COMPUTED_VALUE"""),22256.0)</f>
        <v>22256</v>
      </c>
    </row>
    <row r="82" ht="15.75" customHeight="1">
      <c r="B82" s="3">
        <f>IFERROR(__xludf.DUMMYFUNCTION("""COMPUTED_VALUE"""),42552.64583333333)</f>
        <v>42552.64583</v>
      </c>
      <c r="C82" s="2">
        <f>IFERROR(__xludf.DUMMYFUNCTION("""COMPUTED_VALUE"""),23098.0)</f>
        <v>23098</v>
      </c>
    </row>
    <row r="83" ht="15.75" customHeight="1">
      <c r="B83" s="3">
        <f>IFERROR(__xludf.DUMMYFUNCTION("""COMPUTED_VALUE"""),42559.64583333333)</f>
        <v>42559.64583</v>
      </c>
      <c r="C83" s="2">
        <f>IFERROR(__xludf.DUMMYFUNCTION("""COMPUTED_VALUE"""),22850.15)</f>
        <v>22850.15</v>
      </c>
    </row>
    <row r="84" ht="15.75" customHeight="1">
      <c r="B84" s="3">
        <f>IFERROR(__xludf.DUMMYFUNCTION("""COMPUTED_VALUE"""),42566.64583333333)</f>
        <v>42566.64583</v>
      </c>
      <c r="C84" s="2">
        <f>IFERROR(__xludf.DUMMYFUNCTION("""COMPUTED_VALUE"""),23960.0)</f>
        <v>23960</v>
      </c>
    </row>
    <row r="85" ht="15.75" customHeight="1">
      <c r="B85" s="3">
        <f>IFERROR(__xludf.DUMMYFUNCTION("""COMPUTED_VALUE"""),42573.64583333333)</f>
        <v>42573.64583</v>
      </c>
      <c r="C85" s="2">
        <f>IFERROR(__xludf.DUMMYFUNCTION("""COMPUTED_VALUE"""),25086.6)</f>
        <v>25086.6</v>
      </c>
    </row>
    <row r="86" ht="15.75" customHeight="1">
      <c r="B86" s="3">
        <f>IFERROR(__xludf.DUMMYFUNCTION("""COMPUTED_VALUE"""),42580.64583333333)</f>
        <v>42580.64583</v>
      </c>
      <c r="C86" s="2">
        <f>IFERROR(__xludf.DUMMYFUNCTION("""COMPUTED_VALUE"""),25141.1)</f>
        <v>25141.1</v>
      </c>
    </row>
    <row r="87" ht="15.75" customHeight="1">
      <c r="B87" s="3">
        <f>IFERROR(__xludf.DUMMYFUNCTION("""COMPUTED_VALUE"""),42587.64583333333)</f>
        <v>42587.64583</v>
      </c>
      <c r="C87" s="2">
        <f>IFERROR(__xludf.DUMMYFUNCTION("""COMPUTED_VALUE"""),25249.95)</f>
        <v>25249.95</v>
      </c>
    </row>
    <row r="88" ht="15.75" customHeight="1">
      <c r="B88" s="3">
        <f>IFERROR(__xludf.DUMMYFUNCTION("""COMPUTED_VALUE"""),42594.64583333333)</f>
        <v>42594.64583</v>
      </c>
      <c r="C88" s="2">
        <f>IFERROR(__xludf.DUMMYFUNCTION("""COMPUTED_VALUE"""),25670.85)</f>
        <v>25670.85</v>
      </c>
    </row>
    <row r="89" ht="15.75" customHeight="1">
      <c r="B89" s="3">
        <f>IFERROR(__xludf.DUMMYFUNCTION("""COMPUTED_VALUE"""),42601.64583333333)</f>
        <v>42601.64583</v>
      </c>
      <c r="C89" s="2">
        <f>IFERROR(__xludf.DUMMYFUNCTION("""COMPUTED_VALUE"""),24548.0)</f>
        <v>24548</v>
      </c>
    </row>
    <row r="90" ht="15.75" customHeight="1">
      <c r="B90" s="3">
        <f>IFERROR(__xludf.DUMMYFUNCTION("""COMPUTED_VALUE"""),42608.64583333333)</f>
        <v>42608.64583</v>
      </c>
      <c r="C90" s="2">
        <f>IFERROR(__xludf.DUMMYFUNCTION("""COMPUTED_VALUE"""),24294.0)</f>
        <v>24294</v>
      </c>
    </row>
    <row r="91" ht="15.75" customHeight="1">
      <c r="B91" s="3">
        <f>IFERROR(__xludf.DUMMYFUNCTION("""COMPUTED_VALUE"""),42615.64583333333)</f>
        <v>42615.64583</v>
      </c>
      <c r="C91" s="2">
        <f>IFERROR(__xludf.DUMMYFUNCTION("""COMPUTED_VALUE"""),24805.0)</f>
        <v>24805</v>
      </c>
    </row>
    <row r="92" ht="15.75" customHeight="1">
      <c r="B92" s="3">
        <f>IFERROR(__xludf.DUMMYFUNCTION("""COMPUTED_VALUE"""),42622.64583333333)</f>
        <v>42622.64583</v>
      </c>
      <c r="C92" s="2">
        <f>IFERROR(__xludf.DUMMYFUNCTION("""COMPUTED_VALUE"""),24844.25)</f>
        <v>24844.25</v>
      </c>
    </row>
    <row r="93" ht="15.75" customHeight="1">
      <c r="B93" s="3">
        <f>IFERROR(__xludf.DUMMYFUNCTION("""COMPUTED_VALUE"""),42629.64583333333)</f>
        <v>42629.64583</v>
      </c>
      <c r="C93" s="2">
        <f>IFERROR(__xludf.DUMMYFUNCTION("""COMPUTED_VALUE"""),24000.0)</f>
        <v>24000</v>
      </c>
    </row>
    <row r="94" ht="15.75" customHeight="1">
      <c r="B94" s="3">
        <f>IFERROR(__xludf.DUMMYFUNCTION("""COMPUTED_VALUE"""),42636.64583333333)</f>
        <v>42636.64583</v>
      </c>
      <c r="C94" s="2">
        <f>IFERROR(__xludf.DUMMYFUNCTION("""COMPUTED_VALUE"""),23625.5)</f>
        <v>23625.5</v>
      </c>
    </row>
    <row r="95" ht="15.75" customHeight="1">
      <c r="B95" s="3">
        <f>IFERROR(__xludf.DUMMYFUNCTION("""COMPUTED_VALUE"""),42643.64583333333)</f>
        <v>42643.64583</v>
      </c>
      <c r="C95" s="2">
        <f>IFERROR(__xludf.DUMMYFUNCTION("""COMPUTED_VALUE"""),23590.0)</f>
        <v>23590</v>
      </c>
    </row>
    <row r="96" ht="15.75" customHeight="1">
      <c r="B96" s="3">
        <f>IFERROR(__xludf.DUMMYFUNCTION("""COMPUTED_VALUE"""),42650.64583333333)</f>
        <v>42650.64583</v>
      </c>
      <c r="C96" s="2">
        <f>IFERROR(__xludf.DUMMYFUNCTION("""COMPUTED_VALUE"""),23550.0)</f>
        <v>23550</v>
      </c>
    </row>
    <row r="97" ht="15.75" customHeight="1">
      <c r="B97" s="3">
        <f>IFERROR(__xludf.DUMMYFUNCTION("""COMPUTED_VALUE"""),42657.64583333333)</f>
        <v>42657.64583</v>
      </c>
      <c r="C97" s="2">
        <f>IFERROR(__xludf.DUMMYFUNCTION("""COMPUTED_VALUE"""),23220.55)</f>
        <v>23220.55</v>
      </c>
    </row>
    <row r="98" ht="15.75" customHeight="1">
      <c r="B98" s="3">
        <f>IFERROR(__xludf.DUMMYFUNCTION("""COMPUTED_VALUE"""),42664.64583333333)</f>
        <v>42664.64583</v>
      </c>
      <c r="C98" s="2">
        <f>IFERROR(__xludf.DUMMYFUNCTION("""COMPUTED_VALUE"""),22879.95)</f>
        <v>22879.95</v>
      </c>
    </row>
    <row r="99" ht="15.75" customHeight="1">
      <c r="B99" s="3">
        <f>IFERROR(__xludf.DUMMYFUNCTION("""COMPUTED_VALUE"""),42671.64583333333)</f>
        <v>42671.64583</v>
      </c>
      <c r="C99" s="2">
        <f>IFERROR(__xludf.DUMMYFUNCTION("""COMPUTED_VALUE"""),23098.85)</f>
        <v>23098.85</v>
      </c>
    </row>
    <row r="100" ht="15.75" customHeight="1">
      <c r="B100" s="3">
        <f>IFERROR(__xludf.DUMMYFUNCTION("""COMPUTED_VALUE"""),42678.64583333333)</f>
        <v>42678.64583</v>
      </c>
      <c r="C100" s="2">
        <f>IFERROR(__xludf.DUMMYFUNCTION("""COMPUTED_VALUE"""),22377.6)</f>
        <v>22377.6</v>
      </c>
    </row>
    <row r="101" ht="15.75" customHeight="1">
      <c r="B101" s="3">
        <f>IFERROR(__xludf.DUMMYFUNCTION("""COMPUTED_VALUE"""),42685.64583333333)</f>
        <v>42685.64583</v>
      </c>
      <c r="C101" s="2">
        <f>IFERROR(__xludf.DUMMYFUNCTION("""COMPUTED_VALUE"""),22221.0)</f>
        <v>22221</v>
      </c>
    </row>
    <row r="102" ht="15.75" customHeight="1">
      <c r="B102" s="3">
        <f>IFERROR(__xludf.DUMMYFUNCTION("""COMPUTED_VALUE"""),42692.64583333333)</f>
        <v>42692.64583</v>
      </c>
      <c r="C102" s="2">
        <f>IFERROR(__xludf.DUMMYFUNCTION("""COMPUTED_VALUE"""),20280.0)</f>
        <v>20280</v>
      </c>
    </row>
    <row r="103" ht="15.75" customHeight="1">
      <c r="B103" s="3">
        <f>IFERROR(__xludf.DUMMYFUNCTION("""COMPUTED_VALUE"""),42699.64583333333)</f>
        <v>42699.64583</v>
      </c>
      <c r="C103" s="2">
        <f>IFERROR(__xludf.DUMMYFUNCTION("""COMPUTED_VALUE"""),19500.0)</f>
        <v>19500</v>
      </c>
    </row>
    <row r="104" ht="15.75" customHeight="1">
      <c r="B104" s="3">
        <f>IFERROR(__xludf.DUMMYFUNCTION("""COMPUTED_VALUE"""),42706.64583333333)</f>
        <v>42706.64583</v>
      </c>
      <c r="C104" s="2">
        <f>IFERROR(__xludf.DUMMYFUNCTION("""COMPUTED_VALUE"""),20662.15)</f>
        <v>20662.15</v>
      </c>
    </row>
    <row r="105" ht="15.75" customHeight="1">
      <c r="B105" s="3">
        <f>IFERROR(__xludf.DUMMYFUNCTION("""COMPUTED_VALUE"""),42713.64583333333)</f>
        <v>42713.64583</v>
      </c>
      <c r="C105" s="2">
        <f>IFERROR(__xludf.DUMMYFUNCTION("""COMPUTED_VALUE"""),21300.0)</f>
        <v>21300</v>
      </c>
    </row>
    <row r="106" ht="15.75" customHeight="1">
      <c r="B106" s="3">
        <f>IFERROR(__xludf.DUMMYFUNCTION("""COMPUTED_VALUE"""),42720.64583333333)</f>
        <v>42720.64583</v>
      </c>
      <c r="C106" s="2">
        <f>IFERROR(__xludf.DUMMYFUNCTION("""COMPUTED_VALUE"""),21248.95)</f>
        <v>21248.95</v>
      </c>
    </row>
    <row r="107" ht="15.75" customHeight="1">
      <c r="B107" s="3">
        <f>IFERROR(__xludf.DUMMYFUNCTION("""COMPUTED_VALUE"""),42727.64583333333)</f>
        <v>42727.64583</v>
      </c>
      <c r="C107" s="2">
        <f>IFERROR(__xludf.DUMMYFUNCTION("""COMPUTED_VALUE"""),20187.0)</f>
        <v>20187</v>
      </c>
    </row>
    <row r="108" ht="15.75" customHeight="1">
      <c r="B108" s="3">
        <f>IFERROR(__xludf.DUMMYFUNCTION("""COMPUTED_VALUE"""),42734.64583333333)</f>
        <v>42734.64583</v>
      </c>
      <c r="C108" s="2">
        <f>IFERROR(__xludf.DUMMYFUNCTION("""COMPUTED_VALUE"""),21200.0)</f>
        <v>21200</v>
      </c>
    </row>
    <row r="109" ht="15.75" customHeight="1"/>
    <row r="110" ht="15.75" customHeight="1"/>
    <row r="111" ht="15.75" customHeight="1">
      <c r="B111" s="2" t="str">
        <f>IFERROR(__xludf.DUMMYFUNCTION("GOOGLEFINANCE(""NSE:BOSCHLTD"", ""high"",DATE(2017,1,1),DATE(2018,1,1),""weekly"")"),"Date")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IFERROR(__xludf.DUMMYFUNCTION("""COMPUTED_VALUE"""),42741.64583333333)</f>
        <v>42741.64583</v>
      </c>
      <c r="C112" s="2">
        <f>IFERROR(__xludf.DUMMYFUNCTION("""COMPUTED_VALUE"""),21949.0)</f>
        <v>21949</v>
      </c>
    </row>
    <row r="113" ht="15.75" customHeight="1">
      <c r="B113" s="3">
        <f>IFERROR(__xludf.DUMMYFUNCTION("""COMPUTED_VALUE"""),42748.64583333333)</f>
        <v>42748.64583</v>
      </c>
      <c r="C113" s="2">
        <f>IFERROR(__xludf.DUMMYFUNCTION("""COMPUTED_VALUE"""),21570.0)</f>
        <v>21570</v>
      </c>
    </row>
    <row r="114" ht="15.75" customHeight="1">
      <c r="B114" s="3">
        <f>IFERROR(__xludf.DUMMYFUNCTION("""COMPUTED_VALUE"""),42755.64583333333)</f>
        <v>42755.64583</v>
      </c>
      <c r="C114" s="2">
        <f>IFERROR(__xludf.DUMMYFUNCTION("""COMPUTED_VALUE"""),22100.0)</f>
        <v>22100</v>
      </c>
    </row>
    <row r="115" ht="15.75" customHeight="1">
      <c r="B115" s="3">
        <f>IFERROR(__xludf.DUMMYFUNCTION("""COMPUTED_VALUE"""),42762.64583333333)</f>
        <v>42762.64583</v>
      </c>
      <c r="C115" s="2">
        <f>IFERROR(__xludf.DUMMYFUNCTION("""COMPUTED_VALUE"""),23035.0)</f>
        <v>23035</v>
      </c>
    </row>
    <row r="116" ht="15.75" customHeight="1">
      <c r="B116" s="3">
        <f>IFERROR(__xludf.DUMMYFUNCTION("""COMPUTED_VALUE"""),42769.64583333333)</f>
        <v>42769.64583</v>
      </c>
      <c r="C116" s="2">
        <f>IFERROR(__xludf.DUMMYFUNCTION("""COMPUTED_VALUE"""),24000.0)</f>
        <v>24000</v>
      </c>
    </row>
    <row r="117" ht="15.75" customHeight="1">
      <c r="B117" s="3">
        <f>IFERROR(__xludf.DUMMYFUNCTION("""COMPUTED_VALUE"""),42776.64583333333)</f>
        <v>42776.64583</v>
      </c>
      <c r="C117" s="2">
        <f>IFERROR(__xludf.DUMMYFUNCTION("""COMPUTED_VALUE"""),23280.0)</f>
        <v>23280</v>
      </c>
    </row>
    <row r="118" ht="15.75" customHeight="1">
      <c r="B118" s="3">
        <f>IFERROR(__xludf.DUMMYFUNCTION("""COMPUTED_VALUE"""),42783.64583333333)</f>
        <v>42783.64583</v>
      </c>
      <c r="C118" s="2">
        <f>IFERROR(__xludf.DUMMYFUNCTION("""COMPUTED_VALUE"""),22899.95)</f>
        <v>22899.95</v>
      </c>
    </row>
    <row r="119" ht="15.75" customHeight="1">
      <c r="B119" s="3">
        <f>IFERROR(__xludf.DUMMYFUNCTION("""COMPUTED_VALUE"""),42789.64583333333)</f>
        <v>42789.64583</v>
      </c>
      <c r="C119" s="2">
        <f>IFERROR(__xludf.DUMMYFUNCTION("""COMPUTED_VALUE"""),22326.1)</f>
        <v>22326.1</v>
      </c>
    </row>
    <row r="120" ht="15.75" customHeight="1">
      <c r="B120" s="3">
        <f>IFERROR(__xludf.DUMMYFUNCTION("""COMPUTED_VALUE"""),42797.64583333333)</f>
        <v>42797.64583</v>
      </c>
      <c r="C120" s="2">
        <f>IFERROR(__xludf.DUMMYFUNCTION("""COMPUTED_VALUE"""),22190.0)</f>
        <v>22190</v>
      </c>
    </row>
    <row r="121" ht="15.75" customHeight="1">
      <c r="B121" s="3">
        <f>IFERROR(__xludf.DUMMYFUNCTION("""COMPUTED_VALUE"""),42804.64583333333)</f>
        <v>42804.64583</v>
      </c>
      <c r="C121" s="2">
        <f>IFERROR(__xludf.DUMMYFUNCTION("""COMPUTED_VALUE"""),23080.0)</f>
        <v>23080</v>
      </c>
    </row>
    <row r="122" ht="15.75" customHeight="1">
      <c r="B122" s="3">
        <f>IFERROR(__xludf.DUMMYFUNCTION("""COMPUTED_VALUE"""),42811.64583333333)</f>
        <v>42811.64583</v>
      </c>
      <c r="C122" s="2">
        <f>IFERROR(__xludf.DUMMYFUNCTION("""COMPUTED_VALUE"""),23140.0)</f>
        <v>23140</v>
      </c>
    </row>
    <row r="123" ht="15.75" customHeight="1">
      <c r="B123" s="3">
        <f>IFERROR(__xludf.DUMMYFUNCTION("""COMPUTED_VALUE"""),42818.64583333333)</f>
        <v>42818.64583</v>
      </c>
      <c r="C123" s="2">
        <f>IFERROR(__xludf.DUMMYFUNCTION("""COMPUTED_VALUE"""),23250.0)</f>
        <v>23250</v>
      </c>
    </row>
    <row r="124" ht="15.75" customHeight="1">
      <c r="B124" s="3">
        <f>IFERROR(__xludf.DUMMYFUNCTION("""COMPUTED_VALUE"""),42825.64583333333)</f>
        <v>42825.64583</v>
      </c>
      <c r="C124" s="2">
        <f>IFERROR(__xludf.DUMMYFUNCTION("""COMPUTED_VALUE"""),23399.0)</f>
        <v>23399</v>
      </c>
    </row>
    <row r="125" ht="15.75" customHeight="1">
      <c r="B125" s="3">
        <f>IFERROR(__xludf.DUMMYFUNCTION("""COMPUTED_VALUE"""),42832.64583333333)</f>
        <v>42832.64583</v>
      </c>
      <c r="C125" s="2">
        <f>IFERROR(__xludf.DUMMYFUNCTION("""COMPUTED_VALUE"""),23150.0)</f>
        <v>23150</v>
      </c>
    </row>
    <row r="126" ht="15.75" customHeight="1">
      <c r="B126" s="3">
        <f>IFERROR(__xludf.DUMMYFUNCTION("""COMPUTED_VALUE"""),42838.64583333333)</f>
        <v>42838.64583</v>
      </c>
      <c r="C126" s="2">
        <f>IFERROR(__xludf.DUMMYFUNCTION("""COMPUTED_VALUE"""),23700.0)</f>
        <v>23700</v>
      </c>
    </row>
    <row r="127" ht="15.75" customHeight="1">
      <c r="B127" s="3">
        <f>IFERROR(__xludf.DUMMYFUNCTION("""COMPUTED_VALUE"""),42846.64583333333)</f>
        <v>42846.64583</v>
      </c>
      <c r="C127" s="2">
        <f>IFERROR(__xludf.DUMMYFUNCTION("""COMPUTED_VALUE"""),23375.0)</f>
        <v>23375</v>
      </c>
    </row>
    <row r="128" ht="15.75" customHeight="1">
      <c r="B128" s="3">
        <f>IFERROR(__xludf.DUMMYFUNCTION("""COMPUTED_VALUE"""),42853.64583333333)</f>
        <v>42853.64583</v>
      </c>
      <c r="C128" s="2">
        <f>IFERROR(__xludf.DUMMYFUNCTION("""COMPUTED_VALUE"""),23080.0)</f>
        <v>23080</v>
      </c>
    </row>
    <row r="129" ht="15.75" customHeight="1">
      <c r="B129" s="3">
        <f>IFERROR(__xludf.DUMMYFUNCTION("""COMPUTED_VALUE"""),42860.64583333333)</f>
        <v>42860.64583</v>
      </c>
      <c r="C129" s="2">
        <f>IFERROR(__xludf.DUMMYFUNCTION("""COMPUTED_VALUE"""),23749.85)</f>
        <v>23749.85</v>
      </c>
    </row>
    <row r="130" ht="15.75" customHeight="1">
      <c r="B130" s="3">
        <f>IFERROR(__xludf.DUMMYFUNCTION("""COMPUTED_VALUE"""),42867.64583333333)</f>
        <v>42867.64583</v>
      </c>
      <c r="C130" s="2">
        <f>IFERROR(__xludf.DUMMYFUNCTION("""COMPUTED_VALUE"""),23813.65)</f>
        <v>23813.65</v>
      </c>
    </row>
    <row r="131" ht="15.75" customHeight="1">
      <c r="B131" s="3">
        <f>IFERROR(__xludf.DUMMYFUNCTION("""COMPUTED_VALUE"""),42874.64583333333)</f>
        <v>42874.64583</v>
      </c>
      <c r="C131" s="2">
        <f>IFERROR(__xludf.DUMMYFUNCTION("""COMPUTED_VALUE"""),24889.75)</f>
        <v>24889.75</v>
      </c>
    </row>
    <row r="132" ht="15.75" customHeight="1">
      <c r="B132" s="3">
        <f>IFERROR(__xludf.DUMMYFUNCTION("""COMPUTED_VALUE"""),42881.64583333333)</f>
        <v>42881.64583</v>
      </c>
      <c r="C132" s="2">
        <f>IFERROR(__xludf.DUMMYFUNCTION("""COMPUTED_VALUE"""),24078.9)</f>
        <v>24078.9</v>
      </c>
    </row>
    <row r="133" ht="15.75" customHeight="1">
      <c r="B133" s="3">
        <f>IFERROR(__xludf.DUMMYFUNCTION("""COMPUTED_VALUE"""),42888.64583333333)</f>
        <v>42888.64583</v>
      </c>
      <c r="C133" s="2">
        <f>IFERROR(__xludf.DUMMYFUNCTION("""COMPUTED_VALUE"""),24275.1)</f>
        <v>24275.1</v>
      </c>
    </row>
    <row r="134" ht="15.75" customHeight="1">
      <c r="B134" s="3">
        <f>IFERROR(__xludf.DUMMYFUNCTION("""COMPUTED_VALUE"""),42895.64583333333)</f>
        <v>42895.64583</v>
      </c>
      <c r="C134" s="2">
        <f>IFERROR(__xludf.DUMMYFUNCTION("""COMPUTED_VALUE"""),23990.0)</f>
        <v>23990</v>
      </c>
    </row>
    <row r="135" ht="15.75" customHeight="1">
      <c r="B135" s="3">
        <f>IFERROR(__xludf.DUMMYFUNCTION("""COMPUTED_VALUE"""),42902.64583333333)</f>
        <v>42902.64583</v>
      </c>
      <c r="C135" s="2">
        <f>IFERROR(__xludf.DUMMYFUNCTION("""COMPUTED_VALUE"""),24510.0)</f>
        <v>24510</v>
      </c>
    </row>
    <row r="136" ht="15.75" customHeight="1">
      <c r="B136" s="3">
        <f>IFERROR(__xludf.DUMMYFUNCTION("""COMPUTED_VALUE"""),42909.64583333333)</f>
        <v>42909.64583</v>
      </c>
      <c r="C136" s="2">
        <f>IFERROR(__xludf.DUMMYFUNCTION("""COMPUTED_VALUE"""),25240.0)</f>
        <v>25240</v>
      </c>
    </row>
    <row r="137" ht="15.75" customHeight="1">
      <c r="B137" s="3">
        <f>IFERROR(__xludf.DUMMYFUNCTION("""COMPUTED_VALUE"""),42916.64583333333)</f>
        <v>42916.64583</v>
      </c>
      <c r="C137" s="2">
        <f>IFERROR(__xludf.DUMMYFUNCTION("""COMPUTED_VALUE"""),23990.0)</f>
        <v>23990</v>
      </c>
    </row>
    <row r="138" ht="15.75" customHeight="1">
      <c r="B138" s="3">
        <f>IFERROR(__xludf.DUMMYFUNCTION("""COMPUTED_VALUE"""),42923.64583333333)</f>
        <v>42923.64583</v>
      </c>
      <c r="C138" s="2">
        <f>IFERROR(__xludf.DUMMYFUNCTION("""COMPUTED_VALUE"""),23948.45)</f>
        <v>23948.45</v>
      </c>
    </row>
    <row r="139" ht="15.75" customHeight="1">
      <c r="B139" s="3">
        <f>IFERROR(__xludf.DUMMYFUNCTION("""COMPUTED_VALUE"""),42930.64583333333)</f>
        <v>42930.64583</v>
      </c>
      <c r="C139" s="2">
        <f>IFERROR(__xludf.DUMMYFUNCTION("""COMPUTED_VALUE"""),24480.75)</f>
        <v>24480.75</v>
      </c>
    </row>
    <row r="140" ht="15.75" customHeight="1">
      <c r="B140" s="3">
        <f>IFERROR(__xludf.DUMMYFUNCTION("""COMPUTED_VALUE"""),42937.64583333333)</f>
        <v>42937.64583</v>
      </c>
      <c r="C140" s="2">
        <f>IFERROR(__xludf.DUMMYFUNCTION("""COMPUTED_VALUE"""),24869.0)</f>
        <v>24869</v>
      </c>
    </row>
    <row r="141" ht="15.75" customHeight="1">
      <c r="B141" s="3">
        <f>IFERROR(__xludf.DUMMYFUNCTION("""COMPUTED_VALUE"""),42944.64583333333)</f>
        <v>42944.64583</v>
      </c>
      <c r="C141" s="2">
        <f>IFERROR(__xludf.DUMMYFUNCTION("""COMPUTED_VALUE"""),24495.45)</f>
        <v>24495.45</v>
      </c>
    </row>
    <row r="142" ht="15.75" customHeight="1">
      <c r="B142" s="3">
        <f>IFERROR(__xludf.DUMMYFUNCTION("""COMPUTED_VALUE"""),42951.64583333333)</f>
        <v>42951.64583</v>
      </c>
      <c r="C142" s="2">
        <f>IFERROR(__xludf.DUMMYFUNCTION("""COMPUTED_VALUE"""),25180.0)</f>
        <v>25180</v>
      </c>
    </row>
    <row r="143" ht="15.75" customHeight="1">
      <c r="B143" s="3">
        <f>IFERROR(__xludf.DUMMYFUNCTION("""COMPUTED_VALUE"""),42958.64583333333)</f>
        <v>42958.64583</v>
      </c>
      <c r="C143" s="2">
        <f>IFERROR(__xludf.DUMMYFUNCTION("""COMPUTED_VALUE"""),24683.45)</f>
        <v>24683.45</v>
      </c>
    </row>
    <row r="144" ht="15.75" customHeight="1">
      <c r="B144" s="3">
        <f>IFERROR(__xludf.DUMMYFUNCTION("""COMPUTED_VALUE"""),42965.64583333333)</f>
        <v>42965.64583</v>
      </c>
      <c r="C144" s="2">
        <f>IFERROR(__xludf.DUMMYFUNCTION("""COMPUTED_VALUE"""),22953.9)</f>
        <v>22953.9</v>
      </c>
    </row>
    <row r="145" ht="15.75" customHeight="1">
      <c r="B145" s="3">
        <f>IFERROR(__xludf.DUMMYFUNCTION("""COMPUTED_VALUE"""),42971.64583333333)</f>
        <v>42971.64583</v>
      </c>
      <c r="C145" s="2">
        <f>IFERROR(__xludf.DUMMYFUNCTION("""COMPUTED_VALUE"""),22319.95)</f>
        <v>22319.95</v>
      </c>
    </row>
    <row r="146" ht="15.75" customHeight="1">
      <c r="B146" s="3">
        <f>IFERROR(__xludf.DUMMYFUNCTION("""COMPUTED_VALUE"""),42979.64583333333)</f>
        <v>42979.64583</v>
      </c>
      <c r="C146" s="2">
        <f>IFERROR(__xludf.DUMMYFUNCTION("""COMPUTED_VALUE"""),23211.9)</f>
        <v>23211.9</v>
      </c>
    </row>
    <row r="147" ht="15.75" customHeight="1">
      <c r="B147" s="3">
        <f>IFERROR(__xludf.DUMMYFUNCTION("""COMPUTED_VALUE"""),42986.64583333333)</f>
        <v>42986.64583</v>
      </c>
      <c r="C147" s="2">
        <f>IFERROR(__xludf.DUMMYFUNCTION("""COMPUTED_VALUE"""),22650.0)</f>
        <v>22650</v>
      </c>
    </row>
    <row r="148" ht="15.75" customHeight="1">
      <c r="B148" s="3">
        <f>IFERROR(__xludf.DUMMYFUNCTION("""COMPUTED_VALUE"""),42993.64583333333)</f>
        <v>42993.64583</v>
      </c>
      <c r="C148" s="2">
        <f>IFERROR(__xludf.DUMMYFUNCTION("""COMPUTED_VALUE"""),22344.9)</f>
        <v>22344.9</v>
      </c>
    </row>
    <row r="149" ht="15.75" customHeight="1">
      <c r="B149" s="3">
        <f>IFERROR(__xludf.DUMMYFUNCTION("""COMPUTED_VALUE"""),43000.64583333333)</f>
        <v>43000.64583</v>
      </c>
      <c r="C149" s="2">
        <f>IFERROR(__xludf.DUMMYFUNCTION("""COMPUTED_VALUE"""),22139.95)</f>
        <v>22139.95</v>
      </c>
    </row>
    <row r="150" ht="15.75" customHeight="1">
      <c r="B150" s="3">
        <f>IFERROR(__xludf.DUMMYFUNCTION("""COMPUTED_VALUE"""),43007.64583333333)</f>
        <v>43007.64583</v>
      </c>
      <c r="C150" s="2">
        <f>IFERROR(__xludf.DUMMYFUNCTION("""COMPUTED_VALUE"""),21899.95)</f>
        <v>21899.95</v>
      </c>
    </row>
    <row r="151" ht="15.75" customHeight="1">
      <c r="B151" s="3">
        <f>IFERROR(__xludf.DUMMYFUNCTION("""COMPUTED_VALUE"""),43014.64583333333)</f>
        <v>43014.64583</v>
      </c>
      <c r="C151" s="2">
        <f>IFERROR(__xludf.DUMMYFUNCTION("""COMPUTED_VALUE"""),21120.0)</f>
        <v>21120</v>
      </c>
    </row>
    <row r="152" ht="15.75" customHeight="1">
      <c r="B152" s="3">
        <f>IFERROR(__xludf.DUMMYFUNCTION("""COMPUTED_VALUE"""),43021.64583333333)</f>
        <v>43021.64583</v>
      </c>
      <c r="C152" s="2">
        <f>IFERROR(__xludf.DUMMYFUNCTION("""COMPUTED_VALUE"""),21700.0)</f>
        <v>21700</v>
      </c>
    </row>
    <row r="153" ht="15.75" customHeight="1">
      <c r="B153" s="3">
        <f>IFERROR(__xludf.DUMMYFUNCTION("""COMPUTED_VALUE"""),43027.83333333333)</f>
        <v>43027.83333</v>
      </c>
      <c r="C153" s="2">
        <f>IFERROR(__xludf.DUMMYFUNCTION("""COMPUTED_VALUE"""),22243.3)</f>
        <v>22243.3</v>
      </c>
    </row>
    <row r="154" ht="15.75" customHeight="1">
      <c r="B154" s="3">
        <f>IFERROR(__xludf.DUMMYFUNCTION("""COMPUTED_VALUE"""),43035.64583333333)</f>
        <v>43035.64583</v>
      </c>
      <c r="C154" s="2">
        <f>IFERROR(__xludf.DUMMYFUNCTION("""COMPUTED_VALUE"""),21885.3)</f>
        <v>21885.3</v>
      </c>
    </row>
    <row r="155" ht="15.75" customHeight="1">
      <c r="B155" s="3">
        <f>IFERROR(__xludf.DUMMYFUNCTION("""COMPUTED_VALUE"""),43042.64583333333)</f>
        <v>43042.64583</v>
      </c>
      <c r="C155" s="2">
        <f>IFERROR(__xludf.DUMMYFUNCTION("""COMPUTED_VALUE"""),21429.9)</f>
        <v>21429.9</v>
      </c>
    </row>
    <row r="156" ht="15.75" customHeight="1">
      <c r="B156" s="3">
        <f>IFERROR(__xludf.DUMMYFUNCTION("""COMPUTED_VALUE"""),43049.64583333333)</f>
        <v>43049.64583</v>
      </c>
      <c r="C156" s="2">
        <f>IFERROR(__xludf.DUMMYFUNCTION("""COMPUTED_VALUE"""),21268.0)</f>
        <v>21268</v>
      </c>
    </row>
    <row r="157" ht="15.75" customHeight="1">
      <c r="B157" s="3">
        <f>IFERROR(__xludf.DUMMYFUNCTION("""COMPUTED_VALUE"""),43056.64583333333)</f>
        <v>43056.64583</v>
      </c>
      <c r="C157" s="2">
        <f>IFERROR(__xludf.DUMMYFUNCTION("""COMPUTED_VALUE"""),20600.0)</f>
        <v>20600</v>
      </c>
    </row>
    <row r="158" ht="15.75" customHeight="1">
      <c r="B158" s="3">
        <f>IFERROR(__xludf.DUMMYFUNCTION("""COMPUTED_VALUE"""),43063.64583333333)</f>
        <v>43063.64583</v>
      </c>
      <c r="C158" s="2">
        <f>IFERROR(__xludf.DUMMYFUNCTION("""COMPUTED_VALUE"""),19538.05)</f>
        <v>19538.05</v>
      </c>
    </row>
    <row r="159" ht="15.75" customHeight="1">
      <c r="B159" s="3">
        <f>IFERROR(__xludf.DUMMYFUNCTION("""COMPUTED_VALUE"""),43070.64583333333)</f>
        <v>43070.64583</v>
      </c>
      <c r="C159" s="2">
        <f>IFERROR(__xludf.DUMMYFUNCTION("""COMPUTED_VALUE"""),21388.8)</f>
        <v>21388.8</v>
      </c>
    </row>
    <row r="160" ht="15.75" customHeight="1">
      <c r="B160" s="3">
        <f>IFERROR(__xludf.DUMMYFUNCTION("""COMPUTED_VALUE"""),43077.64583333333)</f>
        <v>43077.64583</v>
      </c>
      <c r="C160" s="2">
        <f>IFERROR(__xludf.DUMMYFUNCTION("""COMPUTED_VALUE"""),20398.85)</f>
        <v>20398.85</v>
      </c>
    </row>
    <row r="161" ht="15.75" customHeight="1">
      <c r="B161" s="3">
        <f>IFERROR(__xludf.DUMMYFUNCTION("""COMPUTED_VALUE"""),43084.64583333333)</f>
        <v>43084.64583</v>
      </c>
      <c r="C161" s="2">
        <f>IFERROR(__xludf.DUMMYFUNCTION("""COMPUTED_VALUE"""),20220.2)</f>
        <v>20220.2</v>
      </c>
    </row>
    <row r="162" ht="15.75" customHeight="1">
      <c r="B162" s="3">
        <f>IFERROR(__xludf.DUMMYFUNCTION("""COMPUTED_VALUE"""),43091.64583333333)</f>
        <v>43091.64583</v>
      </c>
      <c r="C162" s="2">
        <f>IFERROR(__xludf.DUMMYFUNCTION("""COMPUTED_VALUE"""),20113.45)</f>
        <v>20113.45</v>
      </c>
    </row>
    <row r="163" ht="15.75" customHeight="1">
      <c r="B163" s="3">
        <f>IFERROR(__xludf.DUMMYFUNCTION("""COMPUTED_VALUE"""),43098.64583333333)</f>
        <v>43098.64583</v>
      </c>
      <c r="C163" s="2">
        <f>IFERROR(__xludf.DUMMYFUNCTION("""COMPUTED_VALUE"""),20460.0)</f>
        <v>20460</v>
      </c>
    </row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IFERROR(__xludf.DUMMYFUNCTION("GOOGLEFINANCE(""NSE:YESBANK"", ""high"",DATE(2015,1,1),DATE(2016,1,1),""weekly"")"),"Date")</f>
        <v>Date</v>
      </c>
      <c r="C1" s="2" t="str">
        <f>IFERROR(__xludf.DUMMYFUNCTION("""COMPUTED_VALUE"""),"High")</f>
        <v>High</v>
      </c>
    </row>
    <row r="2">
      <c r="A2" s="2" t="s">
        <v>14</v>
      </c>
      <c r="B2" s="3">
        <f>IFERROR(__xludf.DUMMYFUNCTION("""COMPUTED_VALUE"""),42006.64583333333)</f>
        <v>42006.64583</v>
      </c>
      <c r="C2" s="2">
        <f>IFERROR(__xludf.DUMMYFUNCTION("""COMPUTED_VALUE"""),159.16)</f>
        <v>159.16</v>
      </c>
    </row>
    <row r="3">
      <c r="A3" s="2" t="s">
        <v>15</v>
      </c>
      <c r="B3" s="3">
        <f>IFERROR(__xludf.DUMMYFUNCTION("""COMPUTED_VALUE"""),42013.64583333333)</f>
        <v>42013.64583</v>
      </c>
      <c r="C3" s="2">
        <f>IFERROR(__xludf.DUMMYFUNCTION("""COMPUTED_VALUE"""),160.98)</f>
        <v>160.98</v>
      </c>
    </row>
    <row r="4">
      <c r="A4" s="2" t="s">
        <v>16</v>
      </c>
      <c r="B4" s="3">
        <f>IFERROR(__xludf.DUMMYFUNCTION("""COMPUTED_VALUE"""),42020.64583333333)</f>
        <v>42020.64583</v>
      </c>
      <c r="C4" s="2">
        <f>IFERROR(__xludf.DUMMYFUNCTION("""COMPUTED_VALUE"""),165.0)</f>
        <v>165</v>
      </c>
    </row>
    <row r="5">
      <c r="A5" s="2" t="s">
        <v>17</v>
      </c>
      <c r="B5" s="3">
        <f>IFERROR(__xludf.DUMMYFUNCTION("""COMPUTED_VALUE"""),42027.64583333333)</f>
        <v>42027.64583</v>
      </c>
      <c r="C5" s="2">
        <f>IFERROR(__xludf.DUMMYFUNCTION("""COMPUTED_VALUE"""),176.35)</f>
        <v>176.35</v>
      </c>
    </row>
    <row r="6">
      <c r="A6" s="2" t="s">
        <v>18</v>
      </c>
      <c r="B6" s="3">
        <f>IFERROR(__xludf.DUMMYFUNCTION("""COMPUTED_VALUE"""),42034.64583333333)</f>
        <v>42034.64583</v>
      </c>
      <c r="C6" s="2">
        <f>IFERROR(__xludf.DUMMYFUNCTION("""COMPUTED_VALUE"""),179.0)</f>
        <v>179</v>
      </c>
    </row>
    <row r="7">
      <c r="B7" s="3">
        <f>IFERROR(__xludf.DUMMYFUNCTION("""COMPUTED_VALUE"""),42041.64583333333)</f>
        <v>42041.64583</v>
      </c>
      <c r="C7" s="2">
        <f>IFERROR(__xludf.DUMMYFUNCTION("""COMPUTED_VALUE"""),171.79)</f>
        <v>171.79</v>
      </c>
    </row>
    <row r="8">
      <c r="B8" s="3">
        <f>IFERROR(__xludf.DUMMYFUNCTION("""COMPUTED_VALUE"""),42048.64583333333)</f>
        <v>42048.64583</v>
      </c>
      <c r="C8" s="2">
        <f>IFERROR(__xludf.DUMMYFUNCTION("""COMPUTED_VALUE"""),169.0)</f>
        <v>169</v>
      </c>
    </row>
    <row r="9">
      <c r="B9" s="3">
        <f>IFERROR(__xludf.DUMMYFUNCTION("""COMPUTED_VALUE"""),42055.64583333333)</f>
        <v>42055.64583</v>
      </c>
      <c r="C9" s="2">
        <f>IFERROR(__xludf.DUMMYFUNCTION("""COMPUTED_VALUE"""),167.91)</f>
        <v>167.91</v>
      </c>
    </row>
    <row r="10">
      <c r="B10" s="3">
        <f>IFERROR(__xludf.DUMMYFUNCTION("""COMPUTED_VALUE"""),42068.64583333333)</f>
        <v>42068.64583</v>
      </c>
      <c r="C10" s="2">
        <f>IFERROR(__xludf.DUMMYFUNCTION("""COMPUTED_VALUE"""),181.79)</f>
        <v>181.79</v>
      </c>
    </row>
    <row r="11">
      <c r="B11" s="3">
        <f>IFERROR(__xludf.DUMMYFUNCTION("""COMPUTED_VALUE"""),42076.64583333333)</f>
        <v>42076.64583</v>
      </c>
      <c r="C11" s="2">
        <f>IFERROR(__xludf.DUMMYFUNCTION("""COMPUTED_VALUE"""),169.76)</f>
        <v>169.76</v>
      </c>
    </row>
    <row r="12">
      <c r="B12" s="3">
        <f>IFERROR(__xludf.DUMMYFUNCTION("""COMPUTED_VALUE"""),42083.64583333333)</f>
        <v>42083.64583</v>
      </c>
      <c r="C12" s="2">
        <f>IFERROR(__xludf.DUMMYFUNCTION("""COMPUTED_VALUE"""),174.12)</f>
        <v>174.12</v>
      </c>
    </row>
    <row r="13">
      <c r="B13" s="3">
        <f>IFERROR(__xludf.DUMMYFUNCTION("""COMPUTED_VALUE"""),42090.64583333333)</f>
        <v>42090.64583</v>
      </c>
      <c r="C13" s="2">
        <f>IFERROR(__xludf.DUMMYFUNCTION("""COMPUTED_VALUE"""),167.8)</f>
        <v>167.8</v>
      </c>
    </row>
    <row r="14">
      <c r="B14" s="3">
        <f>IFERROR(__xludf.DUMMYFUNCTION("""COMPUTED_VALUE"""),42095.64583333333)</f>
        <v>42095.64583</v>
      </c>
      <c r="C14" s="2">
        <f>IFERROR(__xludf.DUMMYFUNCTION("""COMPUTED_VALUE"""),170.2)</f>
        <v>170.2</v>
      </c>
    </row>
    <row r="15">
      <c r="B15" s="3">
        <f>IFERROR(__xludf.DUMMYFUNCTION("""COMPUTED_VALUE"""),42104.64583333333)</f>
        <v>42104.64583</v>
      </c>
      <c r="C15" s="2">
        <f>IFERROR(__xludf.DUMMYFUNCTION("""COMPUTED_VALUE"""),171.56)</f>
        <v>171.56</v>
      </c>
    </row>
    <row r="16">
      <c r="B16" s="3">
        <f>IFERROR(__xludf.DUMMYFUNCTION("""COMPUTED_VALUE"""),42111.64583333333)</f>
        <v>42111.64583</v>
      </c>
      <c r="C16" s="2">
        <f>IFERROR(__xludf.DUMMYFUNCTION("""COMPUTED_VALUE"""),172.8)</f>
        <v>172.8</v>
      </c>
    </row>
    <row r="17">
      <c r="B17" s="3">
        <f>IFERROR(__xludf.DUMMYFUNCTION("""COMPUTED_VALUE"""),42118.64583333333)</f>
        <v>42118.64583</v>
      </c>
      <c r="C17" s="2">
        <f>IFERROR(__xludf.DUMMYFUNCTION("""COMPUTED_VALUE"""),171.0)</f>
        <v>171</v>
      </c>
    </row>
    <row r="18">
      <c r="B18" s="3">
        <f>IFERROR(__xludf.DUMMYFUNCTION("""COMPUTED_VALUE"""),42124.64583333333)</f>
        <v>42124.64583</v>
      </c>
      <c r="C18" s="2">
        <f>IFERROR(__xludf.DUMMYFUNCTION("""COMPUTED_VALUE"""),169.76)</f>
        <v>169.76</v>
      </c>
    </row>
    <row r="19">
      <c r="B19" s="3">
        <f>IFERROR(__xludf.DUMMYFUNCTION("""COMPUTED_VALUE"""),42132.64583333333)</f>
        <v>42132.64583</v>
      </c>
      <c r="C19" s="2">
        <f>IFERROR(__xludf.DUMMYFUNCTION("""COMPUTED_VALUE"""),173.11)</f>
        <v>173.11</v>
      </c>
    </row>
    <row r="20">
      <c r="B20" s="3">
        <f>IFERROR(__xludf.DUMMYFUNCTION("""COMPUTED_VALUE"""),42139.64583333333)</f>
        <v>42139.64583</v>
      </c>
      <c r="C20" s="2">
        <f>IFERROR(__xludf.DUMMYFUNCTION("""COMPUTED_VALUE"""),172.86)</f>
        <v>172.86</v>
      </c>
    </row>
    <row r="21" ht="15.75" customHeight="1">
      <c r="B21" s="3">
        <f>IFERROR(__xludf.DUMMYFUNCTION("""COMPUTED_VALUE"""),42146.64583333333)</f>
        <v>42146.64583</v>
      </c>
      <c r="C21" s="2">
        <f>IFERROR(__xludf.DUMMYFUNCTION("""COMPUTED_VALUE"""),175.8)</f>
        <v>175.8</v>
      </c>
    </row>
    <row r="22" ht="15.75" customHeight="1">
      <c r="B22" s="3">
        <f>IFERROR(__xludf.DUMMYFUNCTION("""COMPUTED_VALUE"""),42153.64583333333)</f>
        <v>42153.64583</v>
      </c>
      <c r="C22" s="2">
        <f>IFERROR(__xludf.DUMMYFUNCTION("""COMPUTED_VALUE"""),176.87)</f>
        <v>176.87</v>
      </c>
    </row>
    <row r="23" ht="15.75" customHeight="1">
      <c r="B23" s="3">
        <f>IFERROR(__xludf.DUMMYFUNCTION("""COMPUTED_VALUE"""),42160.64583333333)</f>
        <v>42160.64583</v>
      </c>
      <c r="C23" s="2">
        <f>IFERROR(__xludf.DUMMYFUNCTION("""COMPUTED_VALUE"""),179.5)</f>
        <v>179.5</v>
      </c>
    </row>
    <row r="24" ht="15.75" customHeight="1">
      <c r="B24" s="3">
        <f>IFERROR(__xludf.DUMMYFUNCTION("""COMPUTED_VALUE"""),42167.64583333333)</f>
        <v>42167.64583</v>
      </c>
      <c r="C24" s="2">
        <f>IFERROR(__xludf.DUMMYFUNCTION("""COMPUTED_VALUE"""),168.69)</f>
        <v>168.69</v>
      </c>
    </row>
    <row r="25" ht="15.75" customHeight="1">
      <c r="B25" s="3">
        <f>IFERROR(__xludf.DUMMYFUNCTION("""COMPUTED_VALUE"""),42174.64583333333)</f>
        <v>42174.64583</v>
      </c>
      <c r="C25" s="2">
        <f>IFERROR(__xludf.DUMMYFUNCTION("""COMPUTED_VALUE"""),166.95)</f>
        <v>166.95</v>
      </c>
    </row>
    <row r="26" ht="15.75" customHeight="1">
      <c r="B26" s="3">
        <f>IFERROR(__xludf.DUMMYFUNCTION("""COMPUTED_VALUE"""),42181.64583333333)</f>
        <v>42181.64583</v>
      </c>
      <c r="C26" s="2">
        <f>IFERROR(__xludf.DUMMYFUNCTION("""COMPUTED_VALUE"""),174.76)</f>
        <v>174.76</v>
      </c>
    </row>
    <row r="27" ht="15.75" customHeight="1">
      <c r="B27" s="3">
        <f>IFERROR(__xludf.DUMMYFUNCTION("""COMPUTED_VALUE"""),42188.64583333333)</f>
        <v>42188.64583</v>
      </c>
      <c r="C27" s="2">
        <f>IFERROR(__xludf.DUMMYFUNCTION("""COMPUTED_VALUE"""),175.6)</f>
        <v>175.6</v>
      </c>
    </row>
    <row r="28" ht="15.75" customHeight="1">
      <c r="B28" s="3">
        <f>IFERROR(__xludf.DUMMYFUNCTION("""COMPUTED_VALUE"""),42195.64583333333)</f>
        <v>42195.64583</v>
      </c>
      <c r="C28" s="2">
        <f>IFERROR(__xludf.DUMMYFUNCTION("""COMPUTED_VALUE"""),175.58)</f>
        <v>175.58</v>
      </c>
    </row>
    <row r="29" ht="15.75" customHeight="1">
      <c r="B29" s="3">
        <f>IFERROR(__xludf.DUMMYFUNCTION("""COMPUTED_VALUE"""),42202.64583333333)</f>
        <v>42202.64583</v>
      </c>
      <c r="C29" s="2">
        <f>IFERROR(__xludf.DUMMYFUNCTION("""COMPUTED_VALUE"""),167.2)</f>
        <v>167.2</v>
      </c>
    </row>
    <row r="30" ht="15.75" customHeight="1">
      <c r="B30" s="3">
        <f>IFERROR(__xludf.DUMMYFUNCTION("""COMPUTED_VALUE"""),42209.64583333333)</f>
        <v>42209.64583</v>
      </c>
      <c r="C30" s="2">
        <f>IFERROR(__xludf.DUMMYFUNCTION("""COMPUTED_VALUE"""),166.4)</f>
        <v>166.4</v>
      </c>
    </row>
    <row r="31" ht="15.75" customHeight="1">
      <c r="B31" s="3">
        <f>IFERROR(__xludf.DUMMYFUNCTION("""COMPUTED_VALUE"""),42216.64583333333)</f>
        <v>42216.64583</v>
      </c>
      <c r="C31" s="2">
        <f>IFERROR(__xludf.DUMMYFUNCTION("""COMPUTED_VALUE"""),168.16)</f>
        <v>168.16</v>
      </c>
    </row>
    <row r="32" ht="15.75" customHeight="1">
      <c r="B32" s="3">
        <f>IFERROR(__xludf.DUMMYFUNCTION("""COMPUTED_VALUE"""),42223.64583333333)</f>
        <v>42223.64583</v>
      </c>
      <c r="C32" s="2">
        <f>IFERROR(__xludf.DUMMYFUNCTION("""COMPUTED_VALUE"""),169.29)</f>
        <v>169.29</v>
      </c>
    </row>
    <row r="33" ht="15.75" customHeight="1">
      <c r="B33" s="3">
        <f>IFERROR(__xludf.DUMMYFUNCTION("""COMPUTED_VALUE"""),42230.64583333333)</f>
        <v>42230.64583</v>
      </c>
      <c r="C33" s="2">
        <f>IFERROR(__xludf.DUMMYFUNCTION("""COMPUTED_VALUE"""),166.86)</f>
        <v>166.86</v>
      </c>
    </row>
    <row r="34" ht="15.75" customHeight="1">
      <c r="B34" s="3">
        <f>IFERROR(__xludf.DUMMYFUNCTION("""COMPUTED_VALUE"""),42237.64583333333)</f>
        <v>42237.64583</v>
      </c>
      <c r="C34" s="2">
        <f>IFERROR(__xludf.DUMMYFUNCTION("""COMPUTED_VALUE"""),160.5)</f>
        <v>160.5</v>
      </c>
    </row>
    <row r="35" ht="15.75" customHeight="1">
      <c r="B35" s="3">
        <f>IFERROR(__xludf.DUMMYFUNCTION("""COMPUTED_VALUE"""),42244.64583333333)</f>
        <v>42244.64583</v>
      </c>
      <c r="C35" s="2">
        <f>IFERROR(__xludf.DUMMYFUNCTION("""COMPUTED_VALUE"""),141.0)</f>
        <v>141</v>
      </c>
    </row>
    <row r="36" ht="15.75" customHeight="1">
      <c r="B36" s="3">
        <f>IFERROR(__xludf.DUMMYFUNCTION("""COMPUTED_VALUE"""),42251.64583333333)</f>
        <v>42251.64583</v>
      </c>
      <c r="C36" s="2">
        <f>IFERROR(__xludf.DUMMYFUNCTION("""COMPUTED_VALUE"""),138.85)</f>
        <v>138.85</v>
      </c>
    </row>
    <row r="37" ht="15.75" customHeight="1">
      <c r="B37" s="3">
        <f>IFERROR(__xludf.DUMMYFUNCTION("""COMPUTED_VALUE"""),42258.64583333333)</f>
        <v>42258.64583</v>
      </c>
      <c r="C37" s="2">
        <f>IFERROR(__xludf.DUMMYFUNCTION("""COMPUTED_VALUE"""),145.27)</f>
        <v>145.27</v>
      </c>
    </row>
    <row r="38" ht="15.75" customHeight="1">
      <c r="B38" s="3">
        <f>IFERROR(__xludf.DUMMYFUNCTION("""COMPUTED_VALUE"""),42265.64583333333)</f>
        <v>42265.64583</v>
      </c>
      <c r="C38" s="2">
        <f>IFERROR(__xludf.DUMMYFUNCTION("""COMPUTED_VALUE"""),155.8)</f>
        <v>155.8</v>
      </c>
    </row>
    <row r="39" ht="15.75" customHeight="1">
      <c r="B39" s="3">
        <f>IFERROR(__xludf.DUMMYFUNCTION("""COMPUTED_VALUE"""),42271.64583333333)</f>
        <v>42271.64583</v>
      </c>
      <c r="C39" s="2">
        <f>IFERROR(__xludf.DUMMYFUNCTION("""COMPUTED_VALUE"""),154.76)</f>
        <v>154.76</v>
      </c>
    </row>
    <row r="40" ht="15.75" customHeight="1">
      <c r="B40" s="3">
        <f>IFERROR(__xludf.DUMMYFUNCTION("""COMPUTED_VALUE"""),42278.64583333333)</f>
        <v>42278.64583</v>
      </c>
      <c r="C40" s="2">
        <f>IFERROR(__xludf.DUMMYFUNCTION("""COMPUTED_VALUE"""),150.87)</f>
        <v>150.87</v>
      </c>
    </row>
    <row r="41" ht="15.75" customHeight="1">
      <c r="B41" s="3">
        <f>IFERROR(__xludf.DUMMYFUNCTION("""COMPUTED_VALUE"""),42286.64583333333)</f>
        <v>42286.64583</v>
      </c>
      <c r="C41" s="2">
        <f>IFERROR(__xludf.DUMMYFUNCTION("""COMPUTED_VALUE"""),151.32)</f>
        <v>151.32</v>
      </c>
    </row>
    <row r="42" ht="15.75" customHeight="1">
      <c r="B42" s="3">
        <f>IFERROR(__xludf.DUMMYFUNCTION("""COMPUTED_VALUE"""),42293.64583333333)</f>
        <v>42293.64583</v>
      </c>
      <c r="C42" s="2">
        <f>IFERROR(__xludf.DUMMYFUNCTION("""COMPUTED_VALUE"""),154.94)</f>
        <v>154.94</v>
      </c>
    </row>
    <row r="43" ht="15.75" customHeight="1">
      <c r="B43" s="3">
        <f>IFERROR(__xludf.DUMMYFUNCTION("""COMPUTED_VALUE"""),42300.64583333333)</f>
        <v>42300.64583</v>
      </c>
      <c r="C43" s="2">
        <f>IFERROR(__xludf.DUMMYFUNCTION("""COMPUTED_VALUE"""),156.0)</f>
        <v>156</v>
      </c>
    </row>
    <row r="44" ht="15.75" customHeight="1">
      <c r="B44" s="3">
        <f>IFERROR(__xludf.DUMMYFUNCTION("""COMPUTED_VALUE"""),42307.64583333333)</f>
        <v>42307.64583</v>
      </c>
      <c r="C44" s="2">
        <f>IFERROR(__xludf.DUMMYFUNCTION("""COMPUTED_VALUE"""),155.2)</f>
        <v>155.2</v>
      </c>
    </row>
    <row r="45" ht="15.75" customHeight="1">
      <c r="B45" s="3">
        <f>IFERROR(__xludf.DUMMYFUNCTION("""COMPUTED_VALUE"""),42314.64583333333)</f>
        <v>42314.64583</v>
      </c>
      <c r="C45" s="2">
        <f>IFERROR(__xludf.DUMMYFUNCTION("""COMPUTED_VALUE"""),158.0)</f>
        <v>158</v>
      </c>
    </row>
    <row r="46" ht="15.75" customHeight="1">
      <c r="B46" s="3">
        <f>IFERROR(__xludf.DUMMYFUNCTION("""COMPUTED_VALUE"""),42321.64583333333)</f>
        <v>42321.64583</v>
      </c>
      <c r="C46" s="2">
        <f>IFERROR(__xludf.DUMMYFUNCTION("""COMPUTED_VALUE"""),153.64)</f>
        <v>153.64</v>
      </c>
    </row>
    <row r="47" ht="15.75" customHeight="1">
      <c r="B47" s="3">
        <f>IFERROR(__xludf.DUMMYFUNCTION("""COMPUTED_VALUE"""),42328.64583333333)</f>
        <v>42328.64583</v>
      </c>
      <c r="C47" s="2">
        <f>IFERROR(__xludf.DUMMYFUNCTION("""COMPUTED_VALUE"""),151.48)</f>
        <v>151.48</v>
      </c>
    </row>
    <row r="48" ht="15.75" customHeight="1">
      <c r="B48" s="3">
        <f>IFERROR(__xludf.DUMMYFUNCTION("""COMPUTED_VALUE"""),42335.64583333333)</f>
        <v>42335.64583</v>
      </c>
      <c r="C48" s="2">
        <f>IFERROR(__xludf.DUMMYFUNCTION("""COMPUTED_VALUE"""),153.94)</f>
        <v>153.94</v>
      </c>
    </row>
    <row r="49" ht="15.75" customHeight="1">
      <c r="B49" s="3">
        <f>IFERROR(__xludf.DUMMYFUNCTION("""COMPUTED_VALUE"""),42342.64583333333)</f>
        <v>42342.64583</v>
      </c>
      <c r="C49" s="2">
        <f>IFERROR(__xludf.DUMMYFUNCTION("""COMPUTED_VALUE"""),154.4)</f>
        <v>154.4</v>
      </c>
    </row>
    <row r="50" ht="15.75" customHeight="1">
      <c r="B50" s="3">
        <f>IFERROR(__xludf.DUMMYFUNCTION("""COMPUTED_VALUE"""),42349.64583333333)</f>
        <v>42349.64583</v>
      </c>
      <c r="C50" s="2">
        <f>IFERROR(__xludf.DUMMYFUNCTION("""COMPUTED_VALUE"""),149.18)</f>
        <v>149.18</v>
      </c>
    </row>
    <row r="51" ht="15.75" customHeight="1">
      <c r="B51" s="3">
        <f>IFERROR(__xludf.DUMMYFUNCTION("""COMPUTED_VALUE"""),42356.64583333333)</f>
        <v>42356.64583</v>
      </c>
      <c r="C51" s="2">
        <f>IFERROR(__xludf.DUMMYFUNCTION("""COMPUTED_VALUE"""),145.49)</f>
        <v>145.49</v>
      </c>
    </row>
    <row r="52" ht="15.75" customHeight="1">
      <c r="B52" s="3">
        <f>IFERROR(__xludf.DUMMYFUNCTION("""COMPUTED_VALUE"""),42362.64583333333)</f>
        <v>42362.64583</v>
      </c>
      <c r="C52" s="2">
        <f>IFERROR(__xludf.DUMMYFUNCTION("""COMPUTED_VALUE"""),145.88)</f>
        <v>145.88</v>
      </c>
    </row>
    <row r="53" ht="15.75" customHeight="1">
      <c r="B53" s="3">
        <f>IFERROR(__xludf.DUMMYFUNCTION("""COMPUTED_VALUE"""),42370.64583333333)</f>
        <v>42370.64583</v>
      </c>
      <c r="C53" s="2">
        <f>IFERROR(__xludf.DUMMYFUNCTION("""COMPUTED_VALUE"""),147.38)</f>
        <v>147.38</v>
      </c>
    </row>
    <row r="54" ht="15.75" customHeight="1"/>
    <row r="55" ht="15.75" customHeight="1"/>
    <row r="56" ht="15.75" customHeight="1">
      <c r="B56" s="2" t="str">
        <f>IFERROR(__xludf.DUMMYFUNCTION("GOOGLEFINANCE(""NSE:YESBANK"", ""high"",DATE(2016,1,1),DATE(2017,1,1),""weekly"")"),"Date")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IFERROR(__xludf.DUMMYFUNCTION("""COMPUTED_VALUE"""),42377.64583333333)</f>
        <v>42377.64583</v>
      </c>
      <c r="C57" s="2">
        <f>IFERROR(__xludf.DUMMYFUNCTION("""COMPUTED_VALUE"""),145.98)</f>
        <v>145.98</v>
      </c>
    </row>
    <row r="58" ht="15.75" customHeight="1">
      <c r="B58" s="3">
        <f>IFERROR(__xludf.DUMMYFUNCTION("""COMPUTED_VALUE"""),42384.64583333333)</f>
        <v>42384.64583</v>
      </c>
      <c r="C58" s="2">
        <f>IFERROR(__xludf.DUMMYFUNCTION("""COMPUTED_VALUE"""),140.93)</f>
        <v>140.93</v>
      </c>
    </row>
    <row r="59" ht="15.75" customHeight="1">
      <c r="B59" s="3">
        <f>IFERROR(__xludf.DUMMYFUNCTION("""COMPUTED_VALUE"""),42391.64583333333)</f>
        <v>42391.64583</v>
      </c>
      <c r="C59" s="2">
        <f>IFERROR(__xludf.DUMMYFUNCTION("""COMPUTED_VALUE"""),137.94)</f>
        <v>137.94</v>
      </c>
    </row>
    <row r="60" ht="15.75" customHeight="1">
      <c r="B60" s="3">
        <f>IFERROR(__xludf.DUMMYFUNCTION("""COMPUTED_VALUE"""),42398.64583333333)</f>
        <v>42398.64583</v>
      </c>
      <c r="C60" s="2">
        <f>IFERROR(__xludf.DUMMYFUNCTION("""COMPUTED_VALUE"""),149.9)</f>
        <v>149.9</v>
      </c>
    </row>
    <row r="61" ht="15.75" customHeight="1">
      <c r="B61" s="3">
        <f>IFERROR(__xludf.DUMMYFUNCTION("""COMPUTED_VALUE"""),42405.64583333333)</f>
        <v>42405.64583</v>
      </c>
      <c r="C61" s="2">
        <f>IFERROR(__xludf.DUMMYFUNCTION("""COMPUTED_VALUE"""),157.8)</f>
        <v>157.8</v>
      </c>
    </row>
    <row r="62" ht="15.75" customHeight="1">
      <c r="B62" s="3">
        <f>IFERROR(__xludf.DUMMYFUNCTION("""COMPUTED_VALUE"""),42412.64583333333)</f>
        <v>42412.64583</v>
      </c>
      <c r="C62" s="2">
        <f>IFERROR(__xludf.DUMMYFUNCTION("""COMPUTED_VALUE"""),157.9)</f>
        <v>157.9</v>
      </c>
    </row>
    <row r="63" ht="15.75" customHeight="1">
      <c r="B63" s="3">
        <f>IFERROR(__xludf.DUMMYFUNCTION("""COMPUTED_VALUE"""),42419.64583333333)</f>
        <v>42419.64583</v>
      </c>
      <c r="C63" s="2">
        <f>IFERROR(__xludf.DUMMYFUNCTION("""COMPUTED_VALUE"""),152.36)</f>
        <v>152.36</v>
      </c>
    </row>
    <row r="64" ht="15.75" customHeight="1">
      <c r="B64" s="3">
        <f>IFERROR(__xludf.DUMMYFUNCTION("""COMPUTED_VALUE"""),42426.64583333333)</f>
        <v>42426.64583</v>
      </c>
      <c r="C64" s="2">
        <f>IFERROR(__xludf.DUMMYFUNCTION("""COMPUTED_VALUE"""),144.1)</f>
        <v>144.1</v>
      </c>
    </row>
    <row r="65" ht="15.75" customHeight="1">
      <c r="B65" s="3">
        <f>IFERROR(__xludf.DUMMYFUNCTION("""COMPUTED_VALUE"""),42433.64583333333)</f>
        <v>42433.64583</v>
      </c>
      <c r="C65" s="2">
        <f>IFERROR(__xludf.DUMMYFUNCTION("""COMPUTED_VALUE"""),153.9)</f>
        <v>153.9</v>
      </c>
    </row>
    <row r="66" ht="15.75" customHeight="1">
      <c r="B66" s="3">
        <f>IFERROR(__xludf.DUMMYFUNCTION("""COMPUTED_VALUE"""),42440.64583333333)</f>
        <v>42440.64583</v>
      </c>
      <c r="C66" s="2">
        <f>IFERROR(__xludf.DUMMYFUNCTION("""COMPUTED_VALUE"""),160.96)</f>
        <v>160.96</v>
      </c>
    </row>
    <row r="67" ht="15.75" customHeight="1">
      <c r="B67" s="3">
        <f>IFERROR(__xludf.DUMMYFUNCTION("""COMPUTED_VALUE"""),42447.64583333333)</f>
        <v>42447.64583</v>
      </c>
      <c r="C67" s="2">
        <f>IFERROR(__xludf.DUMMYFUNCTION("""COMPUTED_VALUE"""),163.76)</f>
        <v>163.76</v>
      </c>
    </row>
    <row r="68" ht="15.75" customHeight="1">
      <c r="B68" s="3">
        <f>IFERROR(__xludf.DUMMYFUNCTION("""COMPUTED_VALUE"""),42452.64583333333)</f>
        <v>42452.64583</v>
      </c>
      <c r="C68" s="2">
        <f>IFERROR(__xludf.DUMMYFUNCTION("""COMPUTED_VALUE"""),170.37)</f>
        <v>170.37</v>
      </c>
    </row>
    <row r="69" ht="15.75" customHeight="1">
      <c r="B69" s="3">
        <f>IFERROR(__xludf.DUMMYFUNCTION("""COMPUTED_VALUE"""),42461.64583333333)</f>
        <v>42461.64583</v>
      </c>
      <c r="C69" s="2">
        <f>IFERROR(__xludf.DUMMYFUNCTION("""COMPUTED_VALUE"""),175.0)</f>
        <v>175</v>
      </c>
    </row>
    <row r="70" ht="15.75" customHeight="1">
      <c r="B70" s="3">
        <f>IFERROR(__xludf.DUMMYFUNCTION("""COMPUTED_VALUE"""),42468.64583333333)</f>
        <v>42468.64583</v>
      </c>
      <c r="C70" s="2">
        <f>IFERROR(__xludf.DUMMYFUNCTION("""COMPUTED_VALUE"""),173.98)</f>
        <v>173.98</v>
      </c>
    </row>
    <row r="71" ht="15.75" customHeight="1">
      <c r="B71" s="3">
        <f>IFERROR(__xludf.DUMMYFUNCTION("""COMPUTED_VALUE"""),42473.64583333333)</f>
        <v>42473.64583</v>
      </c>
      <c r="C71" s="2">
        <f>IFERROR(__xludf.DUMMYFUNCTION("""COMPUTED_VALUE"""),175.0)</f>
        <v>175</v>
      </c>
    </row>
    <row r="72" ht="15.75" customHeight="1">
      <c r="B72" s="3">
        <f>IFERROR(__xludf.DUMMYFUNCTION("""COMPUTED_VALUE"""),42482.64583333333)</f>
        <v>42482.64583</v>
      </c>
      <c r="C72" s="2">
        <f>IFERROR(__xludf.DUMMYFUNCTION("""COMPUTED_VALUE"""),179.65)</f>
        <v>179.65</v>
      </c>
    </row>
    <row r="73" ht="15.75" customHeight="1">
      <c r="B73" s="3">
        <f>IFERROR(__xludf.DUMMYFUNCTION("""COMPUTED_VALUE"""),42489.64583333333)</f>
        <v>42489.64583</v>
      </c>
      <c r="C73" s="2">
        <f>IFERROR(__xludf.DUMMYFUNCTION("""COMPUTED_VALUE"""),190.49)</f>
        <v>190.49</v>
      </c>
    </row>
    <row r="74" ht="15.75" customHeight="1">
      <c r="B74" s="3">
        <f>IFERROR(__xludf.DUMMYFUNCTION("""COMPUTED_VALUE"""),42496.64583333333)</f>
        <v>42496.64583</v>
      </c>
      <c r="C74" s="2">
        <f>IFERROR(__xludf.DUMMYFUNCTION("""COMPUTED_VALUE"""),191.52)</f>
        <v>191.52</v>
      </c>
    </row>
    <row r="75" ht="15.75" customHeight="1">
      <c r="B75" s="3">
        <f>IFERROR(__xludf.DUMMYFUNCTION("""COMPUTED_VALUE"""),42503.64583333333)</f>
        <v>42503.64583</v>
      </c>
      <c r="C75" s="2">
        <f>IFERROR(__xludf.DUMMYFUNCTION("""COMPUTED_VALUE"""),193.48)</f>
        <v>193.48</v>
      </c>
    </row>
    <row r="76" ht="15.75" customHeight="1">
      <c r="B76" s="3">
        <f>IFERROR(__xludf.DUMMYFUNCTION("""COMPUTED_VALUE"""),42510.64583333333)</f>
        <v>42510.64583</v>
      </c>
      <c r="C76" s="2">
        <f>IFERROR(__xludf.DUMMYFUNCTION("""COMPUTED_VALUE"""),199.97)</f>
        <v>199.97</v>
      </c>
    </row>
    <row r="77" ht="15.75" customHeight="1">
      <c r="B77" s="3">
        <f>IFERROR(__xludf.DUMMYFUNCTION("""COMPUTED_VALUE"""),42517.64583333333)</f>
        <v>42517.64583</v>
      </c>
      <c r="C77" s="2">
        <f>IFERROR(__xludf.DUMMYFUNCTION("""COMPUTED_VALUE"""),208.36)</f>
        <v>208.36</v>
      </c>
    </row>
    <row r="78" ht="15.75" customHeight="1">
      <c r="B78" s="3">
        <f>IFERROR(__xludf.DUMMYFUNCTION("""COMPUTED_VALUE"""),42524.64583333333)</f>
        <v>42524.64583</v>
      </c>
      <c r="C78" s="2">
        <f>IFERROR(__xludf.DUMMYFUNCTION("""COMPUTED_VALUE"""),211.96)</f>
        <v>211.96</v>
      </c>
    </row>
    <row r="79" ht="15.75" customHeight="1">
      <c r="B79" s="3">
        <f>IFERROR(__xludf.DUMMYFUNCTION("""COMPUTED_VALUE"""),42531.64583333333)</f>
        <v>42531.64583</v>
      </c>
      <c r="C79" s="2">
        <f>IFERROR(__xludf.DUMMYFUNCTION("""COMPUTED_VALUE"""),217.07)</f>
        <v>217.07</v>
      </c>
    </row>
    <row r="80" ht="15.75" customHeight="1">
      <c r="B80" s="3">
        <f>IFERROR(__xludf.DUMMYFUNCTION("""COMPUTED_VALUE"""),42538.64583333333)</f>
        <v>42538.64583</v>
      </c>
      <c r="C80" s="2">
        <f>IFERROR(__xludf.DUMMYFUNCTION("""COMPUTED_VALUE"""),215.0)</f>
        <v>215</v>
      </c>
    </row>
    <row r="81" ht="15.75" customHeight="1">
      <c r="B81" s="3">
        <f>IFERROR(__xludf.DUMMYFUNCTION("""COMPUTED_VALUE"""),42545.64583333333)</f>
        <v>42545.64583</v>
      </c>
      <c r="C81" s="2">
        <f>IFERROR(__xludf.DUMMYFUNCTION("""COMPUTED_VALUE"""),223.0)</f>
        <v>223</v>
      </c>
    </row>
    <row r="82" ht="15.75" customHeight="1">
      <c r="B82" s="3">
        <f>IFERROR(__xludf.DUMMYFUNCTION("""COMPUTED_VALUE"""),42552.64583333333)</f>
        <v>42552.64583</v>
      </c>
      <c r="C82" s="2">
        <f>IFERROR(__xludf.DUMMYFUNCTION("""COMPUTED_VALUE"""),226.8)</f>
        <v>226.8</v>
      </c>
    </row>
    <row r="83" ht="15.75" customHeight="1">
      <c r="B83" s="3">
        <f>IFERROR(__xludf.DUMMYFUNCTION("""COMPUTED_VALUE"""),42559.64583333333)</f>
        <v>42559.64583</v>
      </c>
      <c r="C83" s="2">
        <f>IFERROR(__xludf.DUMMYFUNCTION("""COMPUTED_VALUE"""),228.0)</f>
        <v>228</v>
      </c>
    </row>
    <row r="84" ht="15.75" customHeight="1">
      <c r="B84" s="3">
        <f>IFERROR(__xludf.DUMMYFUNCTION("""COMPUTED_VALUE"""),42566.64583333333)</f>
        <v>42566.64583</v>
      </c>
      <c r="C84" s="2">
        <f>IFERROR(__xludf.DUMMYFUNCTION("""COMPUTED_VALUE"""),237.24)</f>
        <v>237.24</v>
      </c>
    </row>
    <row r="85" ht="15.75" customHeight="1">
      <c r="B85" s="3">
        <f>IFERROR(__xludf.DUMMYFUNCTION("""COMPUTED_VALUE"""),42573.64583333333)</f>
        <v>42573.64583</v>
      </c>
      <c r="C85" s="2">
        <f>IFERROR(__xludf.DUMMYFUNCTION("""COMPUTED_VALUE"""),236.89)</f>
        <v>236.89</v>
      </c>
    </row>
    <row r="86" ht="15.75" customHeight="1">
      <c r="B86" s="3">
        <f>IFERROR(__xludf.DUMMYFUNCTION("""COMPUTED_VALUE"""),42580.64583333333)</f>
        <v>42580.64583</v>
      </c>
      <c r="C86" s="2">
        <f>IFERROR(__xludf.DUMMYFUNCTION("""COMPUTED_VALUE"""),247.2)</f>
        <v>247.2</v>
      </c>
    </row>
    <row r="87" ht="15.75" customHeight="1">
      <c r="B87" s="3">
        <f>IFERROR(__xludf.DUMMYFUNCTION("""COMPUTED_VALUE"""),42587.64583333333)</f>
        <v>42587.64583</v>
      </c>
      <c r="C87" s="2">
        <f>IFERROR(__xludf.DUMMYFUNCTION("""COMPUTED_VALUE"""),252.6)</f>
        <v>252.6</v>
      </c>
    </row>
    <row r="88" ht="15.75" customHeight="1">
      <c r="B88" s="3">
        <f>IFERROR(__xludf.DUMMYFUNCTION("""COMPUTED_VALUE"""),42594.64583333333)</f>
        <v>42594.64583</v>
      </c>
      <c r="C88" s="2">
        <f>IFERROR(__xludf.DUMMYFUNCTION("""COMPUTED_VALUE"""),258.8)</f>
        <v>258.8</v>
      </c>
    </row>
    <row r="89" ht="15.75" customHeight="1">
      <c r="B89" s="3">
        <f>IFERROR(__xludf.DUMMYFUNCTION("""COMPUTED_VALUE"""),42601.64583333333)</f>
        <v>42601.64583</v>
      </c>
      <c r="C89" s="2">
        <f>IFERROR(__xludf.DUMMYFUNCTION("""COMPUTED_VALUE"""),267.8)</f>
        <v>267.8</v>
      </c>
    </row>
    <row r="90" ht="15.75" customHeight="1">
      <c r="B90" s="3">
        <f>IFERROR(__xludf.DUMMYFUNCTION("""COMPUTED_VALUE"""),42608.64583333333)</f>
        <v>42608.64583</v>
      </c>
      <c r="C90" s="2">
        <f>IFERROR(__xludf.DUMMYFUNCTION("""COMPUTED_VALUE"""),270.27)</f>
        <v>270.27</v>
      </c>
    </row>
    <row r="91" ht="15.75" customHeight="1">
      <c r="B91" s="3">
        <f>IFERROR(__xludf.DUMMYFUNCTION("""COMPUTED_VALUE"""),42615.64583333333)</f>
        <v>42615.64583</v>
      </c>
      <c r="C91" s="2">
        <f>IFERROR(__xludf.DUMMYFUNCTION("""COMPUTED_VALUE"""),278.85)</f>
        <v>278.85</v>
      </c>
    </row>
    <row r="92" ht="15.75" customHeight="1">
      <c r="B92" s="3">
        <f>IFERROR(__xludf.DUMMYFUNCTION("""COMPUTED_VALUE"""),42622.64583333333)</f>
        <v>42622.64583</v>
      </c>
      <c r="C92" s="2">
        <f>IFERROR(__xludf.DUMMYFUNCTION("""COMPUTED_VALUE"""),289.8)</f>
        <v>289.8</v>
      </c>
    </row>
    <row r="93" ht="15.75" customHeight="1">
      <c r="B93" s="3">
        <f>IFERROR(__xludf.DUMMYFUNCTION("""COMPUTED_VALUE"""),42629.64583333333)</f>
        <v>42629.64583</v>
      </c>
      <c r="C93" s="2">
        <f>IFERROR(__xludf.DUMMYFUNCTION("""COMPUTED_VALUE"""),251.39)</f>
        <v>251.39</v>
      </c>
    </row>
    <row r="94" ht="15.75" customHeight="1">
      <c r="B94" s="3">
        <f>IFERROR(__xludf.DUMMYFUNCTION("""COMPUTED_VALUE"""),42636.64583333333)</f>
        <v>42636.64583</v>
      </c>
      <c r="C94" s="2">
        <f>IFERROR(__xludf.DUMMYFUNCTION("""COMPUTED_VALUE"""),251.8)</f>
        <v>251.8</v>
      </c>
    </row>
    <row r="95" ht="15.75" customHeight="1">
      <c r="B95" s="3">
        <f>IFERROR(__xludf.DUMMYFUNCTION("""COMPUTED_VALUE"""),42643.64583333333)</f>
        <v>42643.64583</v>
      </c>
      <c r="C95" s="2">
        <f>IFERROR(__xludf.DUMMYFUNCTION("""COMPUTED_VALUE"""),260.99)</f>
        <v>260.99</v>
      </c>
    </row>
    <row r="96" ht="15.75" customHeight="1">
      <c r="B96" s="3">
        <f>IFERROR(__xludf.DUMMYFUNCTION("""COMPUTED_VALUE"""),42650.64583333333)</f>
        <v>42650.64583</v>
      </c>
      <c r="C96" s="2">
        <f>IFERROR(__xludf.DUMMYFUNCTION("""COMPUTED_VALUE"""),259.5)</f>
        <v>259.5</v>
      </c>
    </row>
    <row r="97" ht="15.75" customHeight="1">
      <c r="B97" s="3">
        <f>IFERROR(__xludf.DUMMYFUNCTION("""COMPUTED_VALUE"""),42657.64583333333)</f>
        <v>42657.64583</v>
      </c>
      <c r="C97" s="2">
        <f>IFERROR(__xludf.DUMMYFUNCTION("""COMPUTED_VALUE"""),258.0)</f>
        <v>258</v>
      </c>
    </row>
    <row r="98" ht="15.75" customHeight="1">
      <c r="B98" s="3">
        <f>IFERROR(__xludf.DUMMYFUNCTION("""COMPUTED_VALUE"""),42664.64583333333)</f>
        <v>42664.64583</v>
      </c>
      <c r="C98" s="2">
        <f>IFERROR(__xludf.DUMMYFUNCTION("""COMPUTED_VALUE"""),264.73)</f>
        <v>264.73</v>
      </c>
    </row>
    <row r="99" ht="15.75" customHeight="1">
      <c r="B99" s="3">
        <f>IFERROR(__xludf.DUMMYFUNCTION("""COMPUTED_VALUE"""),42671.64583333333)</f>
        <v>42671.64583</v>
      </c>
      <c r="C99" s="2">
        <f>IFERROR(__xludf.DUMMYFUNCTION("""COMPUTED_VALUE"""),265.59)</f>
        <v>265.59</v>
      </c>
    </row>
    <row r="100" ht="15.75" customHeight="1">
      <c r="B100" s="3">
        <f>IFERROR(__xludf.DUMMYFUNCTION("""COMPUTED_VALUE"""),42678.64583333333)</f>
        <v>42678.64583</v>
      </c>
      <c r="C100" s="2">
        <f>IFERROR(__xludf.DUMMYFUNCTION("""COMPUTED_VALUE"""),255.79)</f>
        <v>255.79</v>
      </c>
    </row>
    <row r="101" ht="15.75" customHeight="1">
      <c r="B101" s="3">
        <f>IFERROR(__xludf.DUMMYFUNCTION("""COMPUTED_VALUE"""),42685.64583333333)</f>
        <v>42685.64583</v>
      </c>
      <c r="C101" s="2">
        <f>IFERROR(__xludf.DUMMYFUNCTION("""COMPUTED_VALUE"""),262.6)</f>
        <v>262.6</v>
      </c>
    </row>
    <row r="102" ht="15.75" customHeight="1">
      <c r="B102" s="3">
        <f>IFERROR(__xludf.DUMMYFUNCTION("""COMPUTED_VALUE"""),42692.64583333333)</f>
        <v>42692.64583</v>
      </c>
      <c r="C102" s="2">
        <f>IFERROR(__xludf.DUMMYFUNCTION("""COMPUTED_VALUE"""),243.6)</f>
        <v>243.6</v>
      </c>
    </row>
    <row r="103" ht="15.75" customHeight="1">
      <c r="B103" s="3">
        <f>IFERROR(__xludf.DUMMYFUNCTION("""COMPUTED_VALUE"""),42699.64583333333)</f>
        <v>42699.64583</v>
      </c>
      <c r="C103" s="2">
        <f>IFERROR(__xludf.DUMMYFUNCTION("""COMPUTED_VALUE"""),238.29)</f>
        <v>238.29</v>
      </c>
    </row>
    <row r="104" ht="15.75" customHeight="1">
      <c r="B104" s="3">
        <f>IFERROR(__xludf.DUMMYFUNCTION("""COMPUTED_VALUE"""),42706.64583333333)</f>
        <v>42706.64583</v>
      </c>
      <c r="C104" s="2">
        <f>IFERROR(__xludf.DUMMYFUNCTION("""COMPUTED_VALUE"""),236.95)</f>
        <v>236.95</v>
      </c>
    </row>
    <row r="105" ht="15.75" customHeight="1">
      <c r="B105" s="3">
        <f>IFERROR(__xludf.DUMMYFUNCTION("""COMPUTED_VALUE"""),42713.64583333333)</f>
        <v>42713.64583</v>
      </c>
      <c r="C105" s="2">
        <f>IFERROR(__xludf.DUMMYFUNCTION("""COMPUTED_VALUE"""),245.0)</f>
        <v>245</v>
      </c>
    </row>
    <row r="106" ht="15.75" customHeight="1">
      <c r="B106" s="3">
        <f>IFERROR(__xludf.DUMMYFUNCTION("""COMPUTED_VALUE"""),42720.64583333333)</f>
        <v>42720.64583</v>
      </c>
      <c r="C106" s="2">
        <f>IFERROR(__xludf.DUMMYFUNCTION("""COMPUTED_VALUE"""),243.6)</f>
        <v>243.6</v>
      </c>
    </row>
    <row r="107" ht="15.75" customHeight="1">
      <c r="B107" s="3">
        <f>IFERROR(__xludf.DUMMYFUNCTION("""COMPUTED_VALUE"""),42727.64583333333)</f>
        <v>42727.64583</v>
      </c>
      <c r="C107" s="2">
        <f>IFERROR(__xludf.DUMMYFUNCTION("""COMPUTED_VALUE"""),237.57)</f>
        <v>237.57</v>
      </c>
    </row>
    <row r="108" ht="15.75" customHeight="1">
      <c r="B108" s="3">
        <f>IFERROR(__xludf.DUMMYFUNCTION("""COMPUTED_VALUE"""),42734.64583333333)</f>
        <v>42734.64583</v>
      </c>
      <c r="C108" s="2">
        <f>IFERROR(__xludf.DUMMYFUNCTION("""COMPUTED_VALUE"""),232.25)</f>
        <v>232.25</v>
      </c>
    </row>
    <row r="109" ht="15.75" customHeight="1"/>
    <row r="110" ht="15.75" customHeight="1"/>
    <row r="111" ht="15.75" customHeight="1">
      <c r="B111" s="2" t="str">
        <f>IFERROR(__xludf.DUMMYFUNCTION("GOOGLEFINANCE(""NSE:YESBANK"", ""high"",DATE(2017,1,1),DATE(2018,1,1),""weekly"")"),"Date")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IFERROR(__xludf.DUMMYFUNCTION("""COMPUTED_VALUE"""),42741.64583333333)</f>
        <v>42741.64583</v>
      </c>
      <c r="C112" s="2">
        <f>IFERROR(__xludf.DUMMYFUNCTION("""COMPUTED_VALUE"""),250.38)</f>
        <v>250.38</v>
      </c>
    </row>
    <row r="113" ht="15.75" customHeight="1">
      <c r="B113" s="3">
        <f>IFERROR(__xludf.DUMMYFUNCTION("""COMPUTED_VALUE"""),42748.64583333333)</f>
        <v>42748.64583</v>
      </c>
      <c r="C113" s="2">
        <f>IFERROR(__xludf.DUMMYFUNCTION("""COMPUTED_VALUE"""),268.7)</f>
        <v>268.7</v>
      </c>
    </row>
    <row r="114" ht="15.75" customHeight="1">
      <c r="B114" s="3">
        <f>IFERROR(__xludf.DUMMYFUNCTION("""COMPUTED_VALUE"""),42755.64583333333)</f>
        <v>42755.64583</v>
      </c>
      <c r="C114" s="2">
        <f>IFERROR(__xludf.DUMMYFUNCTION("""COMPUTED_VALUE"""),275.74)</f>
        <v>275.74</v>
      </c>
    </row>
    <row r="115" ht="15.75" customHeight="1">
      <c r="B115" s="3">
        <f>IFERROR(__xludf.DUMMYFUNCTION("""COMPUTED_VALUE"""),42762.64583333333)</f>
        <v>42762.64583</v>
      </c>
      <c r="C115" s="2">
        <f>IFERROR(__xludf.DUMMYFUNCTION("""COMPUTED_VALUE"""),284.3)</f>
        <v>284.3</v>
      </c>
    </row>
    <row r="116" ht="15.75" customHeight="1">
      <c r="B116" s="3">
        <f>IFERROR(__xludf.DUMMYFUNCTION("""COMPUTED_VALUE"""),42769.64583333333)</f>
        <v>42769.64583</v>
      </c>
      <c r="C116" s="2">
        <f>IFERROR(__xludf.DUMMYFUNCTION("""COMPUTED_VALUE"""),283.8)</f>
        <v>283.8</v>
      </c>
    </row>
    <row r="117" ht="15.75" customHeight="1">
      <c r="B117" s="3">
        <f>IFERROR(__xludf.DUMMYFUNCTION("""COMPUTED_VALUE"""),42776.64583333333)</f>
        <v>42776.64583</v>
      </c>
      <c r="C117" s="2">
        <f>IFERROR(__xludf.DUMMYFUNCTION("""COMPUTED_VALUE"""),284.65)</f>
        <v>284.65</v>
      </c>
    </row>
    <row r="118" ht="15.75" customHeight="1">
      <c r="B118" s="3">
        <f>IFERROR(__xludf.DUMMYFUNCTION("""COMPUTED_VALUE"""),42783.64583333333)</f>
        <v>42783.64583</v>
      </c>
      <c r="C118" s="2">
        <f>IFERROR(__xludf.DUMMYFUNCTION("""COMPUTED_VALUE"""),294.36)</f>
        <v>294.36</v>
      </c>
    </row>
    <row r="119" ht="15.75" customHeight="1">
      <c r="B119" s="3">
        <f>IFERROR(__xludf.DUMMYFUNCTION("""COMPUTED_VALUE"""),42789.64583333333)</f>
        <v>42789.64583</v>
      </c>
      <c r="C119" s="2">
        <f>IFERROR(__xludf.DUMMYFUNCTION("""COMPUTED_VALUE"""),291.71)</f>
        <v>291.71</v>
      </c>
    </row>
    <row r="120" ht="15.75" customHeight="1">
      <c r="B120" s="3">
        <f>IFERROR(__xludf.DUMMYFUNCTION("""COMPUTED_VALUE"""),42797.64583333333)</f>
        <v>42797.64583</v>
      </c>
      <c r="C120" s="2">
        <f>IFERROR(__xludf.DUMMYFUNCTION("""COMPUTED_VALUE"""),293.3)</f>
        <v>293.3</v>
      </c>
    </row>
    <row r="121" ht="15.75" customHeight="1">
      <c r="B121" s="3">
        <f>IFERROR(__xludf.DUMMYFUNCTION("""COMPUTED_VALUE"""),42804.64583333333)</f>
        <v>42804.64583</v>
      </c>
      <c r="C121" s="2">
        <f>IFERROR(__xludf.DUMMYFUNCTION("""COMPUTED_VALUE"""),296.89)</f>
        <v>296.89</v>
      </c>
    </row>
    <row r="122" ht="15.75" customHeight="1">
      <c r="B122" s="3">
        <f>IFERROR(__xludf.DUMMYFUNCTION("""COMPUTED_VALUE"""),42811.64583333333)</f>
        <v>42811.64583</v>
      </c>
      <c r="C122" s="2">
        <f>IFERROR(__xludf.DUMMYFUNCTION("""COMPUTED_VALUE"""),309.09)</f>
        <v>309.09</v>
      </c>
    </row>
    <row r="123" ht="15.75" customHeight="1">
      <c r="B123" s="3">
        <f>IFERROR(__xludf.DUMMYFUNCTION("""COMPUTED_VALUE"""),42818.64583333333)</f>
        <v>42818.64583</v>
      </c>
      <c r="C123" s="2">
        <f>IFERROR(__xludf.DUMMYFUNCTION("""COMPUTED_VALUE"""),308.95)</f>
        <v>308.95</v>
      </c>
    </row>
    <row r="124" ht="15.75" customHeight="1">
      <c r="B124" s="3">
        <f>IFERROR(__xludf.DUMMYFUNCTION("""COMPUTED_VALUE"""),42825.64583333333)</f>
        <v>42825.64583</v>
      </c>
      <c r="C124" s="2">
        <f>IFERROR(__xludf.DUMMYFUNCTION("""COMPUTED_VALUE"""),311.5)</f>
        <v>311.5</v>
      </c>
    </row>
    <row r="125" ht="15.75" customHeight="1">
      <c r="B125" s="3">
        <f>IFERROR(__xludf.DUMMYFUNCTION("""COMPUTED_VALUE"""),42832.64583333333)</f>
        <v>42832.64583</v>
      </c>
      <c r="C125" s="2">
        <f>IFERROR(__xludf.DUMMYFUNCTION("""COMPUTED_VALUE"""),315.18)</f>
        <v>315.18</v>
      </c>
    </row>
    <row r="126" ht="15.75" customHeight="1">
      <c r="B126" s="3">
        <f>IFERROR(__xludf.DUMMYFUNCTION("""COMPUTED_VALUE"""),42838.64583333333)</f>
        <v>42838.64583</v>
      </c>
      <c r="C126" s="2">
        <f>IFERROR(__xludf.DUMMYFUNCTION("""COMPUTED_VALUE"""),327.59)</f>
        <v>327.59</v>
      </c>
    </row>
    <row r="127" ht="15.75" customHeight="1">
      <c r="B127" s="3">
        <f>IFERROR(__xludf.DUMMYFUNCTION("""COMPUTED_VALUE"""),42846.64583333333)</f>
        <v>42846.64583</v>
      </c>
      <c r="C127" s="2">
        <f>IFERROR(__xludf.DUMMYFUNCTION("""COMPUTED_VALUE"""),325.59)</f>
        <v>325.59</v>
      </c>
    </row>
    <row r="128" ht="15.75" customHeight="1">
      <c r="B128" s="3">
        <f>IFERROR(__xludf.DUMMYFUNCTION("""COMPUTED_VALUE"""),42853.64583333333)</f>
        <v>42853.64583</v>
      </c>
      <c r="C128" s="2">
        <f>IFERROR(__xludf.DUMMYFUNCTION("""COMPUTED_VALUE"""),330.38)</f>
        <v>330.38</v>
      </c>
    </row>
    <row r="129" ht="15.75" customHeight="1">
      <c r="B129" s="3">
        <f>IFERROR(__xludf.DUMMYFUNCTION("""COMPUTED_VALUE"""),42860.64583333333)</f>
        <v>42860.64583</v>
      </c>
      <c r="C129" s="2">
        <f>IFERROR(__xludf.DUMMYFUNCTION("""COMPUTED_VALUE"""),330.36)</f>
        <v>330.36</v>
      </c>
    </row>
    <row r="130" ht="15.75" customHeight="1">
      <c r="B130" s="3">
        <f>IFERROR(__xludf.DUMMYFUNCTION("""COMPUTED_VALUE"""),42867.64583333333)</f>
        <v>42867.64583</v>
      </c>
      <c r="C130" s="2">
        <f>IFERROR(__xludf.DUMMYFUNCTION("""COMPUTED_VALUE"""),326.8)</f>
        <v>326.8</v>
      </c>
    </row>
    <row r="131" ht="15.75" customHeight="1">
      <c r="B131" s="3">
        <f>IFERROR(__xludf.DUMMYFUNCTION("""COMPUTED_VALUE"""),42874.64583333333)</f>
        <v>42874.64583</v>
      </c>
      <c r="C131" s="2">
        <f>IFERROR(__xludf.DUMMYFUNCTION("""COMPUTED_VALUE"""),301.2)</f>
        <v>301.2</v>
      </c>
    </row>
    <row r="132" ht="15.75" customHeight="1">
      <c r="B132" s="3">
        <f>IFERROR(__xludf.DUMMYFUNCTION("""COMPUTED_VALUE"""),42881.64583333333)</f>
        <v>42881.64583</v>
      </c>
      <c r="C132" s="2">
        <f>IFERROR(__xludf.DUMMYFUNCTION("""COMPUTED_VALUE"""),300.0)</f>
        <v>300</v>
      </c>
    </row>
    <row r="133" ht="15.75" customHeight="1">
      <c r="B133" s="3">
        <f>IFERROR(__xludf.DUMMYFUNCTION("""COMPUTED_VALUE"""),42888.64583333333)</f>
        <v>42888.64583</v>
      </c>
      <c r="C133" s="2">
        <f>IFERROR(__xludf.DUMMYFUNCTION("""COMPUTED_VALUE"""),298.74)</f>
        <v>298.74</v>
      </c>
    </row>
    <row r="134" ht="15.75" customHeight="1">
      <c r="B134" s="3">
        <f>IFERROR(__xludf.DUMMYFUNCTION("""COMPUTED_VALUE"""),42895.64583333333)</f>
        <v>42895.64583</v>
      </c>
      <c r="C134" s="2">
        <f>IFERROR(__xludf.DUMMYFUNCTION("""COMPUTED_VALUE"""),306.49)</f>
        <v>306.49</v>
      </c>
    </row>
    <row r="135" ht="15.75" customHeight="1">
      <c r="B135" s="3">
        <f>IFERROR(__xludf.DUMMYFUNCTION("""COMPUTED_VALUE"""),42902.64583333333)</f>
        <v>42902.64583</v>
      </c>
      <c r="C135" s="2">
        <f>IFERROR(__xludf.DUMMYFUNCTION("""COMPUTED_VALUE"""),302.19)</f>
        <v>302.19</v>
      </c>
    </row>
    <row r="136" ht="15.75" customHeight="1">
      <c r="B136" s="3">
        <f>IFERROR(__xludf.DUMMYFUNCTION("""COMPUTED_VALUE"""),42909.64583333333)</f>
        <v>42909.64583</v>
      </c>
      <c r="C136" s="2">
        <f>IFERROR(__xludf.DUMMYFUNCTION("""COMPUTED_VALUE"""),294.0)</f>
        <v>294</v>
      </c>
    </row>
    <row r="137" ht="15.75" customHeight="1">
      <c r="B137" s="3">
        <f>IFERROR(__xludf.DUMMYFUNCTION("""COMPUTED_VALUE"""),42916.64583333333)</f>
        <v>42916.64583</v>
      </c>
      <c r="C137" s="2">
        <f>IFERROR(__xludf.DUMMYFUNCTION("""COMPUTED_VALUE"""),294.0)</f>
        <v>294</v>
      </c>
    </row>
    <row r="138" ht="15.75" customHeight="1">
      <c r="B138" s="3">
        <f>IFERROR(__xludf.DUMMYFUNCTION("""COMPUTED_VALUE"""),42923.64583333333)</f>
        <v>42923.64583</v>
      </c>
      <c r="C138" s="2">
        <f>IFERROR(__xludf.DUMMYFUNCTION("""COMPUTED_VALUE"""),303.8)</f>
        <v>303.8</v>
      </c>
    </row>
    <row r="139" ht="15.75" customHeight="1">
      <c r="B139" s="3">
        <f>IFERROR(__xludf.DUMMYFUNCTION("""COMPUTED_VALUE"""),42930.64583333333)</f>
        <v>42930.64583</v>
      </c>
      <c r="C139" s="2">
        <f>IFERROR(__xludf.DUMMYFUNCTION("""COMPUTED_VALUE"""),318.97)</f>
        <v>318.97</v>
      </c>
    </row>
    <row r="140" ht="15.75" customHeight="1">
      <c r="B140" s="3">
        <f>IFERROR(__xludf.DUMMYFUNCTION("""COMPUTED_VALUE"""),42937.64583333333)</f>
        <v>42937.64583</v>
      </c>
      <c r="C140" s="2">
        <f>IFERROR(__xludf.DUMMYFUNCTION("""COMPUTED_VALUE"""),316.29)</f>
        <v>316.29</v>
      </c>
    </row>
    <row r="141" ht="15.75" customHeight="1">
      <c r="B141" s="3">
        <f>IFERROR(__xludf.DUMMYFUNCTION("""COMPUTED_VALUE"""),42944.64583333333)</f>
        <v>42944.64583</v>
      </c>
      <c r="C141" s="2">
        <f>IFERROR(__xludf.DUMMYFUNCTION("""COMPUTED_VALUE"""),372.2)</f>
        <v>372.2</v>
      </c>
    </row>
    <row r="142" ht="15.75" customHeight="1">
      <c r="B142" s="3">
        <f>IFERROR(__xludf.DUMMYFUNCTION("""COMPUTED_VALUE"""),42951.64583333333)</f>
        <v>42951.64583</v>
      </c>
      <c r="C142" s="2">
        <f>IFERROR(__xludf.DUMMYFUNCTION("""COMPUTED_VALUE"""),371.6)</f>
        <v>371.6</v>
      </c>
    </row>
    <row r="143" ht="15.75" customHeight="1">
      <c r="B143" s="3">
        <f>IFERROR(__xludf.DUMMYFUNCTION("""COMPUTED_VALUE"""),42958.64583333333)</f>
        <v>42958.64583</v>
      </c>
      <c r="C143" s="2">
        <f>IFERROR(__xludf.DUMMYFUNCTION("""COMPUTED_VALUE"""),363.4)</f>
        <v>363.4</v>
      </c>
    </row>
    <row r="144" ht="15.75" customHeight="1">
      <c r="B144" s="3">
        <f>IFERROR(__xludf.DUMMYFUNCTION("""COMPUTED_VALUE"""),42965.64583333333)</f>
        <v>42965.64583</v>
      </c>
      <c r="C144" s="2">
        <f>IFERROR(__xludf.DUMMYFUNCTION("""COMPUTED_VALUE"""),357.8)</f>
        <v>357.8</v>
      </c>
    </row>
    <row r="145" ht="15.75" customHeight="1">
      <c r="B145" s="3">
        <f>IFERROR(__xludf.DUMMYFUNCTION("""COMPUTED_VALUE"""),42971.64583333333)</f>
        <v>42971.64583</v>
      </c>
      <c r="C145" s="2">
        <f>IFERROR(__xludf.DUMMYFUNCTION("""COMPUTED_VALUE"""),350.6)</f>
        <v>350.6</v>
      </c>
    </row>
    <row r="146" ht="15.75" customHeight="1">
      <c r="B146" s="3">
        <f>IFERROR(__xludf.DUMMYFUNCTION("""COMPUTED_VALUE"""),42979.64583333333)</f>
        <v>42979.64583</v>
      </c>
      <c r="C146" s="2">
        <f>IFERROR(__xludf.DUMMYFUNCTION("""COMPUTED_VALUE"""),356.0)</f>
        <v>356</v>
      </c>
    </row>
    <row r="147" ht="15.75" customHeight="1">
      <c r="B147" s="3">
        <f>IFERROR(__xludf.DUMMYFUNCTION("""COMPUTED_VALUE"""),42986.64583333333)</f>
        <v>42986.64583</v>
      </c>
      <c r="C147" s="2">
        <f>IFERROR(__xludf.DUMMYFUNCTION("""COMPUTED_VALUE"""),363.8)</f>
        <v>363.8</v>
      </c>
    </row>
    <row r="148" ht="15.75" customHeight="1">
      <c r="B148" s="3">
        <f>IFERROR(__xludf.DUMMYFUNCTION("""COMPUTED_VALUE"""),42993.64583333333)</f>
        <v>42993.64583</v>
      </c>
      <c r="C148" s="2">
        <f>IFERROR(__xludf.DUMMYFUNCTION("""COMPUTED_VALUE"""),373.2)</f>
        <v>373.2</v>
      </c>
    </row>
    <row r="149" ht="15.75" customHeight="1">
      <c r="B149" s="3">
        <f>IFERROR(__xludf.DUMMYFUNCTION("""COMPUTED_VALUE"""),43000.64583333333)</f>
        <v>43000.64583</v>
      </c>
      <c r="C149" s="2">
        <f>IFERROR(__xludf.DUMMYFUNCTION("""COMPUTED_VALUE"""),382.9)</f>
        <v>382.9</v>
      </c>
    </row>
    <row r="150" ht="15.75" customHeight="1">
      <c r="B150" s="3">
        <f>IFERROR(__xludf.DUMMYFUNCTION("""COMPUTED_VALUE"""),43007.64583333333)</f>
        <v>43007.64583</v>
      </c>
      <c r="C150" s="2">
        <f>IFERROR(__xludf.DUMMYFUNCTION("""COMPUTED_VALUE"""),364.9)</f>
        <v>364.9</v>
      </c>
    </row>
    <row r="151" ht="15.75" customHeight="1">
      <c r="B151" s="3">
        <f>IFERROR(__xludf.DUMMYFUNCTION("""COMPUTED_VALUE"""),43014.64583333333)</f>
        <v>43014.64583</v>
      </c>
      <c r="C151" s="2">
        <f>IFERROR(__xludf.DUMMYFUNCTION("""COMPUTED_VALUE"""),367.5)</f>
        <v>367.5</v>
      </c>
    </row>
    <row r="152" ht="15.75" customHeight="1">
      <c r="B152" s="3">
        <f>IFERROR(__xludf.DUMMYFUNCTION("""COMPUTED_VALUE"""),43021.64583333333)</f>
        <v>43021.64583</v>
      </c>
      <c r="C152" s="2">
        <f>IFERROR(__xludf.DUMMYFUNCTION("""COMPUTED_VALUE"""),375.0)</f>
        <v>375</v>
      </c>
    </row>
    <row r="153" ht="15.75" customHeight="1">
      <c r="B153" s="3">
        <f>IFERROR(__xludf.DUMMYFUNCTION("""COMPUTED_VALUE"""),43027.83333333333)</f>
        <v>43027.83333</v>
      </c>
      <c r="C153" s="2">
        <f>IFERROR(__xludf.DUMMYFUNCTION("""COMPUTED_VALUE"""),375.9)</f>
        <v>375.9</v>
      </c>
    </row>
    <row r="154" ht="15.75" customHeight="1">
      <c r="B154" s="3">
        <f>IFERROR(__xludf.DUMMYFUNCTION("""COMPUTED_VALUE"""),43035.64583333333)</f>
        <v>43035.64583</v>
      </c>
      <c r="C154" s="2">
        <f>IFERROR(__xludf.DUMMYFUNCTION("""COMPUTED_VALUE"""),364.55)</f>
        <v>364.55</v>
      </c>
    </row>
    <row r="155" ht="15.75" customHeight="1">
      <c r="B155" s="3">
        <f>IFERROR(__xludf.DUMMYFUNCTION("""COMPUTED_VALUE"""),43042.64583333333)</f>
        <v>43042.64583</v>
      </c>
      <c r="C155" s="2">
        <f>IFERROR(__xludf.DUMMYFUNCTION("""COMPUTED_VALUE"""),328.0)</f>
        <v>328</v>
      </c>
    </row>
    <row r="156" ht="15.75" customHeight="1">
      <c r="B156" s="3">
        <f>IFERROR(__xludf.DUMMYFUNCTION("""COMPUTED_VALUE"""),43049.64583333333)</f>
        <v>43049.64583</v>
      </c>
      <c r="C156" s="2">
        <f>IFERROR(__xludf.DUMMYFUNCTION("""COMPUTED_VALUE"""),329.0)</f>
        <v>329</v>
      </c>
    </row>
    <row r="157" ht="15.75" customHeight="1">
      <c r="B157" s="3">
        <f>IFERROR(__xludf.DUMMYFUNCTION("""COMPUTED_VALUE"""),43056.64583333333)</f>
        <v>43056.64583</v>
      </c>
      <c r="C157" s="2">
        <f>IFERROR(__xludf.DUMMYFUNCTION("""COMPUTED_VALUE"""),314.4)</f>
        <v>314.4</v>
      </c>
    </row>
    <row r="158" ht="15.75" customHeight="1">
      <c r="B158" s="3">
        <f>IFERROR(__xludf.DUMMYFUNCTION("""COMPUTED_VALUE"""),43063.64583333333)</f>
        <v>43063.64583</v>
      </c>
      <c r="C158" s="2">
        <f>IFERROR(__xludf.DUMMYFUNCTION("""COMPUTED_VALUE"""),318.0)</f>
        <v>318</v>
      </c>
    </row>
    <row r="159" ht="15.75" customHeight="1">
      <c r="B159" s="3">
        <f>IFERROR(__xludf.DUMMYFUNCTION("""COMPUTED_VALUE"""),43070.64583333333)</f>
        <v>43070.64583</v>
      </c>
      <c r="C159" s="2">
        <f>IFERROR(__xludf.DUMMYFUNCTION("""COMPUTED_VALUE"""),316.9)</f>
        <v>316.9</v>
      </c>
    </row>
    <row r="160" ht="15.75" customHeight="1">
      <c r="B160" s="3">
        <f>IFERROR(__xludf.DUMMYFUNCTION("""COMPUTED_VALUE"""),43077.64583333333)</f>
        <v>43077.64583</v>
      </c>
      <c r="C160" s="2">
        <f>IFERROR(__xludf.DUMMYFUNCTION("""COMPUTED_VALUE"""),315.5)</f>
        <v>315.5</v>
      </c>
    </row>
    <row r="161" ht="15.75" customHeight="1">
      <c r="B161" s="3">
        <f>IFERROR(__xludf.DUMMYFUNCTION("""COMPUTED_VALUE"""),43084.64583333333)</f>
        <v>43084.64583</v>
      </c>
      <c r="C161" s="2">
        <f>IFERROR(__xludf.DUMMYFUNCTION("""COMPUTED_VALUE"""),317.45)</f>
        <v>317.45</v>
      </c>
    </row>
    <row r="162" ht="15.75" customHeight="1">
      <c r="B162" s="3">
        <f>IFERROR(__xludf.DUMMYFUNCTION("""COMPUTED_VALUE"""),43091.64583333333)</f>
        <v>43091.64583</v>
      </c>
      <c r="C162" s="2">
        <f>IFERROR(__xludf.DUMMYFUNCTION("""COMPUTED_VALUE"""),318.0)</f>
        <v>318</v>
      </c>
    </row>
    <row r="163" ht="15.75" customHeight="1">
      <c r="B163" s="3">
        <f>IFERROR(__xludf.DUMMYFUNCTION("""COMPUTED_VALUE"""),43098.64583333333)</f>
        <v>43098.64583</v>
      </c>
      <c r="C163" s="2">
        <f>IFERROR(__xludf.DUMMYFUNCTION("""COMPUTED_VALUE"""),318.95)</f>
        <v>318.95</v>
      </c>
    </row>
    <row r="164" ht="15.75" customHeight="1"/>
    <row r="165" ht="15.75" customHeight="1"/>
    <row r="166" ht="15.75" customHeight="1">
      <c r="B166" s="2" t="str">
        <f>IFERROR(__xludf.DUMMYFUNCTION("GOOGLEFINANCE(""NSE:YESBANK"", ""high"",DATE(2018,1,1),DATE(2019,1,1),""weekly"")"),"Date")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IFERROR(__xludf.DUMMYFUNCTION("""COMPUTED_VALUE"""),43105.64583333333)</f>
        <v>43105.64583</v>
      </c>
      <c r="C167" s="2">
        <f>IFERROR(__xludf.DUMMYFUNCTION("""COMPUTED_VALUE"""),337.9)</f>
        <v>337.9</v>
      </c>
    </row>
    <row r="168" ht="15.75" customHeight="1">
      <c r="B168" s="3">
        <f>IFERROR(__xludf.DUMMYFUNCTION("""COMPUTED_VALUE"""),43112.64583333333)</f>
        <v>43112.64583</v>
      </c>
      <c r="C168" s="2">
        <f>IFERROR(__xludf.DUMMYFUNCTION("""COMPUTED_VALUE"""),344.7)</f>
        <v>344.7</v>
      </c>
    </row>
    <row r="169" ht="15.75" customHeight="1">
      <c r="B169" s="3">
        <f>IFERROR(__xludf.DUMMYFUNCTION("""COMPUTED_VALUE"""),43119.64583333333)</f>
        <v>43119.64583</v>
      </c>
      <c r="C169" s="2">
        <f>IFERROR(__xludf.DUMMYFUNCTION("""COMPUTED_VALUE"""),356.9)</f>
        <v>356.9</v>
      </c>
    </row>
    <row r="170" ht="15.75" customHeight="1">
      <c r="B170" s="3">
        <f>IFERROR(__xludf.DUMMYFUNCTION("""COMPUTED_VALUE"""),43125.64583333333)</f>
        <v>43125.64583</v>
      </c>
      <c r="C170" s="2">
        <f>IFERROR(__xludf.DUMMYFUNCTION("""COMPUTED_VALUE"""),366.3)</f>
        <v>366.3</v>
      </c>
    </row>
    <row r="171" ht="15.75" customHeight="1">
      <c r="B171" s="3">
        <f>IFERROR(__xludf.DUMMYFUNCTION("""COMPUTED_VALUE"""),43133.64583333333)</f>
        <v>43133.64583</v>
      </c>
      <c r="C171" s="2">
        <f>IFERROR(__xludf.DUMMYFUNCTION("""COMPUTED_VALUE"""),367.25)</f>
        <v>367.25</v>
      </c>
    </row>
    <row r="172" ht="15.75" customHeight="1">
      <c r="B172" s="3">
        <f>IFERROR(__xludf.DUMMYFUNCTION("""COMPUTED_VALUE"""),43140.64583333333)</f>
        <v>43140.64583</v>
      </c>
      <c r="C172" s="2">
        <f>IFERROR(__xludf.DUMMYFUNCTION("""COMPUTED_VALUE"""),349.0)</f>
        <v>349</v>
      </c>
    </row>
    <row r="173" ht="15.75" customHeight="1">
      <c r="B173" s="3">
        <f>IFERROR(__xludf.DUMMYFUNCTION("""COMPUTED_VALUE"""),43147.64583333333)</f>
        <v>43147.64583</v>
      </c>
      <c r="C173" s="2">
        <f>IFERROR(__xludf.DUMMYFUNCTION("""COMPUTED_VALUE"""),337.85)</f>
        <v>337.85</v>
      </c>
    </row>
    <row r="174" ht="15.75" customHeight="1">
      <c r="B174" s="3">
        <f>IFERROR(__xludf.DUMMYFUNCTION("""COMPUTED_VALUE"""),43154.64583333333)</f>
        <v>43154.64583</v>
      </c>
      <c r="C174" s="2">
        <f>IFERROR(__xludf.DUMMYFUNCTION("""COMPUTED_VALUE"""),326.0)</f>
        <v>326</v>
      </c>
    </row>
    <row r="175" ht="15.75" customHeight="1">
      <c r="B175" s="3">
        <f>IFERROR(__xludf.DUMMYFUNCTION("""COMPUTED_VALUE"""),43160.64583333333)</f>
        <v>43160.64583</v>
      </c>
      <c r="C175" s="2">
        <f>IFERROR(__xludf.DUMMYFUNCTION("""COMPUTED_VALUE"""),334.25)</f>
        <v>334.25</v>
      </c>
    </row>
    <row r="176" ht="15.75" customHeight="1">
      <c r="B176" s="3">
        <f>IFERROR(__xludf.DUMMYFUNCTION("""COMPUTED_VALUE"""),43168.64583333333)</f>
        <v>43168.64583</v>
      </c>
      <c r="C176" s="2">
        <f>IFERROR(__xludf.DUMMYFUNCTION("""COMPUTED_VALUE"""),320.5)</f>
        <v>320.5</v>
      </c>
    </row>
    <row r="177" ht="15.75" customHeight="1">
      <c r="B177" s="3">
        <f>IFERROR(__xludf.DUMMYFUNCTION("""COMPUTED_VALUE"""),43175.64583333333)</f>
        <v>43175.64583</v>
      </c>
      <c r="C177" s="2">
        <f>IFERROR(__xludf.DUMMYFUNCTION("""COMPUTED_VALUE"""),321.9)</f>
        <v>321.9</v>
      </c>
    </row>
    <row r="178" ht="15.75" customHeight="1">
      <c r="B178" s="3">
        <f>IFERROR(__xludf.DUMMYFUNCTION("""COMPUTED_VALUE"""),43182.64583333333)</f>
        <v>43182.64583</v>
      </c>
      <c r="C178" s="2">
        <f>IFERROR(__xludf.DUMMYFUNCTION("""COMPUTED_VALUE"""),316.5)</f>
        <v>316.5</v>
      </c>
    </row>
    <row r="179" ht="15.75" customHeight="1">
      <c r="B179" s="3">
        <f>IFERROR(__xludf.DUMMYFUNCTION("""COMPUTED_VALUE"""),43187.64583333333)</f>
        <v>43187.64583</v>
      </c>
      <c r="C179" s="2">
        <f>IFERROR(__xludf.DUMMYFUNCTION("""COMPUTED_VALUE"""),309.25)</f>
        <v>309.25</v>
      </c>
    </row>
    <row r="180" ht="15.75" customHeight="1">
      <c r="B180" s="3">
        <f>IFERROR(__xludf.DUMMYFUNCTION("""COMPUTED_VALUE"""),43196.64583333333)</f>
        <v>43196.64583</v>
      </c>
      <c r="C180" s="2">
        <f>IFERROR(__xludf.DUMMYFUNCTION("""COMPUTED_VALUE"""),320.0)</f>
        <v>320</v>
      </c>
    </row>
    <row r="181" ht="15.75" customHeight="1">
      <c r="B181" s="3">
        <f>IFERROR(__xludf.DUMMYFUNCTION("""COMPUTED_VALUE"""),43203.64583333333)</f>
        <v>43203.64583</v>
      </c>
      <c r="C181" s="2">
        <f>IFERROR(__xludf.DUMMYFUNCTION("""COMPUTED_VALUE"""),320.5)</f>
        <v>320.5</v>
      </c>
    </row>
    <row r="182" ht="15.75" customHeight="1">
      <c r="B182" s="3">
        <f>IFERROR(__xludf.DUMMYFUNCTION("""COMPUTED_VALUE"""),43210.64583333333)</f>
        <v>43210.64583</v>
      </c>
      <c r="C182" s="2">
        <f>IFERROR(__xludf.DUMMYFUNCTION("""COMPUTED_VALUE"""),319.5)</f>
        <v>319.5</v>
      </c>
    </row>
    <row r="183" ht="15.75" customHeight="1">
      <c r="B183" s="3">
        <f>IFERROR(__xludf.DUMMYFUNCTION("""COMPUTED_VALUE"""),43217.64583333333)</f>
        <v>43217.64583</v>
      </c>
      <c r="C183" s="2">
        <f>IFERROR(__xludf.DUMMYFUNCTION("""COMPUTED_VALUE"""),369.0)</f>
        <v>369</v>
      </c>
    </row>
    <row r="184" ht="15.75" customHeight="1">
      <c r="B184" s="3">
        <f>IFERROR(__xludf.DUMMYFUNCTION("""COMPUTED_VALUE"""),43224.64583333333)</f>
        <v>43224.64583</v>
      </c>
      <c r="C184" s="2">
        <f>IFERROR(__xludf.DUMMYFUNCTION("""COMPUTED_VALUE"""),367.2)</f>
        <v>367.2</v>
      </c>
    </row>
    <row r="185" ht="15.75" customHeight="1">
      <c r="B185" s="3">
        <f>IFERROR(__xludf.DUMMYFUNCTION("""COMPUTED_VALUE"""),43231.64583333333)</f>
        <v>43231.64583</v>
      </c>
      <c r="C185" s="2">
        <f>IFERROR(__xludf.DUMMYFUNCTION("""COMPUTED_VALUE"""),353.95)</f>
        <v>353.95</v>
      </c>
    </row>
    <row r="186" ht="15.75" customHeight="1">
      <c r="B186" s="3">
        <f>IFERROR(__xludf.DUMMYFUNCTION("""COMPUTED_VALUE"""),43238.64583333333)</f>
        <v>43238.64583</v>
      </c>
      <c r="C186" s="2">
        <f>IFERROR(__xludf.DUMMYFUNCTION("""COMPUTED_VALUE"""),356.45)</f>
        <v>356.45</v>
      </c>
    </row>
    <row r="187" ht="15.75" customHeight="1">
      <c r="B187" s="3">
        <f>IFERROR(__xludf.DUMMYFUNCTION("""COMPUTED_VALUE"""),43245.64583333333)</f>
        <v>43245.64583</v>
      </c>
      <c r="C187" s="2">
        <f>IFERROR(__xludf.DUMMYFUNCTION("""COMPUTED_VALUE"""),349.2)</f>
        <v>349.2</v>
      </c>
    </row>
    <row r="188" ht="15.75" customHeight="1">
      <c r="B188" s="3">
        <f>IFERROR(__xludf.DUMMYFUNCTION("""COMPUTED_VALUE"""),43252.64583333333)</f>
        <v>43252.64583</v>
      </c>
      <c r="C188" s="2">
        <f>IFERROR(__xludf.DUMMYFUNCTION("""COMPUTED_VALUE"""),349.4)</f>
        <v>349.4</v>
      </c>
    </row>
    <row r="189" ht="15.75" customHeight="1">
      <c r="B189" s="3">
        <f>IFERROR(__xludf.DUMMYFUNCTION("""COMPUTED_VALUE"""),43259.64583333333)</f>
        <v>43259.64583</v>
      </c>
      <c r="C189" s="2">
        <f>IFERROR(__xludf.DUMMYFUNCTION("""COMPUTED_VALUE"""),350.9)</f>
        <v>350.9</v>
      </c>
    </row>
    <row r="190" ht="15.75" customHeight="1">
      <c r="B190" s="3">
        <f>IFERROR(__xludf.DUMMYFUNCTION("""COMPUTED_VALUE"""),43266.64583333333)</f>
        <v>43266.64583</v>
      </c>
      <c r="C190" s="2">
        <f>IFERROR(__xludf.DUMMYFUNCTION("""COMPUTED_VALUE"""),344.85)</f>
        <v>344.85</v>
      </c>
    </row>
    <row r="191" ht="15.75" customHeight="1">
      <c r="B191" s="3">
        <f>IFERROR(__xludf.DUMMYFUNCTION("""COMPUTED_VALUE"""),43273.64583333333)</f>
        <v>43273.64583</v>
      </c>
      <c r="C191" s="2">
        <f>IFERROR(__xludf.DUMMYFUNCTION("""COMPUTED_VALUE"""),337.6)</f>
        <v>337.6</v>
      </c>
    </row>
    <row r="192" ht="15.75" customHeight="1">
      <c r="B192" s="3">
        <f>IFERROR(__xludf.DUMMYFUNCTION("""COMPUTED_VALUE"""),43280.64583333333)</f>
        <v>43280.64583</v>
      </c>
      <c r="C192" s="2">
        <f>IFERROR(__xludf.DUMMYFUNCTION("""COMPUTED_VALUE"""),341.75)</f>
        <v>341.75</v>
      </c>
    </row>
    <row r="193" ht="15.75" customHeight="1">
      <c r="B193" s="3">
        <f>IFERROR(__xludf.DUMMYFUNCTION("""COMPUTED_VALUE"""),43287.64583333333)</f>
        <v>43287.64583</v>
      </c>
      <c r="C193" s="2">
        <f>IFERROR(__xludf.DUMMYFUNCTION("""COMPUTED_VALUE"""),357.7)</f>
        <v>357.7</v>
      </c>
    </row>
    <row r="194" ht="15.75" customHeight="1">
      <c r="B194" s="3">
        <f>IFERROR(__xludf.DUMMYFUNCTION("""COMPUTED_VALUE"""),43294.64583333333)</f>
        <v>43294.64583</v>
      </c>
      <c r="C194" s="2">
        <f>IFERROR(__xludf.DUMMYFUNCTION("""COMPUTED_VALUE"""),385.0)</f>
        <v>385</v>
      </c>
    </row>
    <row r="195" ht="15.75" customHeight="1">
      <c r="B195" s="3">
        <f>IFERROR(__xludf.DUMMYFUNCTION("""COMPUTED_VALUE"""),43301.64583333333)</f>
        <v>43301.64583</v>
      </c>
      <c r="C195" s="2">
        <f>IFERROR(__xludf.DUMMYFUNCTION("""COMPUTED_VALUE"""),394.35)</f>
        <v>394.35</v>
      </c>
    </row>
    <row r="196" ht="15.75" customHeight="1">
      <c r="B196" s="3">
        <f>IFERROR(__xludf.DUMMYFUNCTION("""COMPUTED_VALUE"""),43308.64583333333)</f>
        <v>43308.64583</v>
      </c>
      <c r="C196" s="2">
        <f>IFERROR(__xludf.DUMMYFUNCTION("""COMPUTED_VALUE"""),392.7)</f>
        <v>392.7</v>
      </c>
    </row>
    <row r="197" ht="15.75" customHeight="1">
      <c r="B197" s="3">
        <f>IFERROR(__xludf.DUMMYFUNCTION("""COMPUTED_VALUE"""),43315.64583333333)</f>
        <v>43315.64583</v>
      </c>
      <c r="C197" s="2">
        <f>IFERROR(__xludf.DUMMYFUNCTION("""COMPUTED_VALUE"""),374.7)</f>
        <v>374.7</v>
      </c>
    </row>
    <row r="198" ht="15.75" customHeight="1">
      <c r="B198" s="3">
        <f>IFERROR(__xludf.DUMMYFUNCTION("""COMPUTED_VALUE"""),43322.64583333333)</f>
        <v>43322.64583</v>
      </c>
      <c r="C198" s="2">
        <f>IFERROR(__xludf.DUMMYFUNCTION("""COMPUTED_VALUE"""),391.0)</f>
        <v>391</v>
      </c>
    </row>
    <row r="199" ht="15.75" customHeight="1">
      <c r="B199" s="3">
        <f>IFERROR(__xludf.DUMMYFUNCTION("""COMPUTED_VALUE"""),43329.64583333333)</f>
        <v>43329.64583</v>
      </c>
      <c r="C199" s="2">
        <f>IFERROR(__xludf.DUMMYFUNCTION("""COMPUTED_VALUE"""),395.65)</f>
        <v>395.65</v>
      </c>
    </row>
    <row r="200" ht="15.75" customHeight="1">
      <c r="B200" s="3">
        <f>IFERROR(__xludf.DUMMYFUNCTION("""COMPUTED_VALUE"""),43336.64583333333)</f>
        <v>43336.64583</v>
      </c>
      <c r="C200" s="2">
        <f>IFERROR(__xludf.DUMMYFUNCTION("""COMPUTED_VALUE"""),404.0)</f>
        <v>404</v>
      </c>
    </row>
    <row r="201" ht="15.75" customHeight="1">
      <c r="B201" s="3">
        <f>IFERROR(__xludf.DUMMYFUNCTION("""COMPUTED_VALUE"""),43343.64583333333)</f>
        <v>43343.64583</v>
      </c>
      <c r="C201" s="2">
        <f>IFERROR(__xludf.DUMMYFUNCTION("""COMPUTED_VALUE"""),386.0)</f>
        <v>386</v>
      </c>
    </row>
    <row r="202" ht="15.75" customHeight="1">
      <c r="B202" s="3">
        <f>IFERROR(__xludf.DUMMYFUNCTION("""COMPUTED_VALUE"""),43350.64583333333)</f>
        <v>43350.64583</v>
      </c>
      <c r="C202" s="2">
        <f>IFERROR(__xludf.DUMMYFUNCTION("""COMPUTED_VALUE"""),348.0)</f>
        <v>348</v>
      </c>
    </row>
    <row r="203" ht="15.75" customHeight="1">
      <c r="B203" s="3">
        <f>IFERROR(__xludf.DUMMYFUNCTION("""COMPUTED_VALUE"""),43357.64583333333)</f>
        <v>43357.64583</v>
      </c>
      <c r="C203" s="2">
        <f>IFERROR(__xludf.DUMMYFUNCTION("""COMPUTED_VALUE"""),328.9)</f>
        <v>328.9</v>
      </c>
    </row>
    <row r="204" ht="15.75" customHeight="1">
      <c r="B204" s="3">
        <f>IFERROR(__xludf.DUMMYFUNCTION("""COMPUTED_VALUE"""),43364.64583333333)</f>
        <v>43364.64583</v>
      </c>
      <c r="C204" s="2">
        <f>IFERROR(__xludf.DUMMYFUNCTION("""COMPUTED_VALUE"""),328.95)</f>
        <v>328.95</v>
      </c>
    </row>
    <row r="205" ht="15.75" customHeight="1">
      <c r="B205" s="3">
        <f>IFERROR(__xludf.DUMMYFUNCTION("""COMPUTED_VALUE"""),43371.64583333333)</f>
        <v>43371.64583</v>
      </c>
      <c r="C205" s="2">
        <f>IFERROR(__xludf.DUMMYFUNCTION("""COMPUTED_VALUE"""),238.85)</f>
        <v>238.85</v>
      </c>
    </row>
    <row r="206" ht="15.75" customHeight="1">
      <c r="B206" s="3">
        <f>IFERROR(__xludf.DUMMYFUNCTION("""COMPUTED_VALUE"""),43378.64583333333)</f>
        <v>43378.64583</v>
      </c>
      <c r="C206" s="2">
        <f>IFERROR(__xludf.DUMMYFUNCTION("""COMPUTED_VALUE"""),222.95)</f>
        <v>222.95</v>
      </c>
    </row>
    <row r="207" ht="15.75" customHeight="1">
      <c r="B207" s="3">
        <f>IFERROR(__xludf.DUMMYFUNCTION("""COMPUTED_VALUE"""),43385.64583333333)</f>
        <v>43385.64583</v>
      </c>
      <c r="C207" s="2">
        <f>IFERROR(__xludf.DUMMYFUNCTION("""COMPUTED_VALUE"""),268.95)</f>
        <v>268.95</v>
      </c>
    </row>
    <row r="208" ht="15.75" customHeight="1">
      <c r="B208" s="3">
        <f>IFERROR(__xludf.DUMMYFUNCTION("""COMPUTED_VALUE"""),43392.64583333333)</f>
        <v>43392.64583</v>
      </c>
      <c r="C208" s="2">
        <f>IFERROR(__xludf.DUMMYFUNCTION("""COMPUTED_VALUE"""),254.85)</f>
        <v>254.85</v>
      </c>
    </row>
    <row r="209" ht="15.75" customHeight="1">
      <c r="B209" s="3">
        <f>IFERROR(__xludf.DUMMYFUNCTION("""COMPUTED_VALUE"""),43399.64583333333)</f>
        <v>43399.64583</v>
      </c>
      <c r="C209" s="2">
        <f>IFERROR(__xludf.DUMMYFUNCTION("""COMPUTED_VALUE"""),222.35)</f>
        <v>222.35</v>
      </c>
    </row>
    <row r="210" ht="15.75" customHeight="1">
      <c r="B210" s="3">
        <f>IFERROR(__xludf.DUMMYFUNCTION("""COMPUTED_VALUE"""),43406.64583333333)</f>
        <v>43406.64583</v>
      </c>
      <c r="C210" s="2">
        <f>IFERROR(__xludf.DUMMYFUNCTION("""COMPUTED_VALUE"""),215.9)</f>
        <v>215.9</v>
      </c>
    </row>
    <row r="211" ht="15.75" customHeight="1">
      <c r="B211" s="3">
        <f>IFERROR(__xludf.DUMMYFUNCTION("""COMPUTED_VALUE"""),43413.64583333333)</f>
        <v>43413.64583</v>
      </c>
      <c r="C211" s="2">
        <f>IFERROR(__xludf.DUMMYFUNCTION("""COMPUTED_VALUE"""),229.4)</f>
        <v>229.4</v>
      </c>
    </row>
    <row r="212" ht="15.75" customHeight="1">
      <c r="B212" s="3">
        <f>IFERROR(__xludf.DUMMYFUNCTION("""COMPUTED_VALUE"""),43420.64583333333)</f>
        <v>43420.64583</v>
      </c>
      <c r="C212" s="2">
        <f>IFERROR(__xludf.DUMMYFUNCTION("""COMPUTED_VALUE"""),230.85)</f>
        <v>230.85</v>
      </c>
    </row>
    <row r="213" ht="15.75" customHeight="1">
      <c r="B213" s="3">
        <f>IFERROR(__xludf.DUMMYFUNCTION("""COMPUTED_VALUE"""),43426.64583333333)</f>
        <v>43426.64583</v>
      </c>
      <c r="C213" s="2">
        <f>IFERROR(__xludf.DUMMYFUNCTION("""COMPUTED_VALUE"""),205.95)</f>
        <v>205.95</v>
      </c>
    </row>
    <row r="214" ht="15.75" customHeight="1">
      <c r="B214" s="3">
        <f>IFERROR(__xludf.DUMMYFUNCTION("""COMPUTED_VALUE"""),43434.64583333333)</f>
        <v>43434.64583</v>
      </c>
      <c r="C214" s="2">
        <f>IFERROR(__xludf.DUMMYFUNCTION("""COMPUTED_VALUE"""),193.8)</f>
        <v>193.8</v>
      </c>
    </row>
    <row r="215" ht="15.75" customHeight="1">
      <c r="B215" s="3">
        <f>IFERROR(__xludf.DUMMYFUNCTION("""COMPUTED_VALUE"""),43441.64583333333)</f>
        <v>43441.64583</v>
      </c>
      <c r="C215" s="2">
        <f>IFERROR(__xludf.DUMMYFUNCTION("""COMPUTED_VALUE"""),182.45)</f>
        <v>182.45</v>
      </c>
    </row>
    <row r="216" ht="15.75" customHeight="1">
      <c r="B216" s="3">
        <f>IFERROR(__xludf.DUMMYFUNCTION("""COMPUTED_VALUE"""),43448.64583333333)</f>
        <v>43448.64583</v>
      </c>
      <c r="C216" s="2">
        <f>IFERROR(__xludf.DUMMYFUNCTION("""COMPUTED_VALUE"""),193.2)</f>
        <v>193.2</v>
      </c>
    </row>
    <row r="217" ht="15.75" customHeight="1">
      <c r="B217" s="3">
        <f>IFERROR(__xludf.DUMMYFUNCTION("""COMPUTED_VALUE"""),43455.64583333333)</f>
        <v>43455.64583</v>
      </c>
      <c r="C217" s="2">
        <f>IFERROR(__xludf.DUMMYFUNCTION("""COMPUTED_VALUE"""),188.45)</f>
        <v>188.45</v>
      </c>
    </row>
    <row r="218" ht="15.75" customHeight="1">
      <c r="B218" s="3">
        <f>IFERROR(__xludf.DUMMYFUNCTION("""COMPUTED_VALUE"""),43462.64583333333)</f>
        <v>43462.64583</v>
      </c>
      <c r="C218" s="2">
        <f>IFERROR(__xludf.DUMMYFUNCTION("""COMPUTED_VALUE"""),185.5)</f>
        <v>185.5</v>
      </c>
    </row>
    <row r="219" ht="15.75" customHeight="1"/>
    <row r="220" ht="15.75" customHeight="1"/>
    <row r="221" ht="15.75" customHeight="1">
      <c r="B221" s="2" t="str">
        <f>IFERROR(__xludf.DUMMYFUNCTION("GOOGLEFINANCE(""NSE:YESBANK"", ""high"",DATE(2019,1,1),DATE(2020,1,1),""weekly"")"),"Date")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IFERROR(__xludf.DUMMYFUNCTION("""COMPUTED_VALUE"""),43469.64583333333)</f>
        <v>43469.64583</v>
      </c>
      <c r="C222" s="2">
        <f>IFERROR(__xludf.DUMMYFUNCTION("""COMPUTED_VALUE"""),190.3)</f>
        <v>190.3</v>
      </c>
    </row>
    <row r="223" ht="15.75" customHeight="1">
      <c r="B223" s="3">
        <f>IFERROR(__xludf.DUMMYFUNCTION("""COMPUTED_VALUE"""),43476.64583333333)</f>
        <v>43476.64583</v>
      </c>
      <c r="C223" s="2">
        <f>IFERROR(__xludf.DUMMYFUNCTION("""COMPUTED_VALUE"""),194.4)</f>
        <v>194.4</v>
      </c>
    </row>
    <row r="224" ht="15.75" customHeight="1">
      <c r="B224" s="3">
        <f>IFERROR(__xludf.DUMMYFUNCTION("""COMPUTED_VALUE"""),43483.64583333333)</f>
        <v>43483.64583</v>
      </c>
      <c r="C224" s="2">
        <f>IFERROR(__xludf.DUMMYFUNCTION("""COMPUTED_VALUE"""),209.55)</f>
        <v>209.55</v>
      </c>
    </row>
    <row r="225" ht="15.75" customHeight="1">
      <c r="B225" s="3">
        <f>IFERROR(__xludf.DUMMYFUNCTION("""COMPUTED_VALUE"""),43490.64583333333)</f>
        <v>43490.64583</v>
      </c>
      <c r="C225" s="2">
        <f>IFERROR(__xludf.DUMMYFUNCTION("""COMPUTED_VALUE"""),245.0)</f>
        <v>245</v>
      </c>
    </row>
    <row r="226" ht="15.75" customHeight="1">
      <c r="B226" s="3">
        <f>IFERROR(__xludf.DUMMYFUNCTION("""COMPUTED_VALUE"""),43497.64583333333)</f>
        <v>43497.64583</v>
      </c>
      <c r="C226" s="2">
        <f>IFERROR(__xludf.DUMMYFUNCTION("""COMPUTED_VALUE"""),223.0)</f>
        <v>223</v>
      </c>
    </row>
    <row r="227" ht="15.75" customHeight="1">
      <c r="B227" s="3">
        <f>IFERROR(__xludf.DUMMYFUNCTION("""COMPUTED_VALUE"""),43504.64583333333)</f>
        <v>43504.64583</v>
      </c>
      <c r="C227" s="2">
        <f>IFERROR(__xludf.DUMMYFUNCTION("""COMPUTED_VALUE"""),184.7)</f>
        <v>184.7</v>
      </c>
    </row>
    <row r="228" ht="15.75" customHeight="1">
      <c r="B228" s="3">
        <f>IFERROR(__xludf.DUMMYFUNCTION("""COMPUTED_VALUE"""),43511.64583333333)</f>
        <v>43511.64583</v>
      </c>
      <c r="C228" s="2">
        <f>IFERROR(__xludf.DUMMYFUNCTION("""COMPUTED_VALUE"""),226.9)</f>
        <v>226.9</v>
      </c>
    </row>
    <row r="229" ht="15.75" customHeight="1">
      <c r="B229" s="3">
        <f>IFERROR(__xludf.DUMMYFUNCTION("""COMPUTED_VALUE"""),43518.64583333333)</f>
        <v>43518.64583</v>
      </c>
      <c r="C229" s="2">
        <f>IFERROR(__xludf.DUMMYFUNCTION("""COMPUTED_VALUE"""),223.7)</f>
        <v>223.7</v>
      </c>
    </row>
    <row r="230" ht="15.75" customHeight="1">
      <c r="B230" s="3">
        <f>IFERROR(__xludf.DUMMYFUNCTION("""COMPUTED_VALUE"""),43525.64583333333)</f>
        <v>43525.64583</v>
      </c>
      <c r="C230" s="2">
        <f>IFERROR(__xludf.DUMMYFUNCTION("""COMPUTED_VALUE"""),238.5)</f>
        <v>238.5</v>
      </c>
    </row>
    <row r="231" ht="15.75" customHeight="1">
      <c r="B231" s="3">
        <f>IFERROR(__xludf.DUMMYFUNCTION("""COMPUTED_VALUE"""),43532.64583333333)</f>
        <v>43532.64583</v>
      </c>
      <c r="C231" s="2">
        <f>IFERROR(__xludf.DUMMYFUNCTION("""COMPUTED_VALUE"""),240.75)</f>
        <v>240.75</v>
      </c>
    </row>
    <row r="232" ht="15.75" customHeight="1">
      <c r="B232" s="3">
        <f>IFERROR(__xludf.DUMMYFUNCTION("""COMPUTED_VALUE"""),43539.64583333333)</f>
        <v>43539.64583</v>
      </c>
      <c r="C232" s="2">
        <f>IFERROR(__xludf.DUMMYFUNCTION("""COMPUTED_VALUE"""),254.0)</f>
        <v>254</v>
      </c>
    </row>
    <row r="233" ht="15.75" customHeight="1">
      <c r="B233" s="3">
        <f>IFERROR(__xludf.DUMMYFUNCTION("""COMPUTED_VALUE"""),43546.64583333333)</f>
        <v>43546.64583</v>
      </c>
      <c r="C233" s="2">
        <f>IFERROR(__xludf.DUMMYFUNCTION("""COMPUTED_VALUE"""),257.5)</f>
        <v>257.5</v>
      </c>
    </row>
    <row r="234" ht="15.75" customHeight="1">
      <c r="B234" s="3">
        <f>IFERROR(__xludf.DUMMYFUNCTION("""COMPUTED_VALUE"""),43553.64583333333)</f>
        <v>43553.64583</v>
      </c>
      <c r="C234" s="2">
        <f>IFERROR(__xludf.DUMMYFUNCTION("""COMPUTED_VALUE"""),281.5)</f>
        <v>281.5</v>
      </c>
    </row>
    <row r="235" ht="15.75" customHeight="1">
      <c r="B235" s="3">
        <f>IFERROR(__xludf.DUMMYFUNCTION("""COMPUTED_VALUE"""),43560.64583333333)</f>
        <v>43560.64583</v>
      </c>
      <c r="C235" s="2">
        <f>IFERROR(__xludf.DUMMYFUNCTION("""COMPUTED_VALUE"""),286.0)</f>
        <v>286</v>
      </c>
    </row>
    <row r="236" ht="15.75" customHeight="1">
      <c r="B236" s="3">
        <f>IFERROR(__xludf.DUMMYFUNCTION("""COMPUTED_VALUE"""),43567.64583333333)</f>
        <v>43567.64583</v>
      </c>
      <c r="C236" s="2">
        <f>IFERROR(__xludf.DUMMYFUNCTION("""COMPUTED_VALUE"""),275.45)</f>
        <v>275.45</v>
      </c>
    </row>
    <row r="237" ht="15.75" customHeight="1">
      <c r="B237" s="3">
        <f>IFERROR(__xludf.DUMMYFUNCTION("""COMPUTED_VALUE"""),43573.64583333333)</f>
        <v>43573.64583</v>
      </c>
      <c r="C237" s="2">
        <f>IFERROR(__xludf.DUMMYFUNCTION("""COMPUTED_VALUE"""),269.9)</f>
        <v>269.9</v>
      </c>
    </row>
    <row r="238" ht="15.75" customHeight="1">
      <c r="B238" s="3">
        <f>IFERROR(__xludf.DUMMYFUNCTION("""COMPUTED_VALUE"""),43581.64583333333)</f>
        <v>43581.64583</v>
      </c>
      <c r="C238" s="2">
        <f>IFERROR(__xludf.DUMMYFUNCTION("""COMPUTED_VALUE"""),254.4)</f>
        <v>254.4</v>
      </c>
    </row>
    <row r="239" ht="15.75" customHeight="1">
      <c r="B239" s="3">
        <f>IFERROR(__xludf.DUMMYFUNCTION("""COMPUTED_VALUE"""),43588.64583333333)</f>
        <v>43588.64583</v>
      </c>
      <c r="C239" s="2">
        <f>IFERROR(__xludf.DUMMYFUNCTION("""COMPUTED_VALUE"""),213.5)</f>
        <v>213.5</v>
      </c>
    </row>
    <row r="240" ht="15.75" customHeight="1">
      <c r="B240" s="3">
        <f>IFERROR(__xludf.DUMMYFUNCTION("""COMPUTED_VALUE"""),43595.64583333333)</f>
        <v>43595.64583</v>
      </c>
      <c r="C240" s="2">
        <f>IFERROR(__xludf.DUMMYFUNCTION("""COMPUTED_VALUE"""),174.25)</f>
        <v>174.25</v>
      </c>
    </row>
    <row r="241" ht="15.75" customHeight="1">
      <c r="B241" s="3">
        <f>IFERROR(__xludf.DUMMYFUNCTION("""COMPUTED_VALUE"""),43602.64583333333)</f>
        <v>43602.64583</v>
      </c>
      <c r="C241" s="2">
        <f>IFERROR(__xludf.DUMMYFUNCTION("""COMPUTED_VALUE"""),165.45)</f>
        <v>165.45</v>
      </c>
    </row>
    <row r="242" ht="15.75" customHeight="1">
      <c r="B242" s="3">
        <f>IFERROR(__xludf.DUMMYFUNCTION("""COMPUTED_VALUE"""),43609.64583333333)</f>
        <v>43609.64583</v>
      </c>
      <c r="C242" s="2">
        <f>IFERROR(__xludf.DUMMYFUNCTION("""COMPUTED_VALUE"""),150.8)</f>
        <v>150.8</v>
      </c>
    </row>
    <row r="243" ht="15.75" customHeight="1">
      <c r="B243" s="3">
        <f>IFERROR(__xludf.DUMMYFUNCTION("""COMPUTED_VALUE"""),43616.64583333333)</f>
        <v>43616.64583</v>
      </c>
      <c r="C243" s="2">
        <f>IFERROR(__xludf.DUMMYFUNCTION("""COMPUTED_VALUE"""),157.0)</f>
        <v>157</v>
      </c>
    </row>
    <row r="244" ht="15.75" customHeight="1">
      <c r="B244" s="3">
        <f>IFERROR(__xludf.DUMMYFUNCTION("""COMPUTED_VALUE"""),43623.64583333333)</f>
        <v>43623.64583</v>
      </c>
      <c r="C244" s="2">
        <f>IFERROR(__xludf.DUMMYFUNCTION("""COMPUTED_VALUE"""),153.85)</f>
        <v>153.85</v>
      </c>
    </row>
    <row r="245" ht="15.75" customHeight="1">
      <c r="B245" s="3">
        <f>IFERROR(__xludf.DUMMYFUNCTION("""COMPUTED_VALUE"""),43630.64583333333)</f>
        <v>43630.64583</v>
      </c>
      <c r="C245" s="2">
        <f>IFERROR(__xludf.DUMMYFUNCTION("""COMPUTED_VALUE"""),145.0)</f>
        <v>145</v>
      </c>
    </row>
    <row r="246" ht="15.75" customHeight="1">
      <c r="B246" s="3">
        <f>IFERROR(__xludf.DUMMYFUNCTION("""COMPUTED_VALUE"""),43637.64583333333)</f>
        <v>43637.64583</v>
      </c>
      <c r="C246" s="2">
        <f>IFERROR(__xludf.DUMMYFUNCTION("""COMPUTED_VALUE"""),118.35)</f>
        <v>118.35</v>
      </c>
    </row>
    <row r="247" ht="15.75" customHeight="1">
      <c r="B247" s="3">
        <f>IFERROR(__xludf.DUMMYFUNCTION("""COMPUTED_VALUE"""),43644.64583333333)</f>
        <v>43644.64583</v>
      </c>
      <c r="C247" s="2">
        <f>IFERROR(__xludf.DUMMYFUNCTION("""COMPUTED_VALUE"""),114.65)</f>
        <v>114.65</v>
      </c>
    </row>
    <row r="248" ht="15.75" customHeight="1">
      <c r="B248" s="3">
        <f>IFERROR(__xludf.DUMMYFUNCTION("""COMPUTED_VALUE"""),43651.64583333333)</f>
        <v>43651.64583</v>
      </c>
      <c r="C248" s="2">
        <f>IFERROR(__xludf.DUMMYFUNCTION("""COMPUTED_VALUE"""),110.5)</f>
        <v>110.5</v>
      </c>
    </row>
    <row r="249" ht="15.75" customHeight="1">
      <c r="B249" s="3">
        <f>IFERROR(__xludf.DUMMYFUNCTION("""COMPUTED_VALUE"""),43658.64583333333)</f>
        <v>43658.64583</v>
      </c>
      <c r="C249" s="2">
        <f>IFERROR(__xludf.DUMMYFUNCTION("""COMPUTED_VALUE"""),97.0)</f>
        <v>97</v>
      </c>
    </row>
    <row r="250" ht="15.75" customHeight="1">
      <c r="B250" s="3">
        <f>IFERROR(__xludf.DUMMYFUNCTION("""COMPUTED_VALUE"""),43665.64583333333)</f>
        <v>43665.64583</v>
      </c>
      <c r="C250" s="2">
        <f>IFERROR(__xludf.DUMMYFUNCTION("""COMPUTED_VALUE"""),108.5)</f>
        <v>108.5</v>
      </c>
    </row>
    <row r="251" ht="15.75" customHeight="1">
      <c r="B251" s="3">
        <f>IFERROR(__xludf.DUMMYFUNCTION("""COMPUTED_VALUE"""),43672.64583333333)</f>
        <v>43672.64583</v>
      </c>
      <c r="C251" s="2">
        <f>IFERROR(__xludf.DUMMYFUNCTION("""COMPUTED_VALUE"""),96.9)</f>
        <v>96.9</v>
      </c>
    </row>
    <row r="252" ht="15.75" customHeight="1">
      <c r="B252" s="3">
        <f>IFERROR(__xludf.DUMMYFUNCTION("""COMPUTED_VALUE"""),43679.64583333333)</f>
        <v>43679.64583</v>
      </c>
      <c r="C252" s="2">
        <f>IFERROR(__xludf.DUMMYFUNCTION("""COMPUTED_VALUE"""),98.7)</f>
        <v>98.7</v>
      </c>
    </row>
    <row r="253" ht="15.75" customHeight="1">
      <c r="B253" s="3">
        <f>IFERROR(__xludf.DUMMYFUNCTION("""COMPUTED_VALUE"""),43686.64583333333)</f>
        <v>43686.64583</v>
      </c>
      <c r="C253" s="2">
        <f>IFERROR(__xludf.DUMMYFUNCTION("""COMPUTED_VALUE"""),92.45)</f>
        <v>92.45</v>
      </c>
    </row>
    <row r="254" ht="15.75" customHeight="1">
      <c r="B254" s="3">
        <f>IFERROR(__xludf.DUMMYFUNCTION("""COMPUTED_VALUE"""),43693.64583333333)</f>
        <v>43693.64583</v>
      </c>
      <c r="C254" s="2">
        <f>IFERROR(__xludf.DUMMYFUNCTION("""COMPUTED_VALUE"""),84.2)</f>
        <v>84.2</v>
      </c>
    </row>
    <row r="255" ht="15.75" customHeight="1">
      <c r="B255" s="3">
        <f>IFERROR(__xludf.DUMMYFUNCTION("""COMPUTED_VALUE"""),43700.64583333333)</f>
        <v>43700.64583</v>
      </c>
      <c r="C255" s="2">
        <f>IFERROR(__xludf.DUMMYFUNCTION("""COMPUTED_VALUE"""),80.75)</f>
        <v>80.75</v>
      </c>
    </row>
    <row r="256" ht="15.75" customHeight="1">
      <c r="B256" s="3">
        <f>IFERROR(__xludf.DUMMYFUNCTION("""COMPUTED_VALUE"""),43707.64583333333)</f>
        <v>43707.64583</v>
      </c>
      <c r="C256" s="2">
        <f>IFERROR(__xludf.DUMMYFUNCTION("""COMPUTED_VALUE"""),65.35)</f>
        <v>65.35</v>
      </c>
    </row>
    <row r="257" ht="15.75" customHeight="1">
      <c r="B257" s="3">
        <f>IFERROR(__xludf.DUMMYFUNCTION("""COMPUTED_VALUE"""),43714.64583333333)</f>
        <v>43714.64583</v>
      </c>
      <c r="C257" s="2">
        <f>IFERROR(__xludf.DUMMYFUNCTION("""COMPUTED_VALUE"""),62.35)</f>
        <v>62.35</v>
      </c>
    </row>
    <row r="258" ht="15.75" customHeight="1">
      <c r="B258" s="3">
        <f>IFERROR(__xludf.DUMMYFUNCTION("""COMPUTED_VALUE"""),43721.64583333333)</f>
        <v>43721.64583</v>
      </c>
      <c r="C258" s="2">
        <f>IFERROR(__xludf.DUMMYFUNCTION("""COMPUTED_VALUE"""),75.45)</f>
        <v>75.45</v>
      </c>
    </row>
    <row r="259" ht="15.75" customHeight="1">
      <c r="B259" s="3">
        <f>IFERROR(__xludf.DUMMYFUNCTION("""COMPUTED_VALUE"""),43728.64583333333)</f>
        <v>43728.64583</v>
      </c>
      <c r="C259" s="2">
        <f>IFERROR(__xludf.DUMMYFUNCTION("""COMPUTED_VALUE"""),68.8)</f>
        <v>68.8</v>
      </c>
    </row>
    <row r="260" ht="15.75" customHeight="1">
      <c r="B260" s="3">
        <f>IFERROR(__xludf.DUMMYFUNCTION("""COMPUTED_VALUE"""),43735.64583333333)</f>
        <v>43735.64583</v>
      </c>
      <c r="C260" s="2">
        <f>IFERROR(__xludf.DUMMYFUNCTION("""COMPUTED_VALUE"""),57.65)</f>
        <v>57.65</v>
      </c>
    </row>
    <row r="261" ht="15.75" customHeight="1">
      <c r="B261" s="3">
        <f>IFERROR(__xludf.DUMMYFUNCTION("""COMPUTED_VALUE"""),43742.64583333333)</f>
        <v>43742.64583</v>
      </c>
      <c r="C261" s="2">
        <f>IFERROR(__xludf.DUMMYFUNCTION("""COMPUTED_VALUE"""),49.1)</f>
        <v>49.1</v>
      </c>
    </row>
    <row r="262" ht="15.75" customHeight="1">
      <c r="B262" s="3">
        <f>IFERROR(__xludf.DUMMYFUNCTION("""COMPUTED_VALUE"""),43749.64583333333)</f>
        <v>43749.64583</v>
      </c>
      <c r="C262" s="2">
        <f>IFERROR(__xludf.DUMMYFUNCTION("""COMPUTED_VALUE"""),46.8)</f>
        <v>46.8</v>
      </c>
    </row>
    <row r="263" ht="15.75" customHeight="1">
      <c r="B263" s="3">
        <f>IFERROR(__xludf.DUMMYFUNCTION("""COMPUTED_VALUE"""),43756.64583333333)</f>
        <v>43756.64583</v>
      </c>
      <c r="C263" s="2">
        <f>IFERROR(__xludf.DUMMYFUNCTION("""COMPUTED_VALUE"""),52.7)</f>
        <v>52.7</v>
      </c>
    </row>
    <row r="264" ht="15.75" customHeight="1">
      <c r="B264" s="3">
        <f>IFERROR(__xludf.DUMMYFUNCTION("""COMPUTED_VALUE"""),43763.79166666667)</f>
        <v>43763.79167</v>
      </c>
      <c r="C264" s="2">
        <f>IFERROR(__xludf.DUMMYFUNCTION("""COMPUTED_VALUE"""),56.6)</f>
        <v>56.6</v>
      </c>
    </row>
    <row r="265" ht="15.75" customHeight="1">
      <c r="B265" s="3">
        <f>IFERROR(__xludf.DUMMYFUNCTION("""COMPUTED_VALUE"""),43770.64583333333)</f>
        <v>43770.64583</v>
      </c>
      <c r="C265" s="2">
        <f>IFERROR(__xludf.DUMMYFUNCTION("""COMPUTED_VALUE"""),78.7)</f>
        <v>78.7</v>
      </c>
    </row>
    <row r="266" ht="15.75" customHeight="1">
      <c r="B266" s="3">
        <f>IFERROR(__xludf.DUMMYFUNCTION("""COMPUTED_VALUE"""),43777.64583333333)</f>
        <v>43777.64583</v>
      </c>
      <c r="C266" s="2">
        <f>IFERROR(__xludf.DUMMYFUNCTION("""COMPUTED_VALUE"""),72.3)</f>
        <v>72.3</v>
      </c>
    </row>
    <row r="267" ht="15.75" customHeight="1">
      <c r="B267" s="3">
        <f>IFERROR(__xludf.DUMMYFUNCTION("""COMPUTED_VALUE"""),43784.64583333333)</f>
        <v>43784.64583</v>
      </c>
      <c r="C267" s="2">
        <f>IFERROR(__xludf.DUMMYFUNCTION("""COMPUTED_VALUE"""),75.3)</f>
        <v>75.3</v>
      </c>
    </row>
    <row r="268" ht="15.75" customHeight="1">
      <c r="B268" s="3">
        <f>IFERROR(__xludf.DUMMYFUNCTION("""COMPUTED_VALUE"""),43791.64583333333)</f>
        <v>43791.64583</v>
      </c>
      <c r="C268" s="2">
        <f>IFERROR(__xludf.DUMMYFUNCTION("""COMPUTED_VALUE"""),69.25)</f>
        <v>69.25</v>
      </c>
    </row>
    <row r="269" ht="15.75" customHeight="1">
      <c r="B269" s="3">
        <f>IFERROR(__xludf.DUMMYFUNCTION("""COMPUTED_VALUE"""),43798.64583333333)</f>
        <v>43798.64583</v>
      </c>
      <c r="C269" s="2">
        <f>IFERROR(__xludf.DUMMYFUNCTION("""COMPUTED_VALUE"""),74.0)</f>
        <v>74</v>
      </c>
    </row>
    <row r="270" ht="15.75" customHeight="1">
      <c r="B270" s="3">
        <f>IFERROR(__xludf.DUMMYFUNCTION("""COMPUTED_VALUE"""),43805.64583333333)</f>
        <v>43805.64583</v>
      </c>
      <c r="C270" s="2">
        <f>IFERROR(__xludf.DUMMYFUNCTION("""COMPUTED_VALUE"""),65.25)</f>
        <v>65.25</v>
      </c>
    </row>
    <row r="271" ht="15.75" customHeight="1">
      <c r="B271" s="3">
        <f>IFERROR(__xludf.DUMMYFUNCTION("""COMPUTED_VALUE"""),43812.64583333333)</f>
        <v>43812.64583</v>
      </c>
      <c r="C271" s="2">
        <f>IFERROR(__xludf.DUMMYFUNCTION("""COMPUTED_VALUE"""),58.85)</f>
        <v>58.85</v>
      </c>
    </row>
    <row r="272" ht="15.75" customHeight="1">
      <c r="B272" s="3">
        <f>IFERROR(__xludf.DUMMYFUNCTION("""COMPUTED_VALUE"""),43819.64583333333)</f>
        <v>43819.64583</v>
      </c>
      <c r="C272" s="2">
        <f>IFERROR(__xludf.DUMMYFUNCTION("""COMPUTED_VALUE"""),53.5)</f>
        <v>53.5</v>
      </c>
    </row>
    <row r="273" ht="15.75" customHeight="1">
      <c r="B273" s="3">
        <f>IFERROR(__xludf.DUMMYFUNCTION("""COMPUTED_VALUE"""),43826.64583333333)</f>
        <v>43826.64583</v>
      </c>
      <c r="C273" s="2">
        <f>IFERROR(__xludf.DUMMYFUNCTION("""COMPUTED_VALUE"""),52.3)</f>
        <v>52.3</v>
      </c>
    </row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IFERROR(__xludf.DUMMYFUNCTION("GOOGLEFINANCE(""NSE:AUROPHARMA"", ""high"",DATE(2016,1,1),DATE(2017,1,1),""weekly"")"),"Date")</f>
        <v>Date</v>
      </c>
      <c r="C1" s="2" t="str">
        <f>IFERROR(__xludf.DUMMYFUNCTION("""COMPUTED_VALUE"""),"High")</f>
        <v>High</v>
      </c>
    </row>
    <row r="2">
      <c r="A2" s="2" t="s">
        <v>15</v>
      </c>
      <c r="B2" s="3">
        <f>IFERROR(__xludf.DUMMYFUNCTION("""COMPUTED_VALUE"""),42377.64583333333)</f>
        <v>42377.64583</v>
      </c>
      <c r="C2" s="2">
        <f>IFERROR(__xludf.DUMMYFUNCTION("""COMPUTED_VALUE"""),878.5)</f>
        <v>878.5</v>
      </c>
    </row>
    <row r="3">
      <c r="A3" s="2" t="s">
        <v>16</v>
      </c>
      <c r="B3" s="3">
        <f>IFERROR(__xludf.DUMMYFUNCTION("""COMPUTED_VALUE"""),42384.64583333333)</f>
        <v>42384.64583</v>
      </c>
      <c r="C3" s="2">
        <f>IFERROR(__xludf.DUMMYFUNCTION("""COMPUTED_VALUE"""),848.95)</f>
        <v>848.95</v>
      </c>
    </row>
    <row r="4">
      <c r="B4" s="3">
        <f>IFERROR(__xludf.DUMMYFUNCTION("""COMPUTED_VALUE"""),42391.64583333333)</f>
        <v>42391.64583</v>
      </c>
      <c r="C4" s="2">
        <f>IFERROR(__xludf.DUMMYFUNCTION("""COMPUTED_VALUE"""),829.0)</f>
        <v>829</v>
      </c>
    </row>
    <row r="5">
      <c r="B5" s="3">
        <f>IFERROR(__xludf.DUMMYFUNCTION("""COMPUTED_VALUE"""),42398.64583333333)</f>
        <v>42398.64583</v>
      </c>
      <c r="C5" s="2">
        <f>IFERROR(__xludf.DUMMYFUNCTION("""COMPUTED_VALUE"""),838.0)</f>
        <v>838</v>
      </c>
    </row>
    <row r="6">
      <c r="B6" s="3">
        <f>IFERROR(__xludf.DUMMYFUNCTION("""COMPUTED_VALUE"""),42405.64583333333)</f>
        <v>42405.64583</v>
      </c>
      <c r="C6" s="2">
        <f>IFERROR(__xludf.DUMMYFUNCTION("""COMPUTED_VALUE"""),820.5)</f>
        <v>820.5</v>
      </c>
    </row>
    <row r="7">
      <c r="B7" s="3">
        <f>IFERROR(__xludf.DUMMYFUNCTION("""COMPUTED_VALUE"""),42419.64583333333)</f>
        <v>42419.64583</v>
      </c>
      <c r="C7" s="2">
        <f>IFERROR(__xludf.DUMMYFUNCTION("""COMPUTED_VALUE"""),683.0)</f>
        <v>683</v>
      </c>
    </row>
    <row r="8">
      <c r="B8" s="3">
        <f>IFERROR(__xludf.DUMMYFUNCTION("""COMPUTED_VALUE"""),42426.64583333333)</f>
        <v>42426.64583</v>
      </c>
      <c r="C8" s="2">
        <f>IFERROR(__xludf.DUMMYFUNCTION("""COMPUTED_VALUE"""),673.4)</f>
        <v>673.4</v>
      </c>
    </row>
    <row r="9">
      <c r="B9" s="3">
        <f>IFERROR(__xludf.DUMMYFUNCTION("""COMPUTED_VALUE"""),42433.64583333333)</f>
        <v>42433.64583</v>
      </c>
      <c r="C9" s="2">
        <f>IFERROR(__xludf.DUMMYFUNCTION("""COMPUTED_VALUE"""),710.8)</f>
        <v>710.8</v>
      </c>
    </row>
    <row r="10">
      <c r="B10" s="3">
        <f>IFERROR(__xludf.DUMMYFUNCTION("""COMPUTED_VALUE"""),42440.64583333333)</f>
        <v>42440.64583</v>
      </c>
      <c r="C10" s="2">
        <f>IFERROR(__xludf.DUMMYFUNCTION("""COMPUTED_VALUE"""),735.45)</f>
        <v>735.45</v>
      </c>
    </row>
    <row r="11">
      <c r="B11" s="3">
        <f>IFERROR(__xludf.DUMMYFUNCTION("""COMPUTED_VALUE"""),42447.64583333333)</f>
        <v>42447.64583</v>
      </c>
      <c r="C11" s="2">
        <f>IFERROR(__xludf.DUMMYFUNCTION("""COMPUTED_VALUE"""),742.0)</f>
        <v>742</v>
      </c>
    </row>
    <row r="12">
      <c r="B12" s="3">
        <f>IFERROR(__xludf.DUMMYFUNCTION("""COMPUTED_VALUE"""),42452.64583333333)</f>
        <v>42452.64583</v>
      </c>
      <c r="C12" s="2">
        <f>IFERROR(__xludf.DUMMYFUNCTION("""COMPUTED_VALUE"""),761.95)</f>
        <v>761.95</v>
      </c>
    </row>
    <row r="13">
      <c r="B13" s="3">
        <f>IFERROR(__xludf.DUMMYFUNCTION("""COMPUTED_VALUE"""),42461.64583333333)</f>
        <v>42461.64583</v>
      </c>
      <c r="C13" s="2">
        <f>IFERROR(__xludf.DUMMYFUNCTION("""COMPUTED_VALUE"""),758.5)</f>
        <v>758.5</v>
      </c>
    </row>
    <row r="14">
      <c r="B14" s="3">
        <f>IFERROR(__xludf.DUMMYFUNCTION("""COMPUTED_VALUE"""),42468.64583333333)</f>
        <v>42468.64583</v>
      </c>
      <c r="C14" s="2">
        <f>IFERROR(__xludf.DUMMYFUNCTION("""COMPUTED_VALUE"""),769.45)</f>
        <v>769.45</v>
      </c>
    </row>
    <row r="15">
      <c r="B15" s="3">
        <f>IFERROR(__xludf.DUMMYFUNCTION("""COMPUTED_VALUE"""),42473.64583333333)</f>
        <v>42473.64583</v>
      </c>
      <c r="C15" s="2">
        <f>IFERROR(__xludf.DUMMYFUNCTION("""COMPUTED_VALUE"""),796.0)</f>
        <v>796</v>
      </c>
    </row>
    <row r="16">
      <c r="B16" s="3">
        <f>IFERROR(__xludf.DUMMYFUNCTION("""COMPUTED_VALUE"""),42482.64583333333)</f>
        <v>42482.64583</v>
      </c>
      <c r="C16" s="2">
        <f>IFERROR(__xludf.DUMMYFUNCTION("""COMPUTED_VALUE"""),794.5)</f>
        <v>794.5</v>
      </c>
    </row>
    <row r="17">
      <c r="B17" s="3">
        <f>IFERROR(__xludf.DUMMYFUNCTION("""COMPUTED_VALUE"""),42489.64583333333)</f>
        <v>42489.64583</v>
      </c>
      <c r="C17" s="2">
        <f>IFERROR(__xludf.DUMMYFUNCTION("""COMPUTED_VALUE"""),786.1)</f>
        <v>786.1</v>
      </c>
    </row>
    <row r="18">
      <c r="B18" s="3">
        <f>IFERROR(__xludf.DUMMYFUNCTION("""COMPUTED_VALUE"""),42496.64583333333)</f>
        <v>42496.64583</v>
      </c>
      <c r="C18" s="2">
        <f>IFERROR(__xludf.DUMMYFUNCTION("""COMPUTED_VALUE"""),819.9)</f>
        <v>819.9</v>
      </c>
    </row>
    <row r="19">
      <c r="B19" s="3">
        <f>IFERROR(__xludf.DUMMYFUNCTION("""COMPUTED_VALUE"""),42503.64583333333)</f>
        <v>42503.64583</v>
      </c>
      <c r="C19" s="2">
        <f>IFERROR(__xludf.DUMMYFUNCTION("""COMPUTED_VALUE"""),822.35)</f>
        <v>822.35</v>
      </c>
    </row>
    <row r="20">
      <c r="B20" s="3">
        <f>IFERROR(__xludf.DUMMYFUNCTION("""COMPUTED_VALUE"""),42510.64583333333)</f>
        <v>42510.64583</v>
      </c>
      <c r="C20" s="2">
        <f>IFERROR(__xludf.DUMMYFUNCTION("""COMPUTED_VALUE"""),799.5)</f>
        <v>799.5</v>
      </c>
    </row>
    <row r="21" ht="15.75" customHeight="1">
      <c r="B21" s="3">
        <f>IFERROR(__xludf.DUMMYFUNCTION("""COMPUTED_VALUE"""),42517.64583333333)</f>
        <v>42517.64583</v>
      </c>
      <c r="C21" s="2">
        <f>IFERROR(__xludf.DUMMYFUNCTION("""COMPUTED_VALUE"""),780.0)</f>
        <v>780</v>
      </c>
    </row>
    <row r="22" ht="15.75" customHeight="1">
      <c r="B22" s="3">
        <f>IFERROR(__xludf.DUMMYFUNCTION("""COMPUTED_VALUE"""),42524.64583333333)</f>
        <v>42524.64583</v>
      </c>
      <c r="C22" s="2">
        <f>IFERROR(__xludf.DUMMYFUNCTION("""COMPUTED_VALUE"""),802.7)</f>
        <v>802.7</v>
      </c>
    </row>
    <row r="23" ht="15.75" customHeight="1">
      <c r="B23" s="3">
        <f>IFERROR(__xludf.DUMMYFUNCTION("""COMPUTED_VALUE"""),42531.64583333333)</f>
        <v>42531.64583</v>
      </c>
      <c r="C23" s="2">
        <f>IFERROR(__xludf.DUMMYFUNCTION("""COMPUTED_VALUE"""),794.35)</f>
        <v>794.35</v>
      </c>
    </row>
    <row r="24" ht="15.75" customHeight="1">
      <c r="B24" s="3">
        <f>IFERROR(__xludf.DUMMYFUNCTION("""COMPUTED_VALUE"""),42538.64583333333)</f>
        <v>42538.64583</v>
      </c>
      <c r="C24" s="2">
        <f>IFERROR(__xludf.DUMMYFUNCTION("""COMPUTED_VALUE"""),757.15)</f>
        <v>757.15</v>
      </c>
    </row>
    <row r="25" ht="15.75" customHeight="1">
      <c r="B25" s="3">
        <f>IFERROR(__xludf.DUMMYFUNCTION("""COMPUTED_VALUE"""),42545.64583333333)</f>
        <v>42545.64583</v>
      </c>
      <c r="C25" s="2">
        <f>IFERROR(__xludf.DUMMYFUNCTION("""COMPUTED_VALUE"""),746.25)</f>
        <v>746.25</v>
      </c>
    </row>
    <row r="26" ht="15.75" customHeight="1">
      <c r="B26" s="3">
        <f>IFERROR(__xludf.DUMMYFUNCTION("""COMPUTED_VALUE"""),42552.64583333333)</f>
        <v>42552.64583</v>
      </c>
      <c r="C26" s="2">
        <f>IFERROR(__xludf.DUMMYFUNCTION("""COMPUTED_VALUE"""),752.9)</f>
        <v>752.9</v>
      </c>
    </row>
    <row r="27" ht="15.75" customHeight="1">
      <c r="B27" s="3">
        <f>IFERROR(__xludf.DUMMYFUNCTION("""COMPUTED_VALUE"""),42559.64583333333)</f>
        <v>42559.64583</v>
      </c>
      <c r="C27" s="2">
        <f>IFERROR(__xludf.DUMMYFUNCTION("""COMPUTED_VALUE"""),782.4)</f>
        <v>782.4</v>
      </c>
    </row>
    <row r="28" ht="15.75" customHeight="1">
      <c r="B28" s="3">
        <f>IFERROR(__xludf.DUMMYFUNCTION("""COMPUTED_VALUE"""),42566.64583333333)</f>
        <v>42566.64583</v>
      </c>
      <c r="C28" s="2">
        <f>IFERROR(__xludf.DUMMYFUNCTION("""COMPUTED_VALUE"""),791.0)</f>
        <v>791</v>
      </c>
    </row>
    <row r="29" ht="15.75" customHeight="1">
      <c r="B29" s="3">
        <f>IFERROR(__xludf.DUMMYFUNCTION("""COMPUTED_VALUE"""),42573.64583333333)</f>
        <v>42573.64583</v>
      </c>
      <c r="C29" s="2">
        <f>IFERROR(__xludf.DUMMYFUNCTION("""COMPUTED_VALUE"""),813.95)</f>
        <v>813.95</v>
      </c>
    </row>
    <row r="30" ht="15.75" customHeight="1">
      <c r="B30" s="3">
        <f>IFERROR(__xludf.DUMMYFUNCTION("""COMPUTED_VALUE"""),42580.64583333333)</f>
        <v>42580.64583</v>
      </c>
      <c r="C30" s="2">
        <f>IFERROR(__xludf.DUMMYFUNCTION("""COMPUTED_VALUE"""),805.85)</f>
        <v>805.85</v>
      </c>
    </row>
    <row r="31" ht="15.75" customHeight="1">
      <c r="B31" s="3">
        <f>IFERROR(__xludf.DUMMYFUNCTION("""COMPUTED_VALUE"""),42587.64583333333)</f>
        <v>42587.64583</v>
      </c>
      <c r="C31" s="2">
        <f>IFERROR(__xludf.DUMMYFUNCTION("""COMPUTED_VALUE"""),806.8)</f>
        <v>806.8</v>
      </c>
    </row>
    <row r="32" ht="15.75" customHeight="1">
      <c r="B32" s="3">
        <f>IFERROR(__xludf.DUMMYFUNCTION("""COMPUTED_VALUE"""),42594.64583333333)</f>
        <v>42594.64583</v>
      </c>
      <c r="C32" s="2">
        <f>IFERROR(__xludf.DUMMYFUNCTION("""COMPUTED_VALUE"""),782.0)</f>
        <v>782</v>
      </c>
    </row>
    <row r="33" ht="15.75" customHeight="1">
      <c r="B33" s="3">
        <f>IFERROR(__xludf.DUMMYFUNCTION("""COMPUTED_VALUE"""),42601.64583333333)</f>
        <v>42601.64583</v>
      </c>
      <c r="C33" s="2">
        <f>IFERROR(__xludf.DUMMYFUNCTION("""COMPUTED_VALUE"""),766.5)</f>
        <v>766.5</v>
      </c>
    </row>
    <row r="34" ht="15.75" customHeight="1">
      <c r="B34" s="3">
        <f>IFERROR(__xludf.DUMMYFUNCTION("""COMPUTED_VALUE"""),42608.64583333333)</f>
        <v>42608.64583</v>
      </c>
      <c r="C34" s="2">
        <f>IFERROR(__xludf.DUMMYFUNCTION("""COMPUTED_VALUE"""),804.8)</f>
        <v>804.8</v>
      </c>
    </row>
    <row r="35" ht="15.75" customHeight="1">
      <c r="B35" s="3">
        <f>IFERROR(__xludf.DUMMYFUNCTION("""COMPUTED_VALUE"""),42615.64583333333)</f>
        <v>42615.64583</v>
      </c>
      <c r="C35" s="2">
        <f>IFERROR(__xludf.DUMMYFUNCTION("""COMPUTED_VALUE"""),805.0)</f>
        <v>805</v>
      </c>
    </row>
    <row r="36" ht="15.75" customHeight="1">
      <c r="B36" s="3">
        <f>IFERROR(__xludf.DUMMYFUNCTION("""COMPUTED_VALUE"""),42622.64583333333)</f>
        <v>42622.64583</v>
      </c>
      <c r="C36" s="2">
        <f>IFERROR(__xludf.DUMMYFUNCTION("""COMPUTED_VALUE"""),818.5)</f>
        <v>818.5</v>
      </c>
    </row>
    <row r="37" ht="15.75" customHeight="1">
      <c r="B37" s="3">
        <f>IFERROR(__xludf.DUMMYFUNCTION("""COMPUTED_VALUE"""),42629.64583333333)</f>
        <v>42629.64583</v>
      </c>
      <c r="C37" s="2">
        <f>IFERROR(__xludf.DUMMYFUNCTION("""COMPUTED_VALUE"""),801.0)</f>
        <v>801</v>
      </c>
    </row>
    <row r="38" ht="15.75" customHeight="1">
      <c r="B38" s="3">
        <f>IFERROR(__xludf.DUMMYFUNCTION("""COMPUTED_VALUE"""),42636.64583333333)</f>
        <v>42636.64583</v>
      </c>
      <c r="C38" s="2">
        <f>IFERROR(__xludf.DUMMYFUNCTION("""COMPUTED_VALUE"""),862.9)</f>
        <v>862.9</v>
      </c>
    </row>
    <row r="39" ht="15.75" customHeight="1">
      <c r="B39" s="3">
        <f>IFERROR(__xludf.DUMMYFUNCTION("""COMPUTED_VALUE"""),42643.64583333333)</f>
        <v>42643.64583</v>
      </c>
      <c r="C39" s="2">
        <f>IFERROR(__xludf.DUMMYFUNCTION("""COMPUTED_VALUE"""),882.8)</f>
        <v>882.8</v>
      </c>
    </row>
    <row r="40" ht="15.75" customHeight="1">
      <c r="B40" s="3">
        <f>IFERROR(__xludf.DUMMYFUNCTION("""COMPUTED_VALUE"""),42650.64583333333)</f>
        <v>42650.64583</v>
      </c>
      <c r="C40" s="2">
        <f>IFERROR(__xludf.DUMMYFUNCTION("""COMPUTED_VALUE"""),895.0)</f>
        <v>895</v>
      </c>
    </row>
    <row r="41" ht="15.75" customHeight="1">
      <c r="B41" s="3">
        <f>IFERROR(__xludf.DUMMYFUNCTION("""COMPUTED_VALUE"""),42657.64583333333)</f>
        <v>42657.64583</v>
      </c>
      <c r="C41" s="2">
        <f>IFERROR(__xludf.DUMMYFUNCTION("""COMPUTED_VALUE"""),863.7)</f>
        <v>863.7</v>
      </c>
    </row>
    <row r="42" ht="15.75" customHeight="1">
      <c r="B42" s="3">
        <f>IFERROR(__xludf.DUMMYFUNCTION("""COMPUTED_VALUE"""),42664.64583333333)</f>
        <v>42664.64583</v>
      </c>
      <c r="C42" s="2">
        <f>IFERROR(__xludf.DUMMYFUNCTION("""COMPUTED_VALUE"""),840.4)</f>
        <v>840.4</v>
      </c>
    </row>
    <row r="43" ht="15.75" customHeight="1">
      <c r="B43" s="3">
        <f>IFERROR(__xludf.DUMMYFUNCTION("""COMPUTED_VALUE"""),42671.64583333333)</f>
        <v>42671.64583</v>
      </c>
      <c r="C43" s="2">
        <f>IFERROR(__xludf.DUMMYFUNCTION("""COMPUTED_VALUE"""),831.25)</f>
        <v>831.25</v>
      </c>
    </row>
    <row r="44" ht="15.75" customHeight="1">
      <c r="B44" s="3">
        <f>IFERROR(__xludf.DUMMYFUNCTION("""COMPUTED_VALUE"""),42678.64583333333)</f>
        <v>42678.64583</v>
      </c>
      <c r="C44" s="2">
        <f>IFERROR(__xludf.DUMMYFUNCTION("""COMPUTED_VALUE"""),826.75)</f>
        <v>826.75</v>
      </c>
    </row>
    <row r="45" ht="15.75" customHeight="1">
      <c r="B45" s="3">
        <f>IFERROR(__xludf.DUMMYFUNCTION("""COMPUTED_VALUE"""),42685.64583333333)</f>
        <v>42685.64583</v>
      </c>
      <c r="C45" s="2">
        <f>IFERROR(__xludf.DUMMYFUNCTION("""COMPUTED_VALUE"""),804.4)</f>
        <v>804.4</v>
      </c>
    </row>
    <row r="46" ht="15.75" customHeight="1">
      <c r="B46" s="3">
        <f>IFERROR(__xludf.DUMMYFUNCTION("""COMPUTED_VALUE"""),42692.64583333333)</f>
        <v>42692.64583</v>
      </c>
      <c r="C46" s="2">
        <f>IFERROR(__xludf.DUMMYFUNCTION("""COMPUTED_VALUE"""),791.0)</f>
        <v>791</v>
      </c>
    </row>
    <row r="47" ht="15.75" customHeight="1">
      <c r="B47" s="3">
        <f>IFERROR(__xludf.DUMMYFUNCTION("""COMPUTED_VALUE"""),42699.64583333333)</f>
        <v>42699.64583</v>
      </c>
      <c r="C47" s="2">
        <f>IFERROR(__xludf.DUMMYFUNCTION("""COMPUTED_VALUE"""),744.4)</f>
        <v>744.4</v>
      </c>
    </row>
    <row r="48" ht="15.75" customHeight="1">
      <c r="B48" s="3">
        <f>IFERROR(__xludf.DUMMYFUNCTION("""COMPUTED_VALUE"""),42706.64583333333)</f>
        <v>42706.64583</v>
      </c>
      <c r="C48" s="2">
        <f>IFERROR(__xludf.DUMMYFUNCTION("""COMPUTED_VALUE"""),756.9)</f>
        <v>756.9</v>
      </c>
    </row>
    <row r="49" ht="15.75" customHeight="1">
      <c r="B49" s="3">
        <f>IFERROR(__xludf.DUMMYFUNCTION("""COMPUTED_VALUE"""),42713.64583333333)</f>
        <v>42713.64583</v>
      </c>
      <c r="C49" s="2">
        <f>IFERROR(__xludf.DUMMYFUNCTION("""COMPUTED_VALUE"""),735.35)</f>
        <v>735.35</v>
      </c>
    </row>
    <row r="50" ht="15.75" customHeight="1">
      <c r="B50" s="3">
        <f>IFERROR(__xludf.DUMMYFUNCTION("""COMPUTED_VALUE"""),42720.64583333333)</f>
        <v>42720.64583</v>
      </c>
      <c r="C50" s="2">
        <f>IFERROR(__xludf.DUMMYFUNCTION("""COMPUTED_VALUE"""),723.9)</f>
        <v>723.9</v>
      </c>
    </row>
    <row r="51" ht="15.75" customHeight="1">
      <c r="B51" s="3">
        <f>IFERROR(__xludf.DUMMYFUNCTION("""COMPUTED_VALUE"""),42727.64583333333)</f>
        <v>42727.64583</v>
      </c>
      <c r="C51" s="2">
        <f>IFERROR(__xludf.DUMMYFUNCTION("""COMPUTED_VALUE"""),712.45)</f>
        <v>712.45</v>
      </c>
    </row>
    <row r="52" ht="15.75" customHeight="1">
      <c r="B52" s="3">
        <f>IFERROR(__xludf.DUMMYFUNCTION("""COMPUTED_VALUE"""),42734.64583333333)</f>
        <v>42734.64583</v>
      </c>
      <c r="C52" s="2">
        <f>IFERROR(__xludf.DUMMYFUNCTION("""COMPUTED_VALUE"""),672.5)</f>
        <v>672.5</v>
      </c>
    </row>
    <row r="53" ht="15.75" customHeight="1"/>
    <row r="54" ht="15.75" customHeight="1"/>
    <row r="55" ht="15.75" customHeight="1"/>
    <row r="56" ht="15.75" customHeight="1">
      <c r="B56" s="2" t="str">
        <f>IFERROR(__xludf.DUMMYFUNCTION("GOOGLEFINANCE(""NSE:AUROPHARMA"", ""high"",DATE(2017,1,1),DATE(2018,1,1),""weekly"")"),"Date")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IFERROR(__xludf.DUMMYFUNCTION("""COMPUTED_VALUE"""),42741.64583333333)</f>
        <v>42741.64583</v>
      </c>
      <c r="C57" s="2">
        <f>IFERROR(__xludf.DUMMYFUNCTION("""COMPUTED_VALUE"""),710.0)</f>
        <v>710</v>
      </c>
    </row>
    <row r="58" ht="15.75" customHeight="1">
      <c r="B58" s="3">
        <f>IFERROR(__xludf.DUMMYFUNCTION("""COMPUTED_VALUE"""),42748.64583333333)</f>
        <v>42748.64583</v>
      </c>
      <c r="C58" s="2">
        <f>IFERROR(__xludf.DUMMYFUNCTION("""COMPUTED_VALUE"""),722.3)</f>
        <v>722.3</v>
      </c>
    </row>
    <row r="59" ht="15.75" customHeight="1">
      <c r="B59" s="3">
        <f>IFERROR(__xludf.DUMMYFUNCTION("""COMPUTED_VALUE"""),42755.64583333333)</f>
        <v>42755.64583</v>
      </c>
      <c r="C59" s="2">
        <f>IFERROR(__xludf.DUMMYFUNCTION("""COMPUTED_VALUE"""),730.8)</f>
        <v>730.8</v>
      </c>
    </row>
    <row r="60" ht="15.75" customHeight="1">
      <c r="B60" s="3">
        <f>IFERROR(__xludf.DUMMYFUNCTION("""COMPUTED_VALUE"""),42762.64583333333)</f>
        <v>42762.64583</v>
      </c>
      <c r="C60" s="2">
        <f>IFERROR(__xludf.DUMMYFUNCTION("""COMPUTED_VALUE"""),717.55)</f>
        <v>717.55</v>
      </c>
    </row>
    <row r="61" ht="15.75" customHeight="1">
      <c r="B61" s="3">
        <f>IFERROR(__xludf.DUMMYFUNCTION("""COMPUTED_VALUE"""),42769.64583333333)</f>
        <v>42769.64583</v>
      </c>
      <c r="C61" s="2">
        <f>IFERROR(__xludf.DUMMYFUNCTION("""COMPUTED_VALUE"""),714.35)</f>
        <v>714.35</v>
      </c>
    </row>
    <row r="62" ht="15.75" customHeight="1">
      <c r="B62" s="3">
        <f>IFERROR(__xludf.DUMMYFUNCTION("""COMPUTED_VALUE"""),42776.64583333333)</f>
        <v>42776.64583</v>
      </c>
      <c r="C62" s="2">
        <f>IFERROR(__xludf.DUMMYFUNCTION("""COMPUTED_VALUE"""),714.65)</f>
        <v>714.65</v>
      </c>
    </row>
    <row r="63" ht="15.75" customHeight="1">
      <c r="B63" s="3">
        <f>IFERROR(__xludf.DUMMYFUNCTION("""COMPUTED_VALUE"""),42783.64583333333)</f>
        <v>42783.64583</v>
      </c>
      <c r="C63" s="2">
        <f>IFERROR(__xludf.DUMMYFUNCTION("""COMPUTED_VALUE"""),683.5)</f>
        <v>683.5</v>
      </c>
    </row>
    <row r="64" ht="15.75" customHeight="1">
      <c r="B64" s="3">
        <f>IFERROR(__xludf.DUMMYFUNCTION("""COMPUTED_VALUE"""),42789.64583333333)</f>
        <v>42789.64583</v>
      </c>
      <c r="C64" s="2">
        <f>IFERROR(__xludf.DUMMYFUNCTION("""COMPUTED_VALUE"""),697.75)</f>
        <v>697.75</v>
      </c>
    </row>
    <row r="65" ht="15.75" customHeight="1">
      <c r="B65" s="3">
        <f>IFERROR(__xludf.DUMMYFUNCTION("""COMPUTED_VALUE"""),42797.64583333333)</f>
        <v>42797.64583</v>
      </c>
      <c r="C65" s="2">
        <f>IFERROR(__xludf.DUMMYFUNCTION("""COMPUTED_VALUE"""),686.85)</f>
        <v>686.85</v>
      </c>
    </row>
    <row r="66" ht="15.75" customHeight="1">
      <c r="B66" s="3">
        <f>IFERROR(__xludf.DUMMYFUNCTION("""COMPUTED_VALUE"""),42804.64583333333)</f>
        <v>42804.64583</v>
      </c>
      <c r="C66" s="2">
        <f>IFERROR(__xludf.DUMMYFUNCTION("""COMPUTED_VALUE"""),678.0)</f>
        <v>678</v>
      </c>
    </row>
    <row r="67" ht="15.75" customHeight="1">
      <c r="B67" s="3">
        <f>IFERROR(__xludf.DUMMYFUNCTION("""COMPUTED_VALUE"""),42811.64583333333)</f>
        <v>42811.64583</v>
      </c>
      <c r="C67" s="2">
        <f>IFERROR(__xludf.DUMMYFUNCTION("""COMPUTED_VALUE"""),694.0)</f>
        <v>694</v>
      </c>
    </row>
    <row r="68" ht="15.75" customHeight="1">
      <c r="B68" s="3">
        <f>IFERROR(__xludf.DUMMYFUNCTION("""COMPUTED_VALUE"""),42818.64583333333)</f>
        <v>42818.64583</v>
      </c>
      <c r="C68" s="2">
        <f>IFERROR(__xludf.DUMMYFUNCTION("""COMPUTED_VALUE"""),710.35)</f>
        <v>710.35</v>
      </c>
    </row>
    <row r="69" ht="15.75" customHeight="1">
      <c r="B69" s="3">
        <f>IFERROR(__xludf.DUMMYFUNCTION("""COMPUTED_VALUE"""),42825.64583333333)</f>
        <v>42825.64583</v>
      </c>
      <c r="C69" s="2">
        <f>IFERROR(__xludf.DUMMYFUNCTION("""COMPUTED_VALUE"""),683.85)</f>
        <v>683.85</v>
      </c>
    </row>
    <row r="70" ht="15.75" customHeight="1">
      <c r="B70" s="3">
        <f>IFERROR(__xludf.DUMMYFUNCTION("""COMPUTED_VALUE"""),42832.64583333333)</f>
        <v>42832.64583</v>
      </c>
      <c r="C70" s="2">
        <f>IFERROR(__xludf.DUMMYFUNCTION("""COMPUTED_VALUE"""),687.0)</f>
        <v>687</v>
      </c>
    </row>
    <row r="71" ht="15.75" customHeight="1">
      <c r="B71" s="3">
        <f>IFERROR(__xludf.DUMMYFUNCTION("""COMPUTED_VALUE"""),42838.64583333333)</f>
        <v>42838.64583</v>
      </c>
      <c r="C71" s="2">
        <f>IFERROR(__xludf.DUMMYFUNCTION("""COMPUTED_VALUE"""),665.0)</f>
        <v>665</v>
      </c>
    </row>
    <row r="72" ht="15.75" customHeight="1">
      <c r="B72" s="3">
        <f>IFERROR(__xludf.DUMMYFUNCTION("""COMPUTED_VALUE"""),42846.64583333333)</f>
        <v>42846.64583</v>
      </c>
      <c r="C72" s="2">
        <f>IFERROR(__xludf.DUMMYFUNCTION("""COMPUTED_VALUE"""),675.8)</f>
        <v>675.8</v>
      </c>
    </row>
    <row r="73" ht="15.75" customHeight="1">
      <c r="B73" s="3">
        <f>IFERROR(__xludf.DUMMYFUNCTION("""COMPUTED_VALUE"""),42853.64583333333)</f>
        <v>42853.64583</v>
      </c>
      <c r="C73" s="2">
        <f>IFERROR(__xludf.DUMMYFUNCTION("""COMPUTED_VALUE"""),634.7)</f>
        <v>634.7</v>
      </c>
    </row>
    <row r="74" ht="15.75" customHeight="1">
      <c r="B74" s="3">
        <f>IFERROR(__xludf.DUMMYFUNCTION("""COMPUTED_VALUE"""),42860.64583333333)</f>
        <v>42860.64583</v>
      </c>
      <c r="C74" s="2">
        <f>IFERROR(__xludf.DUMMYFUNCTION("""COMPUTED_VALUE"""),616.3)</f>
        <v>616.3</v>
      </c>
    </row>
    <row r="75" ht="15.75" customHeight="1">
      <c r="B75" s="3">
        <f>IFERROR(__xludf.DUMMYFUNCTION("""COMPUTED_VALUE"""),42867.64583333333)</f>
        <v>42867.64583</v>
      </c>
      <c r="C75" s="2">
        <f>IFERROR(__xludf.DUMMYFUNCTION("""COMPUTED_VALUE"""),626.8)</f>
        <v>626.8</v>
      </c>
    </row>
    <row r="76" ht="15.75" customHeight="1">
      <c r="B76" s="3">
        <f>IFERROR(__xludf.DUMMYFUNCTION("""COMPUTED_VALUE"""),42874.64583333333)</f>
        <v>42874.64583</v>
      </c>
      <c r="C76" s="2">
        <f>IFERROR(__xludf.DUMMYFUNCTION("""COMPUTED_VALUE"""),626.7)</f>
        <v>626.7</v>
      </c>
    </row>
    <row r="77" ht="15.75" customHeight="1">
      <c r="B77" s="3">
        <f>IFERROR(__xludf.DUMMYFUNCTION("""COMPUTED_VALUE"""),42881.64583333333)</f>
        <v>42881.64583</v>
      </c>
      <c r="C77" s="2">
        <f>IFERROR(__xludf.DUMMYFUNCTION("""COMPUTED_VALUE"""),598.9)</f>
        <v>598.9</v>
      </c>
    </row>
    <row r="78" ht="15.75" customHeight="1">
      <c r="B78" s="3">
        <f>IFERROR(__xludf.DUMMYFUNCTION("""COMPUTED_VALUE"""),42888.64583333333)</f>
        <v>42888.64583</v>
      </c>
      <c r="C78" s="2">
        <f>IFERROR(__xludf.DUMMYFUNCTION("""COMPUTED_VALUE"""),606.6)</f>
        <v>606.6</v>
      </c>
    </row>
    <row r="79" ht="15.75" customHeight="1">
      <c r="B79" s="3">
        <f>IFERROR(__xludf.DUMMYFUNCTION("""COMPUTED_VALUE"""),42895.64583333333)</f>
        <v>42895.64583</v>
      </c>
      <c r="C79" s="2">
        <f>IFERROR(__xludf.DUMMYFUNCTION("""COMPUTED_VALUE"""),613.5)</f>
        <v>613.5</v>
      </c>
    </row>
    <row r="80" ht="15.75" customHeight="1">
      <c r="B80" s="3">
        <f>IFERROR(__xludf.DUMMYFUNCTION("""COMPUTED_VALUE"""),42902.64583333333)</f>
        <v>42902.64583</v>
      </c>
      <c r="C80" s="2">
        <f>IFERROR(__xludf.DUMMYFUNCTION("""COMPUTED_VALUE"""),663.5)</f>
        <v>663.5</v>
      </c>
    </row>
    <row r="81" ht="15.75" customHeight="1">
      <c r="B81" s="3">
        <f>IFERROR(__xludf.DUMMYFUNCTION("""COMPUTED_VALUE"""),42909.64583333333)</f>
        <v>42909.64583</v>
      </c>
      <c r="C81" s="2">
        <f>IFERROR(__xludf.DUMMYFUNCTION("""COMPUTED_VALUE"""),675.0)</f>
        <v>675</v>
      </c>
    </row>
    <row r="82" ht="15.75" customHeight="1">
      <c r="B82" s="3">
        <f>IFERROR(__xludf.DUMMYFUNCTION("""COMPUTED_VALUE"""),42916.64583333333)</f>
        <v>42916.64583</v>
      </c>
      <c r="C82" s="2">
        <f>IFERROR(__xludf.DUMMYFUNCTION("""COMPUTED_VALUE"""),692.65)</f>
        <v>692.65</v>
      </c>
    </row>
    <row r="83" ht="15.75" customHeight="1">
      <c r="B83" s="3">
        <f>IFERROR(__xludf.DUMMYFUNCTION("""COMPUTED_VALUE"""),42923.64583333333)</f>
        <v>42923.64583</v>
      </c>
      <c r="C83" s="2">
        <f>IFERROR(__xludf.DUMMYFUNCTION("""COMPUTED_VALUE"""),699.5)</f>
        <v>699.5</v>
      </c>
    </row>
    <row r="84" ht="15.75" customHeight="1">
      <c r="B84" s="3">
        <f>IFERROR(__xludf.DUMMYFUNCTION("""COMPUTED_VALUE"""),42930.64583333333)</f>
        <v>42930.64583</v>
      </c>
      <c r="C84" s="2">
        <f>IFERROR(__xludf.DUMMYFUNCTION("""COMPUTED_VALUE"""),750.0)</f>
        <v>750</v>
      </c>
    </row>
    <row r="85" ht="15.75" customHeight="1">
      <c r="B85" s="3">
        <f>IFERROR(__xludf.DUMMYFUNCTION("""COMPUTED_VALUE"""),42937.64583333333)</f>
        <v>42937.64583</v>
      </c>
      <c r="C85" s="2">
        <f>IFERROR(__xludf.DUMMYFUNCTION("""COMPUTED_VALUE"""),794.7)</f>
        <v>794.7</v>
      </c>
    </row>
    <row r="86" ht="15.75" customHeight="1">
      <c r="B86" s="3">
        <f>IFERROR(__xludf.DUMMYFUNCTION("""COMPUTED_VALUE"""),42944.64583333333)</f>
        <v>42944.64583</v>
      </c>
      <c r="C86" s="2">
        <f>IFERROR(__xludf.DUMMYFUNCTION("""COMPUTED_VALUE"""),758.45)</f>
        <v>758.45</v>
      </c>
    </row>
    <row r="87" ht="15.75" customHeight="1">
      <c r="B87" s="3">
        <f>IFERROR(__xludf.DUMMYFUNCTION("""COMPUTED_VALUE"""),42951.64583333333)</f>
        <v>42951.64583</v>
      </c>
      <c r="C87" s="2">
        <f>IFERROR(__xludf.DUMMYFUNCTION("""COMPUTED_VALUE"""),748.5)</f>
        <v>748.5</v>
      </c>
    </row>
    <row r="88" ht="15.75" customHeight="1">
      <c r="B88" s="3">
        <f>IFERROR(__xludf.DUMMYFUNCTION("""COMPUTED_VALUE"""),42958.64583333333)</f>
        <v>42958.64583</v>
      </c>
      <c r="C88" s="2">
        <f>IFERROR(__xludf.DUMMYFUNCTION("""COMPUTED_VALUE"""),740.85)</f>
        <v>740.85</v>
      </c>
    </row>
    <row r="89" ht="15.75" customHeight="1">
      <c r="B89" s="3">
        <f>IFERROR(__xludf.DUMMYFUNCTION("""COMPUTED_VALUE"""),42965.64583333333)</f>
        <v>42965.64583</v>
      </c>
      <c r="C89" s="2">
        <f>IFERROR(__xludf.DUMMYFUNCTION("""COMPUTED_VALUE"""),725.0)</f>
        <v>725</v>
      </c>
    </row>
    <row r="90" ht="15.75" customHeight="1">
      <c r="B90" s="3">
        <f>IFERROR(__xludf.DUMMYFUNCTION("""COMPUTED_VALUE"""),42971.64583333333)</f>
        <v>42971.64583</v>
      </c>
      <c r="C90" s="2">
        <f>IFERROR(__xludf.DUMMYFUNCTION("""COMPUTED_VALUE"""),734.85)</f>
        <v>734.85</v>
      </c>
    </row>
    <row r="91" ht="15.75" customHeight="1">
      <c r="B91" s="3">
        <f>IFERROR(__xludf.DUMMYFUNCTION("""COMPUTED_VALUE"""),42979.64583333333)</f>
        <v>42979.64583</v>
      </c>
      <c r="C91" s="2">
        <f>IFERROR(__xludf.DUMMYFUNCTION("""COMPUTED_VALUE"""),762.0)</f>
        <v>762</v>
      </c>
    </row>
    <row r="92" ht="15.75" customHeight="1">
      <c r="B92" s="3">
        <f>IFERROR(__xludf.DUMMYFUNCTION("""COMPUTED_VALUE"""),42986.64583333333)</f>
        <v>42986.64583</v>
      </c>
      <c r="C92" s="2">
        <f>IFERROR(__xludf.DUMMYFUNCTION("""COMPUTED_VALUE"""),772.5)</f>
        <v>772.5</v>
      </c>
    </row>
    <row r="93" ht="15.75" customHeight="1">
      <c r="B93" s="3">
        <f>IFERROR(__xludf.DUMMYFUNCTION("""COMPUTED_VALUE"""),42993.64583333333)</f>
        <v>42993.64583</v>
      </c>
      <c r="C93" s="2">
        <f>IFERROR(__xludf.DUMMYFUNCTION("""COMPUTED_VALUE"""),776.0)</f>
        <v>776</v>
      </c>
    </row>
    <row r="94" ht="15.75" customHeight="1">
      <c r="B94" s="3">
        <f>IFERROR(__xludf.DUMMYFUNCTION("""COMPUTED_VALUE"""),43000.64583333333)</f>
        <v>43000.64583</v>
      </c>
      <c r="C94" s="2">
        <f>IFERROR(__xludf.DUMMYFUNCTION("""COMPUTED_VALUE"""),772.7)</f>
        <v>772.7</v>
      </c>
    </row>
    <row r="95" ht="15.75" customHeight="1">
      <c r="B95" s="3">
        <f>IFERROR(__xludf.DUMMYFUNCTION("""COMPUTED_VALUE"""),43007.64583333333)</f>
        <v>43007.64583</v>
      </c>
      <c r="C95" s="2">
        <f>IFERROR(__xludf.DUMMYFUNCTION("""COMPUTED_VALUE"""),727.95)</f>
        <v>727.95</v>
      </c>
    </row>
    <row r="96" ht="15.75" customHeight="1">
      <c r="B96" s="3">
        <f>IFERROR(__xludf.DUMMYFUNCTION("""COMPUTED_VALUE"""),43014.64583333333)</f>
        <v>43014.64583</v>
      </c>
      <c r="C96" s="2">
        <f>IFERROR(__xludf.DUMMYFUNCTION("""COMPUTED_VALUE"""),753.45)</f>
        <v>753.45</v>
      </c>
    </row>
    <row r="97" ht="15.75" customHeight="1">
      <c r="B97" s="3">
        <f>IFERROR(__xludf.DUMMYFUNCTION("""COMPUTED_VALUE"""),43021.64583333333)</f>
        <v>43021.64583</v>
      </c>
      <c r="C97" s="2">
        <f>IFERROR(__xludf.DUMMYFUNCTION("""COMPUTED_VALUE"""),756.15)</f>
        <v>756.15</v>
      </c>
    </row>
    <row r="98" ht="15.75" customHeight="1">
      <c r="B98" s="3">
        <f>IFERROR(__xludf.DUMMYFUNCTION("""COMPUTED_VALUE"""),43027.83333333333)</f>
        <v>43027.83333</v>
      </c>
      <c r="C98" s="2">
        <f>IFERROR(__xludf.DUMMYFUNCTION("""COMPUTED_VALUE"""),772.0)</f>
        <v>772</v>
      </c>
    </row>
    <row r="99" ht="15.75" customHeight="1">
      <c r="B99" s="3">
        <f>IFERROR(__xludf.DUMMYFUNCTION("""COMPUTED_VALUE"""),43035.64583333333)</f>
        <v>43035.64583</v>
      </c>
      <c r="C99" s="2">
        <f>IFERROR(__xludf.DUMMYFUNCTION("""COMPUTED_VALUE"""),775.0)</f>
        <v>775</v>
      </c>
    </row>
    <row r="100" ht="15.75" customHeight="1">
      <c r="B100" s="3">
        <f>IFERROR(__xludf.DUMMYFUNCTION("""COMPUTED_VALUE"""),43042.64583333333)</f>
        <v>43042.64583</v>
      </c>
      <c r="C100" s="2">
        <f>IFERROR(__xludf.DUMMYFUNCTION("""COMPUTED_VALUE"""),800.0)</f>
        <v>800</v>
      </c>
    </row>
    <row r="101" ht="15.75" customHeight="1">
      <c r="B101" s="3">
        <f>IFERROR(__xludf.DUMMYFUNCTION("""COMPUTED_VALUE"""),43049.64583333333)</f>
        <v>43049.64583</v>
      </c>
      <c r="C101" s="2">
        <f>IFERROR(__xludf.DUMMYFUNCTION("""COMPUTED_VALUE"""),809.45)</f>
        <v>809.45</v>
      </c>
    </row>
    <row r="102" ht="15.75" customHeight="1">
      <c r="B102" s="3">
        <f>IFERROR(__xludf.DUMMYFUNCTION("""COMPUTED_VALUE"""),43056.64583333333)</f>
        <v>43056.64583</v>
      </c>
      <c r="C102" s="2">
        <f>IFERROR(__xludf.DUMMYFUNCTION("""COMPUTED_VALUE"""),750.0)</f>
        <v>750</v>
      </c>
    </row>
    <row r="103" ht="15.75" customHeight="1">
      <c r="B103" s="3">
        <f>IFERROR(__xludf.DUMMYFUNCTION("""COMPUTED_VALUE"""),43063.64583333333)</f>
        <v>43063.64583</v>
      </c>
      <c r="C103" s="2">
        <f>IFERROR(__xludf.DUMMYFUNCTION("""COMPUTED_VALUE"""),717.9)</f>
        <v>717.9</v>
      </c>
    </row>
    <row r="104" ht="15.75" customHeight="1">
      <c r="B104" s="3">
        <f>IFERROR(__xludf.DUMMYFUNCTION("""COMPUTED_VALUE"""),43070.64583333333)</f>
        <v>43070.64583</v>
      </c>
      <c r="C104" s="2">
        <f>IFERROR(__xludf.DUMMYFUNCTION("""COMPUTED_VALUE"""),723.75)</f>
        <v>723.75</v>
      </c>
    </row>
    <row r="105" ht="15.75" customHeight="1">
      <c r="B105" s="3">
        <f>IFERROR(__xludf.DUMMYFUNCTION("""COMPUTED_VALUE"""),43077.64583333333)</f>
        <v>43077.64583</v>
      </c>
      <c r="C105" s="2">
        <f>IFERROR(__xludf.DUMMYFUNCTION("""COMPUTED_VALUE"""),682.0)</f>
        <v>682</v>
      </c>
    </row>
    <row r="106" ht="15.75" customHeight="1">
      <c r="B106" s="3">
        <f>IFERROR(__xludf.DUMMYFUNCTION("""COMPUTED_VALUE"""),43084.64583333333)</f>
        <v>43084.64583</v>
      </c>
      <c r="C106" s="2">
        <f>IFERROR(__xludf.DUMMYFUNCTION("""COMPUTED_VALUE"""),697.6)</f>
        <v>697.6</v>
      </c>
    </row>
    <row r="107" ht="15.75" customHeight="1">
      <c r="B107" s="3">
        <f>IFERROR(__xludf.DUMMYFUNCTION("""COMPUTED_VALUE"""),43091.64583333333)</f>
        <v>43091.64583</v>
      </c>
      <c r="C107" s="2">
        <f>IFERROR(__xludf.DUMMYFUNCTION("""COMPUTED_VALUE"""),695.95)</f>
        <v>695.95</v>
      </c>
    </row>
    <row r="108" ht="15.75" customHeight="1">
      <c r="B108" s="3">
        <f>IFERROR(__xludf.DUMMYFUNCTION("""COMPUTED_VALUE"""),43098.64583333333)</f>
        <v>43098.64583</v>
      </c>
      <c r="C108" s="2">
        <f>IFERROR(__xludf.DUMMYFUNCTION("""COMPUTED_VALUE"""),701.4)</f>
        <v>701.4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IFERROR(__xludf.DUMMYFUNCTION("GOOGLEFINANCE(""NSE:EICHERMOT"", ""high"",DATE(2016,1,1),DATE(2017,1,1),""weekly"")"),"Date")</f>
        <v>Date</v>
      </c>
      <c r="C1" s="2" t="str">
        <f>IFERROR(__xludf.DUMMYFUNCTION("""COMPUTED_VALUE"""),"High")</f>
        <v>High</v>
      </c>
    </row>
    <row r="2">
      <c r="A2" s="2" t="s">
        <v>15</v>
      </c>
      <c r="B2" s="3">
        <f>IFERROR(__xludf.DUMMYFUNCTION("""COMPUTED_VALUE"""),42377.64583333333)</f>
        <v>42377.64583</v>
      </c>
      <c r="C2" s="2">
        <f>IFERROR(__xludf.DUMMYFUNCTION("""COMPUTED_VALUE"""),1797.49)</f>
        <v>1797.49</v>
      </c>
    </row>
    <row r="3">
      <c r="A3" s="2" t="s">
        <v>16</v>
      </c>
      <c r="B3" s="3">
        <f>IFERROR(__xludf.DUMMYFUNCTION("""COMPUTED_VALUE"""),42384.64583333333)</f>
        <v>42384.64583</v>
      </c>
      <c r="C3" s="2">
        <f>IFERROR(__xludf.DUMMYFUNCTION("""COMPUTED_VALUE"""),1741.0)</f>
        <v>1741</v>
      </c>
    </row>
    <row r="4">
      <c r="A4" s="2" t="s">
        <v>17</v>
      </c>
      <c r="B4" s="3">
        <f>IFERROR(__xludf.DUMMYFUNCTION("""COMPUTED_VALUE"""),42391.64583333333)</f>
        <v>42391.64583</v>
      </c>
      <c r="C4" s="2">
        <f>IFERROR(__xludf.DUMMYFUNCTION("""COMPUTED_VALUE"""),1658.31)</f>
        <v>1658.31</v>
      </c>
    </row>
    <row r="5">
      <c r="A5" s="2" t="s">
        <v>18</v>
      </c>
      <c r="B5" s="3">
        <f>IFERROR(__xludf.DUMMYFUNCTION("""COMPUTED_VALUE"""),42398.64583333333)</f>
        <v>42398.64583</v>
      </c>
      <c r="C5" s="2">
        <f>IFERROR(__xludf.DUMMYFUNCTION("""COMPUTED_VALUE"""),1677.75)</f>
        <v>1677.75</v>
      </c>
    </row>
    <row r="6">
      <c r="A6" s="2" t="s">
        <v>19</v>
      </c>
      <c r="B6" s="3">
        <f>IFERROR(__xludf.DUMMYFUNCTION("""COMPUTED_VALUE"""),42405.64583333333)</f>
        <v>42405.64583</v>
      </c>
      <c r="C6" s="2">
        <f>IFERROR(__xludf.DUMMYFUNCTION("""COMPUTED_VALUE"""),1845.0)</f>
        <v>1845</v>
      </c>
    </row>
    <row r="7">
      <c r="B7" s="3">
        <f>IFERROR(__xludf.DUMMYFUNCTION("""COMPUTED_VALUE"""),42419.64583333333)</f>
        <v>42419.64583</v>
      </c>
      <c r="C7" s="2">
        <f>IFERROR(__xludf.DUMMYFUNCTION("""COMPUTED_VALUE"""),1925.0)</f>
        <v>1925</v>
      </c>
    </row>
    <row r="8">
      <c r="B8" s="3">
        <f>IFERROR(__xludf.DUMMYFUNCTION("""COMPUTED_VALUE"""),42426.64583333333)</f>
        <v>42426.64583</v>
      </c>
      <c r="C8" s="2">
        <f>IFERROR(__xludf.DUMMYFUNCTION("""COMPUTED_VALUE"""),1942.0)</f>
        <v>1942</v>
      </c>
    </row>
    <row r="9">
      <c r="B9" s="3">
        <f>IFERROR(__xludf.DUMMYFUNCTION("""COMPUTED_VALUE"""),42433.64583333333)</f>
        <v>42433.64583</v>
      </c>
      <c r="C9" s="2">
        <f>IFERROR(__xludf.DUMMYFUNCTION("""COMPUTED_VALUE"""),1950.0)</f>
        <v>1950</v>
      </c>
    </row>
    <row r="10">
      <c r="B10" s="3">
        <f>IFERROR(__xludf.DUMMYFUNCTION("""COMPUTED_VALUE"""),42440.64583333333)</f>
        <v>42440.64583</v>
      </c>
      <c r="C10" s="2">
        <f>IFERROR(__xludf.DUMMYFUNCTION("""COMPUTED_VALUE"""),2027.25)</f>
        <v>2027.25</v>
      </c>
    </row>
    <row r="11">
      <c r="B11" s="3">
        <f>IFERROR(__xludf.DUMMYFUNCTION("""COMPUTED_VALUE"""),42447.64583333333)</f>
        <v>42447.64583</v>
      </c>
      <c r="C11" s="2">
        <f>IFERROR(__xludf.DUMMYFUNCTION("""COMPUTED_VALUE"""),2025.0)</f>
        <v>2025</v>
      </c>
    </row>
    <row r="12">
      <c r="B12" s="3">
        <f>IFERROR(__xludf.DUMMYFUNCTION("""COMPUTED_VALUE"""),42452.64583333333)</f>
        <v>42452.64583</v>
      </c>
      <c r="C12" s="2">
        <f>IFERROR(__xludf.DUMMYFUNCTION("""COMPUTED_VALUE"""),1869.98)</f>
        <v>1869.98</v>
      </c>
    </row>
    <row r="13">
      <c r="B13" s="3">
        <f>IFERROR(__xludf.DUMMYFUNCTION("""COMPUTED_VALUE"""),42461.64583333333)</f>
        <v>42461.64583</v>
      </c>
      <c r="C13" s="2">
        <f>IFERROR(__xludf.DUMMYFUNCTION("""COMPUTED_VALUE"""),1945.0)</f>
        <v>1945</v>
      </c>
    </row>
    <row r="14">
      <c r="B14" s="3">
        <f>IFERROR(__xludf.DUMMYFUNCTION("""COMPUTED_VALUE"""),42468.64583333333)</f>
        <v>42468.64583</v>
      </c>
      <c r="C14" s="2">
        <f>IFERROR(__xludf.DUMMYFUNCTION("""COMPUTED_VALUE"""),1957.1)</f>
        <v>1957.1</v>
      </c>
    </row>
    <row r="15">
      <c r="B15" s="3">
        <f>IFERROR(__xludf.DUMMYFUNCTION("""COMPUTED_VALUE"""),42473.64583333333)</f>
        <v>42473.64583</v>
      </c>
      <c r="C15" s="2">
        <f>IFERROR(__xludf.DUMMYFUNCTION("""COMPUTED_VALUE"""),1996.8)</f>
        <v>1996.8</v>
      </c>
    </row>
    <row r="16">
      <c r="B16" s="3">
        <f>IFERROR(__xludf.DUMMYFUNCTION("""COMPUTED_VALUE"""),42482.64583333333)</f>
        <v>42482.64583</v>
      </c>
      <c r="C16" s="2">
        <f>IFERROR(__xludf.DUMMYFUNCTION("""COMPUTED_VALUE"""),2069.98)</f>
        <v>2069.98</v>
      </c>
    </row>
    <row r="17">
      <c r="B17" s="3">
        <f>IFERROR(__xludf.DUMMYFUNCTION("""COMPUTED_VALUE"""),42489.64583333333)</f>
        <v>42489.64583</v>
      </c>
      <c r="C17" s="2">
        <f>IFERROR(__xludf.DUMMYFUNCTION("""COMPUTED_VALUE"""),2037.34)</f>
        <v>2037.34</v>
      </c>
    </row>
    <row r="18">
      <c r="B18" s="3">
        <f>IFERROR(__xludf.DUMMYFUNCTION("""COMPUTED_VALUE"""),42496.64583333333)</f>
        <v>42496.64583</v>
      </c>
      <c r="C18" s="2">
        <f>IFERROR(__xludf.DUMMYFUNCTION("""COMPUTED_VALUE"""),2034.9)</f>
        <v>2034.9</v>
      </c>
    </row>
    <row r="19">
      <c r="B19" s="3">
        <f>IFERROR(__xludf.DUMMYFUNCTION("""COMPUTED_VALUE"""),42503.64583333333)</f>
        <v>42503.64583</v>
      </c>
      <c r="C19" s="2">
        <f>IFERROR(__xludf.DUMMYFUNCTION("""COMPUTED_VALUE"""),2050.0)</f>
        <v>2050</v>
      </c>
    </row>
    <row r="20">
      <c r="B20" s="3">
        <f>IFERROR(__xludf.DUMMYFUNCTION("""COMPUTED_VALUE"""),42510.64583333333)</f>
        <v>42510.64583</v>
      </c>
      <c r="C20" s="2">
        <f>IFERROR(__xludf.DUMMYFUNCTION("""COMPUTED_VALUE"""),1921.0)</f>
        <v>1921</v>
      </c>
    </row>
    <row r="21" ht="15.75" customHeight="1">
      <c r="B21" s="3">
        <f>IFERROR(__xludf.DUMMYFUNCTION("""COMPUTED_VALUE"""),42517.64583333333)</f>
        <v>42517.64583</v>
      </c>
      <c r="C21" s="2">
        <f>IFERROR(__xludf.DUMMYFUNCTION("""COMPUTED_VALUE"""),1879.9)</f>
        <v>1879.9</v>
      </c>
    </row>
    <row r="22" ht="15.75" customHeight="1">
      <c r="B22" s="3">
        <f>IFERROR(__xludf.DUMMYFUNCTION("""COMPUTED_VALUE"""),42524.64583333333)</f>
        <v>42524.64583</v>
      </c>
      <c r="C22" s="2">
        <f>IFERROR(__xludf.DUMMYFUNCTION("""COMPUTED_VALUE"""),1892.0)</f>
        <v>1892</v>
      </c>
    </row>
    <row r="23" ht="15.75" customHeight="1">
      <c r="B23" s="3">
        <f>IFERROR(__xludf.DUMMYFUNCTION("""COMPUTED_VALUE"""),42531.64583333333)</f>
        <v>42531.64583</v>
      </c>
      <c r="C23" s="2">
        <f>IFERROR(__xludf.DUMMYFUNCTION("""COMPUTED_VALUE"""),1914.4)</f>
        <v>1914.4</v>
      </c>
    </row>
    <row r="24" ht="15.75" customHeight="1">
      <c r="B24" s="3">
        <f>IFERROR(__xludf.DUMMYFUNCTION("""COMPUTED_VALUE"""),42538.64583333333)</f>
        <v>42538.64583</v>
      </c>
      <c r="C24" s="2">
        <f>IFERROR(__xludf.DUMMYFUNCTION("""COMPUTED_VALUE"""),1889.7)</f>
        <v>1889.7</v>
      </c>
    </row>
    <row r="25" ht="15.75" customHeight="1">
      <c r="B25" s="3">
        <f>IFERROR(__xludf.DUMMYFUNCTION("""COMPUTED_VALUE"""),42545.64583333333)</f>
        <v>42545.64583</v>
      </c>
      <c r="C25" s="2">
        <f>IFERROR(__xludf.DUMMYFUNCTION("""COMPUTED_VALUE"""),1883.09)</f>
        <v>1883.09</v>
      </c>
    </row>
    <row r="26" ht="15.75" customHeight="1">
      <c r="B26" s="3">
        <f>IFERROR(__xludf.DUMMYFUNCTION("""COMPUTED_VALUE"""),42552.64583333333)</f>
        <v>42552.64583</v>
      </c>
      <c r="C26" s="2">
        <f>IFERROR(__xludf.DUMMYFUNCTION("""COMPUTED_VALUE"""),1945.0)</f>
        <v>1945</v>
      </c>
    </row>
    <row r="27" ht="15.75" customHeight="1">
      <c r="B27" s="3">
        <f>IFERROR(__xludf.DUMMYFUNCTION("""COMPUTED_VALUE"""),42559.64583333333)</f>
        <v>42559.64583</v>
      </c>
      <c r="C27" s="2">
        <f>IFERROR(__xludf.DUMMYFUNCTION("""COMPUTED_VALUE"""),1964.9)</f>
        <v>1964.9</v>
      </c>
    </row>
    <row r="28" ht="15.75" customHeight="1">
      <c r="B28" s="3">
        <f>IFERROR(__xludf.DUMMYFUNCTION("""COMPUTED_VALUE"""),42566.64583333333)</f>
        <v>42566.64583</v>
      </c>
      <c r="C28" s="2">
        <f>IFERROR(__xludf.DUMMYFUNCTION("""COMPUTED_VALUE"""),1986.5)</f>
        <v>1986.5</v>
      </c>
    </row>
    <row r="29" ht="15.75" customHeight="1">
      <c r="B29" s="3">
        <f>IFERROR(__xludf.DUMMYFUNCTION("""COMPUTED_VALUE"""),42573.64583333333)</f>
        <v>42573.64583</v>
      </c>
      <c r="C29" s="2">
        <f>IFERROR(__xludf.DUMMYFUNCTION("""COMPUTED_VALUE"""),1999.9)</f>
        <v>1999.9</v>
      </c>
    </row>
    <row r="30" ht="15.75" customHeight="1">
      <c r="B30" s="3">
        <f>IFERROR(__xludf.DUMMYFUNCTION("""COMPUTED_VALUE"""),42580.64583333333)</f>
        <v>42580.64583</v>
      </c>
      <c r="C30" s="2">
        <f>IFERROR(__xludf.DUMMYFUNCTION("""COMPUTED_VALUE"""),2252.0)</f>
        <v>2252</v>
      </c>
    </row>
    <row r="31" ht="15.75" customHeight="1">
      <c r="B31" s="3">
        <f>IFERROR(__xludf.DUMMYFUNCTION("""COMPUTED_VALUE"""),42587.64583333333)</f>
        <v>42587.64583</v>
      </c>
      <c r="C31" s="2">
        <f>IFERROR(__xludf.DUMMYFUNCTION("""COMPUTED_VALUE"""),2285.4)</f>
        <v>2285.4</v>
      </c>
    </row>
    <row r="32" ht="15.75" customHeight="1">
      <c r="B32" s="3">
        <f>IFERROR(__xludf.DUMMYFUNCTION("""COMPUTED_VALUE"""),42594.64583333333)</f>
        <v>42594.64583</v>
      </c>
      <c r="C32" s="2">
        <f>IFERROR(__xludf.DUMMYFUNCTION("""COMPUTED_VALUE"""),2252.3)</f>
        <v>2252.3</v>
      </c>
    </row>
    <row r="33" ht="15.75" customHeight="1">
      <c r="B33" s="3">
        <f>IFERROR(__xludf.DUMMYFUNCTION("""COMPUTED_VALUE"""),42601.64583333333)</f>
        <v>42601.64583</v>
      </c>
      <c r="C33" s="2">
        <f>IFERROR(__xludf.DUMMYFUNCTION("""COMPUTED_VALUE"""),2264.9)</f>
        <v>2264.9</v>
      </c>
    </row>
    <row r="34" ht="15.75" customHeight="1">
      <c r="B34" s="3">
        <f>IFERROR(__xludf.DUMMYFUNCTION("""COMPUTED_VALUE"""),42608.64583333333)</f>
        <v>42608.64583</v>
      </c>
      <c r="C34" s="2">
        <f>IFERROR(__xludf.DUMMYFUNCTION("""COMPUTED_VALUE"""),2235.35)</f>
        <v>2235.35</v>
      </c>
    </row>
    <row r="35" ht="15.75" customHeight="1">
      <c r="B35" s="3">
        <f>IFERROR(__xludf.DUMMYFUNCTION("""COMPUTED_VALUE"""),42615.64583333333)</f>
        <v>42615.64583</v>
      </c>
      <c r="C35" s="2">
        <f>IFERROR(__xludf.DUMMYFUNCTION("""COMPUTED_VALUE"""),2342.93)</f>
        <v>2342.93</v>
      </c>
    </row>
    <row r="36" ht="15.75" customHeight="1">
      <c r="B36" s="3">
        <f>IFERROR(__xludf.DUMMYFUNCTION("""COMPUTED_VALUE"""),42622.64583333333)</f>
        <v>42622.64583</v>
      </c>
      <c r="C36" s="2">
        <f>IFERROR(__xludf.DUMMYFUNCTION("""COMPUTED_VALUE"""),2357.3)</f>
        <v>2357.3</v>
      </c>
    </row>
    <row r="37" ht="15.75" customHeight="1">
      <c r="B37" s="3">
        <f>IFERROR(__xludf.DUMMYFUNCTION("""COMPUTED_VALUE"""),42629.64583333333)</f>
        <v>42629.64583</v>
      </c>
      <c r="C37" s="2">
        <f>IFERROR(__xludf.DUMMYFUNCTION("""COMPUTED_VALUE"""),2323.99)</f>
        <v>2323.99</v>
      </c>
    </row>
    <row r="38" ht="15.75" customHeight="1">
      <c r="B38" s="3">
        <f>IFERROR(__xludf.DUMMYFUNCTION("""COMPUTED_VALUE"""),42636.64583333333)</f>
        <v>42636.64583</v>
      </c>
      <c r="C38" s="2">
        <f>IFERROR(__xludf.DUMMYFUNCTION("""COMPUTED_VALUE"""),2500.0)</f>
        <v>2500</v>
      </c>
    </row>
    <row r="39" ht="15.75" customHeight="1">
      <c r="B39" s="3">
        <f>IFERROR(__xludf.DUMMYFUNCTION("""COMPUTED_VALUE"""),42643.64583333333)</f>
        <v>42643.64583</v>
      </c>
      <c r="C39" s="2">
        <f>IFERROR(__xludf.DUMMYFUNCTION("""COMPUTED_VALUE"""),2664.13)</f>
        <v>2664.13</v>
      </c>
    </row>
    <row r="40" ht="15.75" customHeight="1">
      <c r="B40" s="3">
        <f>IFERROR(__xludf.DUMMYFUNCTION("""COMPUTED_VALUE"""),42650.64583333333)</f>
        <v>42650.64583</v>
      </c>
      <c r="C40" s="2">
        <f>IFERROR(__xludf.DUMMYFUNCTION("""COMPUTED_VALUE"""),2650.5)</f>
        <v>2650.5</v>
      </c>
    </row>
    <row r="41" ht="15.75" customHeight="1">
      <c r="B41" s="3">
        <f>IFERROR(__xludf.DUMMYFUNCTION("""COMPUTED_VALUE"""),42657.64583333333)</f>
        <v>42657.64583</v>
      </c>
      <c r="C41" s="2">
        <f>IFERROR(__xludf.DUMMYFUNCTION("""COMPUTED_VALUE"""),2608.2)</f>
        <v>2608.2</v>
      </c>
    </row>
    <row r="42" ht="15.75" customHeight="1">
      <c r="B42" s="3">
        <f>IFERROR(__xludf.DUMMYFUNCTION("""COMPUTED_VALUE"""),42664.64583333333)</f>
        <v>42664.64583</v>
      </c>
      <c r="C42" s="2">
        <f>IFERROR(__xludf.DUMMYFUNCTION("""COMPUTED_VALUE"""),2557.82)</f>
        <v>2557.82</v>
      </c>
    </row>
    <row r="43" ht="15.75" customHeight="1">
      <c r="B43" s="3">
        <f>IFERROR(__xludf.DUMMYFUNCTION("""COMPUTED_VALUE"""),42671.64583333333)</f>
        <v>42671.64583</v>
      </c>
      <c r="C43" s="2">
        <f>IFERROR(__xludf.DUMMYFUNCTION("""COMPUTED_VALUE"""),2532.3)</f>
        <v>2532.3</v>
      </c>
    </row>
    <row r="44" ht="15.75" customHeight="1">
      <c r="B44" s="3">
        <f>IFERROR(__xludf.DUMMYFUNCTION("""COMPUTED_VALUE"""),42678.64583333333)</f>
        <v>42678.64583</v>
      </c>
      <c r="C44" s="2">
        <f>IFERROR(__xludf.DUMMYFUNCTION("""COMPUTED_VALUE"""),2552.09)</f>
        <v>2552.09</v>
      </c>
    </row>
    <row r="45" ht="15.75" customHeight="1">
      <c r="B45" s="3">
        <f>IFERROR(__xludf.DUMMYFUNCTION("""COMPUTED_VALUE"""),42685.64583333333)</f>
        <v>42685.64583</v>
      </c>
      <c r="C45" s="2">
        <f>IFERROR(__xludf.DUMMYFUNCTION("""COMPUTED_VALUE"""),2458.5)</f>
        <v>2458.5</v>
      </c>
    </row>
    <row r="46" ht="15.75" customHeight="1">
      <c r="B46" s="3">
        <f>IFERROR(__xludf.DUMMYFUNCTION("""COMPUTED_VALUE"""),42692.64583333333)</f>
        <v>42692.64583</v>
      </c>
      <c r="C46" s="2">
        <f>IFERROR(__xludf.DUMMYFUNCTION("""COMPUTED_VALUE"""),2193.42)</f>
        <v>2193.42</v>
      </c>
    </row>
    <row r="47" ht="15.75" customHeight="1">
      <c r="B47" s="3">
        <f>IFERROR(__xludf.DUMMYFUNCTION("""COMPUTED_VALUE"""),42699.64583333333)</f>
        <v>42699.64583</v>
      </c>
      <c r="C47" s="2">
        <f>IFERROR(__xludf.DUMMYFUNCTION("""COMPUTED_VALUE"""),2199.99)</f>
        <v>2199.99</v>
      </c>
    </row>
    <row r="48" ht="15.75" customHeight="1">
      <c r="B48" s="3">
        <f>IFERROR(__xludf.DUMMYFUNCTION("""COMPUTED_VALUE"""),42706.64583333333)</f>
        <v>42706.64583</v>
      </c>
      <c r="C48" s="2">
        <f>IFERROR(__xludf.DUMMYFUNCTION("""COMPUTED_VALUE"""),2294.8)</f>
        <v>2294.8</v>
      </c>
    </row>
    <row r="49" ht="15.75" customHeight="1">
      <c r="B49" s="3">
        <f>IFERROR(__xludf.DUMMYFUNCTION("""COMPUTED_VALUE"""),42713.64583333333)</f>
        <v>42713.64583</v>
      </c>
      <c r="C49" s="2">
        <f>IFERROR(__xludf.DUMMYFUNCTION("""COMPUTED_VALUE"""),2370.01)</f>
        <v>2370.01</v>
      </c>
    </row>
    <row r="50" ht="15.75" customHeight="1">
      <c r="B50" s="3">
        <f>IFERROR(__xludf.DUMMYFUNCTION("""COMPUTED_VALUE"""),42720.64583333333)</f>
        <v>42720.64583</v>
      </c>
      <c r="C50" s="2">
        <f>IFERROR(__xludf.DUMMYFUNCTION("""COMPUTED_VALUE"""),2309.48)</f>
        <v>2309.48</v>
      </c>
    </row>
    <row r="51" ht="15.75" customHeight="1">
      <c r="B51" s="3">
        <f>IFERROR(__xludf.DUMMYFUNCTION("""COMPUTED_VALUE"""),42727.64583333333)</f>
        <v>42727.64583</v>
      </c>
      <c r="C51" s="2">
        <f>IFERROR(__xludf.DUMMYFUNCTION("""COMPUTED_VALUE"""),2175.0)</f>
        <v>2175</v>
      </c>
    </row>
    <row r="52" ht="15.75" customHeight="1">
      <c r="B52" s="3">
        <f>IFERROR(__xludf.DUMMYFUNCTION("""COMPUTED_VALUE"""),42734.64583333333)</f>
        <v>42734.64583</v>
      </c>
      <c r="C52" s="2">
        <f>IFERROR(__xludf.DUMMYFUNCTION("""COMPUTED_VALUE"""),2190.0)</f>
        <v>2190</v>
      </c>
    </row>
    <row r="53" ht="15.75" customHeight="1"/>
    <row r="54" ht="15.75" customHeight="1"/>
    <row r="55" ht="15.75" customHeight="1"/>
    <row r="56" ht="15.75" customHeight="1">
      <c r="B56" s="2" t="str">
        <f>IFERROR(__xludf.DUMMYFUNCTION("GOOGLEFINANCE(""NSE:EICHERMOT"", ""high"",DATE(2017,1,1),DATE(2018,1,1),""weekly"")"),"Date")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IFERROR(__xludf.DUMMYFUNCTION("""COMPUTED_VALUE"""),42741.64583333333)</f>
        <v>42741.64583</v>
      </c>
      <c r="C57" s="2">
        <f>IFERROR(__xludf.DUMMYFUNCTION("""COMPUTED_VALUE"""),2285.14)</f>
        <v>2285.14</v>
      </c>
    </row>
    <row r="58" ht="15.75" customHeight="1">
      <c r="B58" s="3">
        <f>IFERROR(__xludf.DUMMYFUNCTION("""COMPUTED_VALUE"""),42748.64583333333)</f>
        <v>42748.64583</v>
      </c>
      <c r="C58" s="2">
        <f>IFERROR(__xludf.DUMMYFUNCTION("""COMPUTED_VALUE"""),2334.18)</f>
        <v>2334.18</v>
      </c>
    </row>
    <row r="59" ht="15.75" customHeight="1">
      <c r="B59" s="3">
        <f>IFERROR(__xludf.DUMMYFUNCTION("""COMPUTED_VALUE"""),42755.64583333333)</f>
        <v>42755.64583</v>
      </c>
      <c r="C59" s="2">
        <f>IFERROR(__xludf.DUMMYFUNCTION("""COMPUTED_VALUE"""),2308.0)</f>
        <v>2308</v>
      </c>
    </row>
    <row r="60" ht="15.75" customHeight="1">
      <c r="B60" s="3">
        <f>IFERROR(__xludf.DUMMYFUNCTION("""COMPUTED_VALUE"""),42762.64583333333)</f>
        <v>42762.64583</v>
      </c>
      <c r="C60" s="2">
        <f>IFERROR(__xludf.DUMMYFUNCTION("""COMPUTED_VALUE"""),2365.07)</f>
        <v>2365.07</v>
      </c>
    </row>
    <row r="61" ht="15.75" customHeight="1">
      <c r="B61" s="3">
        <f>IFERROR(__xludf.DUMMYFUNCTION("""COMPUTED_VALUE"""),42769.64583333333)</f>
        <v>42769.64583</v>
      </c>
      <c r="C61" s="2">
        <f>IFERROR(__xludf.DUMMYFUNCTION("""COMPUTED_VALUE"""),2445.0)</f>
        <v>2445</v>
      </c>
    </row>
    <row r="62" ht="15.75" customHeight="1">
      <c r="B62" s="3">
        <f>IFERROR(__xludf.DUMMYFUNCTION("""COMPUTED_VALUE"""),42776.64583333333)</f>
        <v>42776.64583</v>
      </c>
      <c r="C62" s="2">
        <f>IFERROR(__xludf.DUMMYFUNCTION("""COMPUTED_VALUE"""),2410.0)</f>
        <v>2410</v>
      </c>
    </row>
    <row r="63" ht="15.75" customHeight="1">
      <c r="B63" s="3">
        <f>IFERROR(__xludf.DUMMYFUNCTION("""COMPUTED_VALUE"""),42783.64583333333)</f>
        <v>42783.64583</v>
      </c>
      <c r="C63" s="2">
        <f>IFERROR(__xludf.DUMMYFUNCTION("""COMPUTED_VALUE"""),2555.0)</f>
        <v>2555</v>
      </c>
    </row>
    <row r="64" ht="15.75" customHeight="1">
      <c r="B64" s="3">
        <f>IFERROR(__xludf.DUMMYFUNCTION("""COMPUTED_VALUE"""),42789.64583333333)</f>
        <v>42789.64583</v>
      </c>
      <c r="C64" s="2">
        <f>IFERROR(__xludf.DUMMYFUNCTION("""COMPUTED_VALUE"""),2538.0)</f>
        <v>2538</v>
      </c>
    </row>
    <row r="65" ht="15.75" customHeight="1">
      <c r="B65" s="3">
        <f>IFERROR(__xludf.DUMMYFUNCTION("""COMPUTED_VALUE"""),42797.64583333333)</f>
        <v>42797.64583</v>
      </c>
      <c r="C65" s="2">
        <f>IFERROR(__xludf.DUMMYFUNCTION("""COMPUTED_VALUE"""),2504.65)</f>
        <v>2504.65</v>
      </c>
    </row>
    <row r="66" ht="15.75" customHeight="1">
      <c r="B66" s="3">
        <f>IFERROR(__xludf.DUMMYFUNCTION("""COMPUTED_VALUE"""),42804.64583333333)</f>
        <v>42804.64583</v>
      </c>
      <c r="C66" s="2">
        <f>IFERROR(__xludf.DUMMYFUNCTION("""COMPUTED_VALUE"""),2360.0)</f>
        <v>2360</v>
      </c>
    </row>
    <row r="67" ht="15.75" customHeight="1">
      <c r="B67" s="3">
        <f>IFERROR(__xludf.DUMMYFUNCTION("""COMPUTED_VALUE"""),42811.64583333333)</f>
        <v>42811.64583</v>
      </c>
      <c r="C67" s="2">
        <f>IFERROR(__xludf.DUMMYFUNCTION("""COMPUTED_VALUE"""),2478.8)</f>
        <v>2478.8</v>
      </c>
    </row>
    <row r="68" ht="15.75" customHeight="1">
      <c r="B68" s="3">
        <f>IFERROR(__xludf.DUMMYFUNCTION("""COMPUTED_VALUE"""),42818.64583333333)</f>
        <v>42818.64583</v>
      </c>
      <c r="C68" s="2">
        <f>IFERROR(__xludf.DUMMYFUNCTION("""COMPUTED_VALUE"""),2519.2)</f>
        <v>2519.2</v>
      </c>
    </row>
    <row r="69" ht="15.75" customHeight="1">
      <c r="B69" s="3">
        <f>IFERROR(__xludf.DUMMYFUNCTION("""COMPUTED_VALUE"""),42825.64583333333)</f>
        <v>42825.64583</v>
      </c>
      <c r="C69" s="2">
        <f>IFERROR(__xludf.DUMMYFUNCTION("""COMPUTED_VALUE"""),2581.49)</f>
        <v>2581.49</v>
      </c>
    </row>
    <row r="70" ht="15.75" customHeight="1">
      <c r="B70" s="3">
        <f>IFERROR(__xludf.DUMMYFUNCTION("""COMPUTED_VALUE"""),42832.64583333333)</f>
        <v>42832.64583</v>
      </c>
      <c r="C70" s="2">
        <f>IFERROR(__xludf.DUMMYFUNCTION("""COMPUTED_VALUE"""),2599.0)</f>
        <v>2599</v>
      </c>
    </row>
    <row r="71" ht="15.75" customHeight="1">
      <c r="B71" s="3">
        <f>IFERROR(__xludf.DUMMYFUNCTION("""COMPUTED_VALUE"""),42838.64583333333)</f>
        <v>42838.64583</v>
      </c>
      <c r="C71" s="2">
        <f>IFERROR(__xludf.DUMMYFUNCTION("""COMPUTED_VALUE"""),2650.0)</f>
        <v>2650</v>
      </c>
    </row>
    <row r="72" ht="15.75" customHeight="1">
      <c r="B72" s="3">
        <f>IFERROR(__xludf.DUMMYFUNCTION("""COMPUTED_VALUE"""),42846.64583333333)</f>
        <v>42846.64583</v>
      </c>
      <c r="C72" s="2">
        <f>IFERROR(__xludf.DUMMYFUNCTION("""COMPUTED_VALUE"""),2636.0)</f>
        <v>2636</v>
      </c>
    </row>
    <row r="73" ht="15.75" customHeight="1">
      <c r="B73" s="3">
        <f>IFERROR(__xludf.DUMMYFUNCTION("""COMPUTED_VALUE"""),42853.64583333333)</f>
        <v>42853.64583</v>
      </c>
      <c r="C73" s="2">
        <f>IFERROR(__xludf.DUMMYFUNCTION("""COMPUTED_VALUE"""),2630.0)</f>
        <v>2630</v>
      </c>
    </row>
    <row r="74" ht="15.75" customHeight="1">
      <c r="B74" s="3">
        <f>IFERROR(__xludf.DUMMYFUNCTION("""COMPUTED_VALUE"""),42860.64583333333)</f>
        <v>42860.64583</v>
      </c>
      <c r="C74" s="2">
        <f>IFERROR(__xludf.DUMMYFUNCTION("""COMPUTED_VALUE"""),2674.79)</f>
        <v>2674.79</v>
      </c>
    </row>
    <row r="75" ht="15.75" customHeight="1">
      <c r="B75" s="3">
        <f>IFERROR(__xludf.DUMMYFUNCTION("""COMPUTED_VALUE"""),42867.64583333333)</f>
        <v>42867.64583</v>
      </c>
      <c r="C75" s="2">
        <f>IFERROR(__xludf.DUMMYFUNCTION("""COMPUTED_VALUE"""),3005.1)</f>
        <v>3005.1</v>
      </c>
    </row>
    <row r="76" ht="15.75" customHeight="1">
      <c r="B76" s="3">
        <f>IFERROR(__xludf.DUMMYFUNCTION("""COMPUTED_VALUE"""),42874.64583333333)</f>
        <v>42874.64583</v>
      </c>
      <c r="C76" s="2">
        <f>IFERROR(__xludf.DUMMYFUNCTION("""COMPUTED_VALUE"""),2945.5)</f>
        <v>2945.5</v>
      </c>
    </row>
    <row r="77" ht="15.75" customHeight="1">
      <c r="B77" s="3">
        <f>IFERROR(__xludf.DUMMYFUNCTION("""COMPUTED_VALUE"""),42881.64583333333)</f>
        <v>42881.64583</v>
      </c>
      <c r="C77" s="2">
        <f>IFERROR(__xludf.DUMMYFUNCTION("""COMPUTED_VALUE"""),2863.35)</f>
        <v>2863.35</v>
      </c>
    </row>
    <row r="78" ht="15.75" customHeight="1">
      <c r="B78" s="3">
        <f>IFERROR(__xludf.DUMMYFUNCTION("""COMPUTED_VALUE"""),42888.64583333333)</f>
        <v>42888.64583</v>
      </c>
      <c r="C78" s="2">
        <f>IFERROR(__xludf.DUMMYFUNCTION("""COMPUTED_VALUE"""),2930.0)</f>
        <v>2930</v>
      </c>
    </row>
    <row r="79" ht="15.75" customHeight="1">
      <c r="B79" s="3">
        <f>IFERROR(__xludf.DUMMYFUNCTION("""COMPUTED_VALUE"""),42895.64583333333)</f>
        <v>42895.64583</v>
      </c>
      <c r="C79" s="2">
        <f>IFERROR(__xludf.DUMMYFUNCTION("""COMPUTED_VALUE"""),3005.1)</f>
        <v>3005.1</v>
      </c>
    </row>
    <row r="80" ht="15.75" customHeight="1">
      <c r="B80" s="3">
        <f>IFERROR(__xludf.DUMMYFUNCTION("""COMPUTED_VALUE"""),42902.64583333333)</f>
        <v>42902.64583</v>
      </c>
      <c r="C80" s="2">
        <f>IFERROR(__xludf.DUMMYFUNCTION("""COMPUTED_VALUE"""),2971.77)</f>
        <v>2971.77</v>
      </c>
    </row>
    <row r="81" ht="15.75" customHeight="1">
      <c r="B81" s="3">
        <f>IFERROR(__xludf.DUMMYFUNCTION("""COMPUTED_VALUE"""),42909.64583333333)</f>
        <v>42909.64583</v>
      </c>
      <c r="C81" s="2">
        <f>IFERROR(__xludf.DUMMYFUNCTION("""COMPUTED_VALUE"""),2886.4)</f>
        <v>2886.4</v>
      </c>
    </row>
    <row r="82" ht="15.75" customHeight="1">
      <c r="B82" s="3">
        <f>IFERROR(__xludf.DUMMYFUNCTION("""COMPUTED_VALUE"""),42916.64583333333)</f>
        <v>42916.64583</v>
      </c>
      <c r="C82" s="2">
        <f>IFERROR(__xludf.DUMMYFUNCTION("""COMPUTED_VALUE"""),2763.3)</f>
        <v>2763.3</v>
      </c>
    </row>
    <row r="83" ht="15.75" customHeight="1">
      <c r="B83" s="3">
        <f>IFERROR(__xludf.DUMMYFUNCTION("""COMPUTED_VALUE"""),42923.64583333333)</f>
        <v>42923.64583</v>
      </c>
      <c r="C83" s="2">
        <f>IFERROR(__xludf.DUMMYFUNCTION("""COMPUTED_VALUE"""),2818.0)</f>
        <v>2818</v>
      </c>
    </row>
    <row r="84" ht="15.75" customHeight="1">
      <c r="B84" s="3">
        <f>IFERROR(__xludf.DUMMYFUNCTION("""COMPUTED_VALUE"""),42930.64583333333)</f>
        <v>42930.64583</v>
      </c>
      <c r="C84" s="2">
        <f>IFERROR(__xludf.DUMMYFUNCTION("""COMPUTED_VALUE"""),2840.0)</f>
        <v>2840</v>
      </c>
    </row>
    <row r="85" ht="15.75" customHeight="1">
      <c r="B85" s="3">
        <f>IFERROR(__xludf.DUMMYFUNCTION("""COMPUTED_VALUE"""),42937.64583333333)</f>
        <v>42937.64583</v>
      </c>
      <c r="C85" s="2">
        <f>IFERROR(__xludf.DUMMYFUNCTION("""COMPUTED_VALUE"""),2939.25)</f>
        <v>2939.25</v>
      </c>
    </row>
    <row r="86" ht="15.75" customHeight="1">
      <c r="B86" s="3">
        <f>IFERROR(__xludf.DUMMYFUNCTION("""COMPUTED_VALUE"""),42944.64583333333)</f>
        <v>42944.64583</v>
      </c>
      <c r="C86" s="2">
        <f>IFERROR(__xludf.DUMMYFUNCTION("""COMPUTED_VALUE"""),3016.25)</f>
        <v>3016.25</v>
      </c>
    </row>
    <row r="87" ht="15.75" customHeight="1">
      <c r="B87" s="3">
        <f>IFERROR(__xludf.DUMMYFUNCTION("""COMPUTED_VALUE"""),42951.64583333333)</f>
        <v>42951.64583</v>
      </c>
      <c r="C87" s="2">
        <f>IFERROR(__xludf.DUMMYFUNCTION("""COMPUTED_VALUE"""),3192.5)</f>
        <v>3192.5</v>
      </c>
    </row>
    <row r="88" ht="15.75" customHeight="1">
      <c r="B88" s="3">
        <f>IFERROR(__xludf.DUMMYFUNCTION("""COMPUTED_VALUE"""),42958.64583333333)</f>
        <v>42958.64583</v>
      </c>
      <c r="C88" s="2">
        <f>IFERROR(__xludf.DUMMYFUNCTION("""COMPUTED_VALUE"""),3244.94)</f>
        <v>3244.94</v>
      </c>
    </row>
    <row r="89" ht="15.75" customHeight="1">
      <c r="B89" s="3">
        <f>IFERROR(__xludf.DUMMYFUNCTION("""COMPUTED_VALUE"""),42965.64583333333)</f>
        <v>42965.64583</v>
      </c>
      <c r="C89" s="2">
        <f>IFERROR(__xludf.DUMMYFUNCTION("""COMPUTED_VALUE"""),3159.89)</f>
        <v>3159.89</v>
      </c>
    </row>
    <row r="90" ht="15.75" customHeight="1">
      <c r="B90" s="3">
        <f>IFERROR(__xludf.DUMMYFUNCTION("""COMPUTED_VALUE"""),42971.64583333333)</f>
        <v>42971.64583</v>
      </c>
      <c r="C90" s="2">
        <f>IFERROR(__xludf.DUMMYFUNCTION("""COMPUTED_VALUE"""),3207.79)</f>
        <v>3207.79</v>
      </c>
    </row>
    <row r="91" ht="15.75" customHeight="1">
      <c r="B91" s="3">
        <f>IFERROR(__xludf.DUMMYFUNCTION("""COMPUTED_VALUE"""),42979.64583333333)</f>
        <v>42979.64583</v>
      </c>
      <c r="C91" s="2">
        <f>IFERROR(__xludf.DUMMYFUNCTION("""COMPUTED_VALUE"""),3197.0)</f>
        <v>3197</v>
      </c>
    </row>
    <row r="92" ht="15.75" customHeight="1">
      <c r="B92" s="3">
        <f>IFERROR(__xludf.DUMMYFUNCTION("""COMPUTED_VALUE"""),42986.64583333333)</f>
        <v>42986.64583</v>
      </c>
      <c r="C92" s="2">
        <f>IFERROR(__xludf.DUMMYFUNCTION("""COMPUTED_VALUE"""),3348.0)</f>
        <v>3348</v>
      </c>
    </row>
    <row r="93" ht="15.75" customHeight="1">
      <c r="B93" s="3">
        <f>IFERROR(__xludf.DUMMYFUNCTION("""COMPUTED_VALUE"""),42993.64583333333)</f>
        <v>42993.64583</v>
      </c>
      <c r="C93" s="2">
        <f>IFERROR(__xludf.DUMMYFUNCTION("""COMPUTED_VALUE"""),3275.0)</f>
        <v>3275</v>
      </c>
    </row>
    <row r="94" ht="15.75" customHeight="1">
      <c r="B94" s="3">
        <f>IFERROR(__xludf.DUMMYFUNCTION("""COMPUTED_VALUE"""),43000.64583333333)</f>
        <v>43000.64583</v>
      </c>
      <c r="C94" s="2">
        <f>IFERROR(__xludf.DUMMYFUNCTION("""COMPUTED_VALUE"""),3291.69)</f>
        <v>3291.69</v>
      </c>
    </row>
    <row r="95" ht="15.75" customHeight="1">
      <c r="B95" s="3">
        <f>IFERROR(__xludf.DUMMYFUNCTION("""COMPUTED_VALUE"""),43007.64583333333)</f>
        <v>43007.64583</v>
      </c>
      <c r="C95" s="2">
        <f>IFERROR(__xludf.DUMMYFUNCTION("""COMPUTED_VALUE"""),3165.12)</f>
        <v>3165.12</v>
      </c>
    </row>
    <row r="96" ht="15.75" customHeight="1">
      <c r="B96" s="3">
        <f>IFERROR(__xludf.DUMMYFUNCTION("""COMPUTED_VALUE"""),43014.64583333333)</f>
        <v>43014.64583</v>
      </c>
      <c r="C96" s="2">
        <f>IFERROR(__xludf.DUMMYFUNCTION("""COMPUTED_VALUE"""),3196.8)</f>
        <v>3196.8</v>
      </c>
    </row>
    <row r="97" ht="15.75" customHeight="1">
      <c r="B97" s="3">
        <f>IFERROR(__xludf.DUMMYFUNCTION("""COMPUTED_VALUE"""),43021.64583333333)</f>
        <v>43021.64583</v>
      </c>
      <c r="C97" s="2">
        <f>IFERROR(__xludf.DUMMYFUNCTION("""COMPUTED_VALUE"""),3207.23)</f>
        <v>3207.23</v>
      </c>
    </row>
    <row r="98" ht="15.75" customHeight="1">
      <c r="B98" s="3">
        <f>IFERROR(__xludf.DUMMYFUNCTION("""COMPUTED_VALUE"""),43027.83333333333)</f>
        <v>43027.83333</v>
      </c>
      <c r="C98" s="2">
        <f>IFERROR(__xludf.DUMMYFUNCTION("""COMPUTED_VALUE"""),3195.0)</f>
        <v>3195</v>
      </c>
    </row>
    <row r="99" ht="15.75" customHeight="1">
      <c r="B99" s="3">
        <f>IFERROR(__xludf.DUMMYFUNCTION("""COMPUTED_VALUE"""),43035.64583333333)</f>
        <v>43035.64583</v>
      </c>
      <c r="C99" s="2">
        <f>IFERROR(__xludf.DUMMYFUNCTION("""COMPUTED_VALUE"""),3190.0)</f>
        <v>3190</v>
      </c>
    </row>
    <row r="100" ht="15.75" customHeight="1">
      <c r="B100" s="3">
        <f>IFERROR(__xludf.DUMMYFUNCTION("""COMPUTED_VALUE"""),43042.64583333333)</f>
        <v>43042.64583</v>
      </c>
      <c r="C100" s="2">
        <f>IFERROR(__xludf.DUMMYFUNCTION("""COMPUTED_VALUE"""),3276.66)</f>
        <v>3276.66</v>
      </c>
    </row>
    <row r="101" ht="15.75" customHeight="1">
      <c r="B101" s="3">
        <f>IFERROR(__xludf.DUMMYFUNCTION("""COMPUTED_VALUE"""),43049.64583333333)</f>
        <v>43049.64583</v>
      </c>
      <c r="C101" s="2">
        <f>IFERROR(__xludf.DUMMYFUNCTION("""COMPUTED_VALUE"""),3144.32)</f>
        <v>3144.32</v>
      </c>
    </row>
    <row r="102" ht="15.75" customHeight="1">
      <c r="B102" s="3">
        <f>IFERROR(__xludf.DUMMYFUNCTION("""COMPUTED_VALUE"""),43056.64583333333)</f>
        <v>43056.64583</v>
      </c>
      <c r="C102" s="2">
        <f>IFERROR(__xludf.DUMMYFUNCTION("""COMPUTED_VALUE"""),3104.25)</f>
        <v>3104.25</v>
      </c>
    </row>
    <row r="103" ht="15.75" customHeight="1">
      <c r="B103" s="3">
        <f>IFERROR(__xludf.DUMMYFUNCTION("""COMPUTED_VALUE"""),43063.64583333333)</f>
        <v>43063.64583</v>
      </c>
      <c r="C103" s="2">
        <f>IFERROR(__xludf.DUMMYFUNCTION("""COMPUTED_VALUE"""),3100.32)</f>
        <v>3100.32</v>
      </c>
    </row>
    <row r="104" ht="15.75" customHeight="1">
      <c r="B104" s="3">
        <f>IFERROR(__xludf.DUMMYFUNCTION("""COMPUTED_VALUE"""),43070.64583333333)</f>
        <v>43070.64583</v>
      </c>
      <c r="C104" s="2">
        <f>IFERROR(__xludf.DUMMYFUNCTION("""COMPUTED_VALUE"""),3109.9)</f>
        <v>3109.9</v>
      </c>
    </row>
    <row r="105" ht="15.75" customHeight="1">
      <c r="B105" s="3">
        <f>IFERROR(__xludf.DUMMYFUNCTION("""COMPUTED_VALUE"""),43077.64583333333)</f>
        <v>43077.64583</v>
      </c>
      <c r="C105" s="2">
        <f>IFERROR(__xludf.DUMMYFUNCTION("""COMPUTED_VALUE"""),2975.79)</f>
        <v>2975.79</v>
      </c>
    </row>
    <row r="106" ht="15.75" customHeight="1">
      <c r="B106" s="3">
        <f>IFERROR(__xludf.DUMMYFUNCTION("""COMPUTED_VALUE"""),43084.64583333333)</f>
        <v>43084.64583</v>
      </c>
      <c r="C106" s="2">
        <f>IFERROR(__xludf.DUMMYFUNCTION("""COMPUTED_VALUE"""),2966.98)</f>
        <v>2966.98</v>
      </c>
    </row>
    <row r="107" ht="15.75" customHeight="1">
      <c r="B107" s="3">
        <f>IFERROR(__xludf.DUMMYFUNCTION("""COMPUTED_VALUE"""),43091.64583333333)</f>
        <v>43091.64583</v>
      </c>
      <c r="C107" s="2">
        <f>IFERROR(__xludf.DUMMYFUNCTION("""COMPUTED_VALUE"""),3099.9)</f>
        <v>3099.9</v>
      </c>
    </row>
    <row r="108" ht="15.75" customHeight="1">
      <c r="B108" s="3">
        <f>IFERROR(__xludf.DUMMYFUNCTION("""COMPUTED_VALUE"""),43098.64583333333)</f>
        <v>43098.64583</v>
      </c>
      <c r="C108" s="2">
        <f>IFERROR(__xludf.DUMMYFUNCTION("""COMPUTED_VALUE"""),3046.65)</f>
        <v>3046.65</v>
      </c>
    </row>
    <row r="109" ht="15.75" customHeight="1"/>
    <row r="110" ht="15.75" customHeight="1"/>
    <row r="111" ht="15.75" customHeight="1">
      <c r="B111" s="2" t="str">
        <f>IFERROR(__xludf.DUMMYFUNCTION("GOOGLEFINANCE(""NSE:EICHERMOT"", ""high"",DATE(2018,1,1),DATE(2019,1,1),""weekly"")"),"Date")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IFERROR(__xludf.DUMMYFUNCTION("""COMPUTED_VALUE"""),43105.64583333333)</f>
        <v>43105.64583</v>
      </c>
      <c r="C112" s="2">
        <f>IFERROR(__xludf.DUMMYFUNCTION("""COMPUTED_VALUE"""),3042.0)</f>
        <v>3042</v>
      </c>
    </row>
    <row r="113" ht="15.75" customHeight="1">
      <c r="B113" s="3">
        <f>IFERROR(__xludf.DUMMYFUNCTION("""COMPUTED_VALUE"""),43112.64583333333)</f>
        <v>43112.64583</v>
      </c>
      <c r="C113" s="2">
        <f>IFERROR(__xludf.DUMMYFUNCTION("""COMPUTED_VALUE"""),2940.0)</f>
        <v>2940</v>
      </c>
    </row>
    <row r="114" ht="15.75" customHeight="1">
      <c r="B114" s="3">
        <f>IFERROR(__xludf.DUMMYFUNCTION("""COMPUTED_VALUE"""),43119.64583333333)</f>
        <v>43119.64583</v>
      </c>
      <c r="C114" s="2">
        <f>IFERROR(__xludf.DUMMYFUNCTION("""COMPUTED_VALUE"""),2875.0)</f>
        <v>2875</v>
      </c>
    </row>
    <row r="115" ht="15.75" customHeight="1">
      <c r="B115" s="3">
        <f>IFERROR(__xludf.DUMMYFUNCTION("""COMPUTED_VALUE"""),43125.64583333333)</f>
        <v>43125.64583</v>
      </c>
      <c r="C115" s="2">
        <f>IFERROR(__xludf.DUMMYFUNCTION("""COMPUTED_VALUE"""),2809.78)</f>
        <v>2809.78</v>
      </c>
    </row>
    <row r="116" ht="15.75" customHeight="1">
      <c r="B116" s="3">
        <f>IFERROR(__xludf.DUMMYFUNCTION("""COMPUTED_VALUE"""),43133.64583333333)</f>
        <v>43133.64583</v>
      </c>
      <c r="C116" s="2">
        <f>IFERROR(__xludf.DUMMYFUNCTION("""COMPUTED_VALUE"""),2852.15)</f>
        <v>2852.15</v>
      </c>
    </row>
    <row r="117" ht="15.75" customHeight="1">
      <c r="B117" s="3">
        <f>IFERROR(__xludf.DUMMYFUNCTION("""COMPUTED_VALUE"""),43140.64583333333)</f>
        <v>43140.64583</v>
      </c>
      <c r="C117" s="2">
        <f>IFERROR(__xludf.DUMMYFUNCTION("""COMPUTED_VALUE"""),2841.1)</f>
        <v>2841.1</v>
      </c>
    </row>
    <row r="118" ht="15.75" customHeight="1">
      <c r="B118" s="3">
        <f>IFERROR(__xludf.DUMMYFUNCTION("""COMPUTED_VALUE"""),43147.64583333333)</f>
        <v>43147.64583</v>
      </c>
      <c r="C118" s="2">
        <f>IFERROR(__xludf.DUMMYFUNCTION("""COMPUTED_VALUE"""),2842.5)</f>
        <v>2842.5</v>
      </c>
    </row>
    <row r="119" ht="15.75" customHeight="1">
      <c r="B119" s="3">
        <f>IFERROR(__xludf.DUMMYFUNCTION("""COMPUTED_VALUE"""),43154.64583333333)</f>
        <v>43154.64583</v>
      </c>
      <c r="C119" s="2">
        <f>IFERROR(__xludf.DUMMYFUNCTION("""COMPUTED_VALUE"""),2755.88)</f>
        <v>2755.88</v>
      </c>
    </row>
    <row r="120" ht="15.75" customHeight="1">
      <c r="B120" s="3">
        <f>IFERROR(__xludf.DUMMYFUNCTION("""COMPUTED_VALUE"""),43160.64583333333)</f>
        <v>43160.64583</v>
      </c>
      <c r="C120" s="2">
        <f>IFERROR(__xludf.DUMMYFUNCTION("""COMPUTED_VALUE"""),2800.1)</f>
        <v>2800.1</v>
      </c>
    </row>
    <row r="121" ht="15.75" customHeight="1">
      <c r="B121" s="3">
        <f>IFERROR(__xludf.DUMMYFUNCTION("""COMPUTED_VALUE"""),43168.64583333333)</f>
        <v>43168.64583</v>
      </c>
      <c r="C121" s="2">
        <f>IFERROR(__xludf.DUMMYFUNCTION("""COMPUTED_VALUE"""),2806.5)</f>
        <v>2806.5</v>
      </c>
    </row>
    <row r="122" ht="15.75" customHeight="1">
      <c r="B122" s="3">
        <f>IFERROR(__xludf.DUMMYFUNCTION("""COMPUTED_VALUE"""),43175.64583333333)</f>
        <v>43175.64583</v>
      </c>
      <c r="C122" s="2">
        <f>IFERROR(__xludf.DUMMYFUNCTION("""COMPUTED_VALUE"""),2906.0)</f>
        <v>2906</v>
      </c>
    </row>
    <row r="123" ht="15.75" customHeight="1">
      <c r="B123" s="3">
        <f>IFERROR(__xludf.DUMMYFUNCTION("""COMPUTED_VALUE"""),43182.64583333333)</f>
        <v>43182.64583</v>
      </c>
      <c r="C123" s="2">
        <f>IFERROR(__xludf.DUMMYFUNCTION("""COMPUTED_VALUE"""),2848.9)</f>
        <v>2848.9</v>
      </c>
    </row>
    <row r="124" ht="15.75" customHeight="1">
      <c r="B124" s="3">
        <f>IFERROR(__xludf.DUMMYFUNCTION("""COMPUTED_VALUE"""),43187.64583333333)</f>
        <v>43187.64583</v>
      </c>
      <c r="C124" s="2">
        <f>IFERROR(__xludf.DUMMYFUNCTION("""COMPUTED_VALUE"""),2865.15)</f>
        <v>2865.15</v>
      </c>
    </row>
    <row r="125" ht="15.75" customHeight="1">
      <c r="B125" s="3">
        <f>IFERROR(__xludf.DUMMYFUNCTION("""COMPUTED_VALUE"""),43196.64583333333)</f>
        <v>43196.64583</v>
      </c>
      <c r="C125" s="2">
        <f>IFERROR(__xludf.DUMMYFUNCTION("""COMPUTED_VALUE"""),2990.0)</f>
        <v>2990</v>
      </c>
    </row>
    <row r="126" ht="15.75" customHeight="1">
      <c r="B126" s="3">
        <f>IFERROR(__xludf.DUMMYFUNCTION("""COMPUTED_VALUE"""),43203.64583333333)</f>
        <v>43203.64583</v>
      </c>
      <c r="C126" s="2">
        <f>IFERROR(__xludf.DUMMYFUNCTION("""COMPUTED_VALUE"""),3150.0)</f>
        <v>3150</v>
      </c>
    </row>
    <row r="127" ht="15.75" customHeight="1">
      <c r="B127" s="3">
        <f>IFERROR(__xludf.DUMMYFUNCTION("""COMPUTED_VALUE"""),43210.64583333333)</f>
        <v>43210.64583</v>
      </c>
      <c r="C127" s="2">
        <f>IFERROR(__xludf.DUMMYFUNCTION("""COMPUTED_VALUE"""),3146.82)</f>
        <v>3146.82</v>
      </c>
    </row>
    <row r="128" ht="15.75" customHeight="1">
      <c r="B128" s="3">
        <f>IFERROR(__xludf.DUMMYFUNCTION("""COMPUTED_VALUE"""),43217.64583333333)</f>
        <v>43217.64583</v>
      </c>
      <c r="C128" s="2">
        <f>IFERROR(__xludf.DUMMYFUNCTION("""COMPUTED_VALUE"""),3223.67)</f>
        <v>3223.67</v>
      </c>
    </row>
    <row r="129" ht="15.75" customHeight="1">
      <c r="B129" s="3">
        <f>IFERROR(__xludf.DUMMYFUNCTION("""COMPUTED_VALUE"""),43224.64583333333)</f>
        <v>43224.64583</v>
      </c>
      <c r="C129" s="2">
        <f>IFERROR(__xludf.DUMMYFUNCTION("""COMPUTED_VALUE"""),3188.49)</f>
        <v>3188.49</v>
      </c>
    </row>
    <row r="130" ht="15.75" customHeight="1">
      <c r="B130" s="3">
        <f>IFERROR(__xludf.DUMMYFUNCTION("""COMPUTED_VALUE"""),43231.64583333333)</f>
        <v>43231.64583</v>
      </c>
      <c r="C130" s="2">
        <f>IFERROR(__xludf.DUMMYFUNCTION("""COMPUTED_VALUE"""),3120.75)</f>
        <v>3120.75</v>
      </c>
    </row>
    <row r="131" ht="15.75" customHeight="1">
      <c r="B131" s="3">
        <f>IFERROR(__xludf.DUMMYFUNCTION("""COMPUTED_VALUE"""),43238.64583333333)</f>
        <v>43238.64583</v>
      </c>
      <c r="C131" s="2">
        <f>IFERROR(__xludf.DUMMYFUNCTION("""COMPUTED_VALUE"""),3100.0)</f>
        <v>3100</v>
      </c>
    </row>
    <row r="132" ht="15.75" customHeight="1">
      <c r="B132" s="3">
        <f>IFERROR(__xludf.DUMMYFUNCTION("""COMPUTED_VALUE"""),43245.64583333333)</f>
        <v>43245.64583</v>
      </c>
      <c r="C132" s="2">
        <f>IFERROR(__xludf.DUMMYFUNCTION("""COMPUTED_VALUE"""),3033.34)</f>
        <v>3033.34</v>
      </c>
    </row>
    <row r="133" ht="15.75" customHeight="1">
      <c r="B133" s="3">
        <f>IFERROR(__xludf.DUMMYFUNCTION("""COMPUTED_VALUE"""),43252.64583333333)</f>
        <v>43252.64583</v>
      </c>
      <c r="C133" s="2">
        <f>IFERROR(__xludf.DUMMYFUNCTION("""COMPUTED_VALUE"""),3149.9)</f>
        <v>3149.9</v>
      </c>
    </row>
    <row r="134" ht="15.75" customHeight="1">
      <c r="B134" s="3">
        <f>IFERROR(__xludf.DUMMYFUNCTION("""COMPUTED_VALUE"""),43259.64583333333)</f>
        <v>43259.64583</v>
      </c>
      <c r="C134" s="2">
        <f>IFERROR(__xludf.DUMMYFUNCTION("""COMPUTED_VALUE"""),3027.38)</f>
        <v>3027.38</v>
      </c>
    </row>
    <row r="135" ht="15.75" customHeight="1">
      <c r="B135" s="3">
        <f>IFERROR(__xludf.DUMMYFUNCTION("""COMPUTED_VALUE"""),43266.64583333333)</f>
        <v>43266.64583</v>
      </c>
      <c r="C135" s="2">
        <f>IFERROR(__xludf.DUMMYFUNCTION("""COMPUTED_VALUE"""),2997.9)</f>
        <v>2997.9</v>
      </c>
    </row>
    <row r="136" ht="15.75" customHeight="1">
      <c r="B136" s="3">
        <f>IFERROR(__xludf.DUMMYFUNCTION("""COMPUTED_VALUE"""),43273.64583333333)</f>
        <v>43273.64583</v>
      </c>
      <c r="C136" s="2">
        <f>IFERROR(__xludf.DUMMYFUNCTION("""COMPUTED_VALUE"""),3026.5)</f>
        <v>3026.5</v>
      </c>
    </row>
    <row r="137" ht="15.75" customHeight="1">
      <c r="B137" s="3">
        <f>IFERROR(__xludf.DUMMYFUNCTION("""COMPUTED_VALUE"""),43280.64583333333)</f>
        <v>43280.64583</v>
      </c>
      <c r="C137" s="2">
        <f>IFERROR(__xludf.DUMMYFUNCTION("""COMPUTED_VALUE"""),2972.14)</f>
        <v>2972.14</v>
      </c>
    </row>
    <row r="138" ht="15.75" customHeight="1">
      <c r="B138" s="3">
        <f>IFERROR(__xludf.DUMMYFUNCTION("""COMPUTED_VALUE"""),43287.64583333333)</f>
        <v>43287.64583</v>
      </c>
      <c r="C138" s="2">
        <f>IFERROR(__xludf.DUMMYFUNCTION("""COMPUTED_VALUE"""),2878.1)</f>
        <v>2878.1</v>
      </c>
    </row>
    <row r="139" ht="15.75" customHeight="1">
      <c r="B139" s="3">
        <f>IFERROR(__xludf.DUMMYFUNCTION("""COMPUTED_VALUE"""),43294.64583333333)</f>
        <v>43294.64583</v>
      </c>
      <c r="C139" s="2">
        <f>IFERROR(__xludf.DUMMYFUNCTION("""COMPUTED_VALUE"""),2861.0)</f>
        <v>2861</v>
      </c>
    </row>
    <row r="140" ht="15.75" customHeight="1">
      <c r="B140" s="3">
        <f>IFERROR(__xludf.DUMMYFUNCTION("""COMPUTED_VALUE"""),43301.64583333333)</f>
        <v>43301.64583</v>
      </c>
      <c r="C140" s="2">
        <f>IFERROR(__xludf.DUMMYFUNCTION("""COMPUTED_VALUE"""),2774.5)</f>
        <v>2774.5</v>
      </c>
    </row>
    <row r="141" ht="15.75" customHeight="1">
      <c r="B141" s="3">
        <f>IFERROR(__xludf.DUMMYFUNCTION("""COMPUTED_VALUE"""),43308.64583333333)</f>
        <v>43308.64583</v>
      </c>
      <c r="C141" s="2">
        <f>IFERROR(__xludf.DUMMYFUNCTION("""COMPUTED_VALUE"""),2900.0)</f>
        <v>2900</v>
      </c>
    </row>
    <row r="142" ht="15.75" customHeight="1">
      <c r="B142" s="3">
        <f>IFERROR(__xludf.DUMMYFUNCTION("""COMPUTED_VALUE"""),43315.64583333333)</f>
        <v>43315.64583</v>
      </c>
      <c r="C142" s="2">
        <f>IFERROR(__xludf.DUMMYFUNCTION("""COMPUTED_VALUE"""),2912.5)</f>
        <v>2912.5</v>
      </c>
    </row>
    <row r="143" ht="15.75" customHeight="1">
      <c r="B143" s="3">
        <f>IFERROR(__xludf.DUMMYFUNCTION("""COMPUTED_VALUE"""),43322.64583333333)</f>
        <v>43322.64583</v>
      </c>
      <c r="C143" s="2">
        <f>IFERROR(__xludf.DUMMYFUNCTION("""COMPUTED_VALUE"""),2918.0)</f>
        <v>2918</v>
      </c>
    </row>
    <row r="144" ht="15.75" customHeight="1">
      <c r="B144" s="3">
        <f>IFERROR(__xludf.DUMMYFUNCTION("""COMPUTED_VALUE"""),43329.64583333333)</f>
        <v>43329.64583</v>
      </c>
      <c r="C144" s="2">
        <f>IFERROR(__xludf.DUMMYFUNCTION("""COMPUTED_VALUE"""),2947.0)</f>
        <v>2947</v>
      </c>
    </row>
    <row r="145" ht="15.75" customHeight="1">
      <c r="B145" s="3">
        <f>IFERROR(__xludf.DUMMYFUNCTION("""COMPUTED_VALUE"""),43336.64583333333)</f>
        <v>43336.64583</v>
      </c>
      <c r="C145" s="2">
        <f>IFERROR(__xludf.DUMMYFUNCTION("""COMPUTED_VALUE"""),2900.0)</f>
        <v>2900</v>
      </c>
    </row>
    <row r="146" ht="15.75" customHeight="1">
      <c r="B146" s="3">
        <f>IFERROR(__xludf.DUMMYFUNCTION("""COMPUTED_VALUE"""),43343.64583333333)</f>
        <v>43343.64583</v>
      </c>
      <c r="C146" s="2">
        <f>IFERROR(__xludf.DUMMYFUNCTION("""COMPUTED_VALUE"""),2930.0)</f>
        <v>2930</v>
      </c>
    </row>
    <row r="147" ht="15.75" customHeight="1">
      <c r="B147" s="3">
        <f>IFERROR(__xludf.DUMMYFUNCTION("""COMPUTED_VALUE"""),43350.64583333333)</f>
        <v>43350.64583</v>
      </c>
      <c r="C147" s="2">
        <f>IFERROR(__xludf.DUMMYFUNCTION("""COMPUTED_VALUE"""),2924.96)</f>
        <v>2924.96</v>
      </c>
    </row>
    <row r="148" ht="15.75" customHeight="1">
      <c r="B148" s="3">
        <f>IFERROR(__xludf.DUMMYFUNCTION("""COMPUTED_VALUE"""),43357.64583333333)</f>
        <v>43357.64583</v>
      </c>
      <c r="C148" s="2">
        <f>IFERROR(__xludf.DUMMYFUNCTION("""COMPUTED_VALUE"""),2942.5)</f>
        <v>2942.5</v>
      </c>
    </row>
    <row r="149" ht="15.75" customHeight="1">
      <c r="B149" s="3">
        <f>IFERROR(__xludf.DUMMYFUNCTION("""COMPUTED_VALUE"""),43364.64583333333)</f>
        <v>43364.64583</v>
      </c>
      <c r="C149" s="2">
        <f>IFERROR(__xludf.DUMMYFUNCTION("""COMPUTED_VALUE"""),2980.0)</f>
        <v>2980</v>
      </c>
    </row>
    <row r="150" ht="15.75" customHeight="1">
      <c r="B150" s="3">
        <f>IFERROR(__xludf.DUMMYFUNCTION("""COMPUTED_VALUE"""),43371.64583333333)</f>
        <v>43371.64583</v>
      </c>
      <c r="C150" s="2">
        <f>IFERROR(__xludf.DUMMYFUNCTION("""COMPUTED_VALUE"""),2809.97)</f>
        <v>2809.97</v>
      </c>
    </row>
    <row r="151" ht="15.75" customHeight="1">
      <c r="B151" s="3">
        <f>IFERROR(__xludf.DUMMYFUNCTION("""COMPUTED_VALUE"""),43378.64583333333)</f>
        <v>43378.64583</v>
      </c>
      <c r="C151" s="2">
        <f>IFERROR(__xludf.DUMMYFUNCTION("""COMPUTED_VALUE"""),2499.9)</f>
        <v>2499.9</v>
      </c>
    </row>
    <row r="152" ht="15.75" customHeight="1">
      <c r="B152" s="3">
        <f>IFERROR(__xludf.DUMMYFUNCTION("""COMPUTED_VALUE"""),43385.64583333333)</f>
        <v>43385.64583</v>
      </c>
      <c r="C152" s="2">
        <f>IFERROR(__xludf.DUMMYFUNCTION("""COMPUTED_VALUE"""),2419.9)</f>
        <v>2419.9</v>
      </c>
    </row>
    <row r="153" ht="15.75" customHeight="1">
      <c r="B153" s="3">
        <f>IFERROR(__xludf.DUMMYFUNCTION("""COMPUTED_VALUE"""),43392.64583333333)</f>
        <v>43392.64583</v>
      </c>
      <c r="C153" s="2">
        <f>IFERROR(__xludf.DUMMYFUNCTION("""COMPUTED_VALUE"""),2413.41)</f>
        <v>2413.41</v>
      </c>
    </row>
    <row r="154" ht="15.75" customHeight="1">
      <c r="B154" s="3">
        <f>IFERROR(__xludf.DUMMYFUNCTION("""COMPUTED_VALUE"""),43399.64583333333)</f>
        <v>43399.64583</v>
      </c>
      <c r="C154" s="2">
        <f>IFERROR(__xludf.DUMMYFUNCTION("""COMPUTED_VALUE"""),2269.0)</f>
        <v>2269</v>
      </c>
    </row>
    <row r="155" ht="15.75" customHeight="1">
      <c r="B155" s="3">
        <f>IFERROR(__xludf.DUMMYFUNCTION("""COMPUTED_VALUE"""),43406.64583333333)</f>
        <v>43406.64583</v>
      </c>
      <c r="C155" s="2">
        <f>IFERROR(__xludf.DUMMYFUNCTION("""COMPUTED_VALUE"""),2308.05)</f>
        <v>2308.05</v>
      </c>
    </row>
    <row r="156" ht="15.75" customHeight="1">
      <c r="B156" s="3">
        <f>IFERROR(__xludf.DUMMYFUNCTION("""COMPUTED_VALUE"""),43413.64583333333)</f>
        <v>43413.64583</v>
      </c>
      <c r="C156" s="2">
        <f>IFERROR(__xludf.DUMMYFUNCTION("""COMPUTED_VALUE"""),2282.73)</f>
        <v>2282.73</v>
      </c>
    </row>
    <row r="157" ht="15.75" customHeight="1">
      <c r="B157" s="3">
        <f>IFERROR(__xludf.DUMMYFUNCTION("""COMPUTED_VALUE"""),43420.64583333333)</f>
        <v>43420.64583</v>
      </c>
      <c r="C157" s="2">
        <f>IFERROR(__xludf.DUMMYFUNCTION("""COMPUTED_VALUE"""),2483.0)</f>
        <v>2483</v>
      </c>
    </row>
    <row r="158" ht="15.75" customHeight="1">
      <c r="B158" s="3">
        <f>IFERROR(__xludf.DUMMYFUNCTION("""COMPUTED_VALUE"""),43426.64583333333)</f>
        <v>43426.64583</v>
      </c>
      <c r="C158" s="2">
        <f>IFERROR(__xludf.DUMMYFUNCTION("""COMPUTED_VALUE"""),2535.0)</f>
        <v>2535</v>
      </c>
    </row>
    <row r="159" ht="15.75" customHeight="1">
      <c r="B159" s="3">
        <f>IFERROR(__xludf.DUMMYFUNCTION("""COMPUTED_VALUE"""),43434.64583333333)</f>
        <v>43434.64583</v>
      </c>
      <c r="C159" s="2">
        <f>IFERROR(__xludf.DUMMYFUNCTION("""COMPUTED_VALUE"""),2448.8)</f>
        <v>2448.8</v>
      </c>
    </row>
    <row r="160" ht="15.75" customHeight="1">
      <c r="B160" s="3">
        <f>IFERROR(__xludf.DUMMYFUNCTION("""COMPUTED_VALUE"""),43441.64583333333)</f>
        <v>43441.64583</v>
      </c>
      <c r="C160" s="2">
        <f>IFERROR(__xludf.DUMMYFUNCTION("""COMPUTED_VALUE"""),2389.8)</f>
        <v>2389.8</v>
      </c>
    </row>
    <row r="161" ht="15.75" customHeight="1">
      <c r="B161" s="3">
        <f>IFERROR(__xludf.DUMMYFUNCTION("""COMPUTED_VALUE"""),43448.64583333333)</f>
        <v>43448.64583</v>
      </c>
      <c r="C161" s="2">
        <f>IFERROR(__xludf.DUMMYFUNCTION("""COMPUTED_VALUE"""),2412.5)</f>
        <v>2412.5</v>
      </c>
    </row>
    <row r="162" ht="15.75" customHeight="1">
      <c r="B162" s="3">
        <f>IFERROR(__xludf.DUMMYFUNCTION("""COMPUTED_VALUE"""),43455.64583333333)</f>
        <v>43455.64583</v>
      </c>
      <c r="C162" s="2">
        <f>IFERROR(__xludf.DUMMYFUNCTION("""COMPUTED_VALUE"""),2422.0)</f>
        <v>2422</v>
      </c>
    </row>
    <row r="163" ht="15.75" customHeight="1">
      <c r="B163" s="3">
        <f>IFERROR(__xludf.DUMMYFUNCTION("""COMPUTED_VALUE"""),43462.64583333333)</f>
        <v>43462.64583</v>
      </c>
      <c r="C163" s="2">
        <f>IFERROR(__xludf.DUMMYFUNCTION("""COMPUTED_VALUE"""),2357.5)</f>
        <v>2357.5</v>
      </c>
    </row>
    <row r="164" ht="15.75" customHeight="1"/>
    <row r="165" ht="15.75" customHeight="1"/>
    <row r="166" ht="15.75" customHeight="1">
      <c r="B166" s="2" t="str">
        <f>IFERROR(__xludf.DUMMYFUNCTION("GOOGLEFINANCE(""NSE:EICHERMOT"", ""high"",DATE(2019,1,1),DATE(2020,1,1),""weekly"")"),"Date")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IFERROR(__xludf.DUMMYFUNCTION("""COMPUTED_VALUE"""),43469.64583333333)</f>
        <v>43469.64583</v>
      </c>
      <c r="C167" s="2">
        <f>IFERROR(__xludf.DUMMYFUNCTION("""COMPUTED_VALUE"""),2339.0)</f>
        <v>2339</v>
      </c>
    </row>
    <row r="168" ht="15.75" customHeight="1">
      <c r="B168" s="3">
        <f>IFERROR(__xludf.DUMMYFUNCTION("""COMPUTED_VALUE"""),43476.64583333333)</f>
        <v>43476.64583</v>
      </c>
      <c r="C168" s="2">
        <f>IFERROR(__xludf.DUMMYFUNCTION("""COMPUTED_VALUE"""),2076.73)</f>
        <v>2076.73</v>
      </c>
    </row>
    <row r="169" ht="15.75" customHeight="1">
      <c r="B169" s="3">
        <f>IFERROR(__xludf.DUMMYFUNCTION("""COMPUTED_VALUE"""),43483.64583333333)</f>
        <v>43483.64583</v>
      </c>
      <c r="C169" s="2">
        <f>IFERROR(__xludf.DUMMYFUNCTION("""COMPUTED_VALUE"""),2084.78)</f>
        <v>2084.78</v>
      </c>
    </row>
    <row r="170" ht="15.75" customHeight="1">
      <c r="B170" s="3">
        <f>IFERROR(__xludf.DUMMYFUNCTION("""COMPUTED_VALUE"""),43490.64583333333)</f>
        <v>43490.64583</v>
      </c>
      <c r="C170" s="2">
        <f>IFERROR(__xludf.DUMMYFUNCTION("""COMPUTED_VALUE"""),2035.0)</f>
        <v>2035</v>
      </c>
    </row>
    <row r="171" ht="15.75" customHeight="1">
      <c r="B171" s="3">
        <f>IFERROR(__xludf.DUMMYFUNCTION("""COMPUTED_VALUE"""),43497.64583333333)</f>
        <v>43497.64583</v>
      </c>
      <c r="C171" s="2">
        <f>IFERROR(__xludf.DUMMYFUNCTION("""COMPUTED_VALUE"""),2024.1)</f>
        <v>2024.1</v>
      </c>
    </row>
    <row r="172" ht="15.75" customHeight="1">
      <c r="B172" s="3">
        <f>IFERROR(__xludf.DUMMYFUNCTION("""COMPUTED_VALUE"""),43504.64583333333)</f>
        <v>43504.64583</v>
      </c>
      <c r="C172" s="2">
        <f>IFERROR(__xludf.DUMMYFUNCTION("""COMPUTED_VALUE"""),2196.5)</f>
        <v>2196.5</v>
      </c>
    </row>
    <row r="173" ht="15.75" customHeight="1">
      <c r="B173" s="3">
        <f>IFERROR(__xludf.DUMMYFUNCTION("""COMPUTED_VALUE"""),43511.64583333333)</f>
        <v>43511.64583</v>
      </c>
      <c r="C173" s="2">
        <f>IFERROR(__xludf.DUMMYFUNCTION("""COMPUTED_VALUE"""),2145.96)</f>
        <v>2145.96</v>
      </c>
    </row>
    <row r="174" ht="15.75" customHeight="1">
      <c r="B174" s="3">
        <f>IFERROR(__xludf.DUMMYFUNCTION("""COMPUTED_VALUE"""),43518.64583333333)</f>
        <v>43518.64583</v>
      </c>
      <c r="C174" s="2">
        <f>IFERROR(__xludf.DUMMYFUNCTION("""COMPUTED_VALUE"""),2070.0)</f>
        <v>2070</v>
      </c>
    </row>
    <row r="175" ht="15.75" customHeight="1">
      <c r="B175" s="3">
        <f>IFERROR(__xludf.DUMMYFUNCTION("""COMPUTED_VALUE"""),43525.64583333333)</f>
        <v>43525.64583</v>
      </c>
      <c r="C175" s="2">
        <f>IFERROR(__xludf.DUMMYFUNCTION("""COMPUTED_VALUE"""),2087.5)</f>
        <v>2087.5</v>
      </c>
    </row>
    <row r="176" ht="15.75" customHeight="1">
      <c r="B176" s="3">
        <f>IFERROR(__xludf.DUMMYFUNCTION("""COMPUTED_VALUE"""),43532.64583333333)</f>
        <v>43532.64583</v>
      </c>
      <c r="C176" s="2">
        <f>IFERROR(__xludf.DUMMYFUNCTION("""COMPUTED_VALUE"""),2209.34)</f>
        <v>2209.34</v>
      </c>
    </row>
    <row r="177" ht="15.75" customHeight="1">
      <c r="B177" s="3">
        <f>IFERROR(__xludf.DUMMYFUNCTION("""COMPUTED_VALUE"""),43539.64583333333)</f>
        <v>43539.64583</v>
      </c>
      <c r="C177" s="2">
        <f>IFERROR(__xludf.DUMMYFUNCTION("""COMPUTED_VALUE"""),2335.5)</f>
        <v>2335.5</v>
      </c>
    </row>
    <row r="178" ht="15.75" customHeight="1">
      <c r="B178" s="3">
        <f>IFERROR(__xludf.DUMMYFUNCTION("""COMPUTED_VALUE"""),43546.64583333333)</f>
        <v>43546.64583</v>
      </c>
      <c r="C178" s="2">
        <f>IFERROR(__xludf.DUMMYFUNCTION("""COMPUTED_VALUE"""),2279.99)</f>
        <v>2279.99</v>
      </c>
    </row>
    <row r="179" ht="15.75" customHeight="1">
      <c r="B179" s="3">
        <f>IFERROR(__xludf.DUMMYFUNCTION("""COMPUTED_VALUE"""),43553.64583333333)</f>
        <v>43553.64583</v>
      </c>
      <c r="C179" s="2">
        <f>IFERROR(__xludf.DUMMYFUNCTION("""COMPUTED_VALUE"""),2148.5)</f>
        <v>2148.5</v>
      </c>
    </row>
    <row r="180" ht="15.75" customHeight="1">
      <c r="B180" s="3">
        <f>IFERROR(__xludf.DUMMYFUNCTION("""COMPUTED_VALUE"""),43560.64583333333)</f>
        <v>43560.64583</v>
      </c>
      <c r="C180" s="2">
        <f>IFERROR(__xludf.DUMMYFUNCTION("""COMPUTED_VALUE"""),2119.11)</f>
        <v>2119.11</v>
      </c>
    </row>
    <row r="181" ht="15.75" customHeight="1">
      <c r="B181" s="3">
        <f>IFERROR(__xludf.DUMMYFUNCTION("""COMPUTED_VALUE"""),43567.64583333333)</f>
        <v>43567.64583</v>
      </c>
      <c r="C181" s="2">
        <f>IFERROR(__xludf.DUMMYFUNCTION("""COMPUTED_VALUE"""),2143.0)</f>
        <v>2143</v>
      </c>
    </row>
    <row r="182" ht="15.75" customHeight="1">
      <c r="B182" s="3">
        <f>IFERROR(__xludf.DUMMYFUNCTION("""COMPUTED_VALUE"""),43573.64583333333)</f>
        <v>43573.64583</v>
      </c>
      <c r="C182" s="2">
        <f>IFERROR(__xludf.DUMMYFUNCTION("""COMPUTED_VALUE"""),2156.0)</f>
        <v>2156</v>
      </c>
    </row>
    <row r="183" ht="15.75" customHeight="1">
      <c r="B183" s="3">
        <f>IFERROR(__xludf.DUMMYFUNCTION("""COMPUTED_VALUE"""),43581.64583333333)</f>
        <v>43581.64583</v>
      </c>
      <c r="C183" s="2">
        <f>IFERROR(__xludf.DUMMYFUNCTION("""COMPUTED_VALUE"""),2099.48)</f>
        <v>2099.48</v>
      </c>
    </row>
    <row r="184" ht="15.75" customHeight="1">
      <c r="B184" s="3">
        <f>IFERROR(__xludf.DUMMYFUNCTION("""COMPUTED_VALUE"""),43588.64583333333)</f>
        <v>43588.64583</v>
      </c>
      <c r="C184" s="2">
        <f>IFERROR(__xludf.DUMMYFUNCTION("""COMPUTED_VALUE"""),2063.0)</f>
        <v>2063</v>
      </c>
    </row>
    <row r="185" ht="15.75" customHeight="1">
      <c r="B185" s="3">
        <f>IFERROR(__xludf.DUMMYFUNCTION("""COMPUTED_VALUE"""),43595.64583333333)</f>
        <v>43595.64583</v>
      </c>
      <c r="C185" s="2">
        <f>IFERROR(__xludf.DUMMYFUNCTION("""COMPUTED_VALUE"""),2057.99)</f>
        <v>2057.99</v>
      </c>
    </row>
    <row r="186" ht="15.75" customHeight="1">
      <c r="B186" s="3">
        <f>IFERROR(__xludf.DUMMYFUNCTION("""COMPUTED_VALUE"""),43602.64583333333)</f>
        <v>43602.64583</v>
      </c>
      <c r="C186" s="2">
        <f>IFERROR(__xludf.DUMMYFUNCTION("""COMPUTED_VALUE"""),2100.0)</f>
        <v>2100</v>
      </c>
    </row>
    <row r="187" ht="15.75" customHeight="1">
      <c r="B187" s="3">
        <f>IFERROR(__xludf.DUMMYFUNCTION("""COMPUTED_VALUE"""),43609.64583333333)</f>
        <v>43609.64583</v>
      </c>
      <c r="C187" s="2">
        <f>IFERROR(__xludf.DUMMYFUNCTION("""COMPUTED_VALUE"""),2164.9)</f>
        <v>2164.9</v>
      </c>
    </row>
    <row r="188" ht="15.75" customHeight="1">
      <c r="B188" s="3">
        <f>IFERROR(__xludf.DUMMYFUNCTION("""COMPUTED_VALUE"""),43616.64583333333)</f>
        <v>43616.64583</v>
      </c>
      <c r="C188" s="2">
        <f>IFERROR(__xludf.DUMMYFUNCTION("""COMPUTED_VALUE"""),2114.96)</f>
        <v>2114.96</v>
      </c>
    </row>
    <row r="189" ht="15.75" customHeight="1">
      <c r="B189" s="3">
        <f>IFERROR(__xludf.DUMMYFUNCTION("""COMPUTED_VALUE"""),43623.64583333333)</f>
        <v>43623.64583</v>
      </c>
      <c r="C189" s="2">
        <f>IFERROR(__xludf.DUMMYFUNCTION("""COMPUTED_VALUE"""),2036.0)</f>
        <v>2036</v>
      </c>
    </row>
    <row r="190" ht="15.75" customHeight="1">
      <c r="B190" s="3">
        <f>IFERROR(__xludf.DUMMYFUNCTION("""COMPUTED_VALUE"""),43630.64583333333)</f>
        <v>43630.64583</v>
      </c>
      <c r="C190" s="2">
        <f>IFERROR(__xludf.DUMMYFUNCTION("""COMPUTED_VALUE"""),2032.08)</f>
        <v>2032.08</v>
      </c>
    </row>
    <row r="191" ht="15.75" customHeight="1">
      <c r="B191" s="3">
        <f>IFERROR(__xludf.DUMMYFUNCTION("""COMPUTED_VALUE"""),43637.64583333333)</f>
        <v>43637.64583</v>
      </c>
      <c r="C191" s="2">
        <f>IFERROR(__xludf.DUMMYFUNCTION("""COMPUTED_VALUE"""),2009.9)</f>
        <v>2009.9</v>
      </c>
    </row>
    <row r="192" ht="15.75" customHeight="1">
      <c r="B192" s="3">
        <f>IFERROR(__xludf.DUMMYFUNCTION("""COMPUTED_VALUE"""),43644.64583333333)</f>
        <v>43644.64583</v>
      </c>
      <c r="C192" s="2">
        <f>IFERROR(__xludf.DUMMYFUNCTION("""COMPUTED_VALUE"""),1983.1)</f>
        <v>1983.1</v>
      </c>
    </row>
    <row r="193" ht="15.75" customHeight="1">
      <c r="B193" s="3">
        <f>IFERROR(__xludf.DUMMYFUNCTION("""COMPUTED_VALUE"""),43651.64583333333)</f>
        <v>43651.64583</v>
      </c>
      <c r="C193" s="2">
        <f>IFERROR(__xludf.DUMMYFUNCTION("""COMPUTED_VALUE"""),2028.88)</f>
        <v>2028.88</v>
      </c>
    </row>
    <row r="194" ht="15.75" customHeight="1">
      <c r="B194" s="3">
        <f>IFERROR(__xludf.DUMMYFUNCTION("""COMPUTED_VALUE"""),43658.64583333333)</f>
        <v>43658.64583</v>
      </c>
      <c r="C194" s="2">
        <f>IFERROR(__xludf.DUMMYFUNCTION("""COMPUTED_VALUE"""),1975.36)</f>
        <v>1975.36</v>
      </c>
    </row>
    <row r="195" ht="15.75" customHeight="1">
      <c r="B195" s="3">
        <f>IFERROR(__xludf.DUMMYFUNCTION("""COMPUTED_VALUE"""),43665.64583333333)</f>
        <v>43665.64583</v>
      </c>
      <c r="C195" s="2">
        <f>IFERROR(__xludf.DUMMYFUNCTION("""COMPUTED_VALUE"""),1919.8)</f>
        <v>1919.8</v>
      </c>
    </row>
    <row r="196" ht="15.75" customHeight="1">
      <c r="B196" s="3">
        <f>IFERROR(__xludf.DUMMYFUNCTION("""COMPUTED_VALUE"""),43672.64583333333)</f>
        <v>43672.64583</v>
      </c>
      <c r="C196" s="2">
        <f>IFERROR(__xludf.DUMMYFUNCTION("""COMPUTED_VALUE"""),1779.41)</f>
        <v>1779.41</v>
      </c>
    </row>
    <row r="197" ht="15.75" customHeight="1">
      <c r="B197" s="3">
        <f>IFERROR(__xludf.DUMMYFUNCTION("""COMPUTED_VALUE"""),43679.64583333333)</f>
        <v>43679.64583</v>
      </c>
      <c r="C197" s="2">
        <f>IFERROR(__xludf.DUMMYFUNCTION("""COMPUTED_VALUE"""),1711.19)</f>
        <v>1711.19</v>
      </c>
    </row>
    <row r="198" ht="15.75" customHeight="1">
      <c r="B198" s="3">
        <f>IFERROR(__xludf.DUMMYFUNCTION("""COMPUTED_VALUE"""),43686.64583333333)</f>
        <v>43686.64583</v>
      </c>
      <c r="C198" s="2">
        <f>IFERROR(__xludf.DUMMYFUNCTION("""COMPUTED_VALUE"""),1778.8)</f>
        <v>1778.8</v>
      </c>
    </row>
    <row r="199" ht="15.75" customHeight="1">
      <c r="B199" s="3">
        <f>IFERROR(__xludf.DUMMYFUNCTION("""COMPUTED_VALUE"""),43693.64583333333)</f>
        <v>43693.64583</v>
      </c>
      <c r="C199" s="2">
        <f>IFERROR(__xludf.DUMMYFUNCTION("""COMPUTED_VALUE"""),1764.99)</f>
        <v>1764.99</v>
      </c>
    </row>
    <row r="200" ht="15.75" customHeight="1">
      <c r="B200" s="3">
        <f>IFERROR(__xludf.DUMMYFUNCTION("""COMPUTED_VALUE"""),43700.64583333333)</f>
        <v>43700.64583</v>
      </c>
      <c r="C200" s="2">
        <f>IFERROR(__xludf.DUMMYFUNCTION("""COMPUTED_VALUE"""),1680.0)</f>
        <v>1680</v>
      </c>
    </row>
    <row r="201" ht="15.75" customHeight="1">
      <c r="B201" s="3">
        <f>IFERROR(__xludf.DUMMYFUNCTION("""COMPUTED_VALUE"""),43707.64583333333)</f>
        <v>43707.64583</v>
      </c>
      <c r="C201" s="2">
        <f>IFERROR(__xludf.DUMMYFUNCTION("""COMPUTED_VALUE"""),1670.0)</f>
        <v>1670</v>
      </c>
    </row>
    <row r="202" ht="15.75" customHeight="1">
      <c r="B202" s="3">
        <f>IFERROR(__xludf.DUMMYFUNCTION("""COMPUTED_VALUE"""),43714.64583333333)</f>
        <v>43714.64583</v>
      </c>
      <c r="C202" s="2">
        <f>IFERROR(__xludf.DUMMYFUNCTION("""COMPUTED_VALUE"""),1649.9)</f>
        <v>1649.9</v>
      </c>
    </row>
    <row r="203" ht="15.75" customHeight="1">
      <c r="B203" s="3">
        <f>IFERROR(__xludf.DUMMYFUNCTION("""COMPUTED_VALUE"""),43721.64583333333)</f>
        <v>43721.64583</v>
      </c>
      <c r="C203" s="2">
        <f>IFERROR(__xludf.DUMMYFUNCTION("""COMPUTED_VALUE"""),1718.82)</f>
        <v>1718.82</v>
      </c>
    </row>
    <row r="204" ht="15.75" customHeight="1">
      <c r="B204" s="3">
        <f>IFERROR(__xludf.DUMMYFUNCTION("""COMPUTED_VALUE"""),43728.64583333333)</f>
        <v>43728.64583</v>
      </c>
      <c r="C204" s="2">
        <f>IFERROR(__xludf.DUMMYFUNCTION("""COMPUTED_VALUE"""),1948.8)</f>
        <v>1948.8</v>
      </c>
    </row>
    <row r="205" ht="15.75" customHeight="1">
      <c r="B205" s="3">
        <f>IFERROR(__xludf.DUMMYFUNCTION("""COMPUTED_VALUE"""),43735.64583333333)</f>
        <v>43735.64583</v>
      </c>
      <c r="C205" s="2">
        <f>IFERROR(__xludf.DUMMYFUNCTION("""COMPUTED_VALUE"""),1956.5)</f>
        <v>1956.5</v>
      </c>
    </row>
    <row r="206" ht="15.75" customHeight="1">
      <c r="B206" s="3">
        <f>IFERROR(__xludf.DUMMYFUNCTION("""COMPUTED_VALUE"""),43742.64583333333)</f>
        <v>43742.64583</v>
      </c>
      <c r="C206" s="2">
        <f>IFERROR(__xludf.DUMMYFUNCTION("""COMPUTED_VALUE"""),1850.9)</f>
        <v>1850.9</v>
      </c>
    </row>
    <row r="207" ht="15.75" customHeight="1">
      <c r="B207" s="3">
        <f>IFERROR(__xludf.DUMMYFUNCTION("""COMPUTED_VALUE"""),43749.64583333333)</f>
        <v>43749.64583</v>
      </c>
      <c r="C207" s="2">
        <f>IFERROR(__xludf.DUMMYFUNCTION("""COMPUTED_VALUE"""),1834.9)</f>
        <v>1834.9</v>
      </c>
    </row>
    <row r="208" ht="15.75" customHeight="1">
      <c r="B208" s="3">
        <f>IFERROR(__xludf.DUMMYFUNCTION("""COMPUTED_VALUE"""),43756.64583333333)</f>
        <v>43756.64583</v>
      </c>
      <c r="C208" s="2">
        <f>IFERROR(__xludf.DUMMYFUNCTION("""COMPUTED_VALUE"""),2078.9)</f>
        <v>2078.9</v>
      </c>
    </row>
    <row r="209" ht="15.75" customHeight="1">
      <c r="B209" s="3">
        <f>IFERROR(__xludf.DUMMYFUNCTION("""COMPUTED_VALUE"""),43763.79166666667)</f>
        <v>43763.79167</v>
      </c>
      <c r="C209" s="2">
        <f>IFERROR(__xludf.DUMMYFUNCTION("""COMPUTED_VALUE"""),2141.5)</f>
        <v>2141.5</v>
      </c>
    </row>
    <row r="210" ht="15.75" customHeight="1">
      <c r="B210" s="3">
        <f>IFERROR(__xludf.DUMMYFUNCTION("""COMPUTED_VALUE"""),43770.64583333333)</f>
        <v>43770.64583</v>
      </c>
      <c r="C210" s="2">
        <f>IFERROR(__xludf.DUMMYFUNCTION("""COMPUTED_VALUE"""),2288.8)</f>
        <v>2288.8</v>
      </c>
    </row>
    <row r="211" ht="15.75" customHeight="1">
      <c r="B211" s="3">
        <f>IFERROR(__xludf.DUMMYFUNCTION("""COMPUTED_VALUE"""),43777.64583333333)</f>
        <v>43777.64583</v>
      </c>
      <c r="C211" s="2">
        <f>IFERROR(__xludf.DUMMYFUNCTION("""COMPUTED_VALUE"""),2228.0)</f>
        <v>2228</v>
      </c>
    </row>
    <row r="212" ht="15.75" customHeight="1">
      <c r="B212" s="3">
        <f>IFERROR(__xludf.DUMMYFUNCTION("""COMPUTED_VALUE"""),43784.64583333333)</f>
        <v>43784.64583</v>
      </c>
      <c r="C212" s="2">
        <f>IFERROR(__xludf.DUMMYFUNCTION("""COMPUTED_VALUE"""),2190.0)</f>
        <v>2190</v>
      </c>
    </row>
    <row r="213" ht="15.75" customHeight="1">
      <c r="B213" s="3">
        <f>IFERROR(__xludf.DUMMYFUNCTION("""COMPUTED_VALUE"""),43791.64583333333)</f>
        <v>43791.64583</v>
      </c>
      <c r="C213" s="2">
        <f>IFERROR(__xludf.DUMMYFUNCTION("""COMPUTED_VALUE"""),2296.5)</f>
        <v>2296.5</v>
      </c>
    </row>
    <row r="214" ht="15.75" customHeight="1">
      <c r="B214" s="3">
        <f>IFERROR(__xludf.DUMMYFUNCTION("""COMPUTED_VALUE"""),43798.64583333333)</f>
        <v>43798.64583</v>
      </c>
      <c r="C214" s="2">
        <f>IFERROR(__xludf.DUMMYFUNCTION("""COMPUTED_VALUE"""),2345.0)</f>
        <v>2345</v>
      </c>
    </row>
    <row r="215" ht="15.75" customHeight="1">
      <c r="B215" s="3">
        <f>IFERROR(__xludf.DUMMYFUNCTION("""COMPUTED_VALUE"""),43805.64583333333)</f>
        <v>43805.64583</v>
      </c>
      <c r="C215" s="2">
        <f>IFERROR(__xludf.DUMMYFUNCTION("""COMPUTED_VALUE"""),2275.0)</f>
        <v>2275</v>
      </c>
    </row>
    <row r="216" ht="15.75" customHeight="1">
      <c r="B216" s="3">
        <f>IFERROR(__xludf.DUMMYFUNCTION("""COMPUTED_VALUE"""),43812.64583333333)</f>
        <v>43812.64583</v>
      </c>
      <c r="C216" s="2">
        <f>IFERROR(__xludf.DUMMYFUNCTION("""COMPUTED_VALUE"""),2245.9)</f>
        <v>2245.9</v>
      </c>
    </row>
    <row r="217" ht="15.75" customHeight="1">
      <c r="B217" s="3">
        <f>IFERROR(__xludf.DUMMYFUNCTION("""COMPUTED_VALUE"""),43819.64583333333)</f>
        <v>43819.64583</v>
      </c>
      <c r="C217" s="2">
        <f>IFERROR(__xludf.DUMMYFUNCTION("""COMPUTED_VALUE"""),2259.9)</f>
        <v>2259.9</v>
      </c>
    </row>
    <row r="218" ht="15.75" customHeight="1">
      <c r="B218" s="3">
        <f>IFERROR(__xludf.DUMMYFUNCTION("""COMPUTED_VALUE"""),43826.64583333333)</f>
        <v>43826.64583</v>
      </c>
      <c r="C218" s="2">
        <f>IFERROR(__xludf.DUMMYFUNCTION("""COMPUTED_VALUE"""),2244.0)</f>
        <v>2244</v>
      </c>
    </row>
    <row r="219" ht="15.75" customHeight="1"/>
    <row r="220" ht="15.75" customHeight="1"/>
    <row r="221" ht="15.75" customHeight="1">
      <c r="B221" s="2" t="str">
        <f>IFERROR(__xludf.DUMMYFUNCTION("GOOGLEFINANCE(""NSE:EICHERMOT"", ""high"",DATE(2020,1,1),DATE(2021,1,1),""weekly"")"),"Date")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IFERROR(__xludf.DUMMYFUNCTION("""COMPUTED_VALUE"""),43833.64583333333)</f>
        <v>43833.64583</v>
      </c>
      <c r="C222" s="2">
        <f>IFERROR(__xludf.DUMMYFUNCTION("""COMPUTED_VALUE"""),2287.66)</f>
        <v>2287.66</v>
      </c>
    </row>
    <row r="223" ht="15.75" customHeight="1">
      <c r="B223" s="3">
        <f>IFERROR(__xludf.DUMMYFUNCTION("""COMPUTED_VALUE"""),43840.64583333333)</f>
        <v>43840.64583</v>
      </c>
      <c r="C223" s="2">
        <f>IFERROR(__xludf.DUMMYFUNCTION("""COMPUTED_VALUE"""),2134.98)</f>
        <v>2134.98</v>
      </c>
    </row>
    <row r="224" ht="15.75" customHeight="1">
      <c r="B224" s="3">
        <f>IFERROR(__xludf.DUMMYFUNCTION("""COMPUTED_VALUE"""),43847.64583333333)</f>
        <v>43847.64583</v>
      </c>
      <c r="C224" s="2">
        <f>IFERROR(__xludf.DUMMYFUNCTION("""COMPUTED_VALUE"""),2177.0)</f>
        <v>2177</v>
      </c>
    </row>
    <row r="225" ht="15.75" customHeight="1">
      <c r="B225" s="3">
        <f>IFERROR(__xludf.DUMMYFUNCTION("""COMPUTED_VALUE"""),43854.64583333333)</f>
        <v>43854.64583</v>
      </c>
      <c r="C225" s="2">
        <f>IFERROR(__xludf.DUMMYFUNCTION("""COMPUTED_VALUE"""),2154.99)</f>
        <v>2154.99</v>
      </c>
    </row>
    <row r="226" ht="15.75" customHeight="1">
      <c r="B226" s="3">
        <f>IFERROR(__xludf.DUMMYFUNCTION("""COMPUTED_VALUE"""),43862.70833333333)</f>
        <v>43862.70833</v>
      </c>
      <c r="C226" s="2">
        <f>IFERROR(__xludf.DUMMYFUNCTION("""COMPUTED_VALUE"""),2123.6)</f>
        <v>2123.6</v>
      </c>
    </row>
    <row r="227" ht="15.75" customHeight="1">
      <c r="B227" s="3">
        <f>IFERROR(__xludf.DUMMYFUNCTION("""COMPUTED_VALUE"""),43868.64583333333)</f>
        <v>43868.64583</v>
      </c>
      <c r="C227" s="2">
        <f>IFERROR(__xludf.DUMMYFUNCTION("""COMPUTED_VALUE"""),2064.16)</f>
        <v>2064.16</v>
      </c>
    </row>
    <row r="228" ht="15.75" customHeight="1">
      <c r="B228" s="3">
        <f>IFERROR(__xludf.DUMMYFUNCTION("""COMPUTED_VALUE"""),43875.64583333333)</f>
        <v>43875.64583</v>
      </c>
      <c r="C228" s="2">
        <f>IFERROR(__xludf.DUMMYFUNCTION("""COMPUTED_VALUE"""),1985.5)</f>
        <v>1985.5</v>
      </c>
    </row>
    <row r="229" ht="15.75" customHeight="1">
      <c r="B229" s="3">
        <f>IFERROR(__xludf.DUMMYFUNCTION("""COMPUTED_VALUE"""),43881.64583333333)</f>
        <v>43881.64583</v>
      </c>
      <c r="C229" s="2">
        <f>IFERROR(__xludf.DUMMYFUNCTION("""COMPUTED_VALUE"""),1903.9)</f>
        <v>1903.9</v>
      </c>
    </row>
    <row r="230" ht="15.75" customHeight="1">
      <c r="B230" s="3">
        <f>IFERROR(__xludf.DUMMYFUNCTION("""COMPUTED_VALUE"""),43889.64583333333)</f>
        <v>43889.64583</v>
      </c>
      <c r="C230" s="2">
        <f>IFERROR(__xludf.DUMMYFUNCTION("""COMPUTED_VALUE"""),1870.0)</f>
        <v>1870</v>
      </c>
    </row>
    <row r="231" ht="15.75" customHeight="1">
      <c r="B231" s="3">
        <f>IFERROR(__xludf.DUMMYFUNCTION("""COMPUTED_VALUE"""),43896.64583333333)</f>
        <v>43896.64583</v>
      </c>
      <c r="C231" s="2">
        <f>IFERROR(__xludf.DUMMYFUNCTION("""COMPUTED_VALUE"""),1828.0)</f>
        <v>1828</v>
      </c>
    </row>
    <row r="232" ht="15.75" customHeight="1">
      <c r="B232" s="3">
        <f>IFERROR(__xludf.DUMMYFUNCTION("""COMPUTED_VALUE"""),43903.64583333333)</f>
        <v>43903.64583</v>
      </c>
      <c r="C232" s="2">
        <f>IFERROR(__xludf.DUMMYFUNCTION("""COMPUTED_VALUE"""),1852.87)</f>
        <v>1852.87</v>
      </c>
    </row>
    <row r="233" ht="15.75" customHeight="1">
      <c r="B233" s="3">
        <f>IFERROR(__xludf.DUMMYFUNCTION("""COMPUTED_VALUE"""),43910.64583333333)</f>
        <v>43910.64583</v>
      </c>
      <c r="C233" s="2">
        <f>IFERROR(__xludf.DUMMYFUNCTION("""COMPUTED_VALUE"""),1746.0)</f>
        <v>1746</v>
      </c>
    </row>
    <row r="234" ht="15.75" customHeight="1">
      <c r="B234" s="3">
        <f>IFERROR(__xludf.DUMMYFUNCTION("""COMPUTED_VALUE"""),43917.64583333333)</f>
        <v>43917.64583</v>
      </c>
      <c r="C234" s="2">
        <f>IFERROR(__xludf.DUMMYFUNCTION("""COMPUTED_VALUE"""),1724.0)</f>
        <v>1724</v>
      </c>
    </row>
    <row r="235" ht="15.75" customHeight="1">
      <c r="B235" s="3">
        <f>IFERROR(__xludf.DUMMYFUNCTION("""COMPUTED_VALUE"""),43924.64583333333)</f>
        <v>43924.64583</v>
      </c>
      <c r="C235" s="2">
        <f>IFERROR(__xludf.DUMMYFUNCTION("""COMPUTED_VALUE"""),1409.8)</f>
        <v>1409.8</v>
      </c>
    </row>
    <row r="236" ht="15.75" customHeight="1">
      <c r="B236" s="3">
        <f>IFERROR(__xludf.DUMMYFUNCTION("""COMPUTED_VALUE"""),43930.64583333333)</f>
        <v>43930.64583</v>
      </c>
      <c r="C236" s="2">
        <f>IFERROR(__xludf.DUMMYFUNCTION("""COMPUTED_VALUE"""),1404.62)</f>
        <v>1404.62</v>
      </c>
    </row>
    <row r="237" ht="15.75" customHeight="1">
      <c r="B237" s="3">
        <f>IFERROR(__xludf.DUMMYFUNCTION("""COMPUTED_VALUE"""),43938.64583333333)</f>
        <v>43938.64583</v>
      </c>
      <c r="C237" s="2">
        <f>IFERROR(__xludf.DUMMYFUNCTION("""COMPUTED_VALUE"""),1497.8)</f>
        <v>1497.8</v>
      </c>
    </row>
    <row r="238" ht="15.75" customHeight="1">
      <c r="B238" s="3">
        <f>IFERROR(__xludf.DUMMYFUNCTION("""COMPUTED_VALUE"""),43945.64583333333)</f>
        <v>43945.64583</v>
      </c>
      <c r="C238" s="2">
        <f>IFERROR(__xludf.DUMMYFUNCTION("""COMPUTED_VALUE"""),1480.04)</f>
        <v>1480.04</v>
      </c>
    </row>
    <row r="239" ht="15.75" customHeight="1">
      <c r="B239" s="3">
        <f>IFERROR(__xludf.DUMMYFUNCTION("""COMPUTED_VALUE"""),43951.64583333333)</f>
        <v>43951.64583</v>
      </c>
      <c r="C239" s="2">
        <f>IFERROR(__xludf.DUMMYFUNCTION("""COMPUTED_VALUE"""),1490.0)</f>
        <v>1490</v>
      </c>
    </row>
    <row r="240" ht="15.75" customHeight="1">
      <c r="B240" s="3">
        <f>IFERROR(__xludf.DUMMYFUNCTION("""COMPUTED_VALUE"""),43959.64583333333)</f>
        <v>43959.64583</v>
      </c>
      <c r="C240" s="2">
        <f>IFERROR(__xludf.DUMMYFUNCTION("""COMPUTED_VALUE"""),1439.0)</f>
        <v>1439</v>
      </c>
    </row>
    <row r="241" ht="15.75" customHeight="1">
      <c r="B241" s="3">
        <f>IFERROR(__xludf.DUMMYFUNCTION("""COMPUTED_VALUE"""),43966.64583333333)</f>
        <v>43966.64583</v>
      </c>
      <c r="C241" s="2">
        <f>IFERROR(__xludf.DUMMYFUNCTION("""COMPUTED_VALUE"""),1497.0)</f>
        <v>1497</v>
      </c>
    </row>
    <row r="242" ht="15.75" customHeight="1">
      <c r="B242" s="3">
        <f>IFERROR(__xludf.DUMMYFUNCTION("""COMPUTED_VALUE"""),43973.64583333333)</f>
        <v>43973.64583</v>
      </c>
      <c r="C242" s="2">
        <f>IFERROR(__xludf.DUMMYFUNCTION("""COMPUTED_VALUE"""),1419.9)</f>
        <v>1419.9</v>
      </c>
    </row>
    <row r="243" ht="15.75" customHeight="1">
      <c r="B243" s="3">
        <f>IFERROR(__xludf.DUMMYFUNCTION("""COMPUTED_VALUE"""),43980.64583333333)</f>
        <v>43980.64583</v>
      </c>
      <c r="C243" s="2">
        <f>IFERROR(__xludf.DUMMYFUNCTION("""COMPUTED_VALUE"""),1699.7)</f>
        <v>1699.7</v>
      </c>
    </row>
    <row r="244" ht="15.75" customHeight="1">
      <c r="B244" s="3">
        <f>IFERROR(__xludf.DUMMYFUNCTION("""COMPUTED_VALUE"""),43987.64583333333)</f>
        <v>43987.64583</v>
      </c>
      <c r="C244" s="2">
        <f>IFERROR(__xludf.DUMMYFUNCTION("""COMPUTED_VALUE"""),1790.0)</f>
        <v>1790</v>
      </c>
    </row>
    <row r="245" ht="15.75" customHeight="1">
      <c r="B245" s="3">
        <f>IFERROR(__xludf.DUMMYFUNCTION("""COMPUTED_VALUE"""),43994.64583333333)</f>
        <v>43994.64583</v>
      </c>
      <c r="C245" s="2">
        <f>IFERROR(__xludf.DUMMYFUNCTION("""COMPUTED_VALUE"""),1786.55)</f>
        <v>1786.55</v>
      </c>
    </row>
    <row r="246" ht="15.75" customHeight="1">
      <c r="B246" s="3">
        <f>IFERROR(__xludf.DUMMYFUNCTION("""COMPUTED_VALUE"""),44001.64583333333)</f>
        <v>44001.64583</v>
      </c>
      <c r="C246" s="2">
        <f>IFERROR(__xludf.DUMMYFUNCTION("""COMPUTED_VALUE"""),1755.0)</f>
        <v>1755</v>
      </c>
    </row>
    <row r="247" ht="15.75" customHeight="1">
      <c r="B247" s="3">
        <f>IFERROR(__xludf.DUMMYFUNCTION("""COMPUTED_VALUE"""),44008.64583333333)</f>
        <v>44008.64583</v>
      </c>
      <c r="C247" s="2">
        <f>IFERROR(__xludf.DUMMYFUNCTION("""COMPUTED_VALUE"""),1855.11)</f>
        <v>1855.11</v>
      </c>
    </row>
    <row r="248" ht="15.75" customHeight="1">
      <c r="B248" s="3">
        <f>IFERROR(__xludf.DUMMYFUNCTION("""COMPUTED_VALUE"""),44015.64583333333)</f>
        <v>44015.64583</v>
      </c>
      <c r="C248" s="2">
        <f>IFERROR(__xludf.DUMMYFUNCTION("""COMPUTED_VALUE"""),1924.9)</f>
        <v>1924.9</v>
      </c>
    </row>
    <row r="249" ht="15.75" customHeight="1">
      <c r="B249" s="3">
        <f>IFERROR(__xludf.DUMMYFUNCTION("""COMPUTED_VALUE"""),44022.64583333333)</f>
        <v>44022.64583</v>
      </c>
      <c r="C249" s="2">
        <f>IFERROR(__xludf.DUMMYFUNCTION("""COMPUTED_VALUE"""),2010.0)</f>
        <v>2010</v>
      </c>
    </row>
    <row r="250" ht="15.75" customHeight="1">
      <c r="B250" s="3">
        <f>IFERROR(__xludf.DUMMYFUNCTION("""COMPUTED_VALUE"""),44029.64583333333)</f>
        <v>44029.64583</v>
      </c>
      <c r="C250" s="2">
        <f>IFERROR(__xludf.DUMMYFUNCTION("""COMPUTED_VALUE"""),1972.9)</f>
        <v>1972.9</v>
      </c>
    </row>
    <row r="251" ht="15.75" customHeight="1">
      <c r="B251" s="3">
        <f>IFERROR(__xludf.DUMMYFUNCTION("""COMPUTED_VALUE"""),44036.64583333333)</f>
        <v>44036.64583</v>
      </c>
      <c r="C251" s="2">
        <f>IFERROR(__xludf.DUMMYFUNCTION("""COMPUTED_VALUE"""),2104.54)</f>
        <v>2104.54</v>
      </c>
    </row>
    <row r="252" ht="15.75" customHeight="1">
      <c r="B252" s="3">
        <f>IFERROR(__xludf.DUMMYFUNCTION("""COMPUTED_VALUE"""),44043.64583333333)</f>
        <v>44043.64583</v>
      </c>
      <c r="C252" s="2">
        <f>IFERROR(__xludf.DUMMYFUNCTION("""COMPUTED_VALUE"""),2172.5)</f>
        <v>2172.5</v>
      </c>
    </row>
    <row r="253" ht="15.75" customHeight="1">
      <c r="B253" s="3">
        <f>IFERROR(__xludf.DUMMYFUNCTION("""COMPUTED_VALUE"""),44050.64583333333)</f>
        <v>44050.64583</v>
      </c>
      <c r="C253" s="2">
        <f>IFERROR(__xludf.DUMMYFUNCTION("""COMPUTED_VALUE"""),2226.83)</f>
        <v>2226.83</v>
      </c>
    </row>
    <row r="254" ht="15.75" customHeight="1">
      <c r="B254" s="3">
        <f>IFERROR(__xludf.DUMMYFUNCTION("""COMPUTED_VALUE"""),44057.64583333333)</f>
        <v>44057.64583</v>
      </c>
      <c r="C254" s="2">
        <f>IFERROR(__xludf.DUMMYFUNCTION("""COMPUTED_VALUE"""),2234.0)</f>
        <v>2234</v>
      </c>
    </row>
    <row r="255" ht="15.75" customHeight="1">
      <c r="B255" s="3">
        <f>IFERROR(__xludf.DUMMYFUNCTION("""COMPUTED_VALUE"""),44064.64583333333)</f>
        <v>44064.64583</v>
      </c>
      <c r="C255" s="2">
        <f>IFERROR(__xludf.DUMMYFUNCTION("""COMPUTED_VALUE"""),2184.4)</f>
        <v>2184.4</v>
      </c>
    </row>
    <row r="256" ht="15.75" customHeight="1">
      <c r="B256" s="3">
        <f>IFERROR(__xludf.DUMMYFUNCTION("""COMPUTED_VALUE"""),44071.64583333333)</f>
        <v>44071.64583</v>
      </c>
      <c r="C256" s="2">
        <f>IFERROR(__xludf.DUMMYFUNCTION("""COMPUTED_VALUE"""),2387.25)</f>
        <v>2387.25</v>
      </c>
    </row>
    <row r="257" ht="15.75" customHeight="1">
      <c r="B257" s="3">
        <f>IFERROR(__xludf.DUMMYFUNCTION("""COMPUTED_VALUE"""),44078.64583333333)</f>
        <v>44078.64583</v>
      </c>
      <c r="C257" s="2">
        <f>IFERROR(__xludf.DUMMYFUNCTION("""COMPUTED_VALUE"""),2260.0)</f>
        <v>2260</v>
      </c>
    </row>
    <row r="258" ht="15.75" customHeight="1">
      <c r="B258" s="3">
        <f>IFERROR(__xludf.DUMMYFUNCTION("""COMPUTED_VALUE"""),44085.64583333333)</f>
        <v>44085.64583</v>
      </c>
      <c r="C258" s="2">
        <f>IFERROR(__xludf.DUMMYFUNCTION("""COMPUTED_VALUE"""),2217.0)</f>
        <v>2217</v>
      </c>
    </row>
    <row r="259" ht="15.75" customHeight="1">
      <c r="B259" s="3">
        <f>IFERROR(__xludf.DUMMYFUNCTION("""COMPUTED_VALUE"""),44092.64583333333)</f>
        <v>44092.64583</v>
      </c>
      <c r="C259" s="2">
        <f>IFERROR(__xludf.DUMMYFUNCTION("""COMPUTED_VALUE"""),2203.8)</f>
        <v>2203.8</v>
      </c>
    </row>
    <row r="260" ht="15.75" customHeight="1">
      <c r="B260" s="3">
        <f>IFERROR(__xludf.DUMMYFUNCTION("""COMPUTED_VALUE"""),44099.64583333333)</f>
        <v>44099.64583</v>
      </c>
      <c r="C260" s="2">
        <f>IFERROR(__xludf.DUMMYFUNCTION("""COMPUTED_VALUE"""),2160.9)</f>
        <v>2160.9</v>
      </c>
    </row>
    <row r="261" ht="15.75" customHeight="1">
      <c r="B261" s="3">
        <f>IFERROR(__xludf.DUMMYFUNCTION("""COMPUTED_VALUE"""),44105.64583333333)</f>
        <v>44105.64583</v>
      </c>
      <c r="C261" s="2">
        <f>IFERROR(__xludf.DUMMYFUNCTION("""COMPUTED_VALUE"""),2230.0)</f>
        <v>2230</v>
      </c>
    </row>
    <row r="262" ht="15.75" customHeight="1">
      <c r="B262" s="3">
        <f>IFERROR(__xludf.DUMMYFUNCTION("""COMPUTED_VALUE"""),44113.64583333333)</f>
        <v>44113.64583</v>
      </c>
      <c r="C262" s="2">
        <f>IFERROR(__xludf.DUMMYFUNCTION("""COMPUTED_VALUE"""),2256.8)</f>
        <v>2256.8</v>
      </c>
    </row>
    <row r="263" ht="15.75" customHeight="1">
      <c r="B263" s="3">
        <f>IFERROR(__xludf.DUMMYFUNCTION("""COMPUTED_VALUE"""),44120.64583333333)</f>
        <v>44120.64583</v>
      </c>
      <c r="C263" s="2">
        <f>IFERROR(__xludf.DUMMYFUNCTION("""COMPUTED_VALUE"""),2303.0)</f>
        <v>2303</v>
      </c>
    </row>
    <row r="264" ht="15.75" customHeight="1">
      <c r="B264" s="3">
        <f>IFERROR(__xludf.DUMMYFUNCTION("""COMPUTED_VALUE"""),44127.64583333333)</f>
        <v>44127.64583</v>
      </c>
      <c r="C264" s="2">
        <f>IFERROR(__xludf.DUMMYFUNCTION("""COMPUTED_VALUE"""),2280.0)</f>
        <v>2280</v>
      </c>
    </row>
    <row r="265" ht="15.75" customHeight="1">
      <c r="B265" s="3">
        <f>IFERROR(__xludf.DUMMYFUNCTION("""COMPUTED_VALUE"""),44134.64583333333)</f>
        <v>44134.64583</v>
      </c>
      <c r="C265" s="2">
        <f>IFERROR(__xludf.DUMMYFUNCTION("""COMPUTED_VALUE"""),2214.65)</f>
        <v>2214.65</v>
      </c>
    </row>
    <row r="266" ht="15.75" customHeight="1">
      <c r="B266" s="3">
        <f>IFERROR(__xludf.DUMMYFUNCTION("""COMPUTED_VALUE"""),44141.64583333333)</f>
        <v>44141.64583</v>
      </c>
      <c r="C266" s="2">
        <f>IFERROR(__xludf.DUMMYFUNCTION("""COMPUTED_VALUE"""),2153.95)</f>
        <v>2153.95</v>
      </c>
    </row>
    <row r="267" ht="15.75" customHeight="1">
      <c r="B267" s="3">
        <f>IFERROR(__xludf.DUMMYFUNCTION("""COMPUTED_VALUE"""),44155.64583333333)</f>
        <v>44155.64583</v>
      </c>
      <c r="C267" s="2">
        <f>IFERROR(__xludf.DUMMYFUNCTION("""COMPUTED_VALUE"""),2658.0)</f>
        <v>2658</v>
      </c>
    </row>
    <row r="268" ht="15.75" customHeight="1">
      <c r="B268" s="3">
        <f>IFERROR(__xludf.DUMMYFUNCTION("""COMPUTED_VALUE"""),44162.64583333333)</f>
        <v>44162.64583</v>
      </c>
      <c r="C268" s="2">
        <f>IFERROR(__xludf.DUMMYFUNCTION("""COMPUTED_VALUE"""),2727.0)</f>
        <v>2727</v>
      </c>
    </row>
    <row r="269" ht="15.75" customHeight="1">
      <c r="B269" s="3">
        <f>IFERROR(__xludf.DUMMYFUNCTION("""COMPUTED_VALUE"""),44169.64583333333)</f>
        <v>44169.64583</v>
      </c>
      <c r="C269" s="2">
        <f>IFERROR(__xludf.DUMMYFUNCTION("""COMPUTED_VALUE"""),2597.7)</f>
        <v>2597.7</v>
      </c>
    </row>
    <row r="270" ht="15.75" customHeight="1">
      <c r="B270" s="3">
        <f>IFERROR(__xludf.DUMMYFUNCTION("""COMPUTED_VALUE"""),44176.64583333333)</f>
        <v>44176.64583</v>
      </c>
      <c r="C270" s="2">
        <f>IFERROR(__xludf.DUMMYFUNCTION("""COMPUTED_VALUE"""),2609.0)</f>
        <v>2609</v>
      </c>
    </row>
    <row r="271" ht="15.75" customHeight="1">
      <c r="B271" s="3">
        <f>IFERROR(__xludf.DUMMYFUNCTION("""COMPUTED_VALUE"""),44183.64583333333)</f>
        <v>44183.64583</v>
      </c>
      <c r="C271" s="2">
        <f>IFERROR(__xludf.DUMMYFUNCTION("""COMPUTED_VALUE"""),2506.45)</f>
        <v>2506.45</v>
      </c>
    </row>
    <row r="272" ht="15.75" customHeight="1">
      <c r="B272" s="3">
        <f>IFERROR(__xludf.DUMMYFUNCTION("""COMPUTED_VALUE"""),44189.64583333333)</f>
        <v>44189.64583</v>
      </c>
      <c r="C272" s="2">
        <f>IFERROR(__xludf.DUMMYFUNCTION("""COMPUTED_VALUE"""),2497.35)</f>
        <v>2497.35</v>
      </c>
    </row>
    <row r="273" ht="15.75" customHeight="1">
      <c r="B273" s="3">
        <f>IFERROR(__xludf.DUMMYFUNCTION("""COMPUTED_VALUE"""),44197.64583333333)</f>
        <v>44197.64583</v>
      </c>
      <c r="C273" s="2">
        <f>IFERROR(__xludf.DUMMYFUNCTION("""COMPUTED_VALUE"""),2555.0)</f>
        <v>2555</v>
      </c>
    </row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IFERROR(__xludf.DUMMYFUNCTION("GOOGLEFINANCE(""NSE:TATAMTRDVR"", ""high"",DATE(2016,1,1),DATE(2017,1,1),""weekly"")"),"Date")</f>
        <v>Date</v>
      </c>
      <c r="C1" s="2" t="str">
        <f>IFERROR(__xludf.DUMMYFUNCTION("""COMPUTED_VALUE"""),"High")</f>
        <v>High</v>
      </c>
    </row>
    <row r="2">
      <c r="A2" s="2" t="s">
        <v>15</v>
      </c>
      <c r="B2" s="3">
        <f>IFERROR(__xludf.DUMMYFUNCTION("""COMPUTED_VALUE"""),42377.64583333333)</f>
        <v>42377.64583</v>
      </c>
      <c r="C2" s="2">
        <f>IFERROR(__xludf.DUMMYFUNCTION("""COMPUTED_VALUE"""),294.8)</f>
        <v>294.8</v>
      </c>
    </row>
    <row r="3">
      <c r="B3" s="3">
        <f>IFERROR(__xludf.DUMMYFUNCTION("""COMPUTED_VALUE"""),42384.64583333333)</f>
        <v>42384.64583</v>
      </c>
      <c r="C3" s="2">
        <f>IFERROR(__xludf.DUMMYFUNCTION("""COMPUTED_VALUE"""),278.9)</f>
        <v>278.9</v>
      </c>
    </row>
    <row r="4">
      <c r="B4" s="3">
        <f>IFERROR(__xludf.DUMMYFUNCTION("""COMPUTED_VALUE"""),42391.64583333333)</f>
        <v>42391.64583</v>
      </c>
      <c r="C4" s="2">
        <f>IFERROR(__xludf.DUMMYFUNCTION("""COMPUTED_VALUE"""),268.9)</f>
        <v>268.9</v>
      </c>
    </row>
    <row r="5">
      <c r="B5" s="3">
        <f>IFERROR(__xludf.DUMMYFUNCTION("""COMPUTED_VALUE"""),42398.64583333333)</f>
        <v>42398.64583</v>
      </c>
      <c r="C5" s="2">
        <f>IFERROR(__xludf.DUMMYFUNCTION("""COMPUTED_VALUE"""),276.3)</f>
        <v>276.3</v>
      </c>
    </row>
    <row r="6">
      <c r="B6" s="3">
        <f>IFERROR(__xludf.DUMMYFUNCTION("""COMPUTED_VALUE"""),42405.64583333333)</f>
        <v>42405.64583</v>
      </c>
      <c r="C6" s="2">
        <f>IFERROR(__xludf.DUMMYFUNCTION("""COMPUTED_VALUE"""),266.95)</f>
        <v>266.95</v>
      </c>
    </row>
    <row r="7">
      <c r="B7" s="3">
        <f>IFERROR(__xludf.DUMMYFUNCTION("""COMPUTED_VALUE"""),42419.64583333333)</f>
        <v>42419.64583</v>
      </c>
      <c r="C7" s="2">
        <f>IFERROR(__xludf.DUMMYFUNCTION("""COMPUTED_VALUE"""),245.95)</f>
        <v>245.95</v>
      </c>
    </row>
    <row r="8">
      <c r="B8" s="3">
        <f>IFERROR(__xludf.DUMMYFUNCTION("""COMPUTED_VALUE"""),42426.64583333333)</f>
        <v>42426.64583</v>
      </c>
      <c r="C8" s="2">
        <f>IFERROR(__xludf.DUMMYFUNCTION("""COMPUTED_VALUE"""),259.7)</f>
        <v>259.7</v>
      </c>
    </row>
    <row r="9">
      <c r="B9" s="3">
        <f>IFERROR(__xludf.DUMMYFUNCTION("""COMPUTED_VALUE"""),42433.64583333333)</f>
        <v>42433.64583</v>
      </c>
      <c r="C9" s="2">
        <f>IFERROR(__xludf.DUMMYFUNCTION("""COMPUTED_VALUE"""),250.85)</f>
        <v>250.85</v>
      </c>
    </row>
    <row r="10">
      <c r="B10" s="3">
        <f>IFERROR(__xludf.DUMMYFUNCTION("""COMPUTED_VALUE"""),42440.64583333333)</f>
        <v>42440.64583</v>
      </c>
      <c r="C10" s="2">
        <f>IFERROR(__xludf.DUMMYFUNCTION("""COMPUTED_VALUE"""),256.5)</f>
        <v>256.5</v>
      </c>
    </row>
    <row r="11">
      <c r="B11" s="3">
        <f>IFERROR(__xludf.DUMMYFUNCTION("""COMPUTED_VALUE"""),42447.64583333333)</f>
        <v>42447.64583</v>
      </c>
      <c r="C11" s="2">
        <f>IFERROR(__xludf.DUMMYFUNCTION("""COMPUTED_VALUE"""),267.8)</f>
        <v>267.8</v>
      </c>
    </row>
    <row r="12">
      <c r="B12" s="3">
        <f>IFERROR(__xludf.DUMMYFUNCTION("""COMPUTED_VALUE"""),42452.64583333333)</f>
        <v>42452.64583</v>
      </c>
      <c r="C12" s="2">
        <f>IFERROR(__xludf.DUMMYFUNCTION("""COMPUTED_VALUE"""),283.0)</f>
        <v>283</v>
      </c>
    </row>
    <row r="13">
      <c r="B13" s="3">
        <f>IFERROR(__xludf.DUMMYFUNCTION("""COMPUTED_VALUE"""),42461.64583333333)</f>
        <v>42461.64583</v>
      </c>
      <c r="C13" s="2">
        <f>IFERROR(__xludf.DUMMYFUNCTION("""COMPUTED_VALUE"""),304.0)</f>
        <v>304</v>
      </c>
    </row>
    <row r="14">
      <c r="B14" s="3">
        <f>IFERROR(__xludf.DUMMYFUNCTION("""COMPUTED_VALUE"""),42468.64583333333)</f>
        <v>42468.64583</v>
      </c>
      <c r="C14" s="2">
        <f>IFERROR(__xludf.DUMMYFUNCTION("""COMPUTED_VALUE"""),289.45)</f>
        <v>289.45</v>
      </c>
    </row>
    <row r="15">
      <c r="B15" s="3">
        <f>IFERROR(__xludf.DUMMYFUNCTION("""COMPUTED_VALUE"""),42473.64583333333)</f>
        <v>42473.64583</v>
      </c>
      <c r="C15" s="2">
        <f>IFERROR(__xludf.DUMMYFUNCTION("""COMPUTED_VALUE"""),300.7)</f>
        <v>300.7</v>
      </c>
    </row>
    <row r="16">
      <c r="B16" s="3">
        <f>IFERROR(__xludf.DUMMYFUNCTION("""COMPUTED_VALUE"""),42482.64583333333)</f>
        <v>42482.64583</v>
      </c>
      <c r="C16" s="2">
        <f>IFERROR(__xludf.DUMMYFUNCTION("""COMPUTED_VALUE"""),307.7)</f>
        <v>307.7</v>
      </c>
    </row>
    <row r="17">
      <c r="B17" s="3">
        <f>IFERROR(__xludf.DUMMYFUNCTION("""COMPUTED_VALUE"""),42489.64583333333)</f>
        <v>42489.64583</v>
      </c>
      <c r="C17" s="2">
        <f>IFERROR(__xludf.DUMMYFUNCTION("""COMPUTED_VALUE"""),309.75)</f>
        <v>309.75</v>
      </c>
    </row>
    <row r="18">
      <c r="B18" s="3">
        <f>IFERROR(__xludf.DUMMYFUNCTION("""COMPUTED_VALUE"""),42496.64583333333)</f>
        <v>42496.64583</v>
      </c>
      <c r="C18" s="2">
        <f>IFERROR(__xludf.DUMMYFUNCTION("""COMPUTED_VALUE"""),311.9)</f>
        <v>311.9</v>
      </c>
    </row>
    <row r="19">
      <c r="B19" s="3">
        <f>IFERROR(__xludf.DUMMYFUNCTION("""COMPUTED_VALUE"""),42503.64583333333)</f>
        <v>42503.64583</v>
      </c>
      <c r="C19" s="2">
        <f>IFERROR(__xludf.DUMMYFUNCTION("""COMPUTED_VALUE"""),291.0)</f>
        <v>291</v>
      </c>
    </row>
    <row r="20">
      <c r="B20" s="3">
        <f>IFERROR(__xludf.DUMMYFUNCTION("""COMPUTED_VALUE"""),42510.64583333333)</f>
        <v>42510.64583</v>
      </c>
      <c r="C20" s="2">
        <f>IFERROR(__xludf.DUMMYFUNCTION("""COMPUTED_VALUE"""),279.75)</f>
        <v>279.75</v>
      </c>
    </row>
    <row r="21" ht="15.75" customHeight="1">
      <c r="B21" s="3">
        <f>IFERROR(__xludf.DUMMYFUNCTION("""COMPUTED_VALUE"""),42517.64583333333)</f>
        <v>42517.64583</v>
      </c>
      <c r="C21" s="2">
        <f>IFERROR(__xludf.DUMMYFUNCTION("""COMPUTED_VALUE"""),273.7)</f>
        <v>273.7</v>
      </c>
    </row>
    <row r="22" ht="15.75" customHeight="1">
      <c r="B22" s="3">
        <f>IFERROR(__xludf.DUMMYFUNCTION("""COMPUTED_VALUE"""),42524.64583333333)</f>
        <v>42524.64583</v>
      </c>
      <c r="C22" s="2">
        <f>IFERROR(__xludf.DUMMYFUNCTION("""COMPUTED_VALUE"""),323.9)</f>
        <v>323.9</v>
      </c>
    </row>
    <row r="23" ht="15.75" customHeight="1">
      <c r="B23" s="3">
        <f>IFERROR(__xludf.DUMMYFUNCTION("""COMPUTED_VALUE"""),42531.64583333333)</f>
        <v>42531.64583</v>
      </c>
      <c r="C23" s="2">
        <f>IFERROR(__xludf.DUMMYFUNCTION("""COMPUTED_VALUE"""),325.4)</f>
        <v>325.4</v>
      </c>
    </row>
    <row r="24" ht="15.75" customHeight="1">
      <c r="B24" s="3">
        <f>IFERROR(__xludf.DUMMYFUNCTION("""COMPUTED_VALUE"""),42538.64583333333)</f>
        <v>42538.64583</v>
      </c>
      <c r="C24" s="2">
        <f>IFERROR(__xludf.DUMMYFUNCTION("""COMPUTED_VALUE"""),313.9)</f>
        <v>313.9</v>
      </c>
    </row>
    <row r="25" ht="15.75" customHeight="1">
      <c r="B25" s="3">
        <f>IFERROR(__xludf.DUMMYFUNCTION("""COMPUTED_VALUE"""),42545.64583333333)</f>
        <v>42545.64583</v>
      </c>
      <c r="C25" s="2">
        <f>IFERROR(__xludf.DUMMYFUNCTION("""COMPUTED_VALUE"""),325.4)</f>
        <v>325.4</v>
      </c>
    </row>
    <row r="26" ht="15.75" customHeight="1">
      <c r="B26" s="3">
        <f>IFERROR(__xludf.DUMMYFUNCTION("""COMPUTED_VALUE"""),42552.64583333333)</f>
        <v>42552.64583</v>
      </c>
      <c r="C26" s="2">
        <f>IFERROR(__xludf.DUMMYFUNCTION("""COMPUTED_VALUE"""),300.7)</f>
        <v>300.7</v>
      </c>
    </row>
    <row r="27" ht="15.75" customHeight="1">
      <c r="B27" s="3">
        <f>IFERROR(__xludf.DUMMYFUNCTION("""COMPUTED_VALUE"""),42559.64583333333)</f>
        <v>42559.64583</v>
      </c>
      <c r="C27" s="2">
        <f>IFERROR(__xludf.DUMMYFUNCTION("""COMPUTED_VALUE"""),304.4)</f>
        <v>304.4</v>
      </c>
    </row>
    <row r="28" ht="15.75" customHeight="1">
      <c r="B28" s="3">
        <f>IFERROR(__xludf.DUMMYFUNCTION("""COMPUTED_VALUE"""),42566.64583333333)</f>
        <v>42566.64583</v>
      </c>
      <c r="C28" s="2">
        <f>IFERROR(__xludf.DUMMYFUNCTION("""COMPUTED_VALUE"""),318.7)</f>
        <v>318.7</v>
      </c>
    </row>
    <row r="29" ht="15.75" customHeight="1">
      <c r="B29" s="3">
        <f>IFERROR(__xludf.DUMMYFUNCTION("""COMPUTED_VALUE"""),42573.64583333333)</f>
        <v>42573.64583</v>
      </c>
      <c r="C29" s="2">
        <f>IFERROR(__xludf.DUMMYFUNCTION("""COMPUTED_VALUE"""),330.95)</f>
        <v>330.95</v>
      </c>
    </row>
    <row r="30" ht="15.75" customHeight="1">
      <c r="B30" s="3">
        <f>IFERROR(__xludf.DUMMYFUNCTION("""COMPUTED_VALUE"""),42580.64583333333)</f>
        <v>42580.64583</v>
      </c>
      <c r="C30" s="2">
        <f>IFERROR(__xludf.DUMMYFUNCTION("""COMPUTED_VALUE"""),334.0)</f>
        <v>334</v>
      </c>
    </row>
    <row r="31" ht="15.75" customHeight="1">
      <c r="B31" s="3">
        <f>IFERROR(__xludf.DUMMYFUNCTION("""COMPUTED_VALUE"""),42587.64583333333)</f>
        <v>42587.64583</v>
      </c>
      <c r="C31" s="2">
        <f>IFERROR(__xludf.DUMMYFUNCTION("""COMPUTED_VALUE"""),334.8)</f>
        <v>334.8</v>
      </c>
    </row>
    <row r="32" ht="15.75" customHeight="1">
      <c r="B32" s="3">
        <f>IFERROR(__xludf.DUMMYFUNCTION("""COMPUTED_VALUE"""),42594.64583333333)</f>
        <v>42594.64583</v>
      </c>
      <c r="C32" s="2">
        <f>IFERROR(__xludf.DUMMYFUNCTION("""COMPUTED_VALUE"""),339.35)</f>
        <v>339.35</v>
      </c>
    </row>
    <row r="33" ht="15.75" customHeight="1">
      <c r="B33" s="3">
        <f>IFERROR(__xludf.DUMMYFUNCTION("""COMPUTED_VALUE"""),42601.64583333333)</f>
        <v>42601.64583</v>
      </c>
      <c r="C33" s="2">
        <f>IFERROR(__xludf.DUMMYFUNCTION("""COMPUTED_VALUE"""),342.55)</f>
        <v>342.55</v>
      </c>
    </row>
    <row r="34" ht="15.75" customHeight="1">
      <c r="B34" s="3">
        <f>IFERROR(__xludf.DUMMYFUNCTION("""COMPUTED_VALUE"""),42608.64583333333)</f>
        <v>42608.64583</v>
      </c>
      <c r="C34" s="2">
        <f>IFERROR(__xludf.DUMMYFUNCTION("""COMPUTED_VALUE"""),339.25)</f>
        <v>339.25</v>
      </c>
    </row>
    <row r="35" ht="15.75" customHeight="1">
      <c r="B35" s="3">
        <f>IFERROR(__xludf.DUMMYFUNCTION("""COMPUTED_VALUE"""),42615.64583333333)</f>
        <v>42615.64583</v>
      </c>
      <c r="C35" s="2">
        <f>IFERROR(__xludf.DUMMYFUNCTION("""COMPUTED_VALUE"""),352.9)</f>
        <v>352.9</v>
      </c>
    </row>
    <row r="36" ht="15.75" customHeight="1">
      <c r="B36" s="3">
        <f>IFERROR(__xludf.DUMMYFUNCTION("""COMPUTED_VALUE"""),42622.64583333333)</f>
        <v>42622.64583</v>
      </c>
      <c r="C36" s="2">
        <f>IFERROR(__xludf.DUMMYFUNCTION("""COMPUTED_VALUE"""),378.15)</f>
        <v>378.15</v>
      </c>
    </row>
    <row r="37" ht="15.75" customHeight="1">
      <c r="B37" s="3">
        <f>IFERROR(__xludf.DUMMYFUNCTION("""COMPUTED_VALUE"""),42629.64583333333)</f>
        <v>42629.64583</v>
      </c>
      <c r="C37" s="2">
        <f>IFERROR(__xludf.DUMMYFUNCTION("""COMPUTED_VALUE"""),364.0)</f>
        <v>364</v>
      </c>
    </row>
    <row r="38" ht="15.75" customHeight="1">
      <c r="B38" s="3">
        <f>IFERROR(__xludf.DUMMYFUNCTION("""COMPUTED_VALUE"""),42636.64583333333)</f>
        <v>42636.64583</v>
      </c>
      <c r="C38" s="2">
        <f>IFERROR(__xludf.DUMMYFUNCTION("""COMPUTED_VALUE"""),358.4)</f>
        <v>358.4</v>
      </c>
    </row>
    <row r="39" ht="15.75" customHeight="1">
      <c r="B39" s="3">
        <f>IFERROR(__xludf.DUMMYFUNCTION("""COMPUTED_VALUE"""),42643.64583333333)</f>
        <v>42643.64583</v>
      </c>
      <c r="C39" s="2">
        <f>IFERROR(__xludf.DUMMYFUNCTION("""COMPUTED_VALUE"""),350.55)</f>
        <v>350.55</v>
      </c>
    </row>
    <row r="40" ht="15.75" customHeight="1">
      <c r="B40" s="3">
        <f>IFERROR(__xludf.DUMMYFUNCTION("""COMPUTED_VALUE"""),42650.64583333333)</f>
        <v>42650.64583</v>
      </c>
      <c r="C40" s="2">
        <f>IFERROR(__xludf.DUMMYFUNCTION("""COMPUTED_VALUE"""),367.35)</f>
        <v>367.35</v>
      </c>
    </row>
    <row r="41" ht="15.75" customHeight="1">
      <c r="B41" s="3">
        <f>IFERROR(__xludf.DUMMYFUNCTION("""COMPUTED_VALUE"""),42657.64583333333)</f>
        <v>42657.64583</v>
      </c>
      <c r="C41" s="2">
        <f>IFERROR(__xludf.DUMMYFUNCTION("""COMPUTED_VALUE"""),372.6)</f>
        <v>372.6</v>
      </c>
    </row>
    <row r="42" ht="15.75" customHeight="1">
      <c r="B42" s="3">
        <f>IFERROR(__xludf.DUMMYFUNCTION("""COMPUTED_VALUE"""),42664.64583333333)</f>
        <v>42664.64583</v>
      </c>
      <c r="C42" s="2">
        <f>IFERROR(__xludf.DUMMYFUNCTION("""COMPUTED_VALUE"""),365.2)</f>
        <v>365.2</v>
      </c>
    </row>
    <row r="43" ht="15.75" customHeight="1">
      <c r="B43" s="3">
        <f>IFERROR(__xludf.DUMMYFUNCTION("""COMPUTED_VALUE"""),42671.64583333333)</f>
        <v>42671.64583</v>
      </c>
      <c r="C43" s="2">
        <f>IFERROR(__xludf.DUMMYFUNCTION("""COMPUTED_VALUE"""),364.6)</f>
        <v>364.6</v>
      </c>
    </row>
    <row r="44" ht="15.75" customHeight="1">
      <c r="B44" s="3">
        <f>IFERROR(__xludf.DUMMYFUNCTION("""COMPUTED_VALUE"""),42678.64583333333)</f>
        <v>42678.64583</v>
      </c>
      <c r="C44" s="2">
        <f>IFERROR(__xludf.DUMMYFUNCTION("""COMPUTED_VALUE"""),352.1)</f>
        <v>352.1</v>
      </c>
    </row>
    <row r="45" ht="15.75" customHeight="1">
      <c r="B45" s="3">
        <f>IFERROR(__xludf.DUMMYFUNCTION("""COMPUTED_VALUE"""),42685.64583333333)</f>
        <v>42685.64583</v>
      </c>
      <c r="C45" s="2">
        <f>IFERROR(__xludf.DUMMYFUNCTION("""COMPUTED_VALUE"""),354.25)</f>
        <v>354.25</v>
      </c>
    </row>
    <row r="46" ht="15.75" customHeight="1">
      <c r="B46" s="3">
        <f>IFERROR(__xludf.DUMMYFUNCTION("""COMPUTED_VALUE"""),42692.64583333333)</f>
        <v>42692.64583</v>
      </c>
      <c r="C46" s="2">
        <f>IFERROR(__xludf.DUMMYFUNCTION("""COMPUTED_VALUE"""),320.85)</f>
        <v>320.85</v>
      </c>
    </row>
    <row r="47" ht="15.75" customHeight="1">
      <c r="B47" s="3">
        <f>IFERROR(__xludf.DUMMYFUNCTION("""COMPUTED_VALUE"""),42699.64583333333)</f>
        <v>42699.64583</v>
      </c>
      <c r="C47" s="2">
        <f>IFERROR(__xludf.DUMMYFUNCTION("""COMPUTED_VALUE"""),302.2)</f>
        <v>302.2</v>
      </c>
    </row>
    <row r="48" ht="15.75" customHeight="1">
      <c r="B48" s="3">
        <f>IFERROR(__xludf.DUMMYFUNCTION("""COMPUTED_VALUE"""),42706.64583333333)</f>
        <v>42706.64583</v>
      </c>
      <c r="C48" s="2">
        <f>IFERROR(__xludf.DUMMYFUNCTION("""COMPUTED_VALUE"""),299.9)</f>
        <v>299.9</v>
      </c>
    </row>
    <row r="49" ht="15.75" customHeight="1">
      <c r="B49" s="3">
        <f>IFERROR(__xludf.DUMMYFUNCTION("""COMPUTED_VALUE"""),42713.64583333333)</f>
        <v>42713.64583</v>
      </c>
      <c r="C49" s="2">
        <f>IFERROR(__xludf.DUMMYFUNCTION("""COMPUTED_VALUE"""),309.75)</f>
        <v>309.75</v>
      </c>
    </row>
    <row r="50" ht="15.75" customHeight="1">
      <c r="B50" s="3">
        <f>IFERROR(__xludf.DUMMYFUNCTION("""COMPUTED_VALUE"""),42720.64583333333)</f>
        <v>42720.64583</v>
      </c>
      <c r="C50" s="2">
        <f>IFERROR(__xludf.DUMMYFUNCTION("""COMPUTED_VALUE"""),313.1)</f>
        <v>313.1</v>
      </c>
    </row>
    <row r="51" ht="15.75" customHeight="1">
      <c r="B51" s="3">
        <f>IFERROR(__xludf.DUMMYFUNCTION("""COMPUTED_VALUE"""),42727.64583333333)</f>
        <v>42727.64583</v>
      </c>
      <c r="C51" s="2">
        <f>IFERROR(__xludf.DUMMYFUNCTION("""COMPUTED_VALUE"""),301.0)</f>
        <v>301</v>
      </c>
    </row>
    <row r="52" ht="15.75" customHeight="1">
      <c r="B52" s="3">
        <f>IFERROR(__xludf.DUMMYFUNCTION("""COMPUTED_VALUE"""),42734.64583333333)</f>
        <v>42734.64583</v>
      </c>
      <c r="C52" s="2">
        <f>IFERROR(__xludf.DUMMYFUNCTION("""COMPUTED_VALUE"""),300.0)</f>
        <v>300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IFERROR(__xludf.DUMMYFUNCTION("GOOGLEFINANCE(""NSE:BAJFINANCE"", ""high"",DATE(2017,1,1),DATE(2018,1,1),""weekly"")"),"Date")</f>
        <v>Date</v>
      </c>
      <c r="C1" s="2" t="str">
        <f>IFERROR(__xludf.DUMMYFUNCTION("""COMPUTED_VALUE"""),"High")</f>
        <v>High</v>
      </c>
    </row>
    <row r="2">
      <c r="A2" s="2" t="s">
        <v>16</v>
      </c>
      <c r="B2" s="3">
        <f>IFERROR(__xludf.DUMMYFUNCTION("""COMPUTED_VALUE"""),42741.64583333333)</f>
        <v>42741.64583</v>
      </c>
      <c r="C2" s="2">
        <f>IFERROR(__xludf.DUMMYFUNCTION("""COMPUTED_VALUE"""),914.9)</f>
        <v>914.9</v>
      </c>
    </row>
    <row r="3">
      <c r="A3" s="2" t="s">
        <v>17</v>
      </c>
      <c r="B3" s="3">
        <f>IFERROR(__xludf.DUMMYFUNCTION("""COMPUTED_VALUE"""),42748.64583333333)</f>
        <v>42748.64583</v>
      </c>
      <c r="C3" s="2">
        <f>IFERROR(__xludf.DUMMYFUNCTION("""COMPUTED_VALUE"""),909.95)</f>
        <v>909.95</v>
      </c>
    </row>
    <row r="4">
      <c r="A4" s="2" t="s">
        <v>18</v>
      </c>
      <c r="B4" s="3">
        <f>IFERROR(__xludf.DUMMYFUNCTION("""COMPUTED_VALUE"""),42755.64583333333)</f>
        <v>42755.64583</v>
      </c>
      <c r="C4" s="2">
        <f>IFERROR(__xludf.DUMMYFUNCTION("""COMPUTED_VALUE"""),938.0)</f>
        <v>938</v>
      </c>
    </row>
    <row r="5">
      <c r="A5" s="2" t="s">
        <v>19</v>
      </c>
      <c r="B5" s="3">
        <f>IFERROR(__xludf.DUMMYFUNCTION("""COMPUTED_VALUE"""),42762.64583333333)</f>
        <v>42762.64583</v>
      </c>
      <c r="C5" s="2">
        <f>IFERROR(__xludf.DUMMYFUNCTION("""COMPUTED_VALUE"""),1020.0)</f>
        <v>1020</v>
      </c>
    </row>
    <row r="6">
      <c r="B6" s="3">
        <f>IFERROR(__xludf.DUMMYFUNCTION("""COMPUTED_VALUE"""),42769.64583333333)</f>
        <v>42769.64583</v>
      </c>
      <c r="C6" s="2">
        <f>IFERROR(__xludf.DUMMYFUNCTION("""COMPUTED_VALUE"""),1083.95)</f>
        <v>1083.95</v>
      </c>
    </row>
    <row r="7">
      <c r="B7" s="3">
        <f>IFERROR(__xludf.DUMMYFUNCTION("""COMPUTED_VALUE"""),42776.64583333333)</f>
        <v>42776.64583</v>
      </c>
      <c r="C7" s="2">
        <f>IFERROR(__xludf.DUMMYFUNCTION("""COMPUTED_VALUE"""),1085.5)</f>
        <v>1085.5</v>
      </c>
    </row>
    <row r="8">
      <c r="B8" s="3">
        <f>IFERROR(__xludf.DUMMYFUNCTION("""COMPUTED_VALUE"""),42783.64583333333)</f>
        <v>42783.64583</v>
      </c>
      <c r="C8" s="2">
        <f>IFERROR(__xludf.DUMMYFUNCTION("""COMPUTED_VALUE"""),1118.0)</f>
        <v>1118</v>
      </c>
    </row>
    <row r="9">
      <c r="B9" s="3">
        <f>IFERROR(__xludf.DUMMYFUNCTION("""COMPUTED_VALUE"""),42789.64583333333)</f>
        <v>42789.64583</v>
      </c>
      <c r="C9" s="2">
        <f>IFERROR(__xludf.DUMMYFUNCTION("""COMPUTED_VALUE"""),1109.5)</f>
        <v>1109.5</v>
      </c>
    </row>
    <row r="10">
      <c r="B10" s="3">
        <f>IFERROR(__xludf.DUMMYFUNCTION("""COMPUTED_VALUE"""),42797.64583333333)</f>
        <v>42797.64583</v>
      </c>
      <c r="C10" s="2">
        <f>IFERROR(__xludf.DUMMYFUNCTION("""COMPUTED_VALUE"""),1128.9)</f>
        <v>1128.9</v>
      </c>
    </row>
    <row r="11">
      <c r="B11" s="3">
        <f>IFERROR(__xludf.DUMMYFUNCTION("""COMPUTED_VALUE"""),42804.64583333333)</f>
        <v>42804.64583</v>
      </c>
      <c r="C11" s="2">
        <f>IFERROR(__xludf.DUMMYFUNCTION("""COMPUTED_VALUE"""),1100.0)</f>
        <v>1100</v>
      </c>
    </row>
    <row r="12">
      <c r="B12" s="3">
        <f>IFERROR(__xludf.DUMMYFUNCTION("""COMPUTED_VALUE"""),42811.64583333333)</f>
        <v>42811.64583</v>
      </c>
      <c r="C12" s="2">
        <f>IFERROR(__xludf.DUMMYFUNCTION("""COMPUTED_VALUE"""),1183.7)</f>
        <v>1183.7</v>
      </c>
    </row>
    <row r="13">
      <c r="B13" s="3">
        <f>IFERROR(__xludf.DUMMYFUNCTION("""COMPUTED_VALUE"""),42818.64583333333)</f>
        <v>42818.64583</v>
      </c>
      <c r="C13" s="2">
        <f>IFERROR(__xludf.DUMMYFUNCTION("""COMPUTED_VALUE"""),1198.0)</f>
        <v>1198</v>
      </c>
    </row>
    <row r="14">
      <c r="B14" s="3">
        <f>IFERROR(__xludf.DUMMYFUNCTION("""COMPUTED_VALUE"""),42825.64583333333)</f>
        <v>42825.64583</v>
      </c>
      <c r="C14" s="2">
        <f>IFERROR(__xludf.DUMMYFUNCTION("""COMPUTED_VALUE"""),1206.0)</f>
        <v>1206</v>
      </c>
    </row>
    <row r="15">
      <c r="B15" s="3">
        <f>IFERROR(__xludf.DUMMYFUNCTION("""COMPUTED_VALUE"""),42832.64583333333)</f>
        <v>42832.64583</v>
      </c>
      <c r="C15" s="2">
        <f>IFERROR(__xludf.DUMMYFUNCTION("""COMPUTED_VALUE"""),1224.0)</f>
        <v>1224</v>
      </c>
    </row>
    <row r="16">
      <c r="B16" s="3">
        <f>IFERROR(__xludf.DUMMYFUNCTION("""COMPUTED_VALUE"""),42838.64583333333)</f>
        <v>42838.64583</v>
      </c>
      <c r="C16" s="2">
        <f>IFERROR(__xludf.DUMMYFUNCTION("""COMPUTED_VALUE"""),1292.0)</f>
        <v>1292</v>
      </c>
    </row>
    <row r="17">
      <c r="B17" s="3">
        <f>IFERROR(__xludf.DUMMYFUNCTION("""COMPUTED_VALUE"""),42846.64583333333)</f>
        <v>42846.64583</v>
      </c>
      <c r="C17" s="2">
        <f>IFERROR(__xludf.DUMMYFUNCTION("""COMPUTED_VALUE"""),1282.0)</f>
        <v>1282</v>
      </c>
    </row>
    <row r="18">
      <c r="B18" s="3">
        <f>IFERROR(__xludf.DUMMYFUNCTION("""COMPUTED_VALUE"""),42853.64583333333)</f>
        <v>42853.64583</v>
      </c>
      <c r="C18" s="2">
        <f>IFERROR(__xludf.DUMMYFUNCTION("""COMPUTED_VALUE"""),1349.9)</f>
        <v>1349.9</v>
      </c>
    </row>
    <row r="19">
      <c r="B19" s="3">
        <f>IFERROR(__xludf.DUMMYFUNCTION("""COMPUTED_VALUE"""),42860.64583333333)</f>
        <v>42860.64583</v>
      </c>
      <c r="C19" s="2">
        <f>IFERROR(__xludf.DUMMYFUNCTION("""COMPUTED_VALUE"""),1311.9)</f>
        <v>1311.9</v>
      </c>
    </row>
    <row r="20">
      <c r="B20" s="3">
        <f>IFERROR(__xludf.DUMMYFUNCTION("""COMPUTED_VALUE"""),42867.64583333333)</f>
        <v>42867.64583</v>
      </c>
      <c r="C20" s="2">
        <f>IFERROR(__xludf.DUMMYFUNCTION("""COMPUTED_VALUE"""),1344.9)</f>
        <v>1344.9</v>
      </c>
    </row>
    <row r="21" ht="15.75" customHeight="1">
      <c r="B21" s="3">
        <f>IFERROR(__xludf.DUMMYFUNCTION("""COMPUTED_VALUE"""),42874.64583333333)</f>
        <v>42874.64583</v>
      </c>
      <c r="C21" s="2">
        <f>IFERROR(__xludf.DUMMYFUNCTION("""COMPUTED_VALUE"""),1374.0)</f>
        <v>1374</v>
      </c>
    </row>
    <row r="22" ht="15.75" customHeight="1">
      <c r="B22" s="3">
        <f>IFERROR(__xludf.DUMMYFUNCTION("""COMPUTED_VALUE"""),42881.64583333333)</f>
        <v>42881.64583</v>
      </c>
      <c r="C22" s="2">
        <f>IFERROR(__xludf.DUMMYFUNCTION("""COMPUTED_VALUE"""),1326.7)</f>
        <v>1326.7</v>
      </c>
    </row>
    <row r="23" ht="15.75" customHeight="1">
      <c r="B23" s="3">
        <f>IFERROR(__xludf.DUMMYFUNCTION("""COMPUTED_VALUE"""),42888.64583333333)</f>
        <v>42888.64583</v>
      </c>
      <c r="C23" s="2">
        <f>IFERROR(__xludf.DUMMYFUNCTION("""COMPUTED_VALUE"""),1365.0)</f>
        <v>1365</v>
      </c>
    </row>
    <row r="24" ht="15.75" customHeight="1">
      <c r="B24" s="3">
        <f>IFERROR(__xludf.DUMMYFUNCTION("""COMPUTED_VALUE"""),42895.64583333333)</f>
        <v>42895.64583</v>
      </c>
      <c r="C24" s="2">
        <f>IFERROR(__xludf.DUMMYFUNCTION("""COMPUTED_VALUE"""),1382.0)</f>
        <v>1382</v>
      </c>
    </row>
    <row r="25" ht="15.75" customHeight="1">
      <c r="B25" s="3">
        <f>IFERROR(__xludf.DUMMYFUNCTION("""COMPUTED_VALUE"""),42902.64583333333)</f>
        <v>42902.64583</v>
      </c>
      <c r="C25" s="2">
        <f>IFERROR(__xludf.DUMMYFUNCTION("""COMPUTED_VALUE"""),1424.85)</f>
        <v>1424.85</v>
      </c>
    </row>
    <row r="26" ht="15.75" customHeight="1">
      <c r="B26" s="3">
        <f>IFERROR(__xludf.DUMMYFUNCTION("""COMPUTED_VALUE"""),42909.64583333333)</f>
        <v>42909.64583</v>
      </c>
      <c r="C26" s="2">
        <f>IFERROR(__xludf.DUMMYFUNCTION("""COMPUTED_VALUE"""),1432.9)</f>
        <v>1432.9</v>
      </c>
    </row>
    <row r="27" ht="15.75" customHeight="1">
      <c r="B27" s="3">
        <f>IFERROR(__xludf.DUMMYFUNCTION("""COMPUTED_VALUE"""),42916.64583333333)</f>
        <v>42916.64583</v>
      </c>
      <c r="C27" s="2">
        <f>IFERROR(__xludf.DUMMYFUNCTION("""COMPUTED_VALUE"""),1400.0)</f>
        <v>1400</v>
      </c>
    </row>
    <row r="28" ht="15.75" customHeight="1">
      <c r="B28" s="3">
        <f>IFERROR(__xludf.DUMMYFUNCTION("""COMPUTED_VALUE"""),42923.64583333333)</f>
        <v>42923.64583</v>
      </c>
      <c r="C28" s="2">
        <f>IFERROR(__xludf.DUMMYFUNCTION("""COMPUTED_VALUE"""),1413.5)</f>
        <v>1413.5</v>
      </c>
    </row>
    <row r="29" ht="15.75" customHeight="1">
      <c r="B29" s="3">
        <f>IFERROR(__xludf.DUMMYFUNCTION("""COMPUTED_VALUE"""),42930.64583333333)</f>
        <v>42930.64583</v>
      </c>
      <c r="C29" s="2">
        <f>IFERROR(__xludf.DUMMYFUNCTION("""COMPUTED_VALUE"""),1508.65)</f>
        <v>1508.65</v>
      </c>
    </row>
    <row r="30" ht="15.75" customHeight="1">
      <c r="B30" s="3">
        <f>IFERROR(__xludf.DUMMYFUNCTION("""COMPUTED_VALUE"""),42937.64583333333)</f>
        <v>42937.64583</v>
      </c>
      <c r="C30" s="2">
        <f>IFERROR(__xludf.DUMMYFUNCTION("""COMPUTED_VALUE"""),1631.5)</f>
        <v>1631.5</v>
      </c>
    </row>
    <row r="31" ht="15.75" customHeight="1">
      <c r="B31" s="3">
        <f>IFERROR(__xludf.DUMMYFUNCTION("""COMPUTED_VALUE"""),42944.64583333333)</f>
        <v>42944.64583</v>
      </c>
      <c r="C31" s="2">
        <f>IFERROR(__xludf.DUMMYFUNCTION("""COMPUTED_VALUE"""),1739.8)</f>
        <v>1739.8</v>
      </c>
    </row>
    <row r="32" ht="15.75" customHeight="1">
      <c r="B32" s="3">
        <f>IFERROR(__xludf.DUMMYFUNCTION("""COMPUTED_VALUE"""),42951.64583333333)</f>
        <v>42951.64583</v>
      </c>
      <c r="C32" s="2">
        <f>IFERROR(__xludf.DUMMYFUNCTION("""COMPUTED_VALUE"""),1730.0)</f>
        <v>1730</v>
      </c>
    </row>
    <row r="33" ht="15.75" customHeight="1">
      <c r="B33" s="3">
        <f>IFERROR(__xludf.DUMMYFUNCTION("""COMPUTED_VALUE"""),42958.64583333333)</f>
        <v>42958.64583</v>
      </c>
      <c r="C33" s="2">
        <f>IFERROR(__xludf.DUMMYFUNCTION("""COMPUTED_VALUE"""),1829.5)</f>
        <v>1829.5</v>
      </c>
    </row>
    <row r="34" ht="15.75" customHeight="1">
      <c r="B34" s="3">
        <f>IFERROR(__xludf.DUMMYFUNCTION("""COMPUTED_VALUE"""),42965.64583333333)</f>
        <v>42965.64583</v>
      </c>
      <c r="C34" s="2">
        <f>IFERROR(__xludf.DUMMYFUNCTION("""COMPUTED_VALUE"""),1762.5)</f>
        <v>1762.5</v>
      </c>
    </row>
    <row r="35" ht="15.75" customHeight="1">
      <c r="B35" s="3">
        <f>IFERROR(__xludf.DUMMYFUNCTION("""COMPUTED_VALUE"""),42971.64583333333)</f>
        <v>42971.64583</v>
      </c>
      <c r="C35" s="2">
        <f>IFERROR(__xludf.DUMMYFUNCTION("""COMPUTED_VALUE"""),1797.7)</f>
        <v>1797.7</v>
      </c>
    </row>
    <row r="36" ht="15.75" customHeight="1">
      <c r="B36" s="3">
        <f>IFERROR(__xludf.DUMMYFUNCTION("""COMPUTED_VALUE"""),42979.64583333333)</f>
        <v>42979.64583</v>
      </c>
      <c r="C36" s="2">
        <f>IFERROR(__xludf.DUMMYFUNCTION("""COMPUTED_VALUE"""),1837.4)</f>
        <v>1837.4</v>
      </c>
    </row>
    <row r="37" ht="15.75" customHeight="1">
      <c r="B37" s="3">
        <f>IFERROR(__xludf.DUMMYFUNCTION("""COMPUTED_VALUE"""),42986.64583333333)</f>
        <v>42986.64583</v>
      </c>
      <c r="C37" s="2">
        <f>IFERROR(__xludf.DUMMYFUNCTION("""COMPUTED_VALUE"""),1985.9)</f>
        <v>1985.9</v>
      </c>
    </row>
    <row r="38" ht="15.75" customHeight="1">
      <c r="B38" s="3">
        <f>IFERROR(__xludf.DUMMYFUNCTION("""COMPUTED_VALUE"""),42993.64583333333)</f>
        <v>42993.64583</v>
      </c>
      <c r="C38" s="2">
        <f>IFERROR(__xludf.DUMMYFUNCTION("""COMPUTED_VALUE"""),1935.5)</f>
        <v>1935.5</v>
      </c>
    </row>
    <row r="39" ht="15.75" customHeight="1">
      <c r="B39" s="3">
        <f>IFERROR(__xludf.DUMMYFUNCTION("""COMPUTED_VALUE"""),43000.64583333333)</f>
        <v>43000.64583</v>
      </c>
      <c r="C39" s="2">
        <f>IFERROR(__xludf.DUMMYFUNCTION("""COMPUTED_VALUE"""),1929.25)</f>
        <v>1929.25</v>
      </c>
    </row>
    <row r="40" ht="15.75" customHeight="1">
      <c r="B40" s="3">
        <f>IFERROR(__xludf.DUMMYFUNCTION("""COMPUTED_VALUE"""),43007.64583333333)</f>
        <v>43007.64583</v>
      </c>
      <c r="C40" s="2">
        <f>IFERROR(__xludf.DUMMYFUNCTION("""COMPUTED_VALUE"""),1875.0)</f>
        <v>1875</v>
      </c>
    </row>
    <row r="41" ht="15.75" customHeight="1">
      <c r="B41" s="3">
        <f>IFERROR(__xludf.DUMMYFUNCTION("""COMPUTED_VALUE"""),43014.64583333333)</f>
        <v>43014.64583</v>
      </c>
      <c r="C41" s="2">
        <f>IFERROR(__xludf.DUMMYFUNCTION("""COMPUTED_VALUE"""),1934.55)</f>
        <v>1934.55</v>
      </c>
    </row>
    <row r="42" ht="15.75" customHeight="1">
      <c r="B42" s="3">
        <f>IFERROR(__xludf.DUMMYFUNCTION("""COMPUTED_VALUE"""),43021.64583333333)</f>
        <v>43021.64583</v>
      </c>
      <c r="C42" s="2">
        <f>IFERROR(__xludf.DUMMYFUNCTION("""COMPUTED_VALUE"""),1973.7)</f>
        <v>1973.7</v>
      </c>
    </row>
    <row r="43" ht="15.75" customHeight="1">
      <c r="B43" s="3">
        <f>IFERROR(__xludf.DUMMYFUNCTION("""COMPUTED_VALUE"""),43027.83333333333)</f>
        <v>43027.83333</v>
      </c>
      <c r="C43" s="2">
        <f>IFERROR(__xludf.DUMMYFUNCTION("""COMPUTED_VALUE"""),1967.0)</f>
        <v>1967</v>
      </c>
    </row>
    <row r="44" ht="15.75" customHeight="1">
      <c r="B44" s="3">
        <f>IFERROR(__xludf.DUMMYFUNCTION("""COMPUTED_VALUE"""),43035.64583333333)</f>
        <v>43035.64583</v>
      </c>
      <c r="C44" s="2">
        <f>IFERROR(__xludf.DUMMYFUNCTION("""COMPUTED_VALUE"""),1856.9)</f>
        <v>1856.9</v>
      </c>
    </row>
    <row r="45" ht="15.75" customHeight="1">
      <c r="B45" s="3">
        <f>IFERROR(__xludf.DUMMYFUNCTION("""COMPUTED_VALUE"""),43042.64583333333)</f>
        <v>43042.64583</v>
      </c>
      <c r="C45" s="2">
        <f>IFERROR(__xludf.DUMMYFUNCTION("""COMPUTED_VALUE"""),1845.0)</f>
        <v>1845</v>
      </c>
    </row>
    <row r="46" ht="15.75" customHeight="1">
      <c r="B46" s="3">
        <f>IFERROR(__xludf.DUMMYFUNCTION("""COMPUTED_VALUE"""),43049.64583333333)</f>
        <v>43049.64583</v>
      </c>
      <c r="C46" s="2">
        <f>IFERROR(__xludf.DUMMYFUNCTION("""COMPUTED_VALUE"""),1848.0)</f>
        <v>1848</v>
      </c>
    </row>
    <row r="47" ht="15.75" customHeight="1">
      <c r="B47" s="3">
        <f>IFERROR(__xludf.DUMMYFUNCTION("""COMPUTED_VALUE"""),43056.64583333333)</f>
        <v>43056.64583</v>
      </c>
      <c r="C47" s="2">
        <f>IFERROR(__xludf.DUMMYFUNCTION("""COMPUTED_VALUE"""),1817.0)</f>
        <v>1817</v>
      </c>
    </row>
    <row r="48" ht="15.75" customHeight="1">
      <c r="B48" s="3">
        <f>IFERROR(__xludf.DUMMYFUNCTION("""COMPUTED_VALUE"""),43063.64583333333)</f>
        <v>43063.64583</v>
      </c>
      <c r="C48" s="2">
        <f>IFERROR(__xludf.DUMMYFUNCTION("""COMPUTED_VALUE"""),1822.75)</f>
        <v>1822.75</v>
      </c>
    </row>
    <row r="49" ht="15.75" customHeight="1">
      <c r="B49" s="3">
        <f>IFERROR(__xludf.DUMMYFUNCTION("""COMPUTED_VALUE"""),43070.64583333333)</f>
        <v>43070.64583</v>
      </c>
      <c r="C49" s="2">
        <f>IFERROR(__xludf.DUMMYFUNCTION("""COMPUTED_VALUE"""),1784.3)</f>
        <v>1784.3</v>
      </c>
    </row>
    <row r="50" ht="15.75" customHeight="1">
      <c r="B50" s="3">
        <f>IFERROR(__xludf.DUMMYFUNCTION("""COMPUTED_VALUE"""),43077.64583333333)</f>
        <v>43077.64583</v>
      </c>
      <c r="C50" s="2">
        <f>IFERROR(__xludf.DUMMYFUNCTION("""COMPUTED_VALUE"""),1724.0)</f>
        <v>1724</v>
      </c>
    </row>
    <row r="51" ht="15.75" customHeight="1">
      <c r="B51" s="3">
        <f>IFERROR(__xludf.DUMMYFUNCTION("""COMPUTED_VALUE"""),43084.64583333333)</f>
        <v>43084.64583</v>
      </c>
      <c r="C51" s="2">
        <f>IFERROR(__xludf.DUMMYFUNCTION("""COMPUTED_VALUE"""),1739.7)</f>
        <v>1739.7</v>
      </c>
    </row>
    <row r="52" ht="15.75" customHeight="1">
      <c r="B52" s="3">
        <f>IFERROR(__xludf.DUMMYFUNCTION("""COMPUTED_VALUE"""),43091.64583333333)</f>
        <v>43091.64583</v>
      </c>
      <c r="C52" s="2">
        <f>IFERROR(__xludf.DUMMYFUNCTION("""COMPUTED_VALUE"""),1788.4)</f>
        <v>1788.4</v>
      </c>
    </row>
    <row r="53" ht="15.75" customHeight="1">
      <c r="B53" s="3">
        <f>IFERROR(__xludf.DUMMYFUNCTION("""COMPUTED_VALUE"""),43098.64583333333)</f>
        <v>43098.64583</v>
      </c>
      <c r="C53" s="2">
        <f>IFERROR(__xludf.DUMMYFUNCTION("""COMPUTED_VALUE"""),1797.6)</f>
        <v>1797.6</v>
      </c>
    </row>
    <row r="54" ht="15.75" customHeight="1"/>
    <row r="55" ht="15.75" customHeight="1"/>
    <row r="56" ht="15.75" customHeight="1">
      <c r="B56" s="2" t="str">
        <f>IFERROR(__xludf.DUMMYFUNCTION("GOOGLEFINANCE(""NSE:BAJFINANCE"", ""high"",DATE(2018,1,1),DATE(2019,1,1),""weekly"")"),"Date")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IFERROR(__xludf.DUMMYFUNCTION("""COMPUTED_VALUE"""),43105.64583333333)</f>
        <v>43105.64583</v>
      </c>
      <c r="C57" s="2">
        <f>IFERROR(__xludf.DUMMYFUNCTION("""COMPUTED_VALUE"""),1821.0)</f>
        <v>1821</v>
      </c>
    </row>
    <row r="58" ht="15.75" customHeight="1">
      <c r="B58" s="3">
        <f>IFERROR(__xludf.DUMMYFUNCTION("""COMPUTED_VALUE"""),43112.64583333333)</f>
        <v>43112.64583</v>
      </c>
      <c r="C58" s="2">
        <f>IFERROR(__xludf.DUMMYFUNCTION("""COMPUTED_VALUE"""),1843.0)</f>
        <v>1843</v>
      </c>
    </row>
    <row r="59" ht="15.75" customHeight="1">
      <c r="B59" s="3">
        <f>IFERROR(__xludf.DUMMYFUNCTION("""COMPUTED_VALUE"""),43119.64583333333)</f>
        <v>43119.64583</v>
      </c>
      <c r="C59" s="2">
        <f>IFERROR(__xludf.DUMMYFUNCTION("""COMPUTED_VALUE"""),1794.9)</f>
        <v>1794.9</v>
      </c>
    </row>
    <row r="60" ht="15.75" customHeight="1">
      <c r="B60" s="3">
        <f>IFERROR(__xludf.DUMMYFUNCTION("""COMPUTED_VALUE"""),43125.64583333333)</f>
        <v>43125.64583</v>
      </c>
      <c r="C60" s="2">
        <f>IFERROR(__xludf.DUMMYFUNCTION("""COMPUTED_VALUE"""),1746.85)</f>
        <v>1746.85</v>
      </c>
    </row>
    <row r="61" ht="15.75" customHeight="1">
      <c r="B61" s="3">
        <f>IFERROR(__xludf.DUMMYFUNCTION("""COMPUTED_VALUE"""),43133.64583333333)</f>
        <v>43133.64583</v>
      </c>
      <c r="C61" s="2">
        <f>IFERROR(__xludf.DUMMYFUNCTION("""COMPUTED_VALUE"""),1760.0)</f>
        <v>1760</v>
      </c>
    </row>
    <row r="62" ht="15.75" customHeight="1">
      <c r="B62" s="3">
        <f>IFERROR(__xludf.DUMMYFUNCTION("""COMPUTED_VALUE"""),43140.64583333333)</f>
        <v>43140.64583</v>
      </c>
      <c r="C62" s="2">
        <f>IFERROR(__xludf.DUMMYFUNCTION("""COMPUTED_VALUE"""),1687.0)</f>
        <v>1687</v>
      </c>
    </row>
    <row r="63" ht="15.75" customHeight="1">
      <c r="B63" s="3">
        <f>IFERROR(__xludf.DUMMYFUNCTION("""COMPUTED_VALUE"""),43147.64583333333)</f>
        <v>43147.64583</v>
      </c>
      <c r="C63" s="2">
        <f>IFERROR(__xludf.DUMMYFUNCTION("""COMPUTED_VALUE"""),1711.85)</f>
        <v>1711.85</v>
      </c>
    </row>
    <row r="64" ht="15.75" customHeight="1">
      <c r="B64" s="3">
        <f>IFERROR(__xludf.DUMMYFUNCTION("""COMPUTED_VALUE"""),43154.64583333333)</f>
        <v>43154.64583</v>
      </c>
      <c r="C64" s="2">
        <f>IFERROR(__xludf.DUMMYFUNCTION("""COMPUTED_VALUE"""),1675.0)</f>
        <v>1675</v>
      </c>
    </row>
    <row r="65" ht="15.75" customHeight="1">
      <c r="B65" s="3">
        <f>IFERROR(__xludf.DUMMYFUNCTION("""COMPUTED_VALUE"""),43160.64583333333)</f>
        <v>43160.64583</v>
      </c>
      <c r="C65" s="2">
        <f>IFERROR(__xludf.DUMMYFUNCTION("""COMPUTED_VALUE"""),1679.95)</f>
        <v>1679.95</v>
      </c>
    </row>
    <row r="66" ht="15.75" customHeight="1">
      <c r="B66" s="3">
        <f>IFERROR(__xludf.DUMMYFUNCTION("""COMPUTED_VALUE"""),43168.64583333333)</f>
        <v>43168.64583</v>
      </c>
      <c r="C66" s="2">
        <f>IFERROR(__xludf.DUMMYFUNCTION("""COMPUTED_VALUE"""),1671.85)</f>
        <v>1671.85</v>
      </c>
    </row>
    <row r="67" ht="15.75" customHeight="1">
      <c r="B67" s="3">
        <f>IFERROR(__xludf.DUMMYFUNCTION("""COMPUTED_VALUE"""),43175.64583333333)</f>
        <v>43175.64583</v>
      </c>
      <c r="C67" s="2">
        <f>IFERROR(__xludf.DUMMYFUNCTION("""COMPUTED_VALUE"""),1739.9)</f>
        <v>1739.9</v>
      </c>
    </row>
    <row r="68" ht="15.75" customHeight="1">
      <c r="B68" s="3">
        <f>IFERROR(__xludf.DUMMYFUNCTION("""COMPUTED_VALUE"""),43182.64583333333)</f>
        <v>43182.64583</v>
      </c>
      <c r="C68" s="2">
        <f>IFERROR(__xludf.DUMMYFUNCTION("""COMPUTED_VALUE"""),1720.0)</f>
        <v>1720</v>
      </c>
    </row>
    <row r="69" ht="15.75" customHeight="1">
      <c r="B69" s="3">
        <f>IFERROR(__xludf.DUMMYFUNCTION("""COMPUTED_VALUE"""),43187.64583333333)</f>
        <v>43187.64583</v>
      </c>
      <c r="C69" s="2">
        <f>IFERROR(__xludf.DUMMYFUNCTION("""COMPUTED_VALUE"""),1798.0)</f>
        <v>1798</v>
      </c>
    </row>
    <row r="70" ht="15.75" customHeight="1">
      <c r="B70" s="3">
        <f>IFERROR(__xludf.DUMMYFUNCTION("""COMPUTED_VALUE"""),43196.64583333333)</f>
        <v>43196.64583</v>
      </c>
      <c r="C70" s="2">
        <f>IFERROR(__xludf.DUMMYFUNCTION("""COMPUTED_VALUE"""),1943.5)</f>
        <v>1943.5</v>
      </c>
    </row>
    <row r="71" ht="15.75" customHeight="1">
      <c r="B71" s="3">
        <f>IFERROR(__xludf.DUMMYFUNCTION("""COMPUTED_VALUE"""),43203.64583333333)</f>
        <v>43203.64583</v>
      </c>
      <c r="C71" s="2">
        <f>IFERROR(__xludf.DUMMYFUNCTION("""COMPUTED_VALUE"""),1967.75)</f>
        <v>1967.75</v>
      </c>
    </row>
    <row r="72" ht="15.75" customHeight="1">
      <c r="B72" s="3">
        <f>IFERROR(__xludf.DUMMYFUNCTION("""COMPUTED_VALUE"""),43210.64583333333)</f>
        <v>43210.64583</v>
      </c>
      <c r="C72" s="2">
        <f>IFERROR(__xludf.DUMMYFUNCTION("""COMPUTED_VALUE"""),1959.9)</f>
        <v>1959.9</v>
      </c>
    </row>
    <row r="73" ht="15.75" customHeight="1">
      <c r="B73" s="3">
        <f>IFERROR(__xludf.DUMMYFUNCTION("""COMPUTED_VALUE"""),43217.64583333333)</f>
        <v>43217.64583</v>
      </c>
      <c r="C73" s="2">
        <f>IFERROR(__xludf.DUMMYFUNCTION("""COMPUTED_VALUE"""),1938.95)</f>
        <v>1938.95</v>
      </c>
    </row>
    <row r="74" ht="15.75" customHeight="1">
      <c r="B74" s="3">
        <f>IFERROR(__xludf.DUMMYFUNCTION("""COMPUTED_VALUE"""),43224.64583333333)</f>
        <v>43224.64583</v>
      </c>
      <c r="C74" s="2">
        <f>IFERROR(__xludf.DUMMYFUNCTION("""COMPUTED_VALUE"""),1936.75)</f>
        <v>1936.75</v>
      </c>
    </row>
    <row r="75" ht="15.75" customHeight="1">
      <c r="B75" s="3">
        <f>IFERROR(__xludf.DUMMYFUNCTION("""COMPUTED_VALUE"""),43231.64583333333)</f>
        <v>43231.64583</v>
      </c>
      <c r="C75" s="2">
        <f>IFERROR(__xludf.DUMMYFUNCTION("""COMPUTED_VALUE"""),1902.0)</f>
        <v>1902</v>
      </c>
    </row>
    <row r="76" ht="15.75" customHeight="1">
      <c r="B76" s="3">
        <f>IFERROR(__xludf.DUMMYFUNCTION("""COMPUTED_VALUE"""),43238.64583333333)</f>
        <v>43238.64583</v>
      </c>
      <c r="C76" s="2">
        <f>IFERROR(__xludf.DUMMYFUNCTION("""COMPUTED_VALUE"""),2171.75)</f>
        <v>2171.75</v>
      </c>
    </row>
    <row r="77" ht="15.75" customHeight="1">
      <c r="B77" s="3">
        <f>IFERROR(__xludf.DUMMYFUNCTION("""COMPUTED_VALUE"""),43245.64583333333)</f>
        <v>43245.64583</v>
      </c>
      <c r="C77" s="2">
        <f>IFERROR(__xludf.DUMMYFUNCTION("""COMPUTED_VALUE"""),2177.9)</f>
        <v>2177.9</v>
      </c>
    </row>
    <row r="78" ht="15.75" customHeight="1">
      <c r="B78" s="3">
        <f>IFERROR(__xludf.DUMMYFUNCTION("""COMPUTED_VALUE"""),43252.64583333333)</f>
        <v>43252.64583</v>
      </c>
      <c r="C78" s="2">
        <f>IFERROR(__xludf.DUMMYFUNCTION("""COMPUTED_VALUE"""),2145.0)</f>
        <v>2145</v>
      </c>
    </row>
    <row r="79" ht="15.75" customHeight="1">
      <c r="B79" s="3">
        <f>IFERROR(__xludf.DUMMYFUNCTION("""COMPUTED_VALUE"""),43259.64583333333)</f>
        <v>43259.64583</v>
      </c>
      <c r="C79" s="2">
        <f>IFERROR(__xludf.DUMMYFUNCTION("""COMPUTED_VALUE"""),2219.95)</f>
        <v>2219.95</v>
      </c>
    </row>
    <row r="80" ht="15.75" customHeight="1">
      <c r="B80" s="3">
        <f>IFERROR(__xludf.DUMMYFUNCTION("""COMPUTED_VALUE"""),43266.64583333333)</f>
        <v>43266.64583</v>
      </c>
      <c r="C80" s="2">
        <f>IFERROR(__xludf.DUMMYFUNCTION("""COMPUTED_VALUE"""),2291.55)</f>
        <v>2291.55</v>
      </c>
    </row>
    <row r="81" ht="15.75" customHeight="1">
      <c r="B81" s="3">
        <f>IFERROR(__xludf.DUMMYFUNCTION("""COMPUTED_VALUE"""),43273.64583333333)</f>
        <v>43273.64583</v>
      </c>
      <c r="C81" s="2">
        <f>IFERROR(__xludf.DUMMYFUNCTION("""COMPUTED_VALUE"""),2342.0)</f>
        <v>2342</v>
      </c>
    </row>
    <row r="82" ht="15.75" customHeight="1">
      <c r="B82" s="3">
        <f>IFERROR(__xludf.DUMMYFUNCTION("""COMPUTED_VALUE"""),43280.64583333333)</f>
        <v>43280.64583</v>
      </c>
      <c r="C82" s="2">
        <f>IFERROR(__xludf.DUMMYFUNCTION("""COMPUTED_VALUE"""),2419.15)</f>
        <v>2419.15</v>
      </c>
    </row>
    <row r="83" ht="15.75" customHeight="1">
      <c r="B83" s="3">
        <f>IFERROR(__xludf.DUMMYFUNCTION("""COMPUTED_VALUE"""),43287.64583333333)</f>
        <v>43287.64583</v>
      </c>
      <c r="C83" s="2">
        <f>IFERROR(__xludf.DUMMYFUNCTION("""COMPUTED_VALUE"""),2355.0)</f>
        <v>2355</v>
      </c>
    </row>
    <row r="84" ht="15.75" customHeight="1">
      <c r="B84" s="3">
        <f>IFERROR(__xludf.DUMMYFUNCTION("""COMPUTED_VALUE"""),43294.64583333333)</f>
        <v>43294.64583</v>
      </c>
      <c r="C84" s="2">
        <f>IFERROR(__xludf.DUMMYFUNCTION("""COMPUTED_VALUE"""),2475.0)</f>
        <v>2475</v>
      </c>
    </row>
    <row r="85" ht="15.75" customHeight="1">
      <c r="B85" s="3">
        <f>IFERROR(__xludf.DUMMYFUNCTION("""COMPUTED_VALUE"""),43301.64583333333)</f>
        <v>43301.64583</v>
      </c>
      <c r="C85" s="2">
        <f>IFERROR(__xludf.DUMMYFUNCTION("""COMPUTED_VALUE"""),2745.0)</f>
        <v>2745</v>
      </c>
    </row>
    <row r="86" ht="15.75" customHeight="1">
      <c r="B86" s="3">
        <f>IFERROR(__xludf.DUMMYFUNCTION("""COMPUTED_VALUE"""),43308.64583333333)</f>
        <v>43308.64583</v>
      </c>
      <c r="C86" s="2">
        <f>IFERROR(__xludf.DUMMYFUNCTION("""COMPUTED_VALUE"""),2797.0)</f>
        <v>2797</v>
      </c>
    </row>
    <row r="87" ht="15.75" customHeight="1">
      <c r="B87" s="3">
        <f>IFERROR(__xludf.DUMMYFUNCTION("""COMPUTED_VALUE"""),43315.64583333333)</f>
        <v>43315.64583</v>
      </c>
      <c r="C87" s="2">
        <f>IFERROR(__xludf.DUMMYFUNCTION("""COMPUTED_VALUE"""),2771.65)</f>
        <v>2771.65</v>
      </c>
    </row>
    <row r="88" ht="15.75" customHeight="1">
      <c r="B88" s="3">
        <f>IFERROR(__xludf.DUMMYFUNCTION("""COMPUTED_VALUE"""),43322.64583333333)</f>
        <v>43322.64583</v>
      </c>
      <c r="C88" s="2">
        <f>IFERROR(__xludf.DUMMYFUNCTION("""COMPUTED_VALUE"""),2846.05)</f>
        <v>2846.05</v>
      </c>
    </row>
    <row r="89" ht="15.75" customHeight="1">
      <c r="B89" s="3">
        <f>IFERROR(__xludf.DUMMYFUNCTION("""COMPUTED_VALUE"""),43329.64583333333)</f>
        <v>43329.64583</v>
      </c>
      <c r="C89" s="2">
        <f>IFERROR(__xludf.DUMMYFUNCTION("""COMPUTED_VALUE"""),2908.0)</f>
        <v>2908</v>
      </c>
    </row>
    <row r="90" ht="15.75" customHeight="1">
      <c r="B90" s="3">
        <f>IFERROR(__xludf.DUMMYFUNCTION("""COMPUTED_VALUE"""),43336.64583333333)</f>
        <v>43336.64583</v>
      </c>
      <c r="C90" s="2">
        <f>IFERROR(__xludf.DUMMYFUNCTION("""COMPUTED_VALUE"""),2943.4)</f>
        <v>2943.4</v>
      </c>
    </row>
    <row r="91" ht="15.75" customHeight="1">
      <c r="B91" s="3">
        <f>IFERROR(__xludf.DUMMYFUNCTION("""COMPUTED_VALUE"""),43343.64583333333)</f>
        <v>43343.64583</v>
      </c>
      <c r="C91" s="2">
        <f>IFERROR(__xludf.DUMMYFUNCTION("""COMPUTED_VALUE"""),2994.0)</f>
        <v>2994</v>
      </c>
    </row>
    <row r="92" ht="15.75" customHeight="1">
      <c r="B92" s="3">
        <f>IFERROR(__xludf.DUMMYFUNCTION("""COMPUTED_VALUE"""),43350.64583333333)</f>
        <v>43350.64583</v>
      </c>
      <c r="C92" s="2">
        <f>IFERROR(__xludf.DUMMYFUNCTION("""COMPUTED_VALUE"""),2880.0)</f>
        <v>2880</v>
      </c>
    </row>
    <row r="93" ht="15.75" customHeight="1">
      <c r="B93" s="3">
        <f>IFERROR(__xludf.DUMMYFUNCTION("""COMPUTED_VALUE"""),43357.64583333333)</f>
        <v>43357.64583</v>
      </c>
      <c r="C93" s="2">
        <f>IFERROR(__xludf.DUMMYFUNCTION("""COMPUTED_VALUE"""),2738.0)</f>
        <v>2738</v>
      </c>
    </row>
    <row r="94" ht="15.75" customHeight="1">
      <c r="B94" s="3">
        <f>IFERROR(__xludf.DUMMYFUNCTION("""COMPUTED_VALUE"""),43364.64583333333)</f>
        <v>43364.64583</v>
      </c>
      <c r="C94" s="2">
        <f>IFERROR(__xludf.DUMMYFUNCTION("""COMPUTED_VALUE"""),2660.0)</f>
        <v>2660</v>
      </c>
    </row>
    <row r="95" ht="15.75" customHeight="1">
      <c r="B95" s="3">
        <f>IFERROR(__xludf.DUMMYFUNCTION("""COMPUTED_VALUE"""),43371.64583333333)</f>
        <v>43371.64583</v>
      </c>
      <c r="C95" s="2">
        <f>IFERROR(__xludf.DUMMYFUNCTION("""COMPUTED_VALUE"""),2422.45)</f>
        <v>2422.45</v>
      </c>
    </row>
    <row r="96" ht="15.75" customHeight="1">
      <c r="B96" s="3">
        <f>IFERROR(__xludf.DUMMYFUNCTION("""COMPUTED_VALUE"""),43378.64583333333)</f>
        <v>43378.64583</v>
      </c>
      <c r="C96" s="2">
        <f>IFERROR(__xludf.DUMMYFUNCTION("""COMPUTED_VALUE"""),2329.95)</f>
        <v>2329.95</v>
      </c>
    </row>
    <row r="97" ht="15.75" customHeight="1">
      <c r="B97" s="3">
        <f>IFERROR(__xludf.DUMMYFUNCTION("""COMPUTED_VALUE"""),43385.64583333333)</f>
        <v>43385.64583</v>
      </c>
      <c r="C97" s="2">
        <f>IFERROR(__xludf.DUMMYFUNCTION("""COMPUTED_VALUE"""),2320.0)</f>
        <v>2320</v>
      </c>
    </row>
    <row r="98" ht="15.75" customHeight="1">
      <c r="B98" s="3">
        <f>IFERROR(__xludf.DUMMYFUNCTION("""COMPUTED_VALUE"""),43392.64583333333)</f>
        <v>43392.64583</v>
      </c>
      <c r="C98" s="2">
        <f>IFERROR(__xludf.DUMMYFUNCTION("""COMPUTED_VALUE"""),2369.25)</f>
        <v>2369.25</v>
      </c>
    </row>
    <row r="99" ht="15.75" customHeight="1">
      <c r="B99" s="3">
        <f>IFERROR(__xludf.DUMMYFUNCTION("""COMPUTED_VALUE"""),43399.64583333333)</f>
        <v>43399.64583</v>
      </c>
      <c r="C99" s="2">
        <f>IFERROR(__xludf.DUMMYFUNCTION("""COMPUTED_VALUE"""),2376.8)</f>
        <v>2376.8</v>
      </c>
    </row>
    <row r="100" ht="15.75" customHeight="1">
      <c r="B100" s="3">
        <f>IFERROR(__xludf.DUMMYFUNCTION("""COMPUTED_VALUE"""),43406.64583333333)</f>
        <v>43406.64583</v>
      </c>
      <c r="C100" s="2">
        <f>IFERROR(__xludf.DUMMYFUNCTION("""COMPUTED_VALUE"""),2474.9)</f>
        <v>2474.9</v>
      </c>
    </row>
    <row r="101" ht="15.75" customHeight="1">
      <c r="B101" s="3">
        <f>IFERROR(__xludf.DUMMYFUNCTION("""COMPUTED_VALUE"""),43413.64583333333)</f>
        <v>43413.64583</v>
      </c>
      <c r="C101" s="2">
        <f>IFERROR(__xludf.DUMMYFUNCTION("""COMPUTED_VALUE"""),2409.0)</f>
        <v>2409</v>
      </c>
    </row>
    <row r="102" ht="15.75" customHeight="1">
      <c r="B102" s="3">
        <f>IFERROR(__xludf.DUMMYFUNCTION("""COMPUTED_VALUE"""),43420.64583333333)</f>
        <v>43420.64583</v>
      </c>
      <c r="C102" s="2">
        <f>IFERROR(__xludf.DUMMYFUNCTION("""COMPUTED_VALUE"""),2417.2)</f>
        <v>2417.2</v>
      </c>
    </row>
    <row r="103" ht="15.75" customHeight="1">
      <c r="B103" s="3">
        <f>IFERROR(__xludf.DUMMYFUNCTION("""COMPUTED_VALUE"""),43426.64583333333)</f>
        <v>43426.64583</v>
      </c>
      <c r="C103" s="2">
        <f>IFERROR(__xludf.DUMMYFUNCTION("""COMPUTED_VALUE"""),2454.8)</f>
        <v>2454.8</v>
      </c>
    </row>
    <row r="104" ht="15.75" customHeight="1">
      <c r="B104" s="3">
        <f>IFERROR(__xludf.DUMMYFUNCTION("""COMPUTED_VALUE"""),43434.64583333333)</f>
        <v>43434.64583</v>
      </c>
      <c r="C104" s="2">
        <f>IFERROR(__xludf.DUMMYFUNCTION("""COMPUTED_VALUE"""),2564.4)</f>
        <v>2564.4</v>
      </c>
    </row>
    <row r="105" ht="15.75" customHeight="1">
      <c r="B105" s="3">
        <f>IFERROR(__xludf.DUMMYFUNCTION("""COMPUTED_VALUE"""),43441.64583333333)</f>
        <v>43441.64583</v>
      </c>
      <c r="C105" s="2">
        <f>IFERROR(__xludf.DUMMYFUNCTION("""COMPUTED_VALUE"""),2555.55)</f>
        <v>2555.55</v>
      </c>
    </row>
    <row r="106" ht="15.75" customHeight="1">
      <c r="B106" s="3">
        <f>IFERROR(__xludf.DUMMYFUNCTION("""COMPUTED_VALUE"""),43448.64583333333)</f>
        <v>43448.64583</v>
      </c>
      <c r="C106" s="2">
        <f>IFERROR(__xludf.DUMMYFUNCTION("""COMPUTED_VALUE"""),2528.95)</f>
        <v>2528.95</v>
      </c>
    </row>
    <row r="107" ht="15.75" customHeight="1">
      <c r="B107" s="3">
        <f>IFERROR(__xludf.DUMMYFUNCTION("""COMPUTED_VALUE"""),43455.64583333333)</f>
        <v>43455.64583</v>
      </c>
      <c r="C107" s="2">
        <f>IFERROR(__xludf.DUMMYFUNCTION("""COMPUTED_VALUE"""),2629.1)</f>
        <v>2629.1</v>
      </c>
    </row>
    <row r="108" ht="15.75" customHeight="1">
      <c r="B108" s="3">
        <f>IFERROR(__xludf.DUMMYFUNCTION("""COMPUTED_VALUE"""),43462.64583333333)</f>
        <v>43462.64583</v>
      </c>
      <c r="C108" s="2">
        <f>IFERROR(__xludf.DUMMYFUNCTION("""COMPUTED_VALUE"""),2643.8)</f>
        <v>2643.8</v>
      </c>
    </row>
    <row r="109" ht="15.75" customHeight="1"/>
    <row r="110" ht="15.75" customHeight="1"/>
    <row r="111" ht="15.75" customHeight="1">
      <c r="B111" s="2" t="str">
        <f>IFERROR(__xludf.DUMMYFUNCTION("GOOGLEFINANCE(""NSE:BAJFINANCE"", ""high"",DATE(2019,1,1),DATE(2020,1,1),""weekly"")"),"Date")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IFERROR(__xludf.DUMMYFUNCTION("""COMPUTED_VALUE"""),43469.64583333333)</f>
        <v>43469.64583</v>
      </c>
      <c r="C112" s="2">
        <f>IFERROR(__xludf.DUMMYFUNCTION("""COMPUTED_VALUE"""),2666.3)</f>
        <v>2666.3</v>
      </c>
    </row>
    <row r="113" ht="15.75" customHeight="1">
      <c r="B113" s="3">
        <f>IFERROR(__xludf.DUMMYFUNCTION("""COMPUTED_VALUE"""),43476.64583333333)</f>
        <v>43476.64583</v>
      </c>
      <c r="C113" s="2">
        <f>IFERROR(__xludf.DUMMYFUNCTION("""COMPUTED_VALUE"""),2605.0)</f>
        <v>2605</v>
      </c>
    </row>
    <row r="114" ht="15.75" customHeight="1">
      <c r="B114" s="3">
        <f>IFERROR(__xludf.DUMMYFUNCTION("""COMPUTED_VALUE"""),43483.64583333333)</f>
        <v>43483.64583</v>
      </c>
      <c r="C114" s="2">
        <f>IFERROR(__xludf.DUMMYFUNCTION("""COMPUTED_VALUE"""),2613.0)</f>
        <v>2613</v>
      </c>
    </row>
    <row r="115" ht="15.75" customHeight="1">
      <c r="B115" s="3">
        <f>IFERROR(__xludf.DUMMYFUNCTION("""COMPUTED_VALUE"""),43490.64583333333)</f>
        <v>43490.64583</v>
      </c>
      <c r="C115" s="2">
        <f>IFERROR(__xludf.DUMMYFUNCTION("""COMPUTED_VALUE"""),2661.0)</f>
        <v>2661</v>
      </c>
    </row>
    <row r="116" ht="15.75" customHeight="1">
      <c r="B116" s="3">
        <f>IFERROR(__xludf.DUMMYFUNCTION("""COMPUTED_VALUE"""),43497.64583333333)</f>
        <v>43497.64583</v>
      </c>
      <c r="C116" s="2">
        <f>IFERROR(__xludf.DUMMYFUNCTION("""COMPUTED_VALUE"""),2687.9)</f>
        <v>2687.9</v>
      </c>
    </row>
    <row r="117" ht="15.75" customHeight="1">
      <c r="B117" s="3">
        <f>IFERROR(__xludf.DUMMYFUNCTION("""COMPUTED_VALUE"""),43504.64583333333)</f>
        <v>43504.64583</v>
      </c>
      <c r="C117" s="2">
        <f>IFERROR(__xludf.DUMMYFUNCTION("""COMPUTED_VALUE"""),2737.45)</f>
        <v>2737.45</v>
      </c>
    </row>
    <row r="118" ht="15.75" customHeight="1">
      <c r="B118" s="3">
        <f>IFERROR(__xludf.DUMMYFUNCTION("""COMPUTED_VALUE"""),43511.64583333333)</f>
        <v>43511.64583</v>
      </c>
      <c r="C118" s="2">
        <f>IFERROR(__xludf.DUMMYFUNCTION("""COMPUTED_VALUE"""),2724.7)</f>
        <v>2724.7</v>
      </c>
    </row>
    <row r="119" ht="15.75" customHeight="1">
      <c r="B119" s="3">
        <f>IFERROR(__xludf.DUMMYFUNCTION("""COMPUTED_VALUE"""),43518.64583333333)</f>
        <v>43518.64583</v>
      </c>
      <c r="C119" s="2">
        <f>IFERROR(__xludf.DUMMYFUNCTION("""COMPUTED_VALUE"""),2674.0)</f>
        <v>2674</v>
      </c>
    </row>
    <row r="120" ht="15.75" customHeight="1">
      <c r="B120" s="3">
        <f>IFERROR(__xludf.DUMMYFUNCTION("""COMPUTED_VALUE"""),43525.64583333333)</f>
        <v>43525.64583</v>
      </c>
      <c r="C120" s="2">
        <f>IFERROR(__xludf.DUMMYFUNCTION("""COMPUTED_VALUE"""),2696.65)</f>
        <v>2696.65</v>
      </c>
    </row>
    <row r="121" ht="15.75" customHeight="1">
      <c r="B121" s="3">
        <f>IFERROR(__xludf.DUMMYFUNCTION("""COMPUTED_VALUE"""),43532.64583333333)</f>
        <v>43532.64583</v>
      </c>
      <c r="C121" s="2">
        <f>IFERROR(__xludf.DUMMYFUNCTION("""COMPUTED_VALUE"""),2782.3)</f>
        <v>2782.3</v>
      </c>
    </row>
    <row r="122" ht="15.75" customHeight="1">
      <c r="B122" s="3">
        <f>IFERROR(__xludf.DUMMYFUNCTION("""COMPUTED_VALUE"""),43539.64583333333)</f>
        <v>43539.64583</v>
      </c>
      <c r="C122" s="2">
        <f>IFERROR(__xludf.DUMMYFUNCTION("""COMPUTED_VALUE"""),2899.0)</f>
        <v>2899</v>
      </c>
    </row>
    <row r="123" ht="15.75" customHeight="1">
      <c r="B123" s="3">
        <f>IFERROR(__xludf.DUMMYFUNCTION("""COMPUTED_VALUE"""),43546.64583333333)</f>
        <v>43546.64583</v>
      </c>
      <c r="C123" s="2">
        <f>IFERROR(__xludf.DUMMYFUNCTION("""COMPUTED_VALUE"""),2962.9)</f>
        <v>2962.9</v>
      </c>
    </row>
    <row r="124" ht="15.75" customHeight="1">
      <c r="B124" s="3">
        <f>IFERROR(__xludf.DUMMYFUNCTION("""COMPUTED_VALUE"""),43553.64583333333)</f>
        <v>43553.64583</v>
      </c>
      <c r="C124" s="2">
        <f>IFERROR(__xludf.DUMMYFUNCTION("""COMPUTED_VALUE"""),3034.95)</f>
        <v>3034.95</v>
      </c>
    </row>
    <row r="125" ht="15.75" customHeight="1">
      <c r="B125" s="3">
        <f>IFERROR(__xludf.DUMMYFUNCTION("""COMPUTED_VALUE"""),43560.64583333333)</f>
        <v>43560.64583</v>
      </c>
      <c r="C125" s="2">
        <f>IFERROR(__xludf.DUMMYFUNCTION("""COMPUTED_VALUE"""),3125.0)</f>
        <v>3125</v>
      </c>
    </row>
    <row r="126" ht="15.75" customHeight="1">
      <c r="B126" s="3">
        <f>IFERROR(__xludf.DUMMYFUNCTION("""COMPUTED_VALUE"""),43567.64583333333)</f>
        <v>43567.64583</v>
      </c>
      <c r="C126" s="2">
        <f>IFERROR(__xludf.DUMMYFUNCTION("""COMPUTED_VALUE"""),3130.0)</f>
        <v>3130</v>
      </c>
    </row>
    <row r="127" ht="15.75" customHeight="1">
      <c r="B127" s="3">
        <f>IFERROR(__xludf.DUMMYFUNCTION("""COMPUTED_VALUE"""),43573.64583333333)</f>
        <v>43573.64583</v>
      </c>
      <c r="C127" s="2">
        <f>IFERROR(__xludf.DUMMYFUNCTION("""COMPUTED_VALUE"""),3057.3)</f>
        <v>3057.3</v>
      </c>
    </row>
    <row r="128" ht="15.75" customHeight="1">
      <c r="B128" s="3">
        <f>IFERROR(__xludf.DUMMYFUNCTION("""COMPUTED_VALUE"""),43581.64583333333)</f>
        <v>43581.64583</v>
      </c>
      <c r="C128" s="2">
        <f>IFERROR(__xludf.DUMMYFUNCTION("""COMPUTED_VALUE"""),3114.4)</f>
        <v>3114.4</v>
      </c>
    </row>
    <row r="129" ht="15.75" customHeight="1">
      <c r="B129" s="3">
        <f>IFERROR(__xludf.DUMMYFUNCTION("""COMPUTED_VALUE"""),43588.64583333333)</f>
        <v>43588.64583</v>
      </c>
      <c r="C129" s="2">
        <f>IFERROR(__xludf.DUMMYFUNCTION("""COMPUTED_VALUE"""),3165.0)</f>
        <v>3165</v>
      </c>
    </row>
    <row r="130" ht="15.75" customHeight="1">
      <c r="B130" s="3">
        <f>IFERROR(__xludf.DUMMYFUNCTION("""COMPUTED_VALUE"""),43595.64583333333)</f>
        <v>43595.64583</v>
      </c>
      <c r="C130" s="2">
        <f>IFERROR(__xludf.DUMMYFUNCTION("""COMPUTED_VALUE"""),3094.0)</f>
        <v>3094</v>
      </c>
    </row>
    <row r="131" ht="15.75" customHeight="1">
      <c r="B131" s="3">
        <f>IFERROR(__xludf.DUMMYFUNCTION("""COMPUTED_VALUE"""),43602.64583333333)</f>
        <v>43602.64583</v>
      </c>
      <c r="C131" s="2">
        <f>IFERROR(__xludf.DUMMYFUNCTION("""COMPUTED_VALUE"""),3316.0)</f>
        <v>3316</v>
      </c>
    </row>
    <row r="132" ht="15.75" customHeight="1">
      <c r="B132" s="3">
        <f>IFERROR(__xludf.DUMMYFUNCTION("""COMPUTED_VALUE"""),43609.64583333333)</f>
        <v>43609.64583</v>
      </c>
      <c r="C132" s="2">
        <f>IFERROR(__xludf.DUMMYFUNCTION("""COMPUTED_VALUE"""),3518.0)</f>
        <v>3518</v>
      </c>
    </row>
    <row r="133" ht="15.75" customHeight="1">
      <c r="B133" s="3">
        <f>IFERROR(__xludf.DUMMYFUNCTION("""COMPUTED_VALUE"""),43616.64583333333)</f>
        <v>43616.64583</v>
      </c>
      <c r="C133" s="2">
        <f>IFERROR(__xludf.DUMMYFUNCTION("""COMPUTED_VALUE"""),3531.0)</f>
        <v>3531</v>
      </c>
    </row>
    <row r="134" ht="15.75" customHeight="1">
      <c r="B134" s="3">
        <f>IFERROR(__xludf.DUMMYFUNCTION("""COMPUTED_VALUE"""),43623.64583333333)</f>
        <v>43623.64583</v>
      </c>
      <c r="C134" s="2">
        <f>IFERROR(__xludf.DUMMYFUNCTION("""COMPUTED_VALUE"""),3550.0)</f>
        <v>3550</v>
      </c>
    </row>
    <row r="135" ht="15.75" customHeight="1">
      <c r="B135" s="3">
        <f>IFERROR(__xludf.DUMMYFUNCTION("""COMPUTED_VALUE"""),43630.64583333333)</f>
        <v>43630.64583</v>
      </c>
      <c r="C135" s="2">
        <f>IFERROR(__xludf.DUMMYFUNCTION("""COMPUTED_VALUE"""),3569.8)</f>
        <v>3569.8</v>
      </c>
    </row>
    <row r="136" ht="15.75" customHeight="1">
      <c r="B136" s="3">
        <f>IFERROR(__xludf.DUMMYFUNCTION("""COMPUTED_VALUE"""),43637.64583333333)</f>
        <v>43637.64583</v>
      </c>
      <c r="C136" s="2">
        <f>IFERROR(__xludf.DUMMYFUNCTION("""COMPUTED_VALUE"""),3599.0)</f>
        <v>3599</v>
      </c>
    </row>
    <row r="137" ht="15.75" customHeight="1">
      <c r="B137" s="3">
        <f>IFERROR(__xludf.DUMMYFUNCTION("""COMPUTED_VALUE"""),43644.64583333333)</f>
        <v>43644.64583</v>
      </c>
      <c r="C137" s="2">
        <f>IFERROR(__xludf.DUMMYFUNCTION("""COMPUTED_VALUE"""),3693.25)</f>
        <v>3693.25</v>
      </c>
    </row>
    <row r="138" ht="15.75" customHeight="1">
      <c r="B138" s="3">
        <f>IFERROR(__xludf.DUMMYFUNCTION("""COMPUTED_VALUE"""),43651.64583333333)</f>
        <v>43651.64583</v>
      </c>
      <c r="C138" s="2">
        <f>IFERROR(__xludf.DUMMYFUNCTION("""COMPUTED_VALUE"""),3762.0)</f>
        <v>3762</v>
      </c>
    </row>
    <row r="139" ht="15.75" customHeight="1">
      <c r="B139" s="3">
        <f>IFERROR(__xludf.DUMMYFUNCTION("""COMPUTED_VALUE"""),43658.64583333333)</f>
        <v>43658.64583</v>
      </c>
      <c r="C139" s="2">
        <f>IFERROR(__xludf.DUMMYFUNCTION("""COMPUTED_VALUE"""),3724.95)</f>
        <v>3724.95</v>
      </c>
    </row>
    <row r="140" ht="15.75" customHeight="1">
      <c r="B140" s="3">
        <f>IFERROR(__xludf.DUMMYFUNCTION("""COMPUTED_VALUE"""),43665.64583333333)</f>
        <v>43665.64583</v>
      </c>
      <c r="C140" s="2">
        <f>IFERROR(__xludf.DUMMYFUNCTION("""COMPUTED_VALUE"""),3520.0)</f>
        <v>3520</v>
      </c>
    </row>
    <row r="141" ht="15.75" customHeight="1">
      <c r="B141" s="3">
        <f>IFERROR(__xludf.DUMMYFUNCTION("""COMPUTED_VALUE"""),43672.64583333333)</f>
        <v>43672.64583</v>
      </c>
      <c r="C141" s="2">
        <f>IFERROR(__xludf.DUMMYFUNCTION("""COMPUTED_VALUE"""),3316.0)</f>
        <v>3316</v>
      </c>
    </row>
    <row r="142" ht="15.75" customHeight="1">
      <c r="B142" s="3">
        <f>IFERROR(__xludf.DUMMYFUNCTION("""COMPUTED_VALUE"""),43679.64583333333)</f>
        <v>43679.64583</v>
      </c>
      <c r="C142" s="2">
        <f>IFERROR(__xludf.DUMMYFUNCTION("""COMPUTED_VALUE"""),3300.0)</f>
        <v>3300</v>
      </c>
    </row>
    <row r="143" ht="15.75" customHeight="1">
      <c r="B143" s="3">
        <f>IFERROR(__xludf.DUMMYFUNCTION("""COMPUTED_VALUE"""),43686.64583333333)</f>
        <v>43686.64583</v>
      </c>
      <c r="C143" s="2">
        <f>IFERROR(__xludf.DUMMYFUNCTION("""COMPUTED_VALUE"""),3449.6)</f>
        <v>3449.6</v>
      </c>
    </row>
    <row r="144" ht="15.75" customHeight="1">
      <c r="B144" s="3">
        <f>IFERROR(__xludf.DUMMYFUNCTION("""COMPUTED_VALUE"""),43693.64583333333)</f>
        <v>43693.64583</v>
      </c>
      <c r="C144" s="2">
        <f>IFERROR(__xludf.DUMMYFUNCTION("""COMPUTED_VALUE"""),3424.0)</f>
        <v>3424</v>
      </c>
    </row>
    <row r="145" ht="15.75" customHeight="1">
      <c r="B145" s="3">
        <f>IFERROR(__xludf.DUMMYFUNCTION("""COMPUTED_VALUE"""),43700.64583333333)</f>
        <v>43700.64583</v>
      </c>
      <c r="C145" s="2">
        <f>IFERROR(__xludf.DUMMYFUNCTION("""COMPUTED_VALUE"""),3379.0)</f>
        <v>3379</v>
      </c>
    </row>
    <row r="146" ht="15.75" customHeight="1">
      <c r="B146" s="3">
        <f>IFERROR(__xludf.DUMMYFUNCTION("""COMPUTED_VALUE"""),43707.64583333333)</f>
        <v>43707.64583</v>
      </c>
      <c r="C146" s="2">
        <f>IFERROR(__xludf.DUMMYFUNCTION("""COMPUTED_VALUE"""),3398.0)</f>
        <v>3398</v>
      </c>
    </row>
    <row r="147" ht="15.75" customHeight="1">
      <c r="B147" s="3">
        <f>IFERROR(__xludf.DUMMYFUNCTION("""COMPUTED_VALUE"""),43714.64583333333)</f>
        <v>43714.64583</v>
      </c>
      <c r="C147" s="2">
        <f>IFERROR(__xludf.DUMMYFUNCTION("""COMPUTED_VALUE"""),3388.0)</f>
        <v>3388</v>
      </c>
    </row>
    <row r="148" ht="15.75" customHeight="1">
      <c r="B148" s="3">
        <f>IFERROR(__xludf.DUMMYFUNCTION("""COMPUTED_VALUE"""),43721.64583333333)</f>
        <v>43721.64583</v>
      </c>
      <c r="C148" s="2">
        <f>IFERROR(__xludf.DUMMYFUNCTION("""COMPUTED_VALUE"""),3456.0)</f>
        <v>3456</v>
      </c>
    </row>
    <row r="149" ht="15.75" customHeight="1">
      <c r="B149" s="3">
        <f>IFERROR(__xludf.DUMMYFUNCTION("""COMPUTED_VALUE"""),43728.64583333333)</f>
        <v>43728.64583</v>
      </c>
      <c r="C149" s="2">
        <f>IFERROR(__xludf.DUMMYFUNCTION("""COMPUTED_VALUE"""),3750.0)</f>
        <v>3750</v>
      </c>
    </row>
    <row r="150" ht="15.75" customHeight="1">
      <c r="B150" s="3">
        <f>IFERROR(__xludf.DUMMYFUNCTION("""COMPUTED_VALUE"""),43735.64583333333)</f>
        <v>43735.64583</v>
      </c>
      <c r="C150" s="2">
        <f>IFERROR(__xludf.DUMMYFUNCTION("""COMPUTED_VALUE"""),4085.0)</f>
        <v>4085</v>
      </c>
    </row>
    <row r="151" ht="15.75" customHeight="1">
      <c r="B151" s="3">
        <f>IFERROR(__xludf.DUMMYFUNCTION("""COMPUTED_VALUE"""),43742.64583333333)</f>
        <v>43742.64583</v>
      </c>
      <c r="C151" s="2">
        <f>IFERROR(__xludf.DUMMYFUNCTION("""COMPUTED_VALUE"""),4111.75)</f>
        <v>4111.75</v>
      </c>
    </row>
    <row r="152" ht="15.75" customHeight="1">
      <c r="B152" s="3">
        <f>IFERROR(__xludf.DUMMYFUNCTION("""COMPUTED_VALUE"""),43749.64583333333)</f>
        <v>43749.64583</v>
      </c>
      <c r="C152" s="2">
        <f>IFERROR(__xludf.DUMMYFUNCTION("""COMPUTED_VALUE"""),4035.0)</f>
        <v>4035</v>
      </c>
    </row>
    <row r="153" ht="15.75" customHeight="1">
      <c r="B153" s="3">
        <f>IFERROR(__xludf.DUMMYFUNCTION("""COMPUTED_VALUE"""),43756.64583333333)</f>
        <v>43756.64583</v>
      </c>
      <c r="C153" s="2">
        <f>IFERROR(__xludf.DUMMYFUNCTION("""COMPUTED_VALUE"""),4199.0)</f>
        <v>4199</v>
      </c>
    </row>
    <row r="154" ht="15.75" customHeight="1">
      <c r="B154" s="3">
        <f>IFERROR(__xludf.DUMMYFUNCTION("""COMPUTED_VALUE"""),43763.79166666667)</f>
        <v>43763.79167</v>
      </c>
      <c r="C154" s="2">
        <f>IFERROR(__xludf.DUMMYFUNCTION("""COMPUTED_VALUE"""),4219.85)</f>
        <v>4219.85</v>
      </c>
    </row>
    <row r="155" ht="15.75" customHeight="1">
      <c r="B155" s="3">
        <f>IFERROR(__xludf.DUMMYFUNCTION("""COMPUTED_VALUE"""),43770.64583333333)</f>
        <v>43770.64583</v>
      </c>
      <c r="C155" s="2">
        <f>IFERROR(__xludf.DUMMYFUNCTION("""COMPUTED_VALUE"""),4110.0)</f>
        <v>4110</v>
      </c>
    </row>
    <row r="156" ht="15.75" customHeight="1">
      <c r="B156" s="3">
        <f>IFERROR(__xludf.DUMMYFUNCTION("""COMPUTED_VALUE"""),43777.64583333333)</f>
        <v>43777.64583</v>
      </c>
      <c r="C156" s="2">
        <f>IFERROR(__xludf.DUMMYFUNCTION("""COMPUTED_VALUE"""),4280.0)</f>
        <v>4280</v>
      </c>
    </row>
    <row r="157" ht="15.75" customHeight="1">
      <c r="B157" s="3">
        <f>IFERROR(__xludf.DUMMYFUNCTION("""COMPUTED_VALUE"""),43784.64583333333)</f>
        <v>43784.64583</v>
      </c>
      <c r="C157" s="2">
        <f>IFERROR(__xludf.DUMMYFUNCTION("""COMPUTED_VALUE"""),4247.25)</f>
        <v>4247.25</v>
      </c>
    </row>
    <row r="158" ht="15.75" customHeight="1">
      <c r="B158" s="3">
        <f>IFERROR(__xludf.DUMMYFUNCTION("""COMPUTED_VALUE"""),43791.64583333333)</f>
        <v>43791.64583</v>
      </c>
      <c r="C158" s="2">
        <f>IFERROR(__xludf.DUMMYFUNCTION("""COMPUTED_VALUE"""),4209.55)</f>
        <v>4209.55</v>
      </c>
    </row>
    <row r="159" ht="15.75" customHeight="1">
      <c r="B159" s="3">
        <f>IFERROR(__xludf.DUMMYFUNCTION("""COMPUTED_VALUE"""),43798.64583333333)</f>
        <v>43798.64583</v>
      </c>
      <c r="C159" s="2">
        <f>IFERROR(__xludf.DUMMYFUNCTION("""COMPUTED_VALUE"""),4173.95)</f>
        <v>4173.95</v>
      </c>
    </row>
    <row r="160" ht="15.75" customHeight="1">
      <c r="B160" s="3">
        <f>IFERROR(__xludf.DUMMYFUNCTION("""COMPUTED_VALUE"""),43805.64583333333)</f>
        <v>43805.64583</v>
      </c>
      <c r="C160" s="2">
        <f>IFERROR(__xludf.DUMMYFUNCTION("""COMPUTED_VALUE"""),4077.35)</f>
        <v>4077.35</v>
      </c>
    </row>
    <row r="161" ht="15.75" customHeight="1">
      <c r="B161" s="3">
        <f>IFERROR(__xludf.DUMMYFUNCTION("""COMPUTED_VALUE"""),43812.64583333333)</f>
        <v>43812.64583</v>
      </c>
      <c r="C161" s="2">
        <f>IFERROR(__xludf.DUMMYFUNCTION("""COMPUTED_VALUE"""),4089.25)</f>
        <v>4089.25</v>
      </c>
    </row>
    <row r="162" ht="15.75" customHeight="1">
      <c r="B162" s="3">
        <f>IFERROR(__xludf.DUMMYFUNCTION("""COMPUTED_VALUE"""),43819.64583333333)</f>
        <v>43819.64583</v>
      </c>
      <c r="C162" s="2">
        <f>IFERROR(__xludf.DUMMYFUNCTION("""COMPUTED_VALUE"""),4158.85)</f>
        <v>4158.85</v>
      </c>
    </row>
    <row r="163" ht="15.75" customHeight="1">
      <c r="B163" s="3">
        <f>IFERROR(__xludf.DUMMYFUNCTION("""COMPUTED_VALUE"""),43826.64583333333)</f>
        <v>43826.64583</v>
      </c>
      <c r="C163" s="2">
        <f>IFERROR(__xludf.DUMMYFUNCTION("""COMPUTED_VALUE"""),4260.0)</f>
        <v>4260</v>
      </c>
    </row>
    <row r="164" ht="15.75" customHeight="1"/>
    <row r="165" ht="15.75" customHeight="1"/>
    <row r="166" ht="15.75" customHeight="1">
      <c r="B166" s="2" t="str">
        <f>IFERROR(__xludf.DUMMYFUNCTION("GOOGLEFINANCE(""NSE:BAJFINANCE"", ""high"",DATE(2020,1,1),DATE(2021,1,1),""weekly"")"),"Date")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IFERROR(__xludf.DUMMYFUNCTION("""COMPUTED_VALUE"""),43833.64583333333)</f>
        <v>43833.64583</v>
      </c>
      <c r="C167" s="2">
        <f>IFERROR(__xludf.DUMMYFUNCTION("""COMPUTED_VALUE"""),4295.75)</f>
        <v>4295.75</v>
      </c>
    </row>
    <row r="168" ht="15.75" customHeight="1">
      <c r="B168" s="3">
        <f>IFERROR(__xludf.DUMMYFUNCTION("""COMPUTED_VALUE"""),43840.64583333333)</f>
        <v>43840.64583</v>
      </c>
      <c r="C168" s="2">
        <f>IFERROR(__xludf.DUMMYFUNCTION("""COMPUTED_VALUE"""),4204.0)</f>
        <v>4204</v>
      </c>
    </row>
    <row r="169" ht="15.75" customHeight="1">
      <c r="B169" s="3">
        <f>IFERROR(__xludf.DUMMYFUNCTION("""COMPUTED_VALUE"""),43847.64583333333)</f>
        <v>43847.64583</v>
      </c>
      <c r="C169" s="2">
        <f>IFERROR(__xludf.DUMMYFUNCTION("""COMPUTED_VALUE"""),4242.0)</f>
        <v>4242</v>
      </c>
    </row>
    <row r="170" ht="15.75" customHeight="1">
      <c r="B170" s="3">
        <f>IFERROR(__xludf.DUMMYFUNCTION("""COMPUTED_VALUE"""),43854.64583333333)</f>
        <v>43854.64583</v>
      </c>
      <c r="C170" s="2">
        <f>IFERROR(__xludf.DUMMYFUNCTION("""COMPUTED_VALUE"""),4252.95)</f>
        <v>4252.95</v>
      </c>
    </row>
    <row r="171" ht="15.75" customHeight="1">
      <c r="B171" s="3">
        <f>IFERROR(__xludf.DUMMYFUNCTION("""COMPUTED_VALUE"""),43862.70833333333)</f>
        <v>43862.70833</v>
      </c>
      <c r="C171" s="2">
        <f>IFERROR(__xludf.DUMMYFUNCTION("""COMPUTED_VALUE"""),4485.0)</f>
        <v>4485</v>
      </c>
    </row>
    <row r="172" ht="15.75" customHeight="1">
      <c r="B172" s="3">
        <f>IFERROR(__xludf.DUMMYFUNCTION("""COMPUTED_VALUE"""),43868.64583333333)</f>
        <v>43868.64583</v>
      </c>
      <c r="C172" s="2">
        <f>IFERROR(__xludf.DUMMYFUNCTION("""COMPUTED_VALUE"""),4686.9)</f>
        <v>4686.9</v>
      </c>
    </row>
    <row r="173" ht="15.75" customHeight="1">
      <c r="B173" s="3">
        <f>IFERROR(__xludf.DUMMYFUNCTION("""COMPUTED_VALUE"""),43875.64583333333)</f>
        <v>43875.64583</v>
      </c>
      <c r="C173" s="2">
        <f>IFERROR(__xludf.DUMMYFUNCTION("""COMPUTED_VALUE"""),4815.0)</f>
        <v>4815</v>
      </c>
    </row>
    <row r="174" ht="15.75" customHeight="1">
      <c r="B174" s="3">
        <f>IFERROR(__xludf.DUMMYFUNCTION("""COMPUTED_VALUE"""),43881.64583333333)</f>
        <v>43881.64583</v>
      </c>
      <c r="C174" s="2">
        <f>IFERROR(__xludf.DUMMYFUNCTION("""COMPUTED_VALUE"""),4923.4)</f>
        <v>4923.4</v>
      </c>
    </row>
    <row r="175" ht="15.75" customHeight="1">
      <c r="B175" s="3">
        <f>IFERROR(__xludf.DUMMYFUNCTION("""COMPUTED_VALUE"""),43889.64583333333)</f>
        <v>43889.64583</v>
      </c>
      <c r="C175" s="2">
        <f>IFERROR(__xludf.DUMMYFUNCTION("""COMPUTED_VALUE"""),4876.0)</f>
        <v>4876</v>
      </c>
    </row>
    <row r="176" ht="15.75" customHeight="1">
      <c r="B176" s="3">
        <f>IFERROR(__xludf.DUMMYFUNCTION("""COMPUTED_VALUE"""),43896.64583333333)</f>
        <v>43896.64583</v>
      </c>
      <c r="C176" s="2">
        <f>IFERROR(__xludf.DUMMYFUNCTION("""COMPUTED_VALUE"""),4617.95)</f>
        <v>4617.95</v>
      </c>
    </row>
    <row r="177" ht="15.75" customHeight="1">
      <c r="B177" s="3">
        <f>IFERROR(__xludf.DUMMYFUNCTION("""COMPUTED_VALUE"""),43903.64583333333)</f>
        <v>43903.64583</v>
      </c>
      <c r="C177" s="2">
        <f>IFERROR(__xludf.DUMMYFUNCTION("""COMPUTED_VALUE"""),4127.5)</f>
        <v>4127.5</v>
      </c>
    </row>
    <row r="178" ht="15.75" customHeight="1">
      <c r="B178" s="3">
        <f>IFERROR(__xludf.DUMMYFUNCTION("""COMPUTED_VALUE"""),43910.64583333333)</f>
        <v>43910.64583</v>
      </c>
      <c r="C178" s="2">
        <f>IFERROR(__xludf.DUMMYFUNCTION("""COMPUTED_VALUE"""),3833.45)</f>
        <v>3833.45</v>
      </c>
    </row>
    <row r="179" ht="15.75" customHeight="1">
      <c r="B179" s="3">
        <f>IFERROR(__xludf.DUMMYFUNCTION("""COMPUTED_VALUE"""),43917.64583333333)</f>
        <v>43917.64583</v>
      </c>
      <c r="C179" s="2">
        <f>IFERROR(__xludf.DUMMYFUNCTION("""COMPUTED_VALUE"""),3040.0)</f>
        <v>3040</v>
      </c>
    </row>
    <row r="180" ht="15.75" customHeight="1">
      <c r="B180" s="3">
        <f>IFERROR(__xludf.DUMMYFUNCTION("""COMPUTED_VALUE"""),43924.64583333333)</f>
        <v>43924.64583</v>
      </c>
      <c r="C180" s="2">
        <f>IFERROR(__xludf.DUMMYFUNCTION("""COMPUTED_VALUE"""),2414.4)</f>
        <v>2414.4</v>
      </c>
    </row>
    <row r="181" ht="15.75" customHeight="1">
      <c r="B181" s="3">
        <f>IFERROR(__xludf.DUMMYFUNCTION("""COMPUTED_VALUE"""),43930.64583333333)</f>
        <v>43930.64583</v>
      </c>
      <c r="C181" s="2">
        <f>IFERROR(__xludf.DUMMYFUNCTION("""COMPUTED_VALUE"""),2566.15)</f>
        <v>2566.15</v>
      </c>
    </row>
    <row r="182" ht="15.75" customHeight="1">
      <c r="B182" s="3">
        <f>IFERROR(__xludf.DUMMYFUNCTION("""COMPUTED_VALUE"""),43938.64583333333)</f>
        <v>43938.64583</v>
      </c>
      <c r="C182" s="2">
        <f>IFERROR(__xludf.DUMMYFUNCTION("""COMPUTED_VALUE"""),2520.0)</f>
        <v>2520</v>
      </c>
    </row>
    <row r="183" ht="15.75" customHeight="1">
      <c r="B183" s="3">
        <f>IFERROR(__xludf.DUMMYFUNCTION("""COMPUTED_VALUE"""),43945.64583333333)</f>
        <v>43945.64583</v>
      </c>
      <c r="C183" s="2">
        <f>IFERROR(__xludf.DUMMYFUNCTION("""COMPUTED_VALUE"""),2345.5)</f>
        <v>2345.5</v>
      </c>
    </row>
    <row r="184" ht="15.75" customHeight="1">
      <c r="B184" s="3">
        <f>IFERROR(__xludf.DUMMYFUNCTION("""COMPUTED_VALUE"""),43951.64583333333)</f>
        <v>43951.64583</v>
      </c>
      <c r="C184" s="2">
        <f>IFERROR(__xludf.DUMMYFUNCTION("""COMPUTED_VALUE"""),2418.95)</f>
        <v>2418.95</v>
      </c>
    </row>
    <row r="185" ht="15.75" customHeight="1">
      <c r="B185" s="3">
        <f>IFERROR(__xludf.DUMMYFUNCTION("""COMPUTED_VALUE"""),43959.64583333333)</f>
        <v>43959.64583</v>
      </c>
      <c r="C185" s="2">
        <f>IFERROR(__xludf.DUMMYFUNCTION("""COMPUTED_VALUE"""),2202.2)</f>
        <v>2202.2</v>
      </c>
    </row>
    <row r="186" ht="15.75" customHeight="1">
      <c r="B186" s="3">
        <f>IFERROR(__xludf.DUMMYFUNCTION("""COMPUTED_VALUE"""),43966.64583333333)</f>
        <v>43966.64583</v>
      </c>
      <c r="C186" s="2">
        <f>IFERROR(__xludf.DUMMYFUNCTION("""COMPUTED_VALUE"""),2258.95)</f>
        <v>2258.95</v>
      </c>
    </row>
    <row r="187" ht="15.75" customHeight="1">
      <c r="B187" s="3">
        <f>IFERROR(__xludf.DUMMYFUNCTION("""COMPUTED_VALUE"""),43973.64583333333)</f>
        <v>43973.64583</v>
      </c>
      <c r="C187" s="2">
        <f>IFERROR(__xludf.DUMMYFUNCTION("""COMPUTED_VALUE"""),2093.45)</f>
        <v>2093.45</v>
      </c>
    </row>
    <row r="188" ht="15.75" customHeight="1">
      <c r="B188" s="3">
        <f>IFERROR(__xludf.DUMMYFUNCTION("""COMPUTED_VALUE"""),43980.64583333333)</f>
        <v>43980.64583</v>
      </c>
      <c r="C188" s="2">
        <f>IFERROR(__xludf.DUMMYFUNCTION("""COMPUTED_VALUE"""),1983.0)</f>
        <v>1983</v>
      </c>
    </row>
    <row r="189" ht="15.75" customHeight="1">
      <c r="B189" s="3">
        <f>IFERROR(__xludf.DUMMYFUNCTION("""COMPUTED_VALUE"""),43987.64583333333)</f>
        <v>43987.64583</v>
      </c>
      <c r="C189" s="2">
        <f>IFERROR(__xludf.DUMMYFUNCTION("""COMPUTED_VALUE"""),2496.85)</f>
        <v>2496.85</v>
      </c>
    </row>
    <row r="190" ht="15.75" customHeight="1">
      <c r="B190" s="3">
        <f>IFERROR(__xludf.DUMMYFUNCTION("""COMPUTED_VALUE"""),43994.64583333333)</f>
        <v>43994.64583</v>
      </c>
      <c r="C190" s="2">
        <f>IFERROR(__xludf.DUMMYFUNCTION("""COMPUTED_VALUE"""),2547.7)</f>
        <v>2547.7</v>
      </c>
    </row>
    <row r="191" ht="15.75" customHeight="1">
      <c r="B191" s="3">
        <f>IFERROR(__xludf.DUMMYFUNCTION("""COMPUTED_VALUE"""),44001.64583333333)</f>
        <v>44001.64583</v>
      </c>
      <c r="C191" s="2">
        <f>IFERROR(__xludf.DUMMYFUNCTION("""COMPUTED_VALUE"""),2714.55)</f>
        <v>2714.55</v>
      </c>
    </row>
    <row r="192" ht="15.75" customHeight="1">
      <c r="B192" s="3">
        <f>IFERROR(__xludf.DUMMYFUNCTION("""COMPUTED_VALUE"""),44008.64583333333)</f>
        <v>44008.64583</v>
      </c>
      <c r="C192" s="2">
        <f>IFERROR(__xludf.DUMMYFUNCTION("""COMPUTED_VALUE"""),3125.0)</f>
        <v>3125</v>
      </c>
    </row>
    <row r="193" ht="15.75" customHeight="1">
      <c r="B193" s="3">
        <f>IFERROR(__xludf.DUMMYFUNCTION("""COMPUTED_VALUE"""),44015.64583333333)</f>
        <v>44015.64583</v>
      </c>
      <c r="C193" s="2">
        <f>IFERROR(__xludf.DUMMYFUNCTION("""COMPUTED_VALUE"""),3016.0)</f>
        <v>3016</v>
      </c>
    </row>
    <row r="194" ht="15.75" customHeight="1">
      <c r="B194" s="3">
        <f>IFERROR(__xludf.DUMMYFUNCTION("""COMPUTED_VALUE"""),44022.64583333333)</f>
        <v>44022.64583</v>
      </c>
      <c r="C194" s="2">
        <f>IFERROR(__xludf.DUMMYFUNCTION("""COMPUTED_VALUE"""),3419.65)</f>
        <v>3419.65</v>
      </c>
    </row>
    <row r="195" ht="15.75" customHeight="1">
      <c r="B195" s="3">
        <f>IFERROR(__xludf.DUMMYFUNCTION("""COMPUTED_VALUE"""),44029.64583333333)</f>
        <v>44029.64583</v>
      </c>
      <c r="C195" s="2">
        <f>IFERROR(__xludf.DUMMYFUNCTION("""COMPUTED_VALUE"""),3378.0)</f>
        <v>3378</v>
      </c>
    </row>
    <row r="196" ht="15.75" customHeight="1">
      <c r="B196" s="3">
        <f>IFERROR(__xludf.DUMMYFUNCTION("""COMPUTED_VALUE"""),44036.64583333333)</f>
        <v>44036.64583</v>
      </c>
      <c r="C196" s="2">
        <f>IFERROR(__xludf.DUMMYFUNCTION("""COMPUTED_VALUE"""),3519.5)</f>
        <v>3519.5</v>
      </c>
    </row>
    <row r="197" ht="15.75" customHeight="1">
      <c r="B197" s="3">
        <f>IFERROR(__xludf.DUMMYFUNCTION("""COMPUTED_VALUE"""),44043.64583333333)</f>
        <v>44043.64583</v>
      </c>
      <c r="C197" s="2">
        <f>IFERROR(__xludf.DUMMYFUNCTION("""COMPUTED_VALUE"""),3329.0)</f>
        <v>3329</v>
      </c>
    </row>
    <row r="198" ht="15.75" customHeight="1">
      <c r="B198" s="3">
        <f>IFERROR(__xludf.DUMMYFUNCTION("""COMPUTED_VALUE"""),44050.64583333333)</f>
        <v>44050.64583</v>
      </c>
      <c r="C198" s="2">
        <f>IFERROR(__xludf.DUMMYFUNCTION("""COMPUTED_VALUE"""),3481.45)</f>
        <v>3481.45</v>
      </c>
    </row>
    <row r="199" ht="15.75" customHeight="1">
      <c r="B199" s="3">
        <f>IFERROR(__xludf.DUMMYFUNCTION("""COMPUTED_VALUE"""),44057.64583333333)</f>
        <v>44057.64583</v>
      </c>
      <c r="C199" s="2">
        <f>IFERROR(__xludf.DUMMYFUNCTION("""COMPUTED_VALUE"""),3556.85)</f>
        <v>3556.85</v>
      </c>
    </row>
    <row r="200" ht="15.75" customHeight="1">
      <c r="B200" s="3">
        <f>IFERROR(__xludf.DUMMYFUNCTION("""COMPUTED_VALUE"""),44064.64583333333)</f>
        <v>44064.64583</v>
      </c>
      <c r="C200" s="2">
        <f>IFERROR(__xludf.DUMMYFUNCTION("""COMPUTED_VALUE"""),3465.0)</f>
        <v>3465</v>
      </c>
    </row>
    <row r="201" ht="15.75" customHeight="1">
      <c r="B201" s="3">
        <f>IFERROR(__xludf.DUMMYFUNCTION("""COMPUTED_VALUE"""),44071.64583333333)</f>
        <v>44071.64583</v>
      </c>
      <c r="C201" s="2">
        <f>IFERROR(__xludf.DUMMYFUNCTION("""COMPUTED_VALUE"""),3707.0)</f>
        <v>3707</v>
      </c>
    </row>
    <row r="202" ht="15.75" customHeight="1">
      <c r="B202" s="3">
        <f>IFERROR(__xludf.DUMMYFUNCTION("""COMPUTED_VALUE"""),44078.64583333333)</f>
        <v>44078.64583</v>
      </c>
      <c r="C202" s="2">
        <f>IFERROR(__xludf.DUMMYFUNCTION("""COMPUTED_VALUE"""),3749.85)</f>
        <v>3749.85</v>
      </c>
    </row>
    <row r="203" ht="15.75" customHeight="1">
      <c r="B203" s="3">
        <f>IFERROR(__xludf.DUMMYFUNCTION("""COMPUTED_VALUE"""),44085.64583333333)</f>
        <v>44085.64583</v>
      </c>
      <c r="C203" s="2">
        <f>IFERROR(__xludf.DUMMYFUNCTION("""COMPUTED_VALUE"""),3629.0)</f>
        <v>3629</v>
      </c>
    </row>
    <row r="204" ht="15.75" customHeight="1">
      <c r="B204" s="3">
        <f>IFERROR(__xludf.DUMMYFUNCTION("""COMPUTED_VALUE"""),44092.64583333333)</f>
        <v>44092.64583</v>
      </c>
      <c r="C204" s="2">
        <f>IFERROR(__xludf.DUMMYFUNCTION("""COMPUTED_VALUE"""),3575.05)</f>
        <v>3575.05</v>
      </c>
    </row>
    <row r="205" ht="15.75" customHeight="1">
      <c r="B205" s="3">
        <f>IFERROR(__xludf.DUMMYFUNCTION("""COMPUTED_VALUE"""),44099.64583333333)</f>
        <v>44099.64583</v>
      </c>
      <c r="C205" s="2">
        <f>IFERROR(__xludf.DUMMYFUNCTION("""COMPUTED_VALUE"""),3467.0)</f>
        <v>3467</v>
      </c>
    </row>
    <row r="206" ht="15.75" customHeight="1">
      <c r="B206" s="3">
        <f>IFERROR(__xludf.DUMMYFUNCTION("""COMPUTED_VALUE"""),44105.64583333333)</f>
        <v>44105.64583</v>
      </c>
      <c r="C206" s="2">
        <f>IFERROR(__xludf.DUMMYFUNCTION("""COMPUTED_VALUE"""),3460.0)</f>
        <v>3460</v>
      </c>
    </row>
    <row r="207" ht="15.75" customHeight="1">
      <c r="B207" s="3">
        <f>IFERROR(__xludf.DUMMYFUNCTION("""COMPUTED_VALUE"""),44113.64583333333)</f>
        <v>44113.64583</v>
      </c>
      <c r="C207" s="2">
        <f>IFERROR(__xludf.DUMMYFUNCTION("""COMPUTED_VALUE"""),3519.0)</f>
        <v>3519</v>
      </c>
    </row>
    <row r="208" ht="15.75" customHeight="1">
      <c r="B208" s="3">
        <f>IFERROR(__xludf.DUMMYFUNCTION("""COMPUTED_VALUE"""),44120.64583333333)</f>
        <v>44120.64583</v>
      </c>
      <c r="C208" s="2">
        <f>IFERROR(__xludf.DUMMYFUNCTION("""COMPUTED_VALUE"""),3382.35)</f>
        <v>3382.35</v>
      </c>
    </row>
    <row r="209" ht="15.75" customHeight="1">
      <c r="B209" s="3">
        <f>IFERROR(__xludf.DUMMYFUNCTION("""COMPUTED_VALUE"""),44127.64583333333)</f>
        <v>44127.64583</v>
      </c>
      <c r="C209" s="2">
        <f>IFERROR(__xludf.DUMMYFUNCTION("""COMPUTED_VALUE"""),3356.8)</f>
        <v>3356.8</v>
      </c>
    </row>
    <row r="210" ht="15.75" customHeight="1">
      <c r="B210" s="3">
        <f>IFERROR(__xludf.DUMMYFUNCTION("""COMPUTED_VALUE"""),44134.64583333333)</f>
        <v>44134.64583</v>
      </c>
      <c r="C210" s="2">
        <f>IFERROR(__xludf.DUMMYFUNCTION("""COMPUTED_VALUE"""),3489.9)</f>
        <v>3489.9</v>
      </c>
    </row>
    <row r="211" ht="15.75" customHeight="1">
      <c r="B211" s="3">
        <f>IFERROR(__xludf.DUMMYFUNCTION("""COMPUTED_VALUE"""),44141.64583333333)</f>
        <v>44141.64583</v>
      </c>
      <c r="C211" s="2">
        <f>IFERROR(__xludf.DUMMYFUNCTION("""COMPUTED_VALUE"""),3827.3)</f>
        <v>3827.3</v>
      </c>
    </row>
    <row r="212" ht="15.75" customHeight="1">
      <c r="B212" s="3">
        <f>IFERROR(__xludf.DUMMYFUNCTION("""COMPUTED_VALUE"""),44155.64583333333)</f>
        <v>44155.64583</v>
      </c>
      <c r="C212" s="2">
        <f>IFERROR(__xludf.DUMMYFUNCTION("""COMPUTED_VALUE"""),4785.0)</f>
        <v>4785</v>
      </c>
    </row>
    <row r="213" ht="15.75" customHeight="1">
      <c r="B213" s="3">
        <f>IFERROR(__xludf.DUMMYFUNCTION("""COMPUTED_VALUE"""),44162.64583333333)</f>
        <v>44162.64583</v>
      </c>
      <c r="C213" s="2">
        <f>IFERROR(__xludf.DUMMYFUNCTION("""COMPUTED_VALUE"""),4960.0)</f>
        <v>4960</v>
      </c>
    </row>
    <row r="214" ht="15.75" customHeight="1">
      <c r="B214" s="3">
        <f>IFERROR(__xludf.DUMMYFUNCTION("""COMPUTED_VALUE"""),44169.64583333333)</f>
        <v>44169.64583</v>
      </c>
      <c r="C214" s="2">
        <f>IFERROR(__xludf.DUMMYFUNCTION("""COMPUTED_VALUE"""),4958.0)</f>
        <v>4958</v>
      </c>
    </row>
    <row r="215" ht="15.75" customHeight="1">
      <c r="B215" s="3">
        <f>IFERROR(__xludf.DUMMYFUNCTION("""COMPUTED_VALUE"""),44176.64583333333)</f>
        <v>44176.64583</v>
      </c>
      <c r="C215" s="2">
        <f>IFERROR(__xludf.DUMMYFUNCTION("""COMPUTED_VALUE"""),4924.95)</f>
        <v>4924.95</v>
      </c>
    </row>
    <row r="216" ht="15.75" customHeight="1">
      <c r="B216" s="3">
        <f>IFERROR(__xludf.DUMMYFUNCTION("""COMPUTED_VALUE"""),44183.64583333333)</f>
        <v>44183.64583</v>
      </c>
      <c r="C216" s="2">
        <f>IFERROR(__xludf.DUMMYFUNCTION("""COMPUTED_VALUE"""),5303.15)</f>
        <v>5303.15</v>
      </c>
    </row>
    <row r="217" ht="15.75" customHeight="1">
      <c r="B217" s="3">
        <f>IFERROR(__xludf.DUMMYFUNCTION("""COMPUTED_VALUE"""),44189.64583333333)</f>
        <v>44189.64583</v>
      </c>
      <c r="C217" s="2">
        <f>IFERROR(__xludf.DUMMYFUNCTION("""COMPUTED_VALUE"""),5234.7)</f>
        <v>5234.7</v>
      </c>
    </row>
    <row r="218" ht="15.75" customHeight="1">
      <c r="B218" s="3">
        <f>IFERROR(__xludf.DUMMYFUNCTION("""COMPUTED_VALUE"""),44197.64583333333)</f>
        <v>44197.64583</v>
      </c>
      <c r="C218" s="2">
        <f>IFERROR(__xludf.DUMMYFUNCTION("""COMPUTED_VALUE"""),5372.5)</f>
        <v>5372.5</v>
      </c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IFERROR(__xludf.DUMMYFUNCTION("GOOGLEFINANCE(""NSE:AMBUJACEM"",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IFERROR(__xludf.DUMMYFUNCTION("""COMPUTED_VALUE"""),27.31)</f>
        <v>27.31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IFERROR(__xludf.DUMMYFUNCTION("""COMPUTED_VALUE"""),29.33)</f>
        <v>29.33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IFERROR(__xludf.DUMMYFUNCTION("""COMPUTED_VALUE"""),30.25)</f>
        <v>30.25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IFERROR(__xludf.DUMMYFUNCTION("""COMPUTED_VALUE"""),30.8)</f>
        <v>30.8</v>
      </c>
    </row>
    <row r="6">
      <c r="A6" s="2" t="s">
        <v>5</v>
      </c>
      <c r="B6" s="3">
        <f>IFERROR(__xludf.DUMMYFUNCTION("""COMPUTED_VALUE"""),37288.645833333336)</f>
        <v>37288.64583</v>
      </c>
      <c r="C6" s="2">
        <f>IFERROR(__xludf.DUMMYFUNCTION("""COMPUTED_VALUE"""),29.67)</f>
        <v>29.67</v>
      </c>
    </row>
    <row r="7">
      <c r="A7" s="2" t="s">
        <v>6</v>
      </c>
      <c r="B7" s="3">
        <f>IFERROR(__xludf.DUMMYFUNCTION("""COMPUTED_VALUE"""),37295.645833333336)</f>
        <v>37295.64583</v>
      </c>
      <c r="C7" s="2">
        <f>IFERROR(__xludf.DUMMYFUNCTION("""COMPUTED_VALUE"""),30.93)</f>
        <v>30.93</v>
      </c>
    </row>
    <row r="8">
      <c r="A8" s="2" t="s">
        <v>7</v>
      </c>
      <c r="B8" s="3">
        <f>IFERROR(__xludf.DUMMYFUNCTION("""COMPUTED_VALUE"""),37302.645833333336)</f>
        <v>37302.64583</v>
      </c>
      <c r="C8" s="2">
        <f>IFERROR(__xludf.DUMMYFUNCTION("""COMPUTED_VALUE"""),31.45)</f>
        <v>31.45</v>
      </c>
    </row>
    <row r="9">
      <c r="A9" s="2" t="s">
        <v>8</v>
      </c>
      <c r="B9" s="3">
        <f>IFERROR(__xludf.DUMMYFUNCTION("""COMPUTED_VALUE"""),37309.645833333336)</f>
        <v>37309.64583</v>
      </c>
      <c r="C9" s="2">
        <f>IFERROR(__xludf.DUMMYFUNCTION("""COMPUTED_VALUE"""),31.83)</f>
        <v>31.83</v>
      </c>
    </row>
    <row r="10">
      <c r="A10" s="2" t="s">
        <v>9</v>
      </c>
      <c r="B10" s="3">
        <f>IFERROR(__xludf.DUMMYFUNCTION("""COMPUTED_VALUE"""),37316.645833333336)</f>
        <v>37316.64583</v>
      </c>
      <c r="C10" s="2">
        <f>IFERROR(__xludf.DUMMYFUNCTION("""COMPUTED_VALUE"""),33.81)</f>
        <v>33.81</v>
      </c>
    </row>
    <row r="11">
      <c r="A11" s="2" t="s">
        <v>10</v>
      </c>
      <c r="B11" s="3">
        <f>IFERROR(__xludf.DUMMYFUNCTION("""COMPUTED_VALUE"""),37323.645833333336)</f>
        <v>37323.64583</v>
      </c>
      <c r="C11" s="2">
        <f>IFERROR(__xludf.DUMMYFUNCTION("""COMPUTED_VALUE"""),32.37)</f>
        <v>32.37</v>
      </c>
    </row>
    <row r="12">
      <c r="A12" s="2" t="s">
        <v>11</v>
      </c>
      <c r="B12" s="3">
        <f>IFERROR(__xludf.DUMMYFUNCTION("""COMPUTED_VALUE"""),37330.645833333336)</f>
        <v>37330.64583</v>
      </c>
      <c r="C12" s="2">
        <f>IFERROR(__xludf.DUMMYFUNCTION("""COMPUTED_VALUE"""),30.25)</f>
        <v>30.25</v>
      </c>
    </row>
    <row r="13">
      <c r="A13" s="2" t="s">
        <v>12</v>
      </c>
      <c r="B13" s="3">
        <f>IFERROR(__xludf.DUMMYFUNCTION("""COMPUTED_VALUE"""),37337.645833333336)</f>
        <v>37337.64583</v>
      </c>
      <c r="C13" s="2">
        <f>IFERROR(__xludf.DUMMYFUNCTION("""COMPUTED_VALUE"""),29.31)</f>
        <v>29.31</v>
      </c>
    </row>
    <row r="14">
      <c r="A14" s="2" t="s">
        <v>13</v>
      </c>
      <c r="B14" s="3">
        <f>IFERROR(__xludf.DUMMYFUNCTION("""COMPUTED_VALUE"""),37343.645833333336)</f>
        <v>37343.64583</v>
      </c>
      <c r="C14" s="2">
        <f>IFERROR(__xludf.DUMMYFUNCTION("""COMPUTED_VALUE"""),28.27)</f>
        <v>28.27</v>
      </c>
    </row>
    <row r="15">
      <c r="A15" s="2" t="s">
        <v>14</v>
      </c>
      <c r="B15" s="3">
        <f>IFERROR(__xludf.DUMMYFUNCTION("""COMPUTED_VALUE"""),37351.645833333336)</f>
        <v>37351.64583</v>
      </c>
      <c r="C15" s="2">
        <f>IFERROR(__xludf.DUMMYFUNCTION("""COMPUTED_VALUE"""),29.19)</f>
        <v>29.19</v>
      </c>
    </row>
    <row r="16">
      <c r="A16" s="2" t="s">
        <v>15</v>
      </c>
      <c r="B16" s="3">
        <f>IFERROR(__xludf.DUMMYFUNCTION("""COMPUTED_VALUE"""),37358.645833333336)</f>
        <v>37358.64583</v>
      </c>
      <c r="C16" s="2">
        <f>IFERROR(__xludf.DUMMYFUNCTION("""COMPUTED_VALUE"""),27.99)</f>
        <v>27.99</v>
      </c>
    </row>
    <row r="17">
      <c r="A17" s="2" t="s">
        <v>16</v>
      </c>
      <c r="B17" s="3">
        <f>IFERROR(__xludf.DUMMYFUNCTION("""COMPUTED_VALUE"""),37365.645833333336)</f>
        <v>37365.64583</v>
      </c>
      <c r="C17" s="2">
        <f>IFERROR(__xludf.DUMMYFUNCTION("""COMPUTED_VALUE"""),27.47)</f>
        <v>27.47</v>
      </c>
    </row>
    <row r="18">
      <c r="B18" s="3">
        <f>IFERROR(__xludf.DUMMYFUNCTION("""COMPUTED_VALUE"""),37372.645833333336)</f>
        <v>37372.64583</v>
      </c>
      <c r="C18" s="2">
        <f>IFERROR(__xludf.DUMMYFUNCTION("""COMPUTED_VALUE"""),27.07)</f>
        <v>27.07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IFERROR(__xludf.DUMMYFUNCTION("""COMPUTED_VALUE"""),27.06)</f>
        <v>27.06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IFERROR(__xludf.DUMMYFUNCTION("""COMPUTED_VALUE"""),28.27)</f>
        <v>28.27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IFERROR(__xludf.DUMMYFUNCTION("""COMPUTED_VALUE"""),28.63)</f>
        <v>28.63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IFERROR(__xludf.DUMMYFUNCTION("""COMPUTED_VALUE"""),27.5)</f>
        <v>27.5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IFERROR(__xludf.DUMMYFUNCTION("""COMPUTED_VALUE"""),29.6)</f>
        <v>29.6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IFERROR(__xludf.DUMMYFUNCTION("""COMPUTED_VALUE"""),26.93)</f>
        <v>26.93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IFERROR(__xludf.DUMMYFUNCTION("""COMPUTED_VALUE"""),27.2)</f>
        <v>27.2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IFERROR(__xludf.DUMMYFUNCTION("""COMPUTED_VALUE"""),27.32)</f>
        <v>27.32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IFERROR(__xludf.DUMMYFUNCTION("""COMPUTED_VALUE"""),27.31)</f>
        <v>27.31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IFERROR(__xludf.DUMMYFUNCTION("""COMPUTED_VALUE"""),28.27)</f>
        <v>28.27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IFERROR(__xludf.DUMMYFUNCTION("""COMPUTED_VALUE"""),28.27)</f>
        <v>28.27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IFERROR(__xludf.DUMMYFUNCTION("""COMPUTED_VALUE"""),26.67)</f>
        <v>26.67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IFERROR(__xludf.DUMMYFUNCTION("""COMPUTED_VALUE"""),26.53)</f>
        <v>26.53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IFERROR(__xludf.DUMMYFUNCTION("""COMPUTED_VALUE"""),24.27)</f>
        <v>24.27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IFERROR(__xludf.DUMMYFUNCTION("""COMPUTED_VALUE"""),22.93)</f>
        <v>22.93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IFERROR(__xludf.DUMMYFUNCTION("""COMPUTED_VALUE"""),22.79)</f>
        <v>22.79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IFERROR(__xludf.DUMMYFUNCTION("""COMPUTED_VALUE"""),22.53)</f>
        <v>22.53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IFERROR(__xludf.DUMMYFUNCTION("""COMPUTED_VALUE"""),22.16)</f>
        <v>22.16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IFERROR(__xludf.DUMMYFUNCTION("""COMPUTED_VALUE"""),23.07)</f>
        <v>23.07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IFERROR(__xludf.DUMMYFUNCTION("""COMPUTED_VALUE"""),24.65)</f>
        <v>24.65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IFERROR(__xludf.DUMMYFUNCTION("""COMPUTED_VALUE"""),23.87)</f>
        <v>23.87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IFERROR(__xludf.DUMMYFUNCTION("""COMPUTED_VALUE"""),23.1)</f>
        <v>23.1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IFERROR(__xludf.DUMMYFUNCTION("""COMPUTED_VALUE"""),22.19)</f>
        <v>22.19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IFERROR(__xludf.DUMMYFUNCTION("""COMPUTED_VALUE"""),22.62)</f>
        <v>22.62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IFERROR(__xludf.DUMMYFUNCTION("""COMPUTED_VALUE"""),23.07)</f>
        <v>23.07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IFERROR(__xludf.DUMMYFUNCTION("""COMPUTED_VALUE"""),23.05)</f>
        <v>23.05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IFERROR(__xludf.DUMMYFUNCTION("""COMPUTED_VALUE"""),23.47)</f>
        <v>23.47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IFERROR(__xludf.DUMMYFUNCTION("""COMPUTED_VALUE"""),23.86)</f>
        <v>23.86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IFERROR(__xludf.DUMMYFUNCTION("""COMPUTED_VALUE"""),21.73)</f>
        <v>21.73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IFERROR(__xludf.DUMMYFUNCTION("""COMPUTED_VALUE"""),22.27)</f>
        <v>22.27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IFERROR(__xludf.DUMMYFUNCTION("""COMPUTED_VALUE"""),22.53)</f>
        <v>22.53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IFERROR(__xludf.DUMMYFUNCTION("""COMPUTED_VALUE"""),23.05)</f>
        <v>23.05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IFERROR(__xludf.DUMMYFUNCTION("""COMPUTED_VALUE"""),22.67)</f>
        <v>22.67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IFERROR(__xludf.DUMMYFUNCTION("""COMPUTED_VALUE"""),22.79)</f>
        <v>22.79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IFERROR(__xludf.DUMMYFUNCTION("""COMPUTED_VALUE"""),21.73)</f>
        <v>21.73</v>
      </c>
    </row>
    <row r="54" ht="15.75" customHeight="1"/>
    <row r="55" ht="15.75" customHeight="1"/>
    <row r="56" ht="15.75" customHeight="1">
      <c r="B56" s="2" t="str">
        <f>IFERROR(__xludf.DUMMYFUNCTION("GOOGLEFINANCE(""NSE:AMBUJACEM"",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IFERROR(__xludf.DUMMYFUNCTION("""COMPUTED_VALUE"""),22.67)</f>
        <v>22.67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IFERROR(__xludf.DUMMYFUNCTION("""COMPUTED_VALUE"""),25.33)</f>
        <v>25.33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IFERROR(__xludf.DUMMYFUNCTION("""COMPUTED_VALUE"""),22.93)</f>
        <v>22.93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IFERROR(__xludf.DUMMYFUNCTION("""COMPUTED_VALUE"""),22.65)</f>
        <v>22.65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IFERROR(__xludf.DUMMYFUNCTION("""COMPUTED_VALUE"""),22.8)</f>
        <v>22.8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IFERROR(__xludf.DUMMYFUNCTION("""COMPUTED_VALUE"""),22.2)</f>
        <v>22.2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IFERROR(__xludf.DUMMYFUNCTION("""COMPUTED_VALUE"""),22.01)</f>
        <v>22.01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IFERROR(__xludf.DUMMYFUNCTION("""COMPUTED_VALUE"""),21.25)</f>
        <v>21.25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IFERROR(__xludf.DUMMYFUNCTION("""COMPUTED_VALUE"""),22.19)</f>
        <v>22.19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IFERROR(__xludf.DUMMYFUNCTION("""COMPUTED_VALUE"""),21.93)</f>
        <v>21.93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IFERROR(__xludf.DUMMYFUNCTION("""COMPUTED_VALUE"""),21.06)</f>
        <v>21.06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IFERROR(__xludf.DUMMYFUNCTION("""COMPUTED_VALUE"""),21.4)</f>
        <v>21.4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IFERROR(__xludf.DUMMYFUNCTION("""COMPUTED_VALUE"""),22.13)</f>
        <v>22.13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IFERROR(__xludf.DUMMYFUNCTION("""COMPUTED_VALUE"""),22.93)</f>
        <v>22.93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IFERROR(__xludf.DUMMYFUNCTION("""COMPUTED_VALUE"""),22.47)</f>
        <v>22.47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IFERROR(__xludf.DUMMYFUNCTION("""COMPUTED_VALUE"""),22.37)</f>
        <v>22.37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IFERROR(__xludf.DUMMYFUNCTION("""COMPUTED_VALUE"""),22.47)</f>
        <v>22.47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IFERROR(__xludf.DUMMYFUNCTION("""COMPUTED_VALUE"""),23.5)</f>
        <v>23.5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IFERROR(__xludf.DUMMYFUNCTION("""COMPUTED_VALUE"""),23.59)</f>
        <v>23.59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IFERROR(__xludf.DUMMYFUNCTION("""COMPUTED_VALUE"""),24.03)</f>
        <v>24.03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IFERROR(__xludf.DUMMYFUNCTION("""COMPUTED_VALUE"""),24.1)</f>
        <v>24.1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IFERROR(__xludf.DUMMYFUNCTION("""COMPUTED_VALUE"""),24.87)</f>
        <v>24.87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IFERROR(__xludf.DUMMYFUNCTION("""COMPUTED_VALUE"""),25.15)</f>
        <v>25.15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IFERROR(__xludf.DUMMYFUNCTION("""COMPUTED_VALUE"""),26.68)</f>
        <v>26.68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IFERROR(__xludf.DUMMYFUNCTION("""COMPUTED_VALUE"""),27.51)</f>
        <v>27.51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IFERROR(__xludf.DUMMYFUNCTION("""COMPUTED_VALUE"""),28.03)</f>
        <v>28.03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IFERROR(__xludf.DUMMYFUNCTION("""COMPUTED_VALUE"""),27.99)</f>
        <v>27.99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IFERROR(__xludf.DUMMYFUNCTION("""COMPUTED_VALUE"""),28.51)</f>
        <v>28.51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IFERROR(__xludf.DUMMYFUNCTION("""COMPUTED_VALUE"""),28.85)</f>
        <v>28.85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IFERROR(__xludf.DUMMYFUNCTION("""COMPUTED_VALUE"""),31.44)</f>
        <v>31.44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IFERROR(__xludf.DUMMYFUNCTION("""COMPUTED_VALUE"""),31.92)</f>
        <v>31.92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IFERROR(__xludf.DUMMYFUNCTION("""COMPUTED_VALUE"""),31.73)</f>
        <v>31.73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IFERROR(__xludf.DUMMYFUNCTION("""COMPUTED_VALUE"""),31.73)</f>
        <v>31.73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IFERROR(__xludf.DUMMYFUNCTION("""COMPUTED_VALUE"""),31.67)</f>
        <v>31.67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IFERROR(__xludf.DUMMYFUNCTION("""COMPUTED_VALUE"""),32.65)</f>
        <v>32.65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IFERROR(__xludf.DUMMYFUNCTION("""COMPUTED_VALUE"""),32.21)</f>
        <v>32.21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IFERROR(__xludf.DUMMYFUNCTION("""COMPUTED_VALUE"""),30.33)</f>
        <v>30.33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IFERROR(__xludf.DUMMYFUNCTION("""COMPUTED_VALUE"""),30.24)</f>
        <v>30.24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IFERROR(__xludf.DUMMYFUNCTION("""COMPUTED_VALUE"""),31.38)</f>
        <v>31.38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IFERROR(__xludf.DUMMYFUNCTION("""COMPUTED_VALUE"""),33.43)</f>
        <v>33.43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IFERROR(__xludf.DUMMYFUNCTION("""COMPUTED_VALUE"""),33.13)</f>
        <v>33.13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IFERROR(__xludf.DUMMYFUNCTION("""COMPUTED_VALUE"""),34.0)</f>
        <v>34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IFERROR(__xludf.DUMMYFUNCTION("""COMPUTED_VALUE"""),39.33)</f>
        <v>39.33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IFERROR(__xludf.DUMMYFUNCTION("""COMPUTED_VALUE"""),37.6)</f>
        <v>37.6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IFERROR(__xludf.DUMMYFUNCTION("""COMPUTED_VALUE"""),37.6)</f>
        <v>37.6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IFERROR(__xludf.DUMMYFUNCTION("""COMPUTED_VALUE"""),40.27)</f>
        <v>40.27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IFERROR(__xludf.DUMMYFUNCTION("""COMPUTED_VALUE"""),40.72)</f>
        <v>40.72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IFERROR(__xludf.DUMMYFUNCTION("""COMPUTED_VALUE"""),41.19)</f>
        <v>41.19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IFERROR(__xludf.DUMMYFUNCTION("""COMPUTED_VALUE"""),41.46)</f>
        <v>41.46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IFERROR(__xludf.DUMMYFUNCTION("GOOGLEFINANCE(""NSE:AMBUJACEM"",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IFERROR(__xludf.DUMMYFUNCTION("""COMPUTED_VALUE"""),42.29)</f>
        <v>42.29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IFERROR(__xludf.DUMMYFUNCTION("""COMPUTED_VALUE"""),44.67)</f>
        <v>44.67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IFERROR(__xludf.DUMMYFUNCTION("""COMPUTED_VALUE"""),44.25)</f>
        <v>44.25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IFERROR(__xludf.DUMMYFUNCTION("""COMPUTED_VALUE"""),41.85)</f>
        <v>41.85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IFERROR(__xludf.DUMMYFUNCTION("""COMPUTED_VALUE"""),41.76)</f>
        <v>41.76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IFERROR(__xludf.DUMMYFUNCTION("""COMPUTED_VALUE"""),39.96)</f>
        <v>39.96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IFERROR(__xludf.DUMMYFUNCTION("""COMPUTED_VALUE"""),41.79)</f>
        <v>41.79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IFERROR(__xludf.DUMMYFUNCTION("""COMPUTED_VALUE"""),43.03)</f>
        <v>43.03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IFERROR(__xludf.DUMMYFUNCTION("""COMPUTED_VALUE"""),41.32)</f>
        <v>41.32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IFERROR(__xludf.DUMMYFUNCTION("""COMPUTED_VALUE"""),42.77)</f>
        <v>42.77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IFERROR(__xludf.DUMMYFUNCTION("""COMPUTED_VALUE"""),43.52)</f>
        <v>43.52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IFERROR(__xludf.DUMMYFUNCTION("""COMPUTED_VALUE"""),40.87)</f>
        <v>40.87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IFERROR(__xludf.DUMMYFUNCTION("""COMPUTED_VALUE"""),40.13)</f>
        <v>40.13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IFERROR(__xludf.DUMMYFUNCTION("""COMPUTED_VALUE"""),41.07)</f>
        <v>41.07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IFERROR(__xludf.DUMMYFUNCTION("""COMPUTED_VALUE"""),41.95)</f>
        <v>41.95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IFERROR(__xludf.DUMMYFUNCTION("""COMPUTED_VALUE"""),45.58)</f>
        <v>45.58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IFERROR(__xludf.DUMMYFUNCTION("""COMPUTED_VALUE"""),45.03)</f>
        <v>45.03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IFERROR(__xludf.DUMMYFUNCTION("""COMPUTED_VALUE"""),46.31)</f>
        <v>46.31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IFERROR(__xludf.DUMMYFUNCTION("""COMPUTED_VALUE"""),45.27)</f>
        <v>45.27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IFERROR(__xludf.DUMMYFUNCTION("""COMPUTED_VALUE"""),45.07)</f>
        <v>45.07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IFERROR(__xludf.DUMMYFUNCTION("""COMPUTED_VALUE"""),41.86)</f>
        <v>41.86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IFERROR(__xludf.DUMMYFUNCTION("""COMPUTED_VALUE"""),41.04)</f>
        <v>41.04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IFERROR(__xludf.DUMMYFUNCTION("""COMPUTED_VALUE"""),39.73)</f>
        <v>39.73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IFERROR(__xludf.DUMMYFUNCTION("""COMPUTED_VALUE"""),37.85)</f>
        <v>37.85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IFERROR(__xludf.DUMMYFUNCTION("""COMPUTED_VALUE"""),36.99)</f>
        <v>36.99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IFERROR(__xludf.DUMMYFUNCTION("""COMPUTED_VALUE"""),38.27)</f>
        <v>38.27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IFERROR(__xludf.DUMMYFUNCTION("""COMPUTED_VALUE"""),38.27)</f>
        <v>38.27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IFERROR(__xludf.DUMMYFUNCTION("""COMPUTED_VALUE"""),37.99)</f>
        <v>37.99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IFERROR(__xludf.DUMMYFUNCTION("""COMPUTED_VALUE"""),38.65)</f>
        <v>38.65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IFERROR(__xludf.DUMMYFUNCTION("""COMPUTED_VALUE"""),37.47)</f>
        <v>37.47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IFERROR(__xludf.DUMMYFUNCTION("""COMPUTED_VALUE"""),40.71)</f>
        <v>40.71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IFERROR(__xludf.DUMMYFUNCTION("""COMPUTED_VALUE"""),41.72)</f>
        <v>41.72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IFERROR(__xludf.DUMMYFUNCTION("""COMPUTED_VALUE"""),42.4)</f>
        <v>42.4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IFERROR(__xludf.DUMMYFUNCTION("""COMPUTED_VALUE"""),43.33)</f>
        <v>43.33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IFERROR(__xludf.DUMMYFUNCTION("""COMPUTED_VALUE"""),44.69)</f>
        <v>44.69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IFERROR(__xludf.DUMMYFUNCTION("""COMPUTED_VALUE"""),45.93)</f>
        <v>45.93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IFERROR(__xludf.DUMMYFUNCTION("""COMPUTED_VALUE"""),46.27)</f>
        <v>46.27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IFERROR(__xludf.DUMMYFUNCTION("""COMPUTED_VALUE"""),46.77)</f>
        <v>46.77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IFERROR(__xludf.DUMMYFUNCTION("""COMPUTED_VALUE"""),46.13)</f>
        <v>46.13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IFERROR(__xludf.DUMMYFUNCTION("""COMPUTED_VALUE"""),49.33)</f>
        <v>49.33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IFERROR(__xludf.DUMMYFUNCTION("""COMPUTED_VALUE"""),48.8)</f>
        <v>48.8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IFERROR(__xludf.DUMMYFUNCTION("""COMPUTED_VALUE"""),47.8)</f>
        <v>47.8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IFERROR(__xludf.DUMMYFUNCTION("""COMPUTED_VALUE"""),47.46)</f>
        <v>47.46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IFERROR(__xludf.DUMMYFUNCTION("""COMPUTED_VALUE"""),47.6)</f>
        <v>47.6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IFERROR(__xludf.DUMMYFUNCTION("""COMPUTED_VALUE"""),48.0)</f>
        <v>48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IFERROR(__xludf.DUMMYFUNCTION("""COMPUTED_VALUE"""),49.63)</f>
        <v>49.63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IFERROR(__xludf.DUMMYFUNCTION("""COMPUTED_VALUE"""),50.33)</f>
        <v>50.33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IFERROR(__xludf.DUMMYFUNCTION("""COMPUTED_VALUE"""),51.59)</f>
        <v>51.59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IFERROR(__xludf.DUMMYFUNCTION("""COMPUTED_VALUE"""),52.32)</f>
        <v>52.32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IFERROR(__xludf.DUMMYFUNCTION("""COMPUTED_VALUE"""),53.33)</f>
        <v>53.33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IFERROR(__xludf.DUMMYFUNCTION("""COMPUTED_VALUE"""),54.27)</f>
        <v>54.27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IFERROR(__xludf.DUMMYFUNCTION("GOOGLEFINANCE(""NSE:AMBUJACEM"",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IFERROR(__xludf.DUMMYFUNCTION("""COMPUTED_VALUE"""),58.72)</f>
        <v>58.72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IFERROR(__xludf.DUMMYFUNCTION("""COMPUTED_VALUE"""),58.52)</f>
        <v>58.52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IFERROR(__xludf.DUMMYFUNCTION("""COMPUTED_VALUE"""),59.92)</f>
        <v>59.92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IFERROR(__xludf.DUMMYFUNCTION("""COMPUTED_VALUE"""),60.0)</f>
        <v>60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IFERROR(__xludf.DUMMYFUNCTION("""COMPUTED_VALUE"""),62.4)</f>
        <v>62.4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IFERROR(__xludf.DUMMYFUNCTION("""COMPUTED_VALUE"""),61.68)</f>
        <v>61.68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IFERROR(__xludf.DUMMYFUNCTION("""COMPUTED_VALUE"""),62.13)</f>
        <v>62.13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IFERROR(__xludf.DUMMYFUNCTION("""COMPUTED_VALUE"""),59.47)</f>
        <v>59.47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IFERROR(__xludf.DUMMYFUNCTION("""COMPUTED_VALUE"""),60.39)</f>
        <v>60.39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IFERROR(__xludf.DUMMYFUNCTION("""COMPUTED_VALUE"""),60.24)</f>
        <v>60.24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IFERROR(__xludf.DUMMYFUNCTION("""COMPUTED_VALUE"""),58.53)</f>
        <v>58.53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IFERROR(__xludf.DUMMYFUNCTION("""COMPUTED_VALUE"""),57.03)</f>
        <v>57.03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IFERROR(__xludf.DUMMYFUNCTION("""COMPUTED_VALUE"""),55.47)</f>
        <v>55.47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IFERROR(__xludf.DUMMYFUNCTION("""COMPUTED_VALUE"""),56.95)</f>
        <v>56.95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IFERROR(__xludf.DUMMYFUNCTION("""COMPUTED_VALUE"""),58.6)</f>
        <v>58.6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IFERROR(__xludf.DUMMYFUNCTION("""COMPUTED_VALUE"""),60.0)</f>
        <v>60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IFERROR(__xludf.DUMMYFUNCTION("""COMPUTED_VALUE"""),58.91)</f>
        <v>58.91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IFERROR(__xludf.DUMMYFUNCTION("""COMPUTED_VALUE"""),58.4)</f>
        <v>58.4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IFERROR(__xludf.DUMMYFUNCTION("""COMPUTED_VALUE"""),59.92)</f>
        <v>59.92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IFERROR(__xludf.DUMMYFUNCTION("""COMPUTED_VALUE"""),59.91)</f>
        <v>59.91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IFERROR(__xludf.DUMMYFUNCTION("""COMPUTED_VALUE"""),60.53)</f>
        <v>60.53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IFERROR(__xludf.DUMMYFUNCTION("""COMPUTED_VALUE"""),61.19)</f>
        <v>61.19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IFERROR(__xludf.DUMMYFUNCTION("""COMPUTED_VALUE"""),62.28)</f>
        <v>62.28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IFERROR(__xludf.DUMMYFUNCTION("""COMPUTED_VALUE"""),66.2)</f>
        <v>66.2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IFERROR(__xludf.DUMMYFUNCTION("""COMPUTED_VALUE"""),63.45)</f>
        <v>63.45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IFERROR(__xludf.DUMMYFUNCTION("""COMPUTED_VALUE"""),61.9)</f>
        <v>61.9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IFERROR(__xludf.DUMMYFUNCTION("""COMPUTED_VALUE"""),64.15)</f>
        <v>64.15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IFERROR(__xludf.DUMMYFUNCTION("""COMPUTED_VALUE"""),63.1)</f>
        <v>63.1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IFERROR(__xludf.DUMMYFUNCTION("""COMPUTED_VALUE"""),66.65)</f>
        <v>66.65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IFERROR(__xludf.DUMMYFUNCTION("""COMPUTED_VALUE"""),67.9)</f>
        <v>67.9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IFERROR(__xludf.DUMMYFUNCTION("""COMPUTED_VALUE"""),67.0)</f>
        <v>67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IFERROR(__xludf.DUMMYFUNCTION("""COMPUTED_VALUE"""),67.0)</f>
        <v>67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IFERROR(__xludf.DUMMYFUNCTION("""COMPUTED_VALUE"""),67.2)</f>
        <v>67.2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IFERROR(__xludf.DUMMYFUNCTION("""COMPUTED_VALUE"""),69.2)</f>
        <v>69.2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IFERROR(__xludf.DUMMYFUNCTION("""COMPUTED_VALUE"""),72.6)</f>
        <v>72.6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IFERROR(__xludf.DUMMYFUNCTION("""COMPUTED_VALUE"""),74.3)</f>
        <v>74.3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IFERROR(__xludf.DUMMYFUNCTION("""COMPUTED_VALUE"""),74.0)</f>
        <v>74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IFERROR(__xludf.DUMMYFUNCTION("""COMPUTED_VALUE"""),78.0)</f>
        <v>78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IFERROR(__xludf.DUMMYFUNCTION("""COMPUTED_VALUE"""),79.3)</f>
        <v>79.3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IFERROR(__xludf.DUMMYFUNCTION("""COMPUTED_VALUE"""),76.5)</f>
        <v>76.5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IFERROR(__xludf.DUMMYFUNCTION("""COMPUTED_VALUE"""),69.5)</f>
        <v>69.5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IFERROR(__xludf.DUMMYFUNCTION("""COMPUTED_VALUE"""),72.1)</f>
        <v>72.1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IFERROR(__xludf.DUMMYFUNCTION("""COMPUTED_VALUE"""),73.6)</f>
        <v>73.6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IFERROR(__xludf.DUMMYFUNCTION("""COMPUTED_VALUE"""),75.25)</f>
        <v>75.25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IFERROR(__xludf.DUMMYFUNCTION("""COMPUTED_VALUE"""),79.4)</f>
        <v>79.4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IFERROR(__xludf.DUMMYFUNCTION("""COMPUTED_VALUE"""),84.85)</f>
        <v>84.85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IFERROR(__xludf.DUMMYFUNCTION("""COMPUTED_VALUE"""),85.45)</f>
        <v>85.45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IFERROR(__xludf.DUMMYFUNCTION("""COMPUTED_VALUE"""),84.35)</f>
        <v>84.35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IFERROR(__xludf.DUMMYFUNCTION("""COMPUTED_VALUE"""),84.0)</f>
        <v>84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IFERROR(__xludf.DUMMYFUNCTION("""COMPUTED_VALUE"""),80.95)</f>
        <v>80.95</v>
      </c>
    </row>
    <row r="217" ht="15.75" customHeight="1"/>
    <row r="218" ht="15.75" customHeight="1"/>
    <row r="219" ht="15.75" customHeight="1"/>
    <row r="220" ht="15.75" customHeight="1"/>
    <row r="221" ht="15.75" customHeight="1">
      <c r="B221" s="2" t="str">
        <f>IFERROR(__xludf.DUMMYFUNCTION("GOOGLEFINANCE(""NSE:AMBUJACEM"", ""high"",DATE(2006,1,1),DATE(2007,1,1),""weekly"")"),"Date")</f>
        <v>Date</v>
      </c>
      <c r="C221" s="2" t="str">
        <f>IFERROR(__xludf.DUMMYFUNCTION("""COMPUTED_VALUE"""),"High")</f>
        <v>High</v>
      </c>
    </row>
    <row r="222" ht="15.75" customHeight="1">
      <c r="B222" s="3">
        <f>IFERROR(__xludf.DUMMYFUNCTION("""COMPUTED_VALUE"""),38723.645833333336)</f>
        <v>38723.64583</v>
      </c>
      <c r="C222" s="2">
        <f>IFERROR(__xludf.DUMMYFUNCTION("""COMPUTED_VALUE"""),90.7)</f>
        <v>90.7</v>
      </c>
    </row>
    <row r="223" ht="15.75" customHeight="1">
      <c r="B223" s="3">
        <f>IFERROR(__xludf.DUMMYFUNCTION("""COMPUTED_VALUE"""),38730.645833333336)</f>
        <v>38730.64583</v>
      </c>
      <c r="C223" s="2">
        <f>IFERROR(__xludf.DUMMYFUNCTION("""COMPUTED_VALUE"""),91.0)</f>
        <v>91</v>
      </c>
    </row>
    <row r="224" ht="15.75" customHeight="1">
      <c r="B224" s="3">
        <f>IFERROR(__xludf.DUMMYFUNCTION("""COMPUTED_VALUE"""),38737.645833333336)</f>
        <v>38737.64583</v>
      </c>
      <c r="C224" s="2">
        <f>IFERROR(__xludf.DUMMYFUNCTION("""COMPUTED_VALUE"""),92.0)</f>
        <v>92</v>
      </c>
    </row>
    <row r="225" ht="15.75" customHeight="1">
      <c r="B225" s="3">
        <f>IFERROR(__xludf.DUMMYFUNCTION("""COMPUTED_VALUE"""),38744.645833333336)</f>
        <v>38744.64583</v>
      </c>
      <c r="C225" s="2">
        <f>IFERROR(__xludf.DUMMYFUNCTION("""COMPUTED_VALUE"""),92.5)</f>
        <v>92.5</v>
      </c>
    </row>
    <row r="226" ht="15.75" customHeight="1">
      <c r="B226" s="3">
        <f>IFERROR(__xludf.DUMMYFUNCTION("""COMPUTED_VALUE"""),38751.645833333336)</f>
        <v>38751.64583</v>
      </c>
      <c r="C226" s="2">
        <f>IFERROR(__xludf.DUMMYFUNCTION("""COMPUTED_VALUE"""),92.5)</f>
        <v>92.5</v>
      </c>
    </row>
    <row r="227" ht="15.75" customHeight="1">
      <c r="B227" s="3">
        <f>IFERROR(__xludf.DUMMYFUNCTION("""COMPUTED_VALUE"""),38758.645833333336)</f>
        <v>38758.64583</v>
      </c>
      <c r="C227" s="2">
        <f>IFERROR(__xludf.DUMMYFUNCTION("""COMPUTED_VALUE"""),89.0)</f>
        <v>89</v>
      </c>
    </row>
    <row r="228" ht="15.75" customHeight="1">
      <c r="B228" s="3">
        <f>IFERROR(__xludf.DUMMYFUNCTION("""COMPUTED_VALUE"""),38765.645833333336)</f>
        <v>38765.64583</v>
      </c>
      <c r="C228" s="2">
        <f>IFERROR(__xludf.DUMMYFUNCTION("""COMPUTED_VALUE"""),89.0)</f>
        <v>89</v>
      </c>
    </row>
    <row r="229" ht="15.75" customHeight="1">
      <c r="B229" s="3">
        <f>IFERROR(__xludf.DUMMYFUNCTION("""COMPUTED_VALUE"""),38772.645833333336)</f>
        <v>38772.64583</v>
      </c>
      <c r="C229" s="2">
        <f>IFERROR(__xludf.DUMMYFUNCTION("""COMPUTED_VALUE"""),89.9)</f>
        <v>89.9</v>
      </c>
    </row>
    <row r="230" ht="15.75" customHeight="1">
      <c r="B230" s="3">
        <f>IFERROR(__xludf.DUMMYFUNCTION("""COMPUTED_VALUE"""),38779.645833333336)</f>
        <v>38779.64583</v>
      </c>
      <c r="C230" s="2">
        <f>IFERROR(__xludf.DUMMYFUNCTION("""COMPUTED_VALUE"""),93.5)</f>
        <v>93.5</v>
      </c>
    </row>
    <row r="231" ht="15.75" customHeight="1">
      <c r="B231" s="3">
        <f>IFERROR(__xludf.DUMMYFUNCTION("""COMPUTED_VALUE"""),38786.645833333336)</f>
        <v>38786.64583</v>
      </c>
      <c r="C231" s="2">
        <f>IFERROR(__xludf.DUMMYFUNCTION("""COMPUTED_VALUE"""),102.0)</f>
        <v>102</v>
      </c>
    </row>
    <row r="232" ht="15.75" customHeight="1">
      <c r="B232" s="3">
        <f>IFERROR(__xludf.DUMMYFUNCTION("""COMPUTED_VALUE"""),38793.645833333336)</f>
        <v>38793.64583</v>
      </c>
      <c r="C232" s="2">
        <f>IFERROR(__xludf.DUMMYFUNCTION("""COMPUTED_VALUE"""),101.7)</f>
        <v>101.7</v>
      </c>
    </row>
    <row r="233" ht="15.75" customHeight="1">
      <c r="B233" s="3">
        <f>IFERROR(__xludf.DUMMYFUNCTION("""COMPUTED_VALUE"""),38800.645833333336)</f>
        <v>38800.64583</v>
      </c>
      <c r="C233" s="2">
        <f>IFERROR(__xludf.DUMMYFUNCTION("""COMPUTED_VALUE"""),100.95)</f>
        <v>100.95</v>
      </c>
    </row>
    <row r="234" ht="15.75" customHeight="1">
      <c r="B234" s="3">
        <f>IFERROR(__xludf.DUMMYFUNCTION("""COMPUTED_VALUE"""),38807.645833333336)</f>
        <v>38807.64583</v>
      </c>
      <c r="C234" s="2">
        <f>IFERROR(__xludf.DUMMYFUNCTION("""COMPUTED_VALUE"""),105.3)</f>
        <v>105.3</v>
      </c>
    </row>
    <row r="235" ht="15.75" customHeight="1">
      <c r="B235" s="3">
        <f>IFERROR(__xludf.DUMMYFUNCTION("""COMPUTED_VALUE"""),38814.645833333336)</f>
        <v>38814.64583</v>
      </c>
      <c r="C235" s="2">
        <f>IFERROR(__xludf.DUMMYFUNCTION("""COMPUTED_VALUE"""),111.05)</f>
        <v>111.05</v>
      </c>
    </row>
    <row r="236" ht="15.75" customHeight="1">
      <c r="B236" s="3">
        <f>IFERROR(__xludf.DUMMYFUNCTION("""COMPUTED_VALUE"""),38820.645833333336)</f>
        <v>38820.64583</v>
      </c>
      <c r="C236" s="2">
        <f>IFERROR(__xludf.DUMMYFUNCTION("""COMPUTED_VALUE"""),113.9)</f>
        <v>113.9</v>
      </c>
    </row>
    <row r="237" ht="15.75" customHeight="1">
      <c r="B237" s="3">
        <f>IFERROR(__xludf.DUMMYFUNCTION("""COMPUTED_VALUE"""),38828.645833333336)</f>
        <v>38828.64583</v>
      </c>
      <c r="C237" s="2">
        <f>IFERROR(__xludf.DUMMYFUNCTION("""COMPUTED_VALUE"""),121.0)</f>
        <v>121</v>
      </c>
    </row>
    <row r="238" ht="15.75" customHeight="1">
      <c r="B238" s="3">
        <f>IFERROR(__xludf.DUMMYFUNCTION("""COMPUTED_VALUE"""),38842.645833333336)</f>
        <v>38842.64583</v>
      </c>
      <c r="C238" s="2">
        <f>IFERROR(__xludf.DUMMYFUNCTION("""COMPUTED_VALUE"""),128.25)</f>
        <v>128.25</v>
      </c>
    </row>
    <row r="239" ht="15.75" customHeight="1">
      <c r="B239" s="3">
        <f>IFERROR(__xludf.DUMMYFUNCTION("""COMPUTED_VALUE"""),38849.645833333336)</f>
        <v>38849.64583</v>
      </c>
      <c r="C239" s="2">
        <f>IFERROR(__xludf.DUMMYFUNCTION("""COMPUTED_VALUE"""),121.85)</f>
        <v>121.85</v>
      </c>
    </row>
    <row r="240" ht="15.75" customHeight="1">
      <c r="B240" s="3">
        <f>IFERROR(__xludf.DUMMYFUNCTION("""COMPUTED_VALUE"""),38856.645833333336)</f>
        <v>38856.64583</v>
      </c>
      <c r="C240" s="2">
        <f>IFERROR(__xludf.DUMMYFUNCTION("""COMPUTED_VALUE"""),112.4)</f>
        <v>112.4</v>
      </c>
    </row>
    <row r="241" ht="15.75" customHeight="1">
      <c r="B241" s="3">
        <f>IFERROR(__xludf.DUMMYFUNCTION("""COMPUTED_VALUE"""),38863.645833333336)</f>
        <v>38863.64583</v>
      </c>
      <c r="C241" s="2">
        <f>IFERROR(__xludf.DUMMYFUNCTION("""COMPUTED_VALUE"""),100.5)</f>
        <v>100.5</v>
      </c>
    </row>
    <row r="242" ht="15.75" customHeight="1">
      <c r="B242" s="3">
        <f>IFERROR(__xludf.DUMMYFUNCTION("""COMPUTED_VALUE"""),38870.645833333336)</f>
        <v>38870.64583</v>
      </c>
      <c r="C242" s="2">
        <f>IFERROR(__xludf.DUMMYFUNCTION("""COMPUTED_VALUE"""),101.3)</f>
        <v>101.3</v>
      </c>
    </row>
    <row r="243" ht="15.75" customHeight="1">
      <c r="B243" s="3">
        <f>IFERROR(__xludf.DUMMYFUNCTION("""COMPUTED_VALUE"""),38877.645833333336)</f>
        <v>38877.64583</v>
      </c>
      <c r="C243" s="2">
        <f>IFERROR(__xludf.DUMMYFUNCTION("""COMPUTED_VALUE"""),94.25)</f>
        <v>94.25</v>
      </c>
    </row>
    <row r="244" ht="15.75" customHeight="1">
      <c r="B244" s="3">
        <f>IFERROR(__xludf.DUMMYFUNCTION("""COMPUTED_VALUE"""),38884.645833333336)</f>
        <v>38884.64583</v>
      </c>
      <c r="C244" s="2">
        <f>IFERROR(__xludf.DUMMYFUNCTION("""COMPUTED_VALUE"""),95.0)</f>
        <v>95</v>
      </c>
    </row>
    <row r="245" ht="15.75" customHeight="1">
      <c r="B245" s="3">
        <f>IFERROR(__xludf.DUMMYFUNCTION("""COMPUTED_VALUE"""),38891.645833333336)</f>
        <v>38891.64583</v>
      </c>
      <c r="C245" s="2">
        <f>IFERROR(__xludf.DUMMYFUNCTION("""COMPUTED_VALUE"""),96.9)</f>
        <v>96.9</v>
      </c>
    </row>
    <row r="246" ht="15.75" customHeight="1">
      <c r="B246" s="3">
        <f>IFERROR(__xludf.DUMMYFUNCTION("""COMPUTED_VALUE"""),38898.645833333336)</f>
        <v>38898.64583</v>
      </c>
      <c r="C246" s="2">
        <f>IFERROR(__xludf.DUMMYFUNCTION("""COMPUTED_VALUE"""),100.0)</f>
        <v>100</v>
      </c>
    </row>
    <row r="247" ht="15.75" customHeight="1">
      <c r="B247" s="3">
        <f>IFERROR(__xludf.DUMMYFUNCTION("""COMPUTED_VALUE"""),38905.645833333336)</f>
        <v>38905.64583</v>
      </c>
      <c r="C247" s="2">
        <f>IFERROR(__xludf.DUMMYFUNCTION("""COMPUTED_VALUE"""),104.6)</f>
        <v>104.6</v>
      </c>
    </row>
    <row r="248" ht="15.75" customHeight="1">
      <c r="B248" s="3">
        <f>IFERROR(__xludf.DUMMYFUNCTION("""COMPUTED_VALUE"""),38912.645833333336)</f>
        <v>38912.64583</v>
      </c>
      <c r="C248" s="2">
        <f>IFERROR(__xludf.DUMMYFUNCTION("""COMPUTED_VALUE"""),110.4)</f>
        <v>110.4</v>
      </c>
    </row>
    <row r="249" ht="15.75" customHeight="1">
      <c r="B249" s="3">
        <f>IFERROR(__xludf.DUMMYFUNCTION("""COMPUTED_VALUE"""),38919.645833333336)</f>
        <v>38919.64583</v>
      </c>
      <c r="C249" s="2">
        <f>IFERROR(__xludf.DUMMYFUNCTION("""COMPUTED_VALUE"""),108.4)</f>
        <v>108.4</v>
      </c>
    </row>
    <row r="250" ht="15.75" customHeight="1">
      <c r="B250" s="3">
        <f>IFERROR(__xludf.DUMMYFUNCTION("""COMPUTED_VALUE"""),38926.645833333336)</f>
        <v>38926.64583</v>
      </c>
      <c r="C250" s="2">
        <f>IFERROR(__xludf.DUMMYFUNCTION("""COMPUTED_VALUE"""),106.5)</f>
        <v>106.5</v>
      </c>
    </row>
    <row r="251" ht="15.75" customHeight="1">
      <c r="B251" s="3">
        <f>IFERROR(__xludf.DUMMYFUNCTION("""COMPUTED_VALUE"""),38933.645833333336)</f>
        <v>38933.64583</v>
      </c>
      <c r="C251" s="2">
        <f>IFERROR(__xludf.DUMMYFUNCTION("""COMPUTED_VALUE"""),108.0)</f>
        <v>108</v>
      </c>
    </row>
    <row r="252" ht="15.75" customHeight="1">
      <c r="B252" s="3">
        <f>IFERROR(__xludf.DUMMYFUNCTION("""COMPUTED_VALUE"""),38940.645833333336)</f>
        <v>38940.64583</v>
      </c>
      <c r="C252" s="2">
        <f>IFERROR(__xludf.DUMMYFUNCTION("""COMPUTED_VALUE"""),108.25)</f>
        <v>108.25</v>
      </c>
    </row>
    <row r="253" ht="15.75" customHeight="1">
      <c r="B253" s="3">
        <f>IFERROR(__xludf.DUMMYFUNCTION("""COMPUTED_VALUE"""),38947.645833333336)</f>
        <v>38947.64583</v>
      </c>
      <c r="C253" s="2">
        <f>IFERROR(__xludf.DUMMYFUNCTION("""COMPUTED_VALUE"""),110.55)</f>
        <v>110.55</v>
      </c>
    </row>
    <row r="254" ht="15.75" customHeight="1">
      <c r="B254" s="3">
        <f>IFERROR(__xludf.DUMMYFUNCTION("""COMPUTED_VALUE"""),38954.645833333336)</f>
        <v>38954.64583</v>
      </c>
      <c r="C254" s="2">
        <f>IFERROR(__xludf.DUMMYFUNCTION("""COMPUTED_VALUE"""),114.9)</f>
        <v>114.9</v>
      </c>
    </row>
    <row r="255" ht="15.75" customHeight="1">
      <c r="B255" s="3">
        <f>IFERROR(__xludf.DUMMYFUNCTION("""COMPUTED_VALUE"""),38961.645833333336)</f>
        <v>38961.64583</v>
      </c>
      <c r="C255" s="2">
        <f>IFERROR(__xludf.DUMMYFUNCTION("""COMPUTED_VALUE"""),118.0)</f>
        <v>118</v>
      </c>
    </row>
    <row r="256" ht="15.75" customHeight="1">
      <c r="B256" s="3">
        <f>IFERROR(__xludf.DUMMYFUNCTION("""COMPUTED_VALUE"""),38968.645833333336)</f>
        <v>38968.64583</v>
      </c>
      <c r="C256" s="2">
        <f>IFERROR(__xludf.DUMMYFUNCTION("""COMPUTED_VALUE"""),117.0)</f>
        <v>117</v>
      </c>
    </row>
    <row r="257" ht="15.75" customHeight="1">
      <c r="B257" s="3">
        <f>IFERROR(__xludf.DUMMYFUNCTION("""COMPUTED_VALUE"""),38975.645833333336)</f>
        <v>38975.64583</v>
      </c>
      <c r="C257" s="2">
        <f>IFERROR(__xludf.DUMMYFUNCTION("""COMPUTED_VALUE"""),116.0)</f>
        <v>116</v>
      </c>
    </row>
    <row r="258" ht="15.75" customHeight="1">
      <c r="B258" s="3">
        <f>IFERROR(__xludf.DUMMYFUNCTION("""COMPUTED_VALUE"""),38982.645833333336)</f>
        <v>38982.64583</v>
      </c>
      <c r="C258" s="2">
        <f>IFERROR(__xludf.DUMMYFUNCTION("""COMPUTED_VALUE"""),118.0)</f>
        <v>118</v>
      </c>
    </row>
    <row r="259" ht="15.75" customHeight="1">
      <c r="B259" s="3">
        <f>IFERROR(__xludf.DUMMYFUNCTION("""COMPUTED_VALUE"""),38989.645833333336)</f>
        <v>38989.64583</v>
      </c>
      <c r="C259" s="2">
        <f>IFERROR(__xludf.DUMMYFUNCTION("""COMPUTED_VALUE"""),118.8)</f>
        <v>118.8</v>
      </c>
    </row>
    <row r="260" ht="15.75" customHeight="1">
      <c r="B260" s="3">
        <f>IFERROR(__xludf.DUMMYFUNCTION("""COMPUTED_VALUE"""),38996.645833333336)</f>
        <v>38996.64583</v>
      </c>
      <c r="C260" s="2">
        <f>IFERROR(__xludf.DUMMYFUNCTION("""COMPUTED_VALUE"""),123.6)</f>
        <v>123.6</v>
      </c>
    </row>
    <row r="261" ht="15.75" customHeight="1">
      <c r="B261" s="3">
        <f>IFERROR(__xludf.DUMMYFUNCTION("""COMPUTED_VALUE"""),39003.645833333336)</f>
        <v>39003.64583</v>
      </c>
      <c r="C261" s="2">
        <f>IFERROR(__xludf.DUMMYFUNCTION("""COMPUTED_VALUE"""),125.3)</f>
        <v>125.3</v>
      </c>
    </row>
    <row r="262" ht="15.75" customHeight="1">
      <c r="B262" s="3">
        <f>IFERROR(__xludf.DUMMYFUNCTION("""COMPUTED_VALUE"""),39017.645833333336)</f>
        <v>39017.64583</v>
      </c>
      <c r="C262" s="2">
        <f>IFERROR(__xludf.DUMMYFUNCTION("""COMPUTED_VALUE"""),123.0)</f>
        <v>123</v>
      </c>
    </row>
    <row r="263" ht="15.75" customHeight="1">
      <c r="B263" s="3">
        <f>IFERROR(__xludf.DUMMYFUNCTION("""COMPUTED_VALUE"""),39024.645833333336)</f>
        <v>39024.64583</v>
      </c>
      <c r="C263" s="2">
        <f>IFERROR(__xludf.DUMMYFUNCTION("""COMPUTED_VALUE"""),124.35)</f>
        <v>124.35</v>
      </c>
    </row>
    <row r="264" ht="15.75" customHeight="1">
      <c r="B264" s="3">
        <f>IFERROR(__xludf.DUMMYFUNCTION("""COMPUTED_VALUE"""),39031.645833333336)</f>
        <v>39031.64583</v>
      </c>
      <c r="C264" s="2">
        <f>IFERROR(__xludf.DUMMYFUNCTION("""COMPUTED_VALUE"""),134.95)</f>
        <v>134.95</v>
      </c>
    </row>
    <row r="265" ht="15.75" customHeight="1">
      <c r="B265" s="3">
        <f>IFERROR(__xludf.DUMMYFUNCTION("""COMPUTED_VALUE"""),39038.645833333336)</f>
        <v>39038.64583</v>
      </c>
      <c r="C265" s="2">
        <f>IFERROR(__xludf.DUMMYFUNCTION("""COMPUTED_VALUE"""),141.5)</f>
        <v>141.5</v>
      </c>
    </row>
    <row r="266" ht="15.75" customHeight="1">
      <c r="B266" s="3">
        <f>IFERROR(__xludf.DUMMYFUNCTION("""COMPUTED_VALUE"""),39045.645833333336)</f>
        <v>39045.64583</v>
      </c>
      <c r="C266" s="2">
        <f>IFERROR(__xludf.DUMMYFUNCTION("""COMPUTED_VALUE"""),139.9)</f>
        <v>139.9</v>
      </c>
    </row>
    <row r="267" ht="15.75" customHeight="1">
      <c r="B267" s="3">
        <f>IFERROR(__xludf.DUMMYFUNCTION("""COMPUTED_VALUE"""),39052.645833333336)</f>
        <v>39052.64583</v>
      </c>
      <c r="C267" s="2">
        <f>IFERROR(__xludf.DUMMYFUNCTION("""COMPUTED_VALUE"""),149.65)</f>
        <v>149.65</v>
      </c>
    </row>
    <row r="268" ht="15.75" customHeight="1">
      <c r="B268" s="3">
        <f>IFERROR(__xludf.DUMMYFUNCTION("""COMPUTED_VALUE"""),39059.645833333336)</f>
        <v>39059.64583</v>
      </c>
      <c r="C268" s="2">
        <f>IFERROR(__xludf.DUMMYFUNCTION("""COMPUTED_VALUE"""),148.0)</f>
        <v>148</v>
      </c>
    </row>
    <row r="269" ht="15.75" customHeight="1">
      <c r="B269" s="3">
        <f>IFERROR(__xludf.DUMMYFUNCTION("""COMPUTED_VALUE"""),39066.645833333336)</f>
        <v>39066.64583</v>
      </c>
      <c r="C269" s="2">
        <f>IFERROR(__xludf.DUMMYFUNCTION("""COMPUTED_VALUE"""),142.0)</f>
        <v>142</v>
      </c>
    </row>
    <row r="270" ht="15.75" customHeight="1">
      <c r="B270" s="3">
        <f>IFERROR(__xludf.DUMMYFUNCTION("""COMPUTED_VALUE"""),39073.645833333336)</f>
        <v>39073.64583</v>
      </c>
      <c r="C270" s="2">
        <f>IFERROR(__xludf.DUMMYFUNCTION("""COMPUTED_VALUE"""),141.5)</f>
        <v>141.5</v>
      </c>
    </row>
    <row r="271" ht="15.75" customHeight="1">
      <c r="B271" s="3">
        <f>IFERROR(__xludf.DUMMYFUNCTION("""COMPUTED_VALUE"""),39080.645833333336)</f>
        <v>39080.64583</v>
      </c>
      <c r="C271" s="2">
        <f>IFERROR(__xludf.DUMMYFUNCTION("""COMPUTED_VALUE"""),144.95)</f>
        <v>144.95</v>
      </c>
    </row>
    <row r="272" ht="15.75" customHeight="1"/>
    <row r="273" ht="15.75" customHeight="1"/>
    <row r="274" ht="15.75" customHeight="1"/>
    <row r="275" ht="15.75" customHeight="1"/>
    <row r="276" ht="15.75" customHeight="1">
      <c r="B276" s="2" t="str">
        <f>IFERROR(__xludf.DUMMYFUNCTION("GOOGLEFINANCE(""NSE:AMBUJACEM"", ""high"",DATE(2007,1,1),DATE(2008,1,1),""weekly"")"),"Date")</f>
        <v>Date</v>
      </c>
      <c r="C276" s="2" t="str">
        <f>IFERROR(__xludf.DUMMYFUNCTION("""COMPUTED_VALUE"""),"High")</f>
        <v>High</v>
      </c>
    </row>
    <row r="277" ht="15.75" customHeight="1">
      <c r="B277" s="3">
        <f>IFERROR(__xludf.DUMMYFUNCTION("""COMPUTED_VALUE"""),39087.645833333336)</f>
        <v>39087.64583</v>
      </c>
      <c r="C277" s="2">
        <f>IFERROR(__xludf.DUMMYFUNCTION("""COMPUTED_VALUE"""),152.0)</f>
        <v>152</v>
      </c>
    </row>
    <row r="278" ht="15.75" customHeight="1">
      <c r="B278" s="3">
        <f>IFERROR(__xludf.DUMMYFUNCTION("""COMPUTED_VALUE"""),39094.645833333336)</f>
        <v>39094.64583</v>
      </c>
      <c r="C278" s="2">
        <f>IFERROR(__xludf.DUMMYFUNCTION("""COMPUTED_VALUE"""),143.3)</f>
        <v>143.3</v>
      </c>
    </row>
    <row r="279" ht="15.75" customHeight="1">
      <c r="B279" s="3">
        <f>IFERROR(__xludf.DUMMYFUNCTION("""COMPUTED_VALUE"""),39101.645833333336)</f>
        <v>39101.64583</v>
      </c>
      <c r="C279" s="2">
        <f>IFERROR(__xludf.DUMMYFUNCTION("""COMPUTED_VALUE"""),153.0)</f>
        <v>153</v>
      </c>
    </row>
    <row r="280" ht="15.75" customHeight="1">
      <c r="B280" s="3">
        <f>IFERROR(__xludf.DUMMYFUNCTION("""COMPUTED_VALUE"""),39107.645833333336)</f>
        <v>39107.64583</v>
      </c>
      <c r="C280" s="2">
        <f>IFERROR(__xludf.DUMMYFUNCTION("""COMPUTED_VALUE"""),149.9)</f>
        <v>149.9</v>
      </c>
    </row>
    <row r="281" ht="15.75" customHeight="1">
      <c r="B281" s="3">
        <f>IFERROR(__xludf.DUMMYFUNCTION("""COMPUTED_VALUE"""),39115.645833333336)</f>
        <v>39115.64583</v>
      </c>
      <c r="C281" s="2">
        <f>IFERROR(__xludf.DUMMYFUNCTION("""COMPUTED_VALUE"""),143.85)</f>
        <v>143.85</v>
      </c>
    </row>
    <row r="282" ht="15.75" customHeight="1">
      <c r="B282" s="3">
        <f>IFERROR(__xludf.DUMMYFUNCTION("""COMPUTED_VALUE"""),39122.645833333336)</f>
        <v>39122.64583</v>
      </c>
      <c r="C282" s="2">
        <f>IFERROR(__xludf.DUMMYFUNCTION("""COMPUTED_VALUE"""),145.0)</f>
        <v>145</v>
      </c>
    </row>
    <row r="283" ht="15.75" customHeight="1">
      <c r="B283" s="3">
        <f>IFERROR(__xludf.DUMMYFUNCTION("""COMPUTED_VALUE"""),39128.645833333336)</f>
        <v>39128.64583</v>
      </c>
      <c r="C283" s="2">
        <f>IFERROR(__xludf.DUMMYFUNCTION("""COMPUTED_VALUE"""),139.5)</f>
        <v>139.5</v>
      </c>
    </row>
    <row r="284" ht="15.75" customHeight="1">
      <c r="B284" s="3">
        <f>IFERROR(__xludf.DUMMYFUNCTION("""COMPUTED_VALUE"""),39136.645833333336)</f>
        <v>39136.64583</v>
      </c>
      <c r="C284" s="2">
        <f>IFERROR(__xludf.DUMMYFUNCTION("""COMPUTED_VALUE"""),138.5)</f>
        <v>138.5</v>
      </c>
    </row>
    <row r="285" ht="15.75" customHeight="1">
      <c r="B285" s="3">
        <f>IFERROR(__xludf.DUMMYFUNCTION("""COMPUTED_VALUE"""),39143.645833333336)</f>
        <v>39143.64583</v>
      </c>
      <c r="C285" s="2">
        <f>IFERROR(__xludf.DUMMYFUNCTION("""COMPUTED_VALUE"""),129.75)</f>
        <v>129.75</v>
      </c>
    </row>
    <row r="286" ht="15.75" customHeight="1">
      <c r="B286" s="3">
        <f>IFERROR(__xludf.DUMMYFUNCTION("""COMPUTED_VALUE"""),39150.645833333336)</f>
        <v>39150.64583</v>
      </c>
      <c r="C286" s="2">
        <f>IFERROR(__xludf.DUMMYFUNCTION("""COMPUTED_VALUE"""),118.25)</f>
        <v>118.25</v>
      </c>
    </row>
    <row r="287" ht="15.75" customHeight="1">
      <c r="B287" s="3">
        <f>IFERROR(__xludf.DUMMYFUNCTION("""COMPUTED_VALUE"""),39157.645833333336)</f>
        <v>39157.64583</v>
      </c>
      <c r="C287" s="2">
        <f>IFERROR(__xludf.DUMMYFUNCTION("""COMPUTED_VALUE"""),112.8)</f>
        <v>112.8</v>
      </c>
    </row>
    <row r="288" ht="15.75" customHeight="1">
      <c r="B288" s="3">
        <f>IFERROR(__xludf.DUMMYFUNCTION("""COMPUTED_VALUE"""),39164.645833333336)</f>
        <v>39164.64583</v>
      </c>
      <c r="C288" s="2">
        <f>IFERROR(__xludf.DUMMYFUNCTION("""COMPUTED_VALUE"""),112.2)</f>
        <v>112.2</v>
      </c>
    </row>
    <row r="289" ht="15.75" customHeight="1">
      <c r="B289" s="3">
        <f>IFERROR(__xludf.DUMMYFUNCTION("""COMPUTED_VALUE"""),39171.645833333336)</f>
        <v>39171.64583</v>
      </c>
      <c r="C289" s="2">
        <f>IFERROR(__xludf.DUMMYFUNCTION("""COMPUTED_VALUE"""),107.9)</f>
        <v>107.9</v>
      </c>
    </row>
    <row r="290" ht="15.75" customHeight="1">
      <c r="B290" s="3">
        <f>IFERROR(__xludf.DUMMYFUNCTION("""COMPUTED_VALUE"""),39177.645833333336)</f>
        <v>39177.64583</v>
      </c>
      <c r="C290" s="2">
        <f>IFERROR(__xludf.DUMMYFUNCTION("""COMPUTED_VALUE"""),108.25)</f>
        <v>108.25</v>
      </c>
    </row>
    <row r="291" ht="15.75" customHeight="1">
      <c r="B291" s="3">
        <f>IFERROR(__xludf.DUMMYFUNCTION("""COMPUTED_VALUE"""),39185.645833333336)</f>
        <v>39185.64583</v>
      </c>
      <c r="C291" s="2">
        <f>IFERROR(__xludf.DUMMYFUNCTION("""COMPUTED_VALUE"""),111.5)</f>
        <v>111.5</v>
      </c>
    </row>
    <row r="292" ht="15.75" customHeight="1">
      <c r="B292" s="3">
        <f>IFERROR(__xludf.DUMMYFUNCTION("""COMPUTED_VALUE"""),39192.645833333336)</f>
        <v>39192.64583</v>
      </c>
      <c r="C292" s="2">
        <f>IFERROR(__xludf.DUMMYFUNCTION("""COMPUTED_VALUE"""),116.75)</f>
        <v>116.75</v>
      </c>
    </row>
    <row r="293" ht="15.75" customHeight="1">
      <c r="B293" s="3">
        <f>IFERROR(__xludf.DUMMYFUNCTION("""COMPUTED_VALUE"""),39199.645833333336)</f>
        <v>39199.64583</v>
      </c>
      <c r="C293" s="2">
        <f>IFERROR(__xludf.DUMMYFUNCTION("""COMPUTED_VALUE"""),126.0)</f>
        <v>126</v>
      </c>
    </row>
    <row r="294" ht="15.75" customHeight="1">
      <c r="B294" s="3">
        <f>IFERROR(__xludf.DUMMYFUNCTION("""COMPUTED_VALUE"""),39206.645833333336)</f>
        <v>39206.64583</v>
      </c>
      <c r="C294" s="2">
        <f>IFERROR(__xludf.DUMMYFUNCTION("""COMPUTED_VALUE"""),128.0)</f>
        <v>128</v>
      </c>
    </row>
    <row r="295" ht="15.75" customHeight="1">
      <c r="B295" s="3">
        <f>IFERROR(__xludf.DUMMYFUNCTION("""COMPUTED_VALUE"""),39213.645833333336)</f>
        <v>39213.64583</v>
      </c>
      <c r="C295" s="2">
        <f>IFERROR(__xludf.DUMMYFUNCTION("""COMPUTED_VALUE"""),122.5)</f>
        <v>122.5</v>
      </c>
    </row>
    <row r="296" ht="15.75" customHeight="1">
      <c r="B296" s="3">
        <f>IFERROR(__xludf.DUMMYFUNCTION("""COMPUTED_VALUE"""),39220.645833333336)</f>
        <v>39220.64583</v>
      </c>
      <c r="C296" s="2">
        <f>IFERROR(__xludf.DUMMYFUNCTION("""COMPUTED_VALUE"""),125.0)</f>
        <v>125</v>
      </c>
    </row>
    <row r="297" ht="15.75" customHeight="1">
      <c r="B297" s="3">
        <f>IFERROR(__xludf.DUMMYFUNCTION("""COMPUTED_VALUE"""),39227.645833333336)</f>
        <v>39227.64583</v>
      </c>
      <c r="C297" s="2">
        <f>IFERROR(__xludf.DUMMYFUNCTION("""COMPUTED_VALUE"""),125.0)</f>
        <v>125</v>
      </c>
    </row>
    <row r="298" ht="15.75" customHeight="1">
      <c r="B298" s="3">
        <f>IFERROR(__xludf.DUMMYFUNCTION("""COMPUTED_VALUE"""),39234.645833333336)</f>
        <v>39234.64583</v>
      </c>
      <c r="C298" s="2">
        <f>IFERROR(__xludf.DUMMYFUNCTION("""COMPUTED_VALUE"""),117.6)</f>
        <v>117.6</v>
      </c>
    </row>
    <row r="299" ht="15.75" customHeight="1">
      <c r="B299" s="3">
        <f>IFERROR(__xludf.DUMMYFUNCTION("""COMPUTED_VALUE"""),39241.645833333336)</f>
        <v>39241.64583</v>
      </c>
      <c r="C299" s="2">
        <f>IFERROR(__xludf.DUMMYFUNCTION("""COMPUTED_VALUE"""),120.5)</f>
        <v>120.5</v>
      </c>
    </row>
    <row r="300" ht="15.75" customHeight="1">
      <c r="B300" s="3">
        <f>IFERROR(__xludf.DUMMYFUNCTION("""COMPUTED_VALUE"""),39248.645833333336)</f>
        <v>39248.64583</v>
      </c>
      <c r="C300" s="2">
        <f>IFERROR(__xludf.DUMMYFUNCTION("""COMPUTED_VALUE"""),112.7)</f>
        <v>112.7</v>
      </c>
    </row>
    <row r="301" ht="15.75" customHeight="1">
      <c r="B301" s="3">
        <f>IFERROR(__xludf.DUMMYFUNCTION("""COMPUTED_VALUE"""),39255.645833333336)</f>
        <v>39255.64583</v>
      </c>
      <c r="C301" s="2">
        <f>IFERROR(__xludf.DUMMYFUNCTION("""COMPUTED_VALUE"""),120.4)</f>
        <v>120.4</v>
      </c>
    </row>
    <row r="302" ht="15.75" customHeight="1">
      <c r="B302" s="3">
        <f>IFERROR(__xludf.DUMMYFUNCTION("""COMPUTED_VALUE"""),39262.645833333336)</f>
        <v>39262.64583</v>
      </c>
      <c r="C302" s="2">
        <f>IFERROR(__xludf.DUMMYFUNCTION("""COMPUTED_VALUE"""),129.9)</f>
        <v>129.9</v>
      </c>
    </row>
    <row r="303" ht="15.75" customHeight="1">
      <c r="B303" s="3">
        <f>IFERROR(__xludf.DUMMYFUNCTION("""COMPUTED_VALUE"""),39269.645833333336)</f>
        <v>39269.64583</v>
      </c>
      <c r="C303" s="2">
        <f>IFERROR(__xludf.DUMMYFUNCTION("""COMPUTED_VALUE"""),132.85)</f>
        <v>132.85</v>
      </c>
    </row>
    <row r="304" ht="15.75" customHeight="1">
      <c r="B304" s="3">
        <f>IFERROR(__xludf.DUMMYFUNCTION("""COMPUTED_VALUE"""),39276.645833333336)</f>
        <v>39276.64583</v>
      </c>
      <c r="C304" s="2">
        <f>IFERROR(__xludf.DUMMYFUNCTION("""COMPUTED_VALUE"""),133.4)</f>
        <v>133.4</v>
      </c>
    </row>
    <row r="305" ht="15.75" customHeight="1">
      <c r="B305" s="3">
        <f>IFERROR(__xludf.DUMMYFUNCTION("""COMPUTED_VALUE"""),39283.645833333336)</f>
        <v>39283.64583</v>
      </c>
      <c r="C305" s="2">
        <f>IFERROR(__xludf.DUMMYFUNCTION("""COMPUTED_VALUE"""),140.85)</f>
        <v>140.85</v>
      </c>
    </row>
    <row r="306" ht="15.75" customHeight="1">
      <c r="B306" s="3">
        <f>IFERROR(__xludf.DUMMYFUNCTION("""COMPUTED_VALUE"""),39290.645833333336)</f>
        <v>39290.64583</v>
      </c>
      <c r="C306" s="2">
        <f>IFERROR(__xludf.DUMMYFUNCTION("""COMPUTED_VALUE"""),137.5)</f>
        <v>137.5</v>
      </c>
    </row>
    <row r="307" ht="15.75" customHeight="1">
      <c r="B307" s="3">
        <f>IFERROR(__xludf.DUMMYFUNCTION("""COMPUTED_VALUE"""),39297.645833333336)</f>
        <v>39297.64583</v>
      </c>
      <c r="C307" s="2">
        <f>IFERROR(__xludf.DUMMYFUNCTION("""COMPUTED_VALUE"""),135.65)</f>
        <v>135.65</v>
      </c>
    </row>
    <row r="308" ht="15.75" customHeight="1">
      <c r="B308" s="3">
        <f>IFERROR(__xludf.DUMMYFUNCTION("""COMPUTED_VALUE"""),39304.645833333336)</f>
        <v>39304.64583</v>
      </c>
      <c r="C308" s="2">
        <f>IFERROR(__xludf.DUMMYFUNCTION("""COMPUTED_VALUE"""),131.15)</f>
        <v>131.15</v>
      </c>
    </row>
    <row r="309" ht="15.75" customHeight="1">
      <c r="B309" s="3">
        <f>IFERROR(__xludf.DUMMYFUNCTION("""COMPUTED_VALUE"""),39311.645833333336)</f>
        <v>39311.64583</v>
      </c>
      <c r="C309" s="2">
        <f>IFERROR(__xludf.DUMMYFUNCTION("""COMPUTED_VALUE"""),132.65)</f>
        <v>132.65</v>
      </c>
    </row>
    <row r="310" ht="15.75" customHeight="1">
      <c r="B310" s="3">
        <f>IFERROR(__xludf.DUMMYFUNCTION("""COMPUTED_VALUE"""),39318.645833333336)</f>
        <v>39318.64583</v>
      </c>
      <c r="C310" s="2">
        <f>IFERROR(__xludf.DUMMYFUNCTION("""COMPUTED_VALUE"""),140.9)</f>
        <v>140.9</v>
      </c>
    </row>
    <row r="311" ht="15.75" customHeight="1">
      <c r="B311" s="3">
        <f>IFERROR(__xludf.DUMMYFUNCTION("""COMPUTED_VALUE"""),39325.645833333336)</f>
        <v>39325.64583</v>
      </c>
      <c r="C311" s="2">
        <f>IFERROR(__xludf.DUMMYFUNCTION("""COMPUTED_VALUE"""),137.0)</f>
        <v>137</v>
      </c>
    </row>
    <row r="312" ht="15.75" customHeight="1">
      <c r="B312" s="3">
        <f>IFERROR(__xludf.DUMMYFUNCTION("""COMPUTED_VALUE"""),39332.645833333336)</f>
        <v>39332.64583</v>
      </c>
      <c r="C312" s="2">
        <f>IFERROR(__xludf.DUMMYFUNCTION("""COMPUTED_VALUE"""),142.45)</f>
        <v>142.45</v>
      </c>
    </row>
    <row r="313" ht="15.75" customHeight="1">
      <c r="B313" s="3">
        <f>IFERROR(__xludf.DUMMYFUNCTION("""COMPUTED_VALUE"""),39339.645833333336)</f>
        <v>39339.64583</v>
      </c>
      <c r="C313" s="2">
        <f>IFERROR(__xludf.DUMMYFUNCTION("""COMPUTED_VALUE"""),146.65)</f>
        <v>146.65</v>
      </c>
    </row>
    <row r="314" ht="15.75" customHeight="1">
      <c r="B314" s="3">
        <f>IFERROR(__xludf.DUMMYFUNCTION("""COMPUTED_VALUE"""),39345.645833333336)</f>
        <v>39345.64583</v>
      </c>
      <c r="C314" s="2">
        <f>IFERROR(__xludf.DUMMYFUNCTION("""COMPUTED_VALUE"""),148.5)</f>
        <v>148.5</v>
      </c>
    </row>
    <row r="315" ht="15.75" customHeight="1">
      <c r="B315" s="3">
        <f>IFERROR(__xludf.DUMMYFUNCTION("""COMPUTED_VALUE"""),39353.645833333336)</f>
        <v>39353.64583</v>
      </c>
      <c r="C315" s="2">
        <f>IFERROR(__xludf.DUMMYFUNCTION("""COMPUTED_VALUE"""),149.9)</f>
        <v>149.9</v>
      </c>
    </row>
    <row r="316" ht="15.75" customHeight="1">
      <c r="B316" s="3">
        <f>IFERROR(__xludf.DUMMYFUNCTION("""COMPUTED_VALUE"""),39360.645833333336)</f>
        <v>39360.64583</v>
      </c>
      <c r="C316" s="2">
        <f>IFERROR(__xludf.DUMMYFUNCTION("""COMPUTED_VALUE"""),149.9)</f>
        <v>149.9</v>
      </c>
    </row>
    <row r="317" ht="15.75" customHeight="1">
      <c r="B317" s="3">
        <f>IFERROR(__xludf.DUMMYFUNCTION("""COMPUTED_VALUE"""),39367.645833333336)</f>
        <v>39367.64583</v>
      </c>
      <c r="C317" s="2">
        <f>IFERROR(__xludf.DUMMYFUNCTION("""COMPUTED_VALUE"""),154.25)</f>
        <v>154.25</v>
      </c>
    </row>
    <row r="318" ht="15.75" customHeight="1">
      <c r="B318" s="3">
        <f>IFERROR(__xludf.DUMMYFUNCTION("""COMPUTED_VALUE"""),39374.645833333336)</f>
        <v>39374.64583</v>
      </c>
      <c r="C318" s="2">
        <f>IFERROR(__xludf.DUMMYFUNCTION("""COMPUTED_VALUE"""),153.25)</f>
        <v>153.25</v>
      </c>
    </row>
    <row r="319" ht="15.75" customHeight="1">
      <c r="B319" s="3">
        <f>IFERROR(__xludf.DUMMYFUNCTION("""COMPUTED_VALUE"""),39381.645833333336)</f>
        <v>39381.64583</v>
      </c>
      <c r="C319" s="2">
        <f>IFERROR(__xludf.DUMMYFUNCTION("""COMPUTED_VALUE"""),149.4)</f>
        <v>149.4</v>
      </c>
    </row>
    <row r="320" ht="15.75" customHeight="1">
      <c r="B320" s="3">
        <f>IFERROR(__xludf.DUMMYFUNCTION("""COMPUTED_VALUE"""),39388.645833333336)</f>
        <v>39388.64583</v>
      </c>
      <c r="C320" s="2">
        <f>IFERROR(__xludf.DUMMYFUNCTION("""COMPUTED_VALUE"""),147.45)</f>
        <v>147.45</v>
      </c>
    </row>
    <row r="321" ht="15.75" customHeight="1">
      <c r="B321" s="3">
        <f>IFERROR(__xludf.DUMMYFUNCTION("""COMPUTED_VALUE"""),39402.645833333336)</f>
        <v>39402.64583</v>
      </c>
      <c r="C321" s="2">
        <f>IFERROR(__xludf.DUMMYFUNCTION("""COMPUTED_VALUE"""),148.95)</f>
        <v>148.95</v>
      </c>
    </row>
    <row r="322" ht="15.75" customHeight="1">
      <c r="B322" s="3">
        <f>IFERROR(__xludf.DUMMYFUNCTION("""COMPUTED_VALUE"""),39409.645833333336)</f>
        <v>39409.64583</v>
      </c>
      <c r="C322" s="2">
        <f>IFERROR(__xludf.DUMMYFUNCTION("""COMPUTED_VALUE"""),150.85)</f>
        <v>150.85</v>
      </c>
    </row>
    <row r="323" ht="15.75" customHeight="1">
      <c r="B323" s="3">
        <f>IFERROR(__xludf.DUMMYFUNCTION("""COMPUTED_VALUE"""),39416.645833333336)</f>
        <v>39416.64583</v>
      </c>
      <c r="C323" s="2">
        <f>IFERROR(__xludf.DUMMYFUNCTION("""COMPUTED_VALUE"""),152.6)</f>
        <v>152.6</v>
      </c>
    </row>
    <row r="324" ht="15.75" customHeight="1">
      <c r="B324" s="3">
        <f>IFERROR(__xludf.DUMMYFUNCTION("""COMPUTED_VALUE"""),39423.645833333336)</f>
        <v>39423.64583</v>
      </c>
      <c r="C324" s="2">
        <f>IFERROR(__xludf.DUMMYFUNCTION("""COMPUTED_VALUE"""),160.8)</f>
        <v>160.8</v>
      </c>
    </row>
    <row r="325" ht="15.75" customHeight="1">
      <c r="B325" s="3">
        <f>IFERROR(__xludf.DUMMYFUNCTION("""COMPUTED_VALUE"""),39430.645833333336)</f>
        <v>39430.64583</v>
      </c>
      <c r="C325" s="2">
        <f>IFERROR(__xludf.DUMMYFUNCTION("""COMPUTED_VALUE"""),154.0)</f>
        <v>154</v>
      </c>
    </row>
    <row r="326" ht="15.75" customHeight="1">
      <c r="B326" s="3">
        <f>IFERROR(__xludf.DUMMYFUNCTION("""COMPUTED_VALUE"""),39436.645833333336)</f>
        <v>39436.64583</v>
      </c>
      <c r="C326" s="2">
        <f>IFERROR(__xludf.DUMMYFUNCTION("""COMPUTED_VALUE"""),151.45)</f>
        <v>151.45</v>
      </c>
    </row>
    <row r="327" ht="15.75" customHeight="1">
      <c r="B327" s="3">
        <f>IFERROR(__xludf.DUMMYFUNCTION("""COMPUTED_VALUE"""),39444.645833333336)</f>
        <v>39444.64583</v>
      </c>
      <c r="C327" s="2">
        <f>IFERROR(__xludf.DUMMYFUNCTION("""COMPUTED_VALUE"""),149.9)</f>
        <v>149.9</v>
      </c>
    </row>
    <row r="328" ht="15.75" customHeight="1"/>
    <row r="329" ht="15.75" customHeight="1"/>
    <row r="330" ht="15.75" customHeight="1"/>
    <row r="331" ht="15.75" customHeight="1">
      <c r="B331" s="2" t="str">
        <f>IFERROR(__xludf.DUMMYFUNCTION("GOOGLEFINANCE(""NSE:AMBUJACEM"", ""high"",DATE(2008,1,1),DATE(2009,1,1),""weekly"")"),"Date")</f>
        <v>Date</v>
      </c>
      <c r="C331" s="2" t="str">
        <f>IFERROR(__xludf.DUMMYFUNCTION("""COMPUTED_VALUE"""),"High")</f>
        <v>High</v>
      </c>
    </row>
    <row r="332" ht="15.75" customHeight="1">
      <c r="B332" s="3">
        <f>IFERROR(__xludf.DUMMYFUNCTION("""COMPUTED_VALUE"""),39451.645833333336)</f>
        <v>39451.64583</v>
      </c>
      <c r="C332" s="2">
        <f>IFERROR(__xludf.DUMMYFUNCTION("""COMPUTED_VALUE"""),150.9)</f>
        <v>150.9</v>
      </c>
    </row>
    <row r="333" ht="15.75" customHeight="1">
      <c r="B333" s="3">
        <f>IFERROR(__xludf.DUMMYFUNCTION("""COMPUTED_VALUE"""),39458.645833333336)</f>
        <v>39458.64583</v>
      </c>
      <c r="C333" s="2">
        <f>IFERROR(__xludf.DUMMYFUNCTION("""COMPUTED_VALUE"""),145.0)</f>
        <v>145</v>
      </c>
    </row>
    <row r="334" ht="15.75" customHeight="1">
      <c r="B334" s="3">
        <f>IFERROR(__xludf.DUMMYFUNCTION("""COMPUTED_VALUE"""),39464.645833333336)</f>
        <v>39464.64583</v>
      </c>
      <c r="C334" s="2">
        <f>IFERROR(__xludf.DUMMYFUNCTION("""COMPUTED_VALUE"""),139.0)</f>
        <v>139</v>
      </c>
    </row>
    <row r="335" ht="15.75" customHeight="1">
      <c r="B335" s="3">
        <f>IFERROR(__xludf.DUMMYFUNCTION("""COMPUTED_VALUE"""),39472.645833333336)</f>
        <v>39472.64583</v>
      </c>
      <c r="C335" s="2">
        <f>IFERROR(__xludf.DUMMYFUNCTION("""COMPUTED_VALUE"""),133.0)</f>
        <v>133</v>
      </c>
    </row>
    <row r="336" ht="15.75" customHeight="1">
      <c r="B336" s="3">
        <f>IFERROR(__xludf.DUMMYFUNCTION("""COMPUTED_VALUE"""),39479.645833333336)</f>
        <v>39479.64583</v>
      </c>
      <c r="C336" s="2">
        <f>IFERROR(__xludf.DUMMYFUNCTION("""COMPUTED_VALUE"""),123.0)</f>
        <v>123</v>
      </c>
    </row>
    <row r="337" ht="15.75" customHeight="1">
      <c r="B337" s="3">
        <f>IFERROR(__xludf.DUMMYFUNCTION("""COMPUTED_VALUE"""),39486.645833333336)</f>
        <v>39486.64583</v>
      </c>
      <c r="C337" s="2">
        <f>IFERROR(__xludf.DUMMYFUNCTION("""COMPUTED_VALUE"""),125.0)</f>
        <v>125</v>
      </c>
    </row>
    <row r="338" ht="15.75" customHeight="1">
      <c r="B338" s="3">
        <f>IFERROR(__xludf.DUMMYFUNCTION("""COMPUTED_VALUE"""),39493.645833333336)</f>
        <v>39493.64583</v>
      </c>
      <c r="C338" s="2">
        <f>IFERROR(__xludf.DUMMYFUNCTION("""COMPUTED_VALUE"""),121.9)</f>
        <v>121.9</v>
      </c>
    </row>
    <row r="339" ht="15.75" customHeight="1">
      <c r="B339" s="3">
        <f>IFERROR(__xludf.DUMMYFUNCTION("""COMPUTED_VALUE"""),39500.645833333336)</f>
        <v>39500.64583</v>
      </c>
      <c r="C339" s="2">
        <f>IFERROR(__xludf.DUMMYFUNCTION("""COMPUTED_VALUE"""),120.5)</f>
        <v>120.5</v>
      </c>
    </row>
    <row r="340" ht="15.75" customHeight="1">
      <c r="B340" s="3">
        <f>IFERROR(__xludf.DUMMYFUNCTION("""COMPUTED_VALUE"""),39507.645833333336)</f>
        <v>39507.64583</v>
      </c>
      <c r="C340" s="2">
        <f>IFERROR(__xludf.DUMMYFUNCTION("""COMPUTED_VALUE"""),126.8)</f>
        <v>126.8</v>
      </c>
    </row>
    <row r="341" ht="15.75" customHeight="1">
      <c r="B341" s="3">
        <f>IFERROR(__xludf.DUMMYFUNCTION("""COMPUTED_VALUE"""),39514.645833333336)</f>
        <v>39514.64583</v>
      </c>
      <c r="C341" s="2">
        <f>IFERROR(__xludf.DUMMYFUNCTION("""COMPUTED_VALUE"""),123.8)</f>
        <v>123.8</v>
      </c>
    </row>
    <row r="342" ht="15.75" customHeight="1">
      <c r="B342" s="3">
        <f>IFERROR(__xludf.DUMMYFUNCTION("""COMPUTED_VALUE"""),39521.645833333336)</f>
        <v>39521.64583</v>
      </c>
      <c r="C342" s="2">
        <f>IFERROR(__xludf.DUMMYFUNCTION("""COMPUTED_VALUE"""),127.95)</f>
        <v>127.95</v>
      </c>
    </row>
    <row r="343" ht="15.75" customHeight="1">
      <c r="B343" s="3">
        <f>IFERROR(__xludf.DUMMYFUNCTION("""COMPUTED_VALUE"""),39526.645833333336)</f>
        <v>39526.64583</v>
      </c>
      <c r="C343" s="2">
        <f>IFERROR(__xludf.DUMMYFUNCTION("""COMPUTED_VALUE"""),123.1)</f>
        <v>123.1</v>
      </c>
    </row>
    <row r="344" ht="15.75" customHeight="1">
      <c r="B344" s="3">
        <f>IFERROR(__xludf.DUMMYFUNCTION("""COMPUTED_VALUE"""),39535.645833333336)</f>
        <v>39535.64583</v>
      </c>
      <c r="C344" s="2">
        <f>IFERROR(__xludf.DUMMYFUNCTION("""COMPUTED_VALUE"""),129.4)</f>
        <v>129.4</v>
      </c>
    </row>
    <row r="345" ht="15.75" customHeight="1">
      <c r="B345" s="3">
        <f>IFERROR(__xludf.DUMMYFUNCTION("""COMPUTED_VALUE"""),39542.645833333336)</f>
        <v>39542.64583</v>
      </c>
      <c r="C345" s="2">
        <f>IFERROR(__xludf.DUMMYFUNCTION("""COMPUTED_VALUE"""),124.9)</f>
        <v>124.9</v>
      </c>
    </row>
    <row r="346" ht="15.75" customHeight="1">
      <c r="B346" s="3">
        <f>IFERROR(__xludf.DUMMYFUNCTION("""COMPUTED_VALUE"""),39549.645833333336)</f>
        <v>39549.64583</v>
      </c>
      <c r="C346" s="2">
        <f>IFERROR(__xludf.DUMMYFUNCTION("""COMPUTED_VALUE"""),123.5)</f>
        <v>123.5</v>
      </c>
    </row>
    <row r="347" ht="15.75" customHeight="1">
      <c r="B347" s="3">
        <f>IFERROR(__xludf.DUMMYFUNCTION("""COMPUTED_VALUE"""),39555.645833333336)</f>
        <v>39555.64583</v>
      </c>
      <c r="C347" s="2">
        <f>IFERROR(__xludf.DUMMYFUNCTION("""COMPUTED_VALUE"""),118.0)</f>
        <v>118</v>
      </c>
    </row>
    <row r="348" ht="15.75" customHeight="1">
      <c r="B348" s="3">
        <f>IFERROR(__xludf.DUMMYFUNCTION("""COMPUTED_VALUE"""),39563.645833333336)</f>
        <v>39563.64583</v>
      </c>
      <c r="C348" s="2">
        <f>IFERROR(__xludf.DUMMYFUNCTION("""COMPUTED_VALUE"""),116.5)</f>
        <v>116.5</v>
      </c>
    </row>
    <row r="349" ht="15.75" customHeight="1">
      <c r="B349" s="3">
        <f>IFERROR(__xludf.DUMMYFUNCTION("""COMPUTED_VALUE"""),39570.645833333336)</f>
        <v>39570.64583</v>
      </c>
      <c r="C349" s="2">
        <f>IFERROR(__xludf.DUMMYFUNCTION("""COMPUTED_VALUE"""),116.5)</f>
        <v>116.5</v>
      </c>
    </row>
    <row r="350" ht="15.75" customHeight="1">
      <c r="B350" s="3">
        <f>IFERROR(__xludf.DUMMYFUNCTION("""COMPUTED_VALUE"""),39577.645833333336)</f>
        <v>39577.64583</v>
      </c>
      <c r="C350" s="2">
        <f>IFERROR(__xludf.DUMMYFUNCTION("""COMPUTED_VALUE"""),114.2)</f>
        <v>114.2</v>
      </c>
    </row>
    <row r="351" ht="15.75" customHeight="1">
      <c r="B351" s="3">
        <f>IFERROR(__xludf.DUMMYFUNCTION("""COMPUTED_VALUE"""),39584.645833333336)</f>
        <v>39584.64583</v>
      </c>
      <c r="C351" s="2">
        <f>IFERROR(__xludf.DUMMYFUNCTION("""COMPUTED_VALUE"""),112.95)</f>
        <v>112.95</v>
      </c>
    </row>
    <row r="352" ht="15.75" customHeight="1">
      <c r="B352" s="3">
        <f>IFERROR(__xludf.DUMMYFUNCTION("""COMPUTED_VALUE"""),39591.645833333336)</f>
        <v>39591.64583</v>
      </c>
      <c r="C352" s="2">
        <f>IFERROR(__xludf.DUMMYFUNCTION("""COMPUTED_VALUE"""),112.0)</f>
        <v>112</v>
      </c>
    </row>
    <row r="353" ht="15.75" customHeight="1">
      <c r="B353" s="3">
        <f>IFERROR(__xludf.DUMMYFUNCTION("""COMPUTED_VALUE"""),39598.645833333336)</f>
        <v>39598.64583</v>
      </c>
      <c r="C353" s="2">
        <f>IFERROR(__xludf.DUMMYFUNCTION("""COMPUTED_VALUE"""),105.9)</f>
        <v>105.9</v>
      </c>
    </row>
    <row r="354" ht="15.75" customHeight="1">
      <c r="B354" s="3">
        <f>IFERROR(__xludf.DUMMYFUNCTION("""COMPUTED_VALUE"""),39605.645833333336)</f>
        <v>39605.64583</v>
      </c>
      <c r="C354" s="2">
        <f>IFERROR(__xludf.DUMMYFUNCTION("""COMPUTED_VALUE"""),96.75)</f>
        <v>96.75</v>
      </c>
    </row>
    <row r="355" ht="15.75" customHeight="1">
      <c r="B355" s="3">
        <f>IFERROR(__xludf.DUMMYFUNCTION("""COMPUTED_VALUE"""),39612.645833333336)</f>
        <v>39612.64583</v>
      </c>
      <c r="C355" s="2">
        <f>IFERROR(__xludf.DUMMYFUNCTION("""COMPUTED_VALUE"""),89.5)</f>
        <v>89.5</v>
      </c>
    </row>
    <row r="356" ht="15.75" customHeight="1">
      <c r="B356" s="3">
        <f>IFERROR(__xludf.DUMMYFUNCTION("""COMPUTED_VALUE"""),39619.645833333336)</f>
        <v>39619.64583</v>
      </c>
      <c r="C356" s="2">
        <f>IFERROR(__xludf.DUMMYFUNCTION("""COMPUTED_VALUE"""),93.35)</f>
        <v>93.35</v>
      </c>
    </row>
    <row r="357" ht="15.75" customHeight="1">
      <c r="B357" s="3">
        <f>IFERROR(__xludf.DUMMYFUNCTION("""COMPUTED_VALUE"""),39626.645833333336)</f>
        <v>39626.64583</v>
      </c>
      <c r="C357" s="2">
        <f>IFERROR(__xludf.DUMMYFUNCTION("""COMPUTED_VALUE"""),89.0)</f>
        <v>89</v>
      </c>
    </row>
    <row r="358" ht="15.75" customHeight="1">
      <c r="B358" s="3">
        <f>IFERROR(__xludf.DUMMYFUNCTION("""COMPUTED_VALUE"""),39633.645833333336)</f>
        <v>39633.64583</v>
      </c>
      <c r="C358" s="2">
        <f>IFERROR(__xludf.DUMMYFUNCTION("""COMPUTED_VALUE"""),82.8)</f>
        <v>82.8</v>
      </c>
    </row>
    <row r="359" ht="15.75" customHeight="1">
      <c r="B359" s="3">
        <f>IFERROR(__xludf.DUMMYFUNCTION("""COMPUTED_VALUE"""),39640.645833333336)</f>
        <v>39640.64583</v>
      </c>
      <c r="C359" s="2">
        <f>IFERROR(__xludf.DUMMYFUNCTION("""COMPUTED_VALUE"""),81.25)</f>
        <v>81.25</v>
      </c>
    </row>
    <row r="360" ht="15.75" customHeight="1">
      <c r="B360" s="3">
        <f>IFERROR(__xludf.DUMMYFUNCTION("""COMPUTED_VALUE"""),39647.645833333336)</f>
        <v>39647.64583</v>
      </c>
      <c r="C360" s="2">
        <f>IFERROR(__xludf.DUMMYFUNCTION("""COMPUTED_VALUE"""),84.0)</f>
        <v>84</v>
      </c>
    </row>
    <row r="361" ht="15.75" customHeight="1">
      <c r="B361" s="3">
        <f>IFERROR(__xludf.DUMMYFUNCTION("""COMPUTED_VALUE"""),39654.645833333336)</f>
        <v>39654.64583</v>
      </c>
      <c r="C361" s="2">
        <f>IFERROR(__xludf.DUMMYFUNCTION("""COMPUTED_VALUE"""),87.4)</f>
        <v>87.4</v>
      </c>
    </row>
    <row r="362" ht="15.75" customHeight="1">
      <c r="B362" s="3">
        <f>IFERROR(__xludf.DUMMYFUNCTION("""COMPUTED_VALUE"""),39661.645833333336)</f>
        <v>39661.64583</v>
      </c>
      <c r="C362" s="2">
        <f>IFERROR(__xludf.DUMMYFUNCTION("""COMPUTED_VALUE"""),84.1)</f>
        <v>84.1</v>
      </c>
    </row>
    <row r="363" ht="15.75" customHeight="1">
      <c r="B363" s="3">
        <f>IFERROR(__xludf.DUMMYFUNCTION("""COMPUTED_VALUE"""),39668.645833333336)</f>
        <v>39668.64583</v>
      </c>
      <c r="C363" s="2">
        <f>IFERROR(__xludf.DUMMYFUNCTION("""COMPUTED_VALUE"""),91.9)</f>
        <v>91.9</v>
      </c>
    </row>
    <row r="364" ht="15.75" customHeight="1">
      <c r="B364" s="3">
        <f>IFERROR(__xludf.DUMMYFUNCTION("""COMPUTED_VALUE"""),39674.645833333336)</f>
        <v>39674.64583</v>
      </c>
      <c r="C364" s="2">
        <f>IFERROR(__xludf.DUMMYFUNCTION("""COMPUTED_VALUE"""),89.8)</f>
        <v>89.8</v>
      </c>
    </row>
    <row r="365" ht="15.75" customHeight="1">
      <c r="B365" s="3">
        <f>IFERROR(__xludf.DUMMYFUNCTION("""COMPUTED_VALUE"""),39682.645833333336)</f>
        <v>39682.64583</v>
      </c>
      <c r="C365" s="2">
        <f>IFERROR(__xludf.DUMMYFUNCTION("""COMPUTED_VALUE"""),84.55)</f>
        <v>84.55</v>
      </c>
    </row>
    <row r="366" ht="15.75" customHeight="1">
      <c r="B366" s="3">
        <f>IFERROR(__xludf.DUMMYFUNCTION("""COMPUTED_VALUE"""),39689.645833333336)</f>
        <v>39689.64583</v>
      </c>
      <c r="C366" s="2">
        <f>IFERROR(__xludf.DUMMYFUNCTION("""COMPUTED_VALUE"""),83.4)</f>
        <v>83.4</v>
      </c>
    </row>
    <row r="367" ht="15.75" customHeight="1">
      <c r="B367" s="3">
        <f>IFERROR(__xludf.DUMMYFUNCTION("""COMPUTED_VALUE"""),39696.645833333336)</f>
        <v>39696.64583</v>
      </c>
      <c r="C367" s="2">
        <f>IFERROR(__xludf.DUMMYFUNCTION("""COMPUTED_VALUE"""),84.0)</f>
        <v>84</v>
      </c>
    </row>
    <row r="368" ht="15.75" customHeight="1">
      <c r="B368" s="3">
        <f>IFERROR(__xludf.DUMMYFUNCTION("""COMPUTED_VALUE"""),39703.645833333336)</f>
        <v>39703.64583</v>
      </c>
      <c r="C368" s="2">
        <f>IFERROR(__xludf.DUMMYFUNCTION("""COMPUTED_VALUE"""),86.0)</f>
        <v>86</v>
      </c>
    </row>
    <row r="369" ht="15.75" customHeight="1">
      <c r="B369" s="3">
        <f>IFERROR(__xludf.DUMMYFUNCTION("""COMPUTED_VALUE"""),39710.645833333336)</f>
        <v>39710.64583</v>
      </c>
      <c r="C369" s="2">
        <f>IFERROR(__xludf.DUMMYFUNCTION("""COMPUTED_VALUE"""),86.9)</f>
        <v>86.9</v>
      </c>
    </row>
    <row r="370" ht="15.75" customHeight="1">
      <c r="B370" s="3">
        <f>IFERROR(__xludf.DUMMYFUNCTION("""COMPUTED_VALUE"""),39717.645833333336)</f>
        <v>39717.64583</v>
      </c>
      <c r="C370" s="2">
        <f>IFERROR(__xludf.DUMMYFUNCTION("""COMPUTED_VALUE"""),86.95)</f>
        <v>86.95</v>
      </c>
    </row>
    <row r="371" ht="15.75" customHeight="1">
      <c r="B371" s="3">
        <f>IFERROR(__xludf.DUMMYFUNCTION("""COMPUTED_VALUE"""),39724.645833333336)</f>
        <v>39724.64583</v>
      </c>
      <c r="C371" s="2">
        <f>IFERROR(__xludf.DUMMYFUNCTION("""COMPUTED_VALUE"""),82.5)</f>
        <v>82.5</v>
      </c>
    </row>
    <row r="372" ht="15.75" customHeight="1">
      <c r="B372" s="3">
        <f>IFERROR(__xludf.DUMMYFUNCTION("""COMPUTED_VALUE"""),39731.645833333336)</f>
        <v>39731.64583</v>
      </c>
      <c r="C372" s="2">
        <f>IFERROR(__xludf.DUMMYFUNCTION("""COMPUTED_VALUE"""),83.0)</f>
        <v>83</v>
      </c>
    </row>
    <row r="373" ht="15.75" customHeight="1">
      <c r="B373" s="3">
        <f>IFERROR(__xludf.DUMMYFUNCTION("""COMPUTED_VALUE"""),39738.645833333336)</f>
        <v>39738.64583</v>
      </c>
      <c r="C373" s="2">
        <f>IFERROR(__xludf.DUMMYFUNCTION("""COMPUTED_VALUE"""),67.0)</f>
        <v>67</v>
      </c>
    </row>
    <row r="374" ht="15.75" customHeight="1">
      <c r="B374" s="3">
        <f>IFERROR(__xludf.DUMMYFUNCTION("""COMPUTED_VALUE"""),39745.645833333336)</f>
        <v>39745.64583</v>
      </c>
      <c r="C374" s="2">
        <f>IFERROR(__xludf.DUMMYFUNCTION("""COMPUTED_VALUE"""),57.7)</f>
        <v>57.7</v>
      </c>
    </row>
    <row r="375" ht="15.75" customHeight="1">
      <c r="B375" s="3">
        <f>IFERROR(__xludf.DUMMYFUNCTION("""COMPUTED_VALUE"""),39752.645833333336)</f>
        <v>39752.64583</v>
      </c>
      <c r="C375" s="2">
        <f>IFERROR(__xludf.DUMMYFUNCTION("""COMPUTED_VALUE"""),62.0)</f>
        <v>62</v>
      </c>
    </row>
    <row r="376" ht="15.75" customHeight="1">
      <c r="B376" s="3">
        <f>IFERROR(__xludf.DUMMYFUNCTION("""COMPUTED_VALUE"""),39759.645833333336)</f>
        <v>39759.64583</v>
      </c>
      <c r="C376" s="2">
        <f>IFERROR(__xludf.DUMMYFUNCTION("""COMPUTED_VALUE"""),66.1)</f>
        <v>66.1</v>
      </c>
    </row>
    <row r="377" ht="15.75" customHeight="1">
      <c r="B377" s="3">
        <f>IFERROR(__xludf.DUMMYFUNCTION("""COMPUTED_VALUE"""),39766.645833333336)</f>
        <v>39766.64583</v>
      </c>
      <c r="C377" s="2">
        <f>IFERROR(__xludf.DUMMYFUNCTION("""COMPUTED_VALUE"""),62.9)</f>
        <v>62.9</v>
      </c>
    </row>
    <row r="378" ht="15.75" customHeight="1">
      <c r="B378" s="3">
        <f>IFERROR(__xludf.DUMMYFUNCTION("""COMPUTED_VALUE"""),39773.645833333336)</f>
        <v>39773.64583</v>
      </c>
      <c r="C378" s="2">
        <f>IFERROR(__xludf.DUMMYFUNCTION("""COMPUTED_VALUE"""),59.2)</f>
        <v>59.2</v>
      </c>
    </row>
    <row r="379" ht="15.75" customHeight="1">
      <c r="B379" s="3">
        <f>IFERROR(__xludf.DUMMYFUNCTION("""COMPUTED_VALUE"""),39780.645833333336)</f>
        <v>39780.64583</v>
      </c>
      <c r="C379" s="2">
        <f>IFERROR(__xludf.DUMMYFUNCTION("""COMPUTED_VALUE"""),60.0)</f>
        <v>60</v>
      </c>
    </row>
    <row r="380" ht="15.75" customHeight="1">
      <c r="B380" s="3">
        <f>IFERROR(__xludf.DUMMYFUNCTION("""COMPUTED_VALUE"""),39787.645833333336)</f>
        <v>39787.64583</v>
      </c>
      <c r="C380" s="2">
        <f>IFERROR(__xludf.DUMMYFUNCTION("""COMPUTED_VALUE"""),56.45)</f>
        <v>56.45</v>
      </c>
    </row>
    <row r="381" ht="15.75" customHeight="1">
      <c r="B381" s="3">
        <f>IFERROR(__xludf.DUMMYFUNCTION("""COMPUTED_VALUE"""),39794.645833333336)</f>
        <v>39794.64583</v>
      </c>
      <c r="C381" s="2">
        <f>IFERROR(__xludf.DUMMYFUNCTION("""COMPUTED_VALUE"""),65.0)</f>
        <v>65</v>
      </c>
    </row>
    <row r="382" ht="15.75" customHeight="1">
      <c r="B382" s="3">
        <f>IFERROR(__xludf.DUMMYFUNCTION("""COMPUTED_VALUE"""),39801.645833333336)</f>
        <v>39801.64583</v>
      </c>
      <c r="C382" s="2">
        <f>IFERROR(__xludf.DUMMYFUNCTION("""COMPUTED_VALUE"""),76.8)</f>
        <v>76.8</v>
      </c>
    </row>
    <row r="383" ht="15.75" customHeight="1">
      <c r="B383" s="3">
        <f>IFERROR(__xludf.DUMMYFUNCTION("""COMPUTED_VALUE"""),39808.645833333336)</f>
        <v>39808.64583</v>
      </c>
      <c r="C383" s="2">
        <f>IFERROR(__xludf.DUMMYFUNCTION("""COMPUTED_VALUE"""),73.5)</f>
        <v>73.5</v>
      </c>
    </row>
    <row r="384" ht="15.75" customHeight="1"/>
    <row r="385" ht="15.75" customHeight="1"/>
    <row r="386" ht="15.75" customHeight="1">
      <c r="B386" s="2" t="str">
        <f>IFERROR(__xludf.DUMMYFUNCTION("GOOGLEFINANCE(""NSE:AMBUJACEM"", ""high"",DATE(2009,1,1),DATE(2010,1,1),""weekly"")"),"Date")</f>
        <v>Date</v>
      </c>
      <c r="C386" s="2" t="str">
        <f>IFERROR(__xludf.DUMMYFUNCTION("""COMPUTED_VALUE"""),"High")</f>
        <v>High</v>
      </c>
    </row>
    <row r="387" ht="15.75" customHeight="1">
      <c r="B387" s="3">
        <f>IFERROR(__xludf.DUMMYFUNCTION("""COMPUTED_VALUE"""),39815.645833333336)</f>
        <v>39815.64583</v>
      </c>
      <c r="C387" s="2">
        <f>IFERROR(__xludf.DUMMYFUNCTION("""COMPUTED_VALUE"""),73.9)</f>
        <v>73.9</v>
      </c>
    </row>
    <row r="388" ht="15.75" customHeight="1">
      <c r="B388" s="3">
        <f>IFERROR(__xludf.DUMMYFUNCTION("""COMPUTED_VALUE"""),39822.645833333336)</f>
        <v>39822.64583</v>
      </c>
      <c r="C388" s="2">
        <f>IFERROR(__xludf.DUMMYFUNCTION("""COMPUTED_VALUE"""),79.2)</f>
        <v>79.2</v>
      </c>
    </row>
    <row r="389" ht="15.75" customHeight="1">
      <c r="B389" s="3">
        <f>IFERROR(__xludf.DUMMYFUNCTION("""COMPUTED_VALUE"""),39829.645833333336)</f>
        <v>39829.64583</v>
      </c>
      <c r="C389" s="2">
        <f>IFERROR(__xludf.DUMMYFUNCTION("""COMPUTED_VALUE"""),73.75)</f>
        <v>73.75</v>
      </c>
    </row>
    <row r="390" ht="15.75" customHeight="1">
      <c r="B390" s="3">
        <f>IFERROR(__xludf.DUMMYFUNCTION("""COMPUTED_VALUE"""),39836.645833333336)</f>
        <v>39836.64583</v>
      </c>
      <c r="C390" s="2">
        <f>IFERROR(__xludf.DUMMYFUNCTION("""COMPUTED_VALUE"""),74.0)</f>
        <v>74</v>
      </c>
    </row>
    <row r="391" ht="15.75" customHeight="1">
      <c r="B391" s="3">
        <f>IFERROR(__xludf.DUMMYFUNCTION("""COMPUTED_VALUE"""),39843.645833333336)</f>
        <v>39843.64583</v>
      </c>
      <c r="C391" s="2">
        <f>IFERROR(__xludf.DUMMYFUNCTION("""COMPUTED_VALUE"""),72.4)</f>
        <v>72.4</v>
      </c>
    </row>
    <row r="392" ht="15.75" customHeight="1">
      <c r="B392" s="3">
        <f>IFERROR(__xludf.DUMMYFUNCTION("""COMPUTED_VALUE"""),39850.645833333336)</f>
        <v>39850.64583</v>
      </c>
      <c r="C392" s="2">
        <f>IFERROR(__xludf.DUMMYFUNCTION("""COMPUTED_VALUE"""),72.35)</f>
        <v>72.35</v>
      </c>
    </row>
    <row r="393" ht="15.75" customHeight="1">
      <c r="B393" s="3">
        <f>IFERROR(__xludf.DUMMYFUNCTION("""COMPUTED_VALUE"""),39857.645833333336)</f>
        <v>39857.64583</v>
      </c>
      <c r="C393" s="2">
        <f>IFERROR(__xludf.DUMMYFUNCTION("""COMPUTED_VALUE"""),76.4)</f>
        <v>76.4</v>
      </c>
    </row>
    <row r="394" ht="15.75" customHeight="1">
      <c r="B394" s="3">
        <f>IFERROR(__xludf.DUMMYFUNCTION("""COMPUTED_VALUE"""),39864.645833333336)</f>
        <v>39864.64583</v>
      </c>
      <c r="C394" s="2">
        <f>IFERROR(__xludf.DUMMYFUNCTION("""COMPUTED_VALUE"""),73.85)</f>
        <v>73.85</v>
      </c>
    </row>
    <row r="395" ht="15.75" customHeight="1">
      <c r="B395" s="3">
        <f>IFERROR(__xludf.DUMMYFUNCTION("""COMPUTED_VALUE"""),39871.645833333336)</f>
        <v>39871.64583</v>
      </c>
      <c r="C395" s="2">
        <f>IFERROR(__xludf.DUMMYFUNCTION("""COMPUTED_VALUE"""),70.4)</f>
        <v>70.4</v>
      </c>
    </row>
    <row r="396" ht="15.75" customHeight="1">
      <c r="B396" s="3">
        <f>IFERROR(__xludf.DUMMYFUNCTION("""COMPUTED_VALUE"""),39878.645833333336)</f>
        <v>39878.64583</v>
      </c>
      <c r="C396" s="2">
        <f>IFERROR(__xludf.DUMMYFUNCTION("""COMPUTED_VALUE"""),68.5)</f>
        <v>68.5</v>
      </c>
    </row>
    <row r="397" ht="15.75" customHeight="1">
      <c r="B397" s="3">
        <f>IFERROR(__xludf.DUMMYFUNCTION("""COMPUTED_VALUE"""),39885.645833333336)</f>
        <v>39885.64583</v>
      </c>
      <c r="C397" s="2">
        <f>IFERROR(__xludf.DUMMYFUNCTION("""COMPUTED_VALUE"""),69.85)</f>
        <v>69.85</v>
      </c>
    </row>
    <row r="398" ht="15.75" customHeight="1">
      <c r="B398" s="3">
        <f>IFERROR(__xludf.DUMMYFUNCTION("""COMPUTED_VALUE"""),39892.645833333336)</f>
        <v>39892.64583</v>
      </c>
      <c r="C398" s="2">
        <f>IFERROR(__xludf.DUMMYFUNCTION("""COMPUTED_VALUE"""),74.25)</f>
        <v>74.25</v>
      </c>
    </row>
    <row r="399" ht="15.75" customHeight="1">
      <c r="B399" s="3">
        <f>IFERROR(__xludf.DUMMYFUNCTION("""COMPUTED_VALUE"""),39899.645833333336)</f>
        <v>39899.64583</v>
      </c>
      <c r="C399" s="2">
        <f>IFERROR(__xludf.DUMMYFUNCTION("""COMPUTED_VALUE"""),72.5)</f>
        <v>72.5</v>
      </c>
    </row>
    <row r="400" ht="15.75" customHeight="1">
      <c r="B400" s="3">
        <f>IFERROR(__xludf.DUMMYFUNCTION("""COMPUTED_VALUE"""),39905.645833333336)</f>
        <v>39905.64583</v>
      </c>
      <c r="C400" s="2">
        <f>IFERROR(__xludf.DUMMYFUNCTION("""COMPUTED_VALUE"""),75.0)</f>
        <v>75</v>
      </c>
    </row>
    <row r="401" ht="15.75" customHeight="1">
      <c r="B401" s="3">
        <f>IFERROR(__xludf.DUMMYFUNCTION("""COMPUTED_VALUE"""),39912.645833333336)</f>
        <v>39912.64583</v>
      </c>
      <c r="C401" s="2">
        <f>IFERROR(__xludf.DUMMYFUNCTION("""COMPUTED_VALUE"""),79.95)</f>
        <v>79.95</v>
      </c>
    </row>
    <row r="402" ht="15.75" customHeight="1">
      <c r="B402" s="3">
        <f>IFERROR(__xludf.DUMMYFUNCTION("""COMPUTED_VALUE"""),39920.645833333336)</f>
        <v>39920.64583</v>
      </c>
      <c r="C402" s="2">
        <f>IFERROR(__xludf.DUMMYFUNCTION("""COMPUTED_VALUE"""),87.85)</f>
        <v>87.85</v>
      </c>
    </row>
    <row r="403" ht="15.75" customHeight="1">
      <c r="B403" s="3">
        <f>IFERROR(__xludf.DUMMYFUNCTION("""COMPUTED_VALUE"""),39927.645833333336)</f>
        <v>39927.64583</v>
      </c>
      <c r="C403" s="2">
        <f>IFERROR(__xludf.DUMMYFUNCTION("""COMPUTED_VALUE"""),83.7)</f>
        <v>83.7</v>
      </c>
    </row>
    <row r="404" ht="15.75" customHeight="1">
      <c r="B404" s="3">
        <f>IFERROR(__xludf.DUMMYFUNCTION("""COMPUTED_VALUE"""),39932.645833333336)</f>
        <v>39932.64583</v>
      </c>
      <c r="C404" s="2">
        <f>IFERROR(__xludf.DUMMYFUNCTION("""COMPUTED_VALUE"""),85.1)</f>
        <v>85.1</v>
      </c>
    </row>
    <row r="405" ht="15.75" customHeight="1">
      <c r="B405" s="3">
        <f>IFERROR(__xludf.DUMMYFUNCTION("""COMPUTED_VALUE"""),39941.645833333336)</f>
        <v>39941.64583</v>
      </c>
      <c r="C405" s="2">
        <f>IFERROR(__xludf.DUMMYFUNCTION("""COMPUTED_VALUE"""),83.95)</f>
        <v>83.95</v>
      </c>
    </row>
    <row r="406" ht="15.75" customHeight="1">
      <c r="B406" s="3">
        <f>IFERROR(__xludf.DUMMYFUNCTION("""COMPUTED_VALUE"""),39948.645833333336)</f>
        <v>39948.64583</v>
      </c>
      <c r="C406" s="2">
        <f>IFERROR(__xludf.DUMMYFUNCTION("""COMPUTED_VALUE"""),79.5)</f>
        <v>79.5</v>
      </c>
    </row>
    <row r="407" ht="15.75" customHeight="1">
      <c r="B407" s="3">
        <f>IFERROR(__xludf.DUMMYFUNCTION("""COMPUTED_VALUE"""),39955.645833333336)</f>
        <v>39955.64583</v>
      </c>
      <c r="C407" s="2">
        <f>IFERROR(__xludf.DUMMYFUNCTION("""COMPUTED_VALUE"""),94.7)</f>
        <v>94.7</v>
      </c>
    </row>
    <row r="408" ht="15.75" customHeight="1">
      <c r="B408" s="3">
        <f>IFERROR(__xludf.DUMMYFUNCTION("""COMPUTED_VALUE"""),39962.645833333336)</f>
        <v>39962.64583</v>
      </c>
      <c r="C408" s="2">
        <f>IFERROR(__xludf.DUMMYFUNCTION("""COMPUTED_VALUE"""),93.95)</f>
        <v>93.95</v>
      </c>
    </row>
    <row r="409" ht="15.75" customHeight="1">
      <c r="B409" s="3">
        <f>IFERROR(__xludf.DUMMYFUNCTION("""COMPUTED_VALUE"""),39969.645833333336)</f>
        <v>39969.64583</v>
      </c>
      <c r="C409" s="2">
        <f>IFERROR(__xludf.DUMMYFUNCTION("""COMPUTED_VALUE"""),106.9)</f>
        <v>106.9</v>
      </c>
    </row>
    <row r="410" ht="15.75" customHeight="1">
      <c r="B410" s="3">
        <f>IFERROR(__xludf.DUMMYFUNCTION("""COMPUTED_VALUE"""),39976.645833333336)</f>
        <v>39976.64583</v>
      </c>
      <c r="C410" s="2">
        <f>IFERROR(__xludf.DUMMYFUNCTION("""COMPUTED_VALUE"""),105.0)</f>
        <v>105</v>
      </c>
    </row>
    <row r="411" ht="15.75" customHeight="1">
      <c r="B411" s="3">
        <f>IFERROR(__xludf.DUMMYFUNCTION("""COMPUTED_VALUE"""),39983.645833333336)</f>
        <v>39983.64583</v>
      </c>
      <c r="C411" s="2">
        <f>IFERROR(__xludf.DUMMYFUNCTION("""COMPUTED_VALUE"""),100.0)</f>
        <v>100</v>
      </c>
    </row>
    <row r="412" ht="15.75" customHeight="1">
      <c r="B412" s="3">
        <f>IFERROR(__xludf.DUMMYFUNCTION("""COMPUTED_VALUE"""),39990.645833333336)</f>
        <v>39990.64583</v>
      </c>
      <c r="C412" s="2">
        <f>IFERROR(__xludf.DUMMYFUNCTION("""COMPUTED_VALUE"""),92.4)</f>
        <v>92.4</v>
      </c>
    </row>
    <row r="413" ht="15.75" customHeight="1">
      <c r="B413" s="3">
        <f>IFERROR(__xludf.DUMMYFUNCTION("""COMPUTED_VALUE"""),39997.645833333336)</f>
        <v>39997.64583</v>
      </c>
      <c r="C413" s="2">
        <f>IFERROR(__xludf.DUMMYFUNCTION("""COMPUTED_VALUE"""),92.75)</f>
        <v>92.75</v>
      </c>
    </row>
    <row r="414" ht="15.75" customHeight="1">
      <c r="B414" s="3">
        <f>IFERROR(__xludf.DUMMYFUNCTION("""COMPUTED_VALUE"""),40004.645833333336)</f>
        <v>40004.64583</v>
      </c>
      <c r="C414" s="2">
        <f>IFERROR(__xludf.DUMMYFUNCTION("""COMPUTED_VALUE"""),99.4)</f>
        <v>99.4</v>
      </c>
    </row>
    <row r="415" ht="15.75" customHeight="1">
      <c r="B415" s="3">
        <f>IFERROR(__xludf.DUMMYFUNCTION("""COMPUTED_VALUE"""),40011.645833333336)</f>
        <v>40011.64583</v>
      </c>
      <c r="C415" s="2">
        <f>IFERROR(__xludf.DUMMYFUNCTION("""COMPUTED_VALUE"""),102.35)</f>
        <v>102.35</v>
      </c>
    </row>
    <row r="416" ht="15.75" customHeight="1">
      <c r="B416" s="3">
        <f>IFERROR(__xludf.DUMMYFUNCTION("""COMPUTED_VALUE"""),40018.645833333336)</f>
        <v>40018.64583</v>
      </c>
      <c r="C416" s="2">
        <f>IFERROR(__xludf.DUMMYFUNCTION("""COMPUTED_VALUE"""),100.0)</f>
        <v>100</v>
      </c>
    </row>
    <row r="417" ht="15.75" customHeight="1">
      <c r="B417" s="3">
        <f>IFERROR(__xludf.DUMMYFUNCTION("""COMPUTED_VALUE"""),40025.645833333336)</f>
        <v>40025.64583</v>
      </c>
      <c r="C417" s="2">
        <f>IFERROR(__xludf.DUMMYFUNCTION("""COMPUTED_VALUE"""),110.3)</f>
        <v>110.3</v>
      </c>
    </row>
    <row r="418" ht="15.75" customHeight="1">
      <c r="B418" s="3">
        <f>IFERROR(__xludf.DUMMYFUNCTION("""COMPUTED_VALUE"""),40032.645833333336)</f>
        <v>40032.64583</v>
      </c>
      <c r="C418" s="2">
        <f>IFERROR(__xludf.DUMMYFUNCTION("""COMPUTED_VALUE"""),111.8)</f>
        <v>111.8</v>
      </c>
    </row>
    <row r="419" ht="15.75" customHeight="1">
      <c r="B419" s="3">
        <f>IFERROR(__xludf.DUMMYFUNCTION("""COMPUTED_VALUE"""),40039.645833333336)</f>
        <v>40039.64583</v>
      </c>
      <c r="C419" s="2">
        <f>IFERROR(__xludf.DUMMYFUNCTION("""COMPUTED_VALUE"""),106.7)</f>
        <v>106.7</v>
      </c>
    </row>
    <row r="420" ht="15.75" customHeight="1">
      <c r="B420" s="3">
        <f>IFERROR(__xludf.DUMMYFUNCTION("""COMPUTED_VALUE"""),40046.645833333336)</f>
        <v>40046.64583</v>
      </c>
      <c r="C420" s="2">
        <f>IFERROR(__xludf.DUMMYFUNCTION("""COMPUTED_VALUE"""),101.85)</f>
        <v>101.85</v>
      </c>
    </row>
    <row r="421" ht="15.75" customHeight="1">
      <c r="B421" s="3">
        <f>IFERROR(__xludf.DUMMYFUNCTION("""COMPUTED_VALUE"""),40053.645833333336)</f>
        <v>40053.64583</v>
      </c>
      <c r="C421" s="2">
        <f>IFERROR(__xludf.DUMMYFUNCTION("""COMPUTED_VALUE"""),100.8)</f>
        <v>100.8</v>
      </c>
    </row>
    <row r="422" ht="15.75" customHeight="1">
      <c r="B422" s="3">
        <f>IFERROR(__xludf.DUMMYFUNCTION("""COMPUTED_VALUE"""),40060.645833333336)</f>
        <v>40060.64583</v>
      </c>
      <c r="C422" s="2">
        <f>IFERROR(__xludf.DUMMYFUNCTION("""COMPUTED_VALUE"""),100.9)</f>
        <v>100.9</v>
      </c>
    </row>
    <row r="423" ht="15.75" customHeight="1">
      <c r="B423" s="3">
        <f>IFERROR(__xludf.DUMMYFUNCTION("""COMPUTED_VALUE"""),40067.645833333336)</f>
        <v>40067.64583</v>
      </c>
      <c r="C423" s="2">
        <f>IFERROR(__xludf.DUMMYFUNCTION("""COMPUTED_VALUE"""),102.45)</f>
        <v>102.45</v>
      </c>
    </row>
    <row r="424" ht="15.75" customHeight="1">
      <c r="B424" s="3">
        <f>IFERROR(__xludf.DUMMYFUNCTION("""COMPUTED_VALUE"""),40074.645833333336)</f>
        <v>40074.64583</v>
      </c>
      <c r="C424" s="2">
        <f>IFERROR(__xludf.DUMMYFUNCTION("""COMPUTED_VALUE"""),102.1)</f>
        <v>102.1</v>
      </c>
    </row>
    <row r="425" ht="15.75" customHeight="1">
      <c r="B425" s="3">
        <f>IFERROR(__xludf.DUMMYFUNCTION("""COMPUTED_VALUE"""),40081.645833333336)</f>
        <v>40081.64583</v>
      </c>
      <c r="C425" s="2">
        <f>IFERROR(__xludf.DUMMYFUNCTION("""COMPUTED_VALUE"""),101.0)</f>
        <v>101</v>
      </c>
    </row>
    <row r="426" ht="15.75" customHeight="1">
      <c r="B426" s="3">
        <f>IFERROR(__xludf.DUMMYFUNCTION("""COMPUTED_VALUE"""),40087.645833333336)</f>
        <v>40087.64583</v>
      </c>
      <c r="C426" s="2">
        <f>IFERROR(__xludf.DUMMYFUNCTION("""COMPUTED_VALUE"""),105.0)</f>
        <v>105</v>
      </c>
    </row>
    <row r="427" ht="15.75" customHeight="1">
      <c r="B427" s="3">
        <f>IFERROR(__xludf.DUMMYFUNCTION("""COMPUTED_VALUE"""),40095.645833333336)</f>
        <v>40095.64583</v>
      </c>
      <c r="C427" s="2">
        <f>IFERROR(__xludf.DUMMYFUNCTION("""COMPUTED_VALUE"""),105.3)</f>
        <v>105.3</v>
      </c>
    </row>
    <row r="428" ht="15.75" customHeight="1">
      <c r="B428" s="3">
        <f>IFERROR(__xludf.DUMMYFUNCTION("""COMPUTED_VALUE"""),40109.645833333336)</f>
        <v>40109.64583</v>
      </c>
      <c r="C428" s="2">
        <f>IFERROR(__xludf.DUMMYFUNCTION("""COMPUTED_VALUE"""),92.6)</f>
        <v>92.6</v>
      </c>
    </row>
    <row r="429" ht="15.75" customHeight="1">
      <c r="B429" s="3">
        <f>IFERROR(__xludf.DUMMYFUNCTION("""COMPUTED_VALUE"""),40116.645833333336)</f>
        <v>40116.64583</v>
      </c>
      <c r="C429" s="2">
        <f>IFERROR(__xludf.DUMMYFUNCTION("""COMPUTED_VALUE"""),90.85)</f>
        <v>90.85</v>
      </c>
    </row>
    <row r="430" ht="15.75" customHeight="1">
      <c r="B430" s="3">
        <f>IFERROR(__xludf.DUMMYFUNCTION("""COMPUTED_VALUE"""),40123.645833333336)</f>
        <v>40123.64583</v>
      </c>
      <c r="C430" s="2">
        <f>IFERROR(__xludf.DUMMYFUNCTION("""COMPUTED_VALUE"""),89.8)</f>
        <v>89.8</v>
      </c>
    </row>
    <row r="431" ht="15.75" customHeight="1">
      <c r="B431" s="3">
        <f>IFERROR(__xludf.DUMMYFUNCTION("""COMPUTED_VALUE"""),40130.645833333336)</f>
        <v>40130.64583</v>
      </c>
      <c r="C431" s="2">
        <f>IFERROR(__xludf.DUMMYFUNCTION("""COMPUTED_VALUE"""),87.25)</f>
        <v>87.25</v>
      </c>
    </row>
    <row r="432" ht="15.75" customHeight="1">
      <c r="B432" s="3">
        <f>IFERROR(__xludf.DUMMYFUNCTION("""COMPUTED_VALUE"""),40137.645833333336)</f>
        <v>40137.64583</v>
      </c>
      <c r="C432" s="2">
        <f>IFERROR(__xludf.DUMMYFUNCTION("""COMPUTED_VALUE"""),87.95)</f>
        <v>87.95</v>
      </c>
    </row>
    <row r="433" ht="15.75" customHeight="1">
      <c r="B433" s="3">
        <f>IFERROR(__xludf.DUMMYFUNCTION("""COMPUTED_VALUE"""),40144.645833333336)</f>
        <v>40144.64583</v>
      </c>
      <c r="C433" s="2">
        <f>IFERROR(__xludf.DUMMYFUNCTION("""COMPUTED_VALUE"""),95.0)</f>
        <v>95</v>
      </c>
    </row>
    <row r="434" ht="15.75" customHeight="1">
      <c r="B434" s="3">
        <f>IFERROR(__xludf.DUMMYFUNCTION("""COMPUTED_VALUE"""),40151.645833333336)</f>
        <v>40151.64583</v>
      </c>
      <c r="C434" s="2">
        <f>IFERROR(__xludf.DUMMYFUNCTION("""COMPUTED_VALUE"""),95.9)</f>
        <v>95.9</v>
      </c>
    </row>
    <row r="435" ht="15.75" customHeight="1">
      <c r="B435" s="3">
        <f>IFERROR(__xludf.DUMMYFUNCTION("""COMPUTED_VALUE"""),40158.645833333336)</f>
        <v>40158.64583</v>
      </c>
      <c r="C435" s="2">
        <f>IFERROR(__xludf.DUMMYFUNCTION("""COMPUTED_VALUE"""),99.5)</f>
        <v>99.5</v>
      </c>
    </row>
    <row r="436" ht="15.75" customHeight="1">
      <c r="B436" s="3">
        <f>IFERROR(__xludf.DUMMYFUNCTION("""COMPUTED_VALUE"""),40165.645833333336)</f>
        <v>40165.64583</v>
      </c>
      <c r="C436" s="2">
        <f>IFERROR(__xludf.DUMMYFUNCTION("""COMPUTED_VALUE"""),100.4)</f>
        <v>100.4</v>
      </c>
    </row>
    <row r="437" ht="15.75" customHeight="1">
      <c r="B437" s="3">
        <f>IFERROR(__xludf.DUMMYFUNCTION("""COMPUTED_VALUE"""),40171.645833333336)</f>
        <v>40171.64583</v>
      </c>
      <c r="C437" s="2">
        <f>IFERROR(__xludf.DUMMYFUNCTION("""COMPUTED_VALUE"""),100.6)</f>
        <v>100.6</v>
      </c>
    </row>
    <row r="438" ht="15.75" customHeight="1">
      <c r="B438" s="3">
        <f>IFERROR(__xludf.DUMMYFUNCTION("""COMPUTED_VALUE"""),40178.645833333336)</f>
        <v>40178.64583</v>
      </c>
      <c r="C438" s="2">
        <f>IFERROR(__xludf.DUMMYFUNCTION("""COMPUTED_VALUE"""),105.2)</f>
        <v>105.2</v>
      </c>
    </row>
    <row r="439" ht="15.75" customHeight="1"/>
    <row r="440" ht="15.75" customHeight="1"/>
    <row r="441" ht="15.75" customHeight="1">
      <c r="B441" s="2" t="str">
        <f>IFERROR(__xludf.DUMMYFUNCTION("GOOGLEFINANCE(""NSE:AMBUJACEM"", ""high"",DATE(2010,1,1),DATE(2011,1,1),""weekly"")"),"Date")</f>
        <v>Date</v>
      </c>
      <c r="C441" s="2" t="str">
        <f>IFERROR(__xludf.DUMMYFUNCTION("""COMPUTED_VALUE"""),"High")</f>
        <v>High</v>
      </c>
    </row>
    <row r="442" ht="15.75" customHeight="1">
      <c r="B442" s="3">
        <f>IFERROR(__xludf.DUMMYFUNCTION("""COMPUTED_VALUE"""),40186.645833333336)</f>
        <v>40186.64583</v>
      </c>
      <c r="C442" s="2">
        <f>IFERROR(__xludf.DUMMYFUNCTION("""COMPUTED_VALUE"""),107.95)</f>
        <v>107.95</v>
      </c>
    </row>
    <row r="443" ht="15.75" customHeight="1">
      <c r="B443" s="3">
        <f>IFERROR(__xludf.DUMMYFUNCTION("""COMPUTED_VALUE"""),40193.645833333336)</f>
        <v>40193.64583</v>
      </c>
      <c r="C443" s="2">
        <f>IFERROR(__xludf.DUMMYFUNCTION("""COMPUTED_VALUE"""),114.5)</f>
        <v>114.5</v>
      </c>
    </row>
    <row r="444" ht="15.75" customHeight="1">
      <c r="B444" s="3">
        <f>IFERROR(__xludf.DUMMYFUNCTION("""COMPUTED_VALUE"""),40200.645833333336)</f>
        <v>40200.64583</v>
      </c>
      <c r="C444" s="2">
        <f>IFERROR(__xludf.DUMMYFUNCTION("""COMPUTED_VALUE"""),114.5)</f>
        <v>114.5</v>
      </c>
    </row>
    <row r="445" ht="15.75" customHeight="1">
      <c r="B445" s="3">
        <f>IFERROR(__xludf.DUMMYFUNCTION("""COMPUTED_VALUE"""),40207.645833333336)</f>
        <v>40207.64583</v>
      </c>
      <c r="C445" s="2">
        <f>IFERROR(__xludf.DUMMYFUNCTION("""COMPUTED_VALUE"""),106.0)</f>
        <v>106</v>
      </c>
    </row>
    <row r="446" ht="15.75" customHeight="1">
      <c r="B446" s="3">
        <f>IFERROR(__xludf.DUMMYFUNCTION("""COMPUTED_VALUE"""),40220.645833333336)</f>
        <v>40220.64583</v>
      </c>
      <c r="C446" s="2">
        <f>IFERROR(__xludf.DUMMYFUNCTION("""COMPUTED_VALUE"""),107.75)</f>
        <v>107.75</v>
      </c>
    </row>
    <row r="447" ht="15.75" customHeight="1">
      <c r="B447" s="3">
        <f>IFERROR(__xludf.DUMMYFUNCTION("""COMPUTED_VALUE"""),40228.645833333336)</f>
        <v>40228.64583</v>
      </c>
      <c r="C447" s="2">
        <f>IFERROR(__xludf.DUMMYFUNCTION("""COMPUTED_VALUE"""),110.5)</f>
        <v>110.5</v>
      </c>
    </row>
    <row r="448" ht="15.75" customHeight="1">
      <c r="B448" s="3">
        <f>IFERROR(__xludf.DUMMYFUNCTION("""COMPUTED_VALUE"""),40235.645833333336)</f>
        <v>40235.64583</v>
      </c>
      <c r="C448" s="2">
        <f>IFERROR(__xludf.DUMMYFUNCTION("""COMPUTED_VALUE"""),108.25)</f>
        <v>108.25</v>
      </c>
    </row>
    <row r="449" ht="15.75" customHeight="1">
      <c r="B449" s="3">
        <f>IFERROR(__xludf.DUMMYFUNCTION("""COMPUTED_VALUE"""),40242.645833333336)</f>
        <v>40242.64583</v>
      </c>
      <c r="C449" s="2">
        <f>IFERROR(__xludf.DUMMYFUNCTION("""COMPUTED_VALUE"""),109.95)</f>
        <v>109.95</v>
      </c>
    </row>
    <row r="450" ht="15.75" customHeight="1">
      <c r="B450" s="3">
        <f>IFERROR(__xludf.DUMMYFUNCTION("""COMPUTED_VALUE"""),40249.645833333336)</f>
        <v>40249.64583</v>
      </c>
      <c r="C450" s="2">
        <f>IFERROR(__xludf.DUMMYFUNCTION("""COMPUTED_VALUE"""),118.5)</f>
        <v>118.5</v>
      </c>
    </row>
    <row r="451" ht="15.75" customHeight="1">
      <c r="B451" s="3">
        <f>IFERROR(__xludf.DUMMYFUNCTION("""COMPUTED_VALUE"""),40256.645833333336)</f>
        <v>40256.64583</v>
      </c>
      <c r="C451" s="2">
        <f>IFERROR(__xludf.DUMMYFUNCTION("""COMPUTED_VALUE"""),119.0)</f>
        <v>119</v>
      </c>
    </row>
    <row r="452" ht="15.75" customHeight="1">
      <c r="B452" s="3">
        <f>IFERROR(__xludf.DUMMYFUNCTION("""COMPUTED_VALUE"""),40263.645833333336)</f>
        <v>40263.64583</v>
      </c>
      <c r="C452" s="2">
        <f>IFERROR(__xludf.DUMMYFUNCTION("""COMPUTED_VALUE"""),120.8)</f>
        <v>120.8</v>
      </c>
    </row>
    <row r="453" ht="15.75" customHeight="1">
      <c r="B453" s="3">
        <f>IFERROR(__xludf.DUMMYFUNCTION("""COMPUTED_VALUE"""),40269.645833333336)</f>
        <v>40269.64583</v>
      </c>
      <c r="C453" s="2">
        <f>IFERROR(__xludf.DUMMYFUNCTION("""COMPUTED_VALUE"""),124.6)</f>
        <v>124.6</v>
      </c>
    </row>
    <row r="454" ht="15.75" customHeight="1">
      <c r="B454" s="3">
        <f>IFERROR(__xludf.DUMMYFUNCTION("""COMPUTED_VALUE"""),40277.645833333336)</f>
        <v>40277.64583</v>
      </c>
      <c r="C454" s="2">
        <f>IFERROR(__xludf.DUMMYFUNCTION("""COMPUTED_VALUE"""),122.45)</f>
        <v>122.45</v>
      </c>
    </row>
    <row r="455" ht="15.75" customHeight="1">
      <c r="B455" s="3">
        <f>IFERROR(__xludf.DUMMYFUNCTION("""COMPUTED_VALUE"""),40284.645833333336)</f>
        <v>40284.64583</v>
      </c>
      <c r="C455" s="2">
        <f>IFERROR(__xludf.DUMMYFUNCTION("""COMPUTED_VALUE"""),121.5)</f>
        <v>121.5</v>
      </c>
    </row>
    <row r="456" ht="15.75" customHeight="1">
      <c r="B456" s="3">
        <f>IFERROR(__xludf.DUMMYFUNCTION("""COMPUTED_VALUE"""),40291.645833333336)</f>
        <v>40291.64583</v>
      </c>
      <c r="C456" s="2">
        <f>IFERROR(__xludf.DUMMYFUNCTION("""COMPUTED_VALUE"""),122.45)</f>
        <v>122.45</v>
      </c>
    </row>
    <row r="457" ht="15.75" customHeight="1">
      <c r="B457" s="3">
        <f>IFERROR(__xludf.DUMMYFUNCTION("""COMPUTED_VALUE"""),40298.645833333336)</f>
        <v>40298.64583</v>
      </c>
      <c r="C457" s="2">
        <f>IFERROR(__xludf.DUMMYFUNCTION("""COMPUTED_VALUE"""),125.8)</f>
        <v>125.8</v>
      </c>
    </row>
    <row r="458" ht="15.75" customHeight="1">
      <c r="B458" s="3">
        <f>IFERROR(__xludf.DUMMYFUNCTION("""COMPUTED_VALUE"""),40305.645833333336)</f>
        <v>40305.64583</v>
      </c>
      <c r="C458" s="2">
        <f>IFERROR(__xludf.DUMMYFUNCTION("""COMPUTED_VALUE"""),123.0)</f>
        <v>123</v>
      </c>
    </row>
    <row r="459" ht="15.75" customHeight="1">
      <c r="B459" s="3">
        <f>IFERROR(__xludf.DUMMYFUNCTION("""COMPUTED_VALUE"""),40312.645833333336)</f>
        <v>40312.64583</v>
      </c>
      <c r="C459" s="2">
        <f>IFERROR(__xludf.DUMMYFUNCTION("""COMPUTED_VALUE"""),115.85)</f>
        <v>115.85</v>
      </c>
    </row>
    <row r="460" ht="15.75" customHeight="1">
      <c r="B460" s="3">
        <f>IFERROR(__xludf.DUMMYFUNCTION("""COMPUTED_VALUE"""),40319.645833333336)</f>
        <v>40319.64583</v>
      </c>
      <c r="C460" s="2">
        <f>IFERROR(__xludf.DUMMYFUNCTION("""COMPUTED_VALUE"""),108.7)</f>
        <v>108.7</v>
      </c>
    </row>
    <row r="461" ht="15.75" customHeight="1">
      <c r="B461" s="3">
        <f>IFERROR(__xludf.DUMMYFUNCTION("""COMPUTED_VALUE"""),40326.645833333336)</f>
        <v>40326.64583</v>
      </c>
      <c r="C461" s="2">
        <f>IFERROR(__xludf.DUMMYFUNCTION("""COMPUTED_VALUE"""),117.7)</f>
        <v>117.7</v>
      </c>
    </row>
    <row r="462" ht="15.75" customHeight="1">
      <c r="B462" s="3">
        <f>IFERROR(__xludf.DUMMYFUNCTION("""COMPUTED_VALUE"""),40333.645833333336)</f>
        <v>40333.64583</v>
      </c>
      <c r="C462" s="2">
        <f>IFERROR(__xludf.DUMMYFUNCTION("""COMPUTED_VALUE"""),115.0)</f>
        <v>115</v>
      </c>
    </row>
    <row r="463" ht="15.75" customHeight="1">
      <c r="B463" s="3">
        <f>IFERROR(__xludf.DUMMYFUNCTION("""COMPUTED_VALUE"""),40340.645833333336)</f>
        <v>40340.64583</v>
      </c>
      <c r="C463" s="2">
        <f>IFERROR(__xludf.DUMMYFUNCTION("""COMPUTED_VALUE"""),117.95)</f>
        <v>117.95</v>
      </c>
    </row>
    <row r="464" ht="15.75" customHeight="1">
      <c r="B464" s="3">
        <f>IFERROR(__xludf.DUMMYFUNCTION("""COMPUTED_VALUE"""),40347.645833333336)</f>
        <v>40347.64583</v>
      </c>
      <c r="C464" s="2">
        <f>IFERROR(__xludf.DUMMYFUNCTION("""COMPUTED_VALUE"""),118.5)</f>
        <v>118.5</v>
      </c>
    </row>
    <row r="465" ht="15.75" customHeight="1">
      <c r="B465" s="3">
        <f>IFERROR(__xludf.DUMMYFUNCTION("""COMPUTED_VALUE"""),40354.645833333336)</f>
        <v>40354.64583</v>
      </c>
      <c r="C465" s="2">
        <f>IFERROR(__xludf.DUMMYFUNCTION("""COMPUTED_VALUE"""),121.05)</f>
        <v>121.05</v>
      </c>
    </row>
    <row r="466" ht="15.75" customHeight="1">
      <c r="B466" s="3">
        <f>IFERROR(__xludf.DUMMYFUNCTION("""COMPUTED_VALUE"""),40361.645833333336)</f>
        <v>40361.64583</v>
      </c>
      <c r="C466" s="2">
        <f>IFERROR(__xludf.DUMMYFUNCTION("""COMPUTED_VALUE"""),124.0)</f>
        <v>124</v>
      </c>
    </row>
    <row r="467" ht="15.75" customHeight="1">
      <c r="B467" s="3">
        <f>IFERROR(__xludf.DUMMYFUNCTION("""COMPUTED_VALUE"""),40368.645833333336)</f>
        <v>40368.64583</v>
      </c>
      <c r="C467" s="2">
        <f>IFERROR(__xludf.DUMMYFUNCTION("""COMPUTED_VALUE"""),115.05)</f>
        <v>115.05</v>
      </c>
    </row>
    <row r="468" ht="15.75" customHeight="1">
      <c r="B468" s="3">
        <f>IFERROR(__xludf.DUMMYFUNCTION("""COMPUTED_VALUE"""),40375.645833333336)</f>
        <v>40375.64583</v>
      </c>
      <c r="C468" s="2">
        <f>IFERROR(__xludf.DUMMYFUNCTION("""COMPUTED_VALUE"""),113.45)</f>
        <v>113.45</v>
      </c>
    </row>
    <row r="469" ht="15.75" customHeight="1">
      <c r="B469" s="3">
        <f>IFERROR(__xludf.DUMMYFUNCTION("""COMPUTED_VALUE"""),40382.645833333336)</f>
        <v>40382.64583</v>
      </c>
      <c r="C469" s="2">
        <f>IFERROR(__xludf.DUMMYFUNCTION("""COMPUTED_VALUE"""),115.9)</f>
        <v>115.9</v>
      </c>
    </row>
    <row r="470" ht="15.75" customHeight="1">
      <c r="B470" s="3">
        <f>IFERROR(__xludf.DUMMYFUNCTION("""COMPUTED_VALUE"""),40389.645833333336)</f>
        <v>40389.64583</v>
      </c>
      <c r="C470" s="2">
        <f>IFERROR(__xludf.DUMMYFUNCTION("""COMPUTED_VALUE"""),122.0)</f>
        <v>122</v>
      </c>
    </row>
    <row r="471" ht="15.75" customHeight="1">
      <c r="B471" s="3">
        <f>IFERROR(__xludf.DUMMYFUNCTION("""COMPUTED_VALUE"""),40396.645833333336)</f>
        <v>40396.64583</v>
      </c>
      <c r="C471" s="2">
        <f>IFERROR(__xludf.DUMMYFUNCTION("""COMPUTED_VALUE"""),118.9)</f>
        <v>118.9</v>
      </c>
    </row>
    <row r="472" ht="15.75" customHeight="1">
      <c r="B472" s="3">
        <f>IFERROR(__xludf.DUMMYFUNCTION("""COMPUTED_VALUE"""),40403.645833333336)</f>
        <v>40403.64583</v>
      </c>
      <c r="C472" s="2">
        <f>IFERROR(__xludf.DUMMYFUNCTION("""COMPUTED_VALUE"""),122.0)</f>
        <v>122</v>
      </c>
    </row>
    <row r="473" ht="15.75" customHeight="1">
      <c r="B473" s="3">
        <f>IFERROR(__xludf.DUMMYFUNCTION("""COMPUTED_VALUE"""),40410.645833333336)</f>
        <v>40410.64583</v>
      </c>
      <c r="C473" s="2">
        <f>IFERROR(__xludf.DUMMYFUNCTION("""COMPUTED_VALUE"""),128.4)</f>
        <v>128.4</v>
      </c>
    </row>
    <row r="474" ht="15.75" customHeight="1">
      <c r="B474" s="3">
        <f>IFERROR(__xludf.DUMMYFUNCTION("""COMPUTED_VALUE"""),40417.645833333336)</f>
        <v>40417.64583</v>
      </c>
      <c r="C474" s="2">
        <f>IFERROR(__xludf.DUMMYFUNCTION("""COMPUTED_VALUE"""),124.9)</f>
        <v>124.9</v>
      </c>
    </row>
    <row r="475" ht="15.75" customHeight="1">
      <c r="B475" s="3">
        <f>IFERROR(__xludf.DUMMYFUNCTION("""COMPUTED_VALUE"""),40424.645833333336)</f>
        <v>40424.64583</v>
      </c>
      <c r="C475" s="2">
        <f>IFERROR(__xludf.DUMMYFUNCTION("""COMPUTED_VALUE"""),126.8)</f>
        <v>126.8</v>
      </c>
    </row>
    <row r="476" ht="15.75" customHeight="1">
      <c r="B476" s="3">
        <f>IFERROR(__xludf.DUMMYFUNCTION("""COMPUTED_VALUE"""),40430.645833333336)</f>
        <v>40430.64583</v>
      </c>
      <c r="C476" s="2">
        <f>IFERROR(__xludf.DUMMYFUNCTION("""COMPUTED_VALUE"""),138.8)</f>
        <v>138.8</v>
      </c>
    </row>
    <row r="477" ht="15.75" customHeight="1">
      <c r="B477" s="3">
        <f>IFERROR(__xludf.DUMMYFUNCTION("""COMPUTED_VALUE"""),40438.645833333336)</f>
        <v>40438.64583</v>
      </c>
      <c r="C477" s="2">
        <f>IFERROR(__xludf.DUMMYFUNCTION("""COMPUTED_VALUE"""),144.3)</f>
        <v>144.3</v>
      </c>
    </row>
    <row r="478" ht="15.75" customHeight="1">
      <c r="B478" s="3">
        <f>IFERROR(__xludf.DUMMYFUNCTION("""COMPUTED_VALUE"""),40445.645833333336)</f>
        <v>40445.64583</v>
      </c>
      <c r="C478" s="2">
        <f>IFERROR(__xludf.DUMMYFUNCTION("""COMPUTED_VALUE"""),149.2)</f>
        <v>149.2</v>
      </c>
    </row>
    <row r="479" ht="15.75" customHeight="1">
      <c r="B479" s="3">
        <f>IFERROR(__xludf.DUMMYFUNCTION("""COMPUTED_VALUE"""),40452.645833333336)</f>
        <v>40452.64583</v>
      </c>
      <c r="C479" s="2">
        <f>IFERROR(__xludf.DUMMYFUNCTION("""COMPUTED_VALUE"""),150.35)</f>
        <v>150.35</v>
      </c>
    </row>
    <row r="480" ht="15.75" customHeight="1">
      <c r="B480" s="3">
        <f>IFERROR(__xludf.DUMMYFUNCTION("""COMPUTED_VALUE"""),40459.645833333336)</f>
        <v>40459.64583</v>
      </c>
      <c r="C480" s="2">
        <f>IFERROR(__xludf.DUMMYFUNCTION("""COMPUTED_VALUE"""),145.7)</f>
        <v>145.7</v>
      </c>
    </row>
    <row r="481" ht="15.75" customHeight="1">
      <c r="B481" s="3">
        <f>IFERROR(__xludf.DUMMYFUNCTION("""COMPUTED_VALUE"""),40466.645833333336)</f>
        <v>40466.64583</v>
      </c>
      <c r="C481" s="2">
        <f>IFERROR(__xludf.DUMMYFUNCTION("""COMPUTED_VALUE"""),147.0)</f>
        <v>147</v>
      </c>
    </row>
    <row r="482" ht="15.75" customHeight="1">
      <c r="B482" s="3">
        <f>IFERROR(__xludf.DUMMYFUNCTION("""COMPUTED_VALUE"""),40473.645833333336)</f>
        <v>40473.64583</v>
      </c>
      <c r="C482" s="2">
        <f>IFERROR(__xludf.DUMMYFUNCTION("""COMPUTED_VALUE"""),144.0)</f>
        <v>144</v>
      </c>
    </row>
    <row r="483" ht="15.75" customHeight="1">
      <c r="B483" s="3">
        <f>IFERROR(__xludf.DUMMYFUNCTION("""COMPUTED_VALUE"""),40480.645833333336)</f>
        <v>40480.64583</v>
      </c>
      <c r="C483" s="2">
        <f>IFERROR(__xludf.DUMMYFUNCTION("""COMPUTED_VALUE"""),146.3)</f>
        <v>146.3</v>
      </c>
    </row>
    <row r="484" ht="15.75" customHeight="1">
      <c r="B484" s="3">
        <f>IFERROR(__xludf.DUMMYFUNCTION("""COMPUTED_VALUE"""),40487.645833333336)</f>
        <v>40487.64583</v>
      </c>
      <c r="C484" s="2">
        <f>IFERROR(__xludf.DUMMYFUNCTION("""COMPUTED_VALUE"""),153.8)</f>
        <v>153.8</v>
      </c>
    </row>
    <row r="485" ht="15.75" customHeight="1">
      <c r="B485" s="3">
        <f>IFERROR(__xludf.DUMMYFUNCTION("""COMPUTED_VALUE"""),40494.645833333336)</f>
        <v>40494.64583</v>
      </c>
      <c r="C485" s="2">
        <f>IFERROR(__xludf.DUMMYFUNCTION("""COMPUTED_VALUE"""),166.8)</f>
        <v>166.8</v>
      </c>
    </row>
    <row r="486" ht="15.75" customHeight="1">
      <c r="B486" s="3">
        <f>IFERROR(__xludf.DUMMYFUNCTION("""COMPUTED_VALUE"""),40501.645833333336)</f>
        <v>40501.64583</v>
      </c>
      <c r="C486" s="2">
        <f>IFERROR(__xludf.DUMMYFUNCTION("""COMPUTED_VALUE"""),157.0)</f>
        <v>157</v>
      </c>
    </row>
    <row r="487" ht="15.75" customHeight="1">
      <c r="B487" s="3">
        <f>IFERROR(__xludf.DUMMYFUNCTION("""COMPUTED_VALUE"""),40508.645833333336)</f>
        <v>40508.64583</v>
      </c>
      <c r="C487" s="2">
        <f>IFERROR(__xludf.DUMMYFUNCTION("""COMPUTED_VALUE"""),148.5)</f>
        <v>148.5</v>
      </c>
    </row>
    <row r="488" ht="15.75" customHeight="1">
      <c r="B488" s="3">
        <f>IFERROR(__xludf.DUMMYFUNCTION("""COMPUTED_VALUE"""),40515.645833333336)</f>
        <v>40515.64583</v>
      </c>
      <c r="C488" s="2">
        <f>IFERROR(__xludf.DUMMYFUNCTION("""COMPUTED_VALUE"""),143.35)</f>
        <v>143.35</v>
      </c>
    </row>
    <row r="489" ht="15.75" customHeight="1">
      <c r="B489" s="3">
        <f>IFERROR(__xludf.DUMMYFUNCTION("""COMPUTED_VALUE"""),40522.645833333336)</f>
        <v>40522.64583</v>
      </c>
      <c r="C489" s="2">
        <f>IFERROR(__xludf.DUMMYFUNCTION("""COMPUTED_VALUE"""),142.8)</f>
        <v>142.8</v>
      </c>
    </row>
    <row r="490" ht="15.75" customHeight="1">
      <c r="B490" s="3">
        <f>IFERROR(__xludf.DUMMYFUNCTION("""COMPUTED_VALUE"""),40528.645833333336)</f>
        <v>40528.64583</v>
      </c>
      <c r="C490" s="2">
        <f>IFERROR(__xludf.DUMMYFUNCTION("""COMPUTED_VALUE"""),143.9)</f>
        <v>143.9</v>
      </c>
    </row>
    <row r="491" ht="15.75" customHeight="1">
      <c r="B491" s="3">
        <f>IFERROR(__xludf.DUMMYFUNCTION("""COMPUTED_VALUE"""),40536.645833333336)</f>
        <v>40536.64583</v>
      </c>
      <c r="C491" s="2">
        <f>IFERROR(__xludf.DUMMYFUNCTION("""COMPUTED_VALUE"""),142.35)</f>
        <v>142.35</v>
      </c>
    </row>
    <row r="492" ht="15.75" customHeight="1">
      <c r="B492" s="3">
        <f>IFERROR(__xludf.DUMMYFUNCTION("""COMPUTED_VALUE"""),40543.645833333336)</f>
        <v>40543.64583</v>
      </c>
      <c r="C492" s="2">
        <f>IFERROR(__xludf.DUMMYFUNCTION("""COMPUTED_VALUE"""),152.6)</f>
        <v>152.6</v>
      </c>
    </row>
    <row r="493" ht="15.75" customHeight="1"/>
    <row r="494" ht="15.75" customHeight="1"/>
    <row r="495" ht="15.75" customHeight="1"/>
    <row r="496" ht="15.75" customHeight="1">
      <c r="B496" s="2" t="str">
        <f>IFERROR(__xludf.DUMMYFUNCTION("GOOGLEFINANCE(""NSE:AMBUJACEM"", ""high"",DATE(2011,1,1),DATE(2012,1,1),""weekly"")"),"Date")</f>
        <v>Date</v>
      </c>
      <c r="C496" s="2" t="str">
        <f>IFERROR(__xludf.DUMMYFUNCTION("""COMPUTED_VALUE"""),"High")</f>
        <v>High</v>
      </c>
    </row>
    <row r="497" ht="15.75" customHeight="1">
      <c r="B497" s="3">
        <f>IFERROR(__xludf.DUMMYFUNCTION("""COMPUTED_VALUE"""),40550.645833333336)</f>
        <v>40550.64583</v>
      </c>
      <c r="C497" s="2">
        <f>IFERROR(__xludf.DUMMYFUNCTION("""COMPUTED_VALUE"""),146.9)</f>
        <v>146.9</v>
      </c>
    </row>
    <row r="498" ht="15.75" customHeight="1">
      <c r="B498" s="3">
        <f>IFERROR(__xludf.DUMMYFUNCTION("""COMPUTED_VALUE"""),40557.645833333336)</f>
        <v>40557.64583</v>
      </c>
      <c r="C498" s="2">
        <f>IFERROR(__xludf.DUMMYFUNCTION("""COMPUTED_VALUE"""),134.2)</f>
        <v>134.2</v>
      </c>
    </row>
    <row r="499" ht="15.75" customHeight="1">
      <c r="B499" s="3">
        <f>IFERROR(__xludf.DUMMYFUNCTION("""COMPUTED_VALUE"""),40564.645833333336)</f>
        <v>40564.64583</v>
      </c>
      <c r="C499" s="2">
        <f>IFERROR(__xludf.DUMMYFUNCTION("""COMPUTED_VALUE"""),132.1)</f>
        <v>132.1</v>
      </c>
    </row>
    <row r="500" ht="15.75" customHeight="1">
      <c r="B500" s="3">
        <f>IFERROR(__xludf.DUMMYFUNCTION("""COMPUTED_VALUE"""),40571.645833333336)</f>
        <v>40571.64583</v>
      </c>
      <c r="C500" s="2">
        <f>IFERROR(__xludf.DUMMYFUNCTION("""COMPUTED_VALUE"""),134.4)</f>
        <v>134.4</v>
      </c>
    </row>
    <row r="501" ht="15.75" customHeight="1">
      <c r="B501" s="3">
        <f>IFERROR(__xludf.DUMMYFUNCTION("""COMPUTED_VALUE"""),40578.645833333336)</f>
        <v>40578.64583</v>
      </c>
      <c r="C501" s="2">
        <f>IFERROR(__xludf.DUMMYFUNCTION("""COMPUTED_VALUE"""),129.95)</f>
        <v>129.95</v>
      </c>
    </row>
    <row r="502" ht="15.75" customHeight="1">
      <c r="B502" s="3">
        <f>IFERROR(__xludf.DUMMYFUNCTION("""COMPUTED_VALUE"""),40585.645833333336)</f>
        <v>40585.64583</v>
      </c>
      <c r="C502" s="2">
        <f>IFERROR(__xludf.DUMMYFUNCTION("""COMPUTED_VALUE"""),122.15)</f>
        <v>122.15</v>
      </c>
    </row>
    <row r="503" ht="15.75" customHeight="1">
      <c r="B503" s="3">
        <f>IFERROR(__xludf.DUMMYFUNCTION("""COMPUTED_VALUE"""),40592.645833333336)</f>
        <v>40592.64583</v>
      </c>
      <c r="C503" s="2">
        <f>IFERROR(__xludf.DUMMYFUNCTION("""COMPUTED_VALUE"""),129.35)</f>
        <v>129.35</v>
      </c>
    </row>
    <row r="504" ht="15.75" customHeight="1">
      <c r="B504" s="3">
        <f>IFERROR(__xludf.DUMMYFUNCTION("""COMPUTED_VALUE"""),40599.645833333336)</f>
        <v>40599.64583</v>
      </c>
      <c r="C504" s="2">
        <f>IFERROR(__xludf.DUMMYFUNCTION("""COMPUTED_VALUE"""),128.65)</f>
        <v>128.65</v>
      </c>
    </row>
    <row r="505" ht="15.75" customHeight="1">
      <c r="B505" s="3">
        <f>IFERROR(__xludf.DUMMYFUNCTION("""COMPUTED_VALUE"""),40606.645833333336)</f>
        <v>40606.64583</v>
      </c>
      <c r="C505" s="2">
        <f>IFERROR(__xludf.DUMMYFUNCTION("""COMPUTED_VALUE"""),125.4)</f>
        <v>125.4</v>
      </c>
    </row>
    <row r="506" ht="15.75" customHeight="1">
      <c r="B506" s="3">
        <f>IFERROR(__xludf.DUMMYFUNCTION("""COMPUTED_VALUE"""),40613.645833333336)</f>
        <v>40613.64583</v>
      </c>
      <c r="C506" s="2">
        <f>IFERROR(__xludf.DUMMYFUNCTION("""COMPUTED_VALUE"""),130.3)</f>
        <v>130.3</v>
      </c>
    </row>
    <row r="507" ht="15.75" customHeight="1">
      <c r="B507" s="3">
        <f>IFERROR(__xludf.DUMMYFUNCTION("""COMPUTED_VALUE"""),40620.645833333336)</f>
        <v>40620.64583</v>
      </c>
      <c r="C507" s="2">
        <f>IFERROR(__xludf.DUMMYFUNCTION("""COMPUTED_VALUE"""),134.25)</f>
        <v>134.25</v>
      </c>
    </row>
    <row r="508" ht="15.75" customHeight="1">
      <c r="B508" s="3">
        <f>IFERROR(__xludf.DUMMYFUNCTION("""COMPUTED_VALUE"""),40627.645833333336)</f>
        <v>40627.64583</v>
      </c>
      <c r="C508" s="2">
        <f>IFERROR(__xludf.DUMMYFUNCTION("""COMPUTED_VALUE"""),138.9)</f>
        <v>138.9</v>
      </c>
    </row>
    <row r="509" ht="15.75" customHeight="1">
      <c r="B509" s="3">
        <f>IFERROR(__xludf.DUMMYFUNCTION("""COMPUTED_VALUE"""),40634.645833333336)</f>
        <v>40634.64583</v>
      </c>
      <c r="C509" s="2">
        <f>IFERROR(__xludf.DUMMYFUNCTION("""COMPUTED_VALUE"""),151.9)</f>
        <v>151.9</v>
      </c>
    </row>
    <row r="510" ht="15.75" customHeight="1">
      <c r="B510" s="3">
        <f>IFERROR(__xludf.DUMMYFUNCTION("""COMPUTED_VALUE"""),40641.645833333336)</f>
        <v>40641.64583</v>
      </c>
      <c r="C510" s="2">
        <f>IFERROR(__xludf.DUMMYFUNCTION("""COMPUTED_VALUE"""),153.45)</f>
        <v>153.45</v>
      </c>
    </row>
    <row r="511" ht="15.75" customHeight="1">
      <c r="B511" s="3">
        <f>IFERROR(__xludf.DUMMYFUNCTION("""COMPUTED_VALUE"""),40648.645833333336)</f>
        <v>40648.64583</v>
      </c>
      <c r="C511" s="2">
        <f>IFERROR(__xludf.DUMMYFUNCTION("""COMPUTED_VALUE"""),153.95)</f>
        <v>153.95</v>
      </c>
    </row>
    <row r="512" ht="15.75" customHeight="1">
      <c r="B512" s="3">
        <f>IFERROR(__xludf.DUMMYFUNCTION("""COMPUTED_VALUE"""),40654.645833333336)</f>
        <v>40654.64583</v>
      </c>
      <c r="C512" s="2">
        <f>IFERROR(__xludf.DUMMYFUNCTION("""COMPUTED_VALUE"""),155.2)</f>
        <v>155.2</v>
      </c>
    </row>
    <row r="513" ht="15.75" customHeight="1">
      <c r="B513" s="3">
        <f>IFERROR(__xludf.DUMMYFUNCTION("""COMPUTED_VALUE"""),40662.645833333336)</f>
        <v>40662.64583</v>
      </c>
      <c r="C513" s="2">
        <f>IFERROR(__xludf.DUMMYFUNCTION("""COMPUTED_VALUE"""),160.8)</f>
        <v>160.8</v>
      </c>
    </row>
    <row r="514" ht="15.75" customHeight="1">
      <c r="B514" s="3">
        <f>IFERROR(__xludf.DUMMYFUNCTION("""COMPUTED_VALUE"""),40669.645833333336)</f>
        <v>40669.64583</v>
      </c>
      <c r="C514" s="2">
        <f>IFERROR(__xludf.DUMMYFUNCTION("""COMPUTED_VALUE"""),156.9)</f>
        <v>156.9</v>
      </c>
    </row>
    <row r="515" ht="15.75" customHeight="1">
      <c r="B515" s="3">
        <f>IFERROR(__xludf.DUMMYFUNCTION("""COMPUTED_VALUE"""),40676.645833333336)</f>
        <v>40676.64583</v>
      </c>
      <c r="C515" s="2">
        <f>IFERROR(__xludf.DUMMYFUNCTION("""COMPUTED_VALUE"""),141.7)</f>
        <v>141.7</v>
      </c>
    </row>
    <row r="516" ht="15.75" customHeight="1">
      <c r="B516" s="3">
        <f>IFERROR(__xludf.DUMMYFUNCTION("""COMPUTED_VALUE"""),40683.645833333336)</f>
        <v>40683.64583</v>
      </c>
      <c r="C516" s="2">
        <f>IFERROR(__xludf.DUMMYFUNCTION("""COMPUTED_VALUE"""),140.15)</f>
        <v>140.15</v>
      </c>
    </row>
    <row r="517" ht="15.75" customHeight="1">
      <c r="B517" s="3">
        <f>IFERROR(__xludf.DUMMYFUNCTION("""COMPUTED_VALUE"""),40690.645833333336)</f>
        <v>40690.64583</v>
      </c>
      <c r="C517" s="2">
        <f>IFERROR(__xludf.DUMMYFUNCTION("""COMPUTED_VALUE"""),139.9)</f>
        <v>139.9</v>
      </c>
    </row>
    <row r="518" ht="15.75" customHeight="1">
      <c r="B518" s="3">
        <f>IFERROR(__xludf.DUMMYFUNCTION("""COMPUTED_VALUE"""),40697.645833333336)</f>
        <v>40697.64583</v>
      </c>
      <c r="C518" s="2">
        <f>IFERROR(__xludf.DUMMYFUNCTION("""COMPUTED_VALUE"""),144.95)</f>
        <v>144.95</v>
      </c>
    </row>
    <row r="519" ht="15.75" customHeight="1">
      <c r="B519" s="3">
        <f>IFERROR(__xludf.DUMMYFUNCTION("""COMPUTED_VALUE"""),40704.645833333336)</f>
        <v>40704.64583</v>
      </c>
      <c r="C519" s="2">
        <f>IFERROR(__xludf.DUMMYFUNCTION("""COMPUTED_VALUE"""),144.5)</f>
        <v>144.5</v>
      </c>
    </row>
    <row r="520" ht="15.75" customHeight="1">
      <c r="B520" s="3">
        <f>IFERROR(__xludf.DUMMYFUNCTION("""COMPUTED_VALUE"""),40711.645833333336)</f>
        <v>40711.64583</v>
      </c>
      <c r="C520" s="2">
        <f>IFERROR(__xludf.DUMMYFUNCTION("""COMPUTED_VALUE"""),137.0)</f>
        <v>137</v>
      </c>
    </row>
    <row r="521" ht="15.75" customHeight="1">
      <c r="B521" s="3">
        <f>IFERROR(__xludf.DUMMYFUNCTION("""COMPUTED_VALUE"""),40718.645833333336)</f>
        <v>40718.64583</v>
      </c>
      <c r="C521" s="2">
        <f>IFERROR(__xludf.DUMMYFUNCTION("""COMPUTED_VALUE"""),134.75)</f>
        <v>134.75</v>
      </c>
    </row>
    <row r="522" ht="15.75" customHeight="1">
      <c r="B522" s="3">
        <f>IFERROR(__xludf.DUMMYFUNCTION("""COMPUTED_VALUE"""),40725.645833333336)</f>
        <v>40725.64583</v>
      </c>
      <c r="C522" s="2">
        <f>IFERROR(__xludf.DUMMYFUNCTION("""COMPUTED_VALUE"""),134.9)</f>
        <v>134.9</v>
      </c>
    </row>
    <row r="523" ht="15.75" customHeight="1">
      <c r="B523" s="3">
        <f>IFERROR(__xludf.DUMMYFUNCTION("""COMPUTED_VALUE"""),40732.645833333336)</f>
        <v>40732.64583</v>
      </c>
      <c r="C523" s="2">
        <f>IFERROR(__xludf.DUMMYFUNCTION("""COMPUTED_VALUE"""),132.25)</f>
        <v>132.25</v>
      </c>
    </row>
    <row r="524" ht="15.75" customHeight="1">
      <c r="B524" s="3">
        <f>IFERROR(__xludf.DUMMYFUNCTION("""COMPUTED_VALUE"""),40739.645833333336)</f>
        <v>40739.64583</v>
      </c>
      <c r="C524" s="2">
        <f>IFERROR(__xludf.DUMMYFUNCTION("""COMPUTED_VALUE"""),128.0)</f>
        <v>128</v>
      </c>
    </row>
    <row r="525" ht="15.75" customHeight="1">
      <c r="B525" s="3">
        <f>IFERROR(__xludf.DUMMYFUNCTION("""COMPUTED_VALUE"""),40746.645833333336)</f>
        <v>40746.64583</v>
      </c>
      <c r="C525" s="2">
        <f>IFERROR(__xludf.DUMMYFUNCTION("""COMPUTED_VALUE"""),130.6)</f>
        <v>130.6</v>
      </c>
    </row>
    <row r="526" ht="15.75" customHeight="1">
      <c r="B526" s="3">
        <f>IFERROR(__xludf.DUMMYFUNCTION("""COMPUTED_VALUE"""),40753.645833333336)</f>
        <v>40753.64583</v>
      </c>
      <c r="C526" s="2">
        <f>IFERROR(__xludf.DUMMYFUNCTION("""COMPUTED_VALUE"""),134.0)</f>
        <v>134</v>
      </c>
    </row>
    <row r="527" ht="15.75" customHeight="1">
      <c r="B527" s="3">
        <f>IFERROR(__xludf.DUMMYFUNCTION("""COMPUTED_VALUE"""),40760.645833333336)</f>
        <v>40760.64583</v>
      </c>
      <c r="C527" s="2">
        <f>IFERROR(__xludf.DUMMYFUNCTION("""COMPUTED_VALUE"""),133.0)</f>
        <v>133</v>
      </c>
    </row>
    <row r="528" ht="15.75" customHeight="1">
      <c r="B528" s="3">
        <f>IFERROR(__xludf.DUMMYFUNCTION("""COMPUTED_VALUE"""),40767.645833333336)</f>
        <v>40767.64583</v>
      </c>
      <c r="C528" s="2">
        <f>IFERROR(__xludf.DUMMYFUNCTION("""COMPUTED_VALUE"""),132.45)</f>
        <v>132.45</v>
      </c>
    </row>
    <row r="529" ht="15.75" customHeight="1">
      <c r="B529" s="3">
        <f>IFERROR(__xludf.DUMMYFUNCTION("""COMPUTED_VALUE"""),40774.645833333336)</f>
        <v>40774.64583</v>
      </c>
      <c r="C529" s="2">
        <f>IFERROR(__xludf.DUMMYFUNCTION("""COMPUTED_VALUE"""),135.9)</f>
        <v>135.9</v>
      </c>
    </row>
    <row r="530" ht="15.75" customHeight="1">
      <c r="B530" s="3">
        <f>IFERROR(__xludf.DUMMYFUNCTION("""COMPUTED_VALUE"""),40781.645833333336)</f>
        <v>40781.64583</v>
      </c>
      <c r="C530" s="2">
        <f>IFERROR(__xludf.DUMMYFUNCTION("""COMPUTED_VALUE"""),138.35)</f>
        <v>138.35</v>
      </c>
    </row>
    <row r="531" ht="15.75" customHeight="1">
      <c r="B531" s="3">
        <f>IFERROR(__xludf.DUMMYFUNCTION("""COMPUTED_VALUE"""),40788.645833333336)</f>
        <v>40788.64583</v>
      </c>
      <c r="C531" s="2">
        <f>IFERROR(__xludf.DUMMYFUNCTION("""COMPUTED_VALUE"""),139.5)</f>
        <v>139.5</v>
      </c>
    </row>
    <row r="532" ht="15.75" customHeight="1">
      <c r="B532" s="3">
        <f>IFERROR(__xludf.DUMMYFUNCTION("""COMPUTED_VALUE"""),40795.645833333336)</f>
        <v>40795.64583</v>
      </c>
      <c r="C532" s="2">
        <f>IFERROR(__xludf.DUMMYFUNCTION("""COMPUTED_VALUE"""),149.5)</f>
        <v>149.5</v>
      </c>
    </row>
    <row r="533" ht="15.75" customHeight="1">
      <c r="B533" s="3">
        <f>IFERROR(__xludf.DUMMYFUNCTION("""COMPUTED_VALUE"""),40802.645833333336)</f>
        <v>40802.64583</v>
      </c>
      <c r="C533" s="2">
        <f>IFERROR(__xludf.DUMMYFUNCTION("""COMPUTED_VALUE"""),152.4)</f>
        <v>152.4</v>
      </c>
    </row>
    <row r="534" ht="15.75" customHeight="1">
      <c r="B534" s="3">
        <f>IFERROR(__xludf.DUMMYFUNCTION("""COMPUTED_VALUE"""),40809.645833333336)</f>
        <v>40809.64583</v>
      </c>
      <c r="C534" s="2">
        <f>IFERROR(__xludf.DUMMYFUNCTION("""COMPUTED_VALUE"""),150.0)</f>
        <v>150</v>
      </c>
    </row>
    <row r="535" ht="15.75" customHeight="1">
      <c r="B535" s="3">
        <f>IFERROR(__xludf.DUMMYFUNCTION("""COMPUTED_VALUE"""),40816.645833333336)</f>
        <v>40816.64583</v>
      </c>
      <c r="C535" s="2">
        <f>IFERROR(__xludf.DUMMYFUNCTION("""COMPUTED_VALUE"""),150.9)</f>
        <v>150.9</v>
      </c>
    </row>
    <row r="536" ht="15.75" customHeight="1">
      <c r="B536" s="3">
        <f>IFERROR(__xludf.DUMMYFUNCTION("""COMPUTED_VALUE"""),40823.645833333336)</f>
        <v>40823.64583</v>
      </c>
      <c r="C536" s="2">
        <f>IFERROR(__xludf.DUMMYFUNCTION("""COMPUTED_VALUE"""),152.0)</f>
        <v>152</v>
      </c>
    </row>
    <row r="537" ht="15.75" customHeight="1">
      <c r="B537" s="3">
        <f>IFERROR(__xludf.DUMMYFUNCTION("""COMPUTED_VALUE"""),40830.645833333336)</f>
        <v>40830.64583</v>
      </c>
      <c r="C537" s="2">
        <f>IFERROR(__xludf.DUMMYFUNCTION("""COMPUTED_VALUE"""),150.0)</f>
        <v>150</v>
      </c>
    </row>
    <row r="538" ht="15.75" customHeight="1">
      <c r="B538" s="3">
        <f>IFERROR(__xludf.DUMMYFUNCTION("""COMPUTED_VALUE"""),40837.645833333336)</f>
        <v>40837.64583</v>
      </c>
      <c r="C538" s="2">
        <f>IFERROR(__xludf.DUMMYFUNCTION("""COMPUTED_VALUE"""),156.25)</f>
        <v>156.25</v>
      </c>
    </row>
    <row r="539" ht="15.75" customHeight="1">
      <c r="B539" s="3">
        <f>IFERROR(__xludf.DUMMYFUNCTION("""COMPUTED_VALUE"""),40844.645833333336)</f>
        <v>40844.64583</v>
      </c>
      <c r="C539" s="2">
        <f>IFERROR(__xludf.DUMMYFUNCTION("""COMPUTED_VALUE"""),161.25)</f>
        <v>161.25</v>
      </c>
    </row>
    <row r="540" ht="15.75" customHeight="1">
      <c r="B540" s="3">
        <f>IFERROR(__xludf.DUMMYFUNCTION("""COMPUTED_VALUE"""),40851.645833333336)</f>
        <v>40851.64583</v>
      </c>
      <c r="C540" s="2">
        <f>IFERROR(__xludf.DUMMYFUNCTION("""COMPUTED_VALUE"""),161.6)</f>
        <v>161.6</v>
      </c>
    </row>
    <row r="541" ht="15.75" customHeight="1">
      <c r="B541" s="3">
        <f>IFERROR(__xludf.DUMMYFUNCTION("""COMPUTED_VALUE"""),40858.645833333336)</f>
        <v>40858.64583</v>
      </c>
      <c r="C541" s="2">
        <f>IFERROR(__xludf.DUMMYFUNCTION("""COMPUTED_VALUE"""),164.4)</f>
        <v>164.4</v>
      </c>
    </row>
    <row r="542" ht="15.75" customHeight="1">
      <c r="B542" s="3">
        <f>IFERROR(__xludf.DUMMYFUNCTION("""COMPUTED_VALUE"""),40865.645833333336)</f>
        <v>40865.64583</v>
      </c>
      <c r="C542" s="2">
        <f>IFERROR(__xludf.DUMMYFUNCTION("""COMPUTED_VALUE"""),164.9)</f>
        <v>164.9</v>
      </c>
    </row>
    <row r="543" ht="15.75" customHeight="1">
      <c r="B543" s="3">
        <f>IFERROR(__xludf.DUMMYFUNCTION("""COMPUTED_VALUE"""),40872.645833333336)</f>
        <v>40872.64583</v>
      </c>
      <c r="C543" s="2">
        <f>IFERROR(__xludf.DUMMYFUNCTION("""COMPUTED_VALUE"""),152.4)</f>
        <v>152.4</v>
      </c>
    </row>
    <row r="544" ht="15.75" customHeight="1">
      <c r="B544" s="3">
        <f>IFERROR(__xludf.DUMMYFUNCTION("""COMPUTED_VALUE"""),40879.645833333336)</f>
        <v>40879.64583</v>
      </c>
      <c r="C544" s="2">
        <f>IFERROR(__xludf.DUMMYFUNCTION("""COMPUTED_VALUE"""),161.8)</f>
        <v>161.8</v>
      </c>
    </row>
    <row r="545" ht="15.75" customHeight="1">
      <c r="B545" s="3">
        <f>IFERROR(__xludf.DUMMYFUNCTION("""COMPUTED_VALUE"""),40886.645833333336)</f>
        <v>40886.64583</v>
      </c>
      <c r="C545" s="2">
        <f>IFERROR(__xludf.DUMMYFUNCTION("""COMPUTED_VALUE"""),165.45)</f>
        <v>165.45</v>
      </c>
    </row>
    <row r="546" ht="15.75" customHeight="1">
      <c r="B546" s="3">
        <f>IFERROR(__xludf.DUMMYFUNCTION("""COMPUTED_VALUE"""),40893.645833333336)</f>
        <v>40893.64583</v>
      </c>
      <c r="C546" s="2">
        <f>IFERROR(__xludf.DUMMYFUNCTION("""COMPUTED_VALUE"""),161.7)</f>
        <v>161.7</v>
      </c>
    </row>
    <row r="547" ht="15.75" customHeight="1">
      <c r="B547" s="3">
        <f>IFERROR(__xludf.DUMMYFUNCTION("""COMPUTED_VALUE"""),40900.645833333336)</f>
        <v>40900.64583</v>
      </c>
      <c r="C547" s="2">
        <f>IFERROR(__xludf.DUMMYFUNCTION("""COMPUTED_VALUE"""),158.75)</f>
        <v>158.75</v>
      </c>
    </row>
    <row r="548" ht="15.75" customHeight="1">
      <c r="B548" s="3">
        <f>IFERROR(__xludf.DUMMYFUNCTION("""COMPUTED_VALUE"""),40907.645833333336)</f>
        <v>40907.64583</v>
      </c>
      <c r="C548" s="2">
        <f>IFERROR(__xludf.DUMMYFUNCTION("""COMPUTED_VALUE"""),164.75)</f>
        <v>164.75</v>
      </c>
    </row>
    <row r="549" ht="15.75" customHeight="1"/>
    <row r="550" ht="15.75" customHeight="1"/>
    <row r="551" ht="15.75" customHeight="1">
      <c r="B551" s="2" t="str">
        <f>IFERROR(__xludf.DUMMYFUNCTION("GOOGLEFINANCE(""NSE:AMBUJACEM"", ""high"",DATE(2012,1,1),DATE(2013,1,1),""weekly"")"),"Date")</f>
        <v>Date</v>
      </c>
      <c r="C551" s="2" t="str">
        <f>IFERROR(__xludf.DUMMYFUNCTION("""COMPUTED_VALUE"""),"High")</f>
        <v>High</v>
      </c>
    </row>
    <row r="552" ht="15.75" customHeight="1">
      <c r="B552" s="3">
        <f>IFERROR(__xludf.DUMMYFUNCTION("""COMPUTED_VALUE"""),40921.645833333336)</f>
        <v>40921.64583</v>
      </c>
      <c r="C552" s="2">
        <f>IFERROR(__xludf.DUMMYFUNCTION("""COMPUTED_VALUE"""),154.15)</f>
        <v>154.15</v>
      </c>
    </row>
    <row r="553" ht="15.75" customHeight="1">
      <c r="B553" s="3">
        <f>IFERROR(__xludf.DUMMYFUNCTION("""COMPUTED_VALUE"""),40928.645833333336)</f>
        <v>40928.64583</v>
      </c>
      <c r="C553" s="2">
        <f>IFERROR(__xludf.DUMMYFUNCTION("""COMPUTED_VALUE"""),162.45)</f>
        <v>162.45</v>
      </c>
    </row>
    <row r="554" ht="15.75" customHeight="1">
      <c r="B554" s="3">
        <f>IFERROR(__xludf.DUMMYFUNCTION("""COMPUTED_VALUE"""),40935.645833333336)</f>
        <v>40935.64583</v>
      </c>
      <c r="C554" s="2">
        <f>IFERROR(__xludf.DUMMYFUNCTION("""COMPUTED_VALUE"""),164.4)</f>
        <v>164.4</v>
      </c>
    </row>
    <row r="555" ht="15.75" customHeight="1">
      <c r="B555" s="3">
        <f>IFERROR(__xludf.DUMMYFUNCTION("""COMPUTED_VALUE"""),40942.645833333336)</f>
        <v>40942.64583</v>
      </c>
      <c r="C555" s="2">
        <f>IFERROR(__xludf.DUMMYFUNCTION("""COMPUTED_VALUE"""),173.2)</f>
        <v>173.2</v>
      </c>
    </row>
    <row r="556" ht="15.75" customHeight="1">
      <c r="B556" s="3">
        <f>IFERROR(__xludf.DUMMYFUNCTION("""COMPUTED_VALUE"""),40949.645833333336)</f>
        <v>40949.64583</v>
      </c>
      <c r="C556" s="2">
        <f>IFERROR(__xludf.DUMMYFUNCTION("""COMPUTED_VALUE"""),182.0)</f>
        <v>182</v>
      </c>
    </row>
    <row r="557" ht="15.75" customHeight="1">
      <c r="B557" s="3">
        <f>IFERROR(__xludf.DUMMYFUNCTION("""COMPUTED_VALUE"""),40956.645833333336)</f>
        <v>40956.64583</v>
      </c>
      <c r="C557" s="2">
        <f>IFERROR(__xludf.DUMMYFUNCTION("""COMPUTED_VALUE"""),174.85)</f>
        <v>174.85</v>
      </c>
    </row>
    <row r="558" ht="15.75" customHeight="1">
      <c r="B558" s="3">
        <f>IFERROR(__xludf.DUMMYFUNCTION("""COMPUTED_VALUE"""),40963.645833333336)</f>
        <v>40963.64583</v>
      </c>
      <c r="C558" s="2">
        <f>IFERROR(__xludf.DUMMYFUNCTION("""COMPUTED_VALUE"""),176.35)</f>
        <v>176.35</v>
      </c>
    </row>
    <row r="559" ht="15.75" customHeight="1">
      <c r="B559" s="3">
        <f>IFERROR(__xludf.DUMMYFUNCTION("""COMPUTED_VALUE"""),40977.645833333336)</f>
        <v>40977.64583</v>
      </c>
      <c r="C559" s="2">
        <f>IFERROR(__xludf.DUMMYFUNCTION("""COMPUTED_VALUE"""),167.95)</f>
        <v>167.95</v>
      </c>
    </row>
    <row r="560" ht="15.75" customHeight="1">
      <c r="B560" s="3">
        <f>IFERROR(__xludf.DUMMYFUNCTION("""COMPUTED_VALUE"""),40984.645833333336)</f>
        <v>40984.64583</v>
      </c>
      <c r="C560" s="2">
        <f>IFERROR(__xludf.DUMMYFUNCTION("""COMPUTED_VALUE"""),172.0)</f>
        <v>172</v>
      </c>
    </row>
    <row r="561" ht="15.75" customHeight="1">
      <c r="B561" s="3">
        <f>IFERROR(__xludf.DUMMYFUNCTION("""COMPUTED_VALUE"""),40991.645833333336)</f>
        <v>40991.64583</v>
      </c>
      <c r="C561" s="2">
        <f>IFERROR(__xludf.DUMMYFUNCTION("""COMPUTED_VALUE"""),176.0)</f>
        <v>176</v>
      </c>
    </row>
    <row r="562" ht="15.75" customHeight="1">
      <c r="B562" s="3">
        <f>IFERROR(__xludf.DUMMYFUNCTION("""COMPUTED_VALUE"""),40998.645833333336)</f>
        <v>40998.64583</v>
      </c>
      <c r="C562" s="2">
        <f>IFERROR(__xludf.DUMMYFUNCTION("""COMPUTED_VALUE"""),173.85)</f>
        <v>173.85</v>
      </c>
    </row>
    <row r="563" ht="15.75" customHeight="1">
      <c r="B563" s="3">
        <f>IFERROR(__xludf.DUMMYFUNCTION("""COMPUTED_VALUE"""),41003.645833333336)</f>
        <v>41003.64583</v>
      </c>
      <c r="C563" s="2">
        <f>IFERROR(__xludf.DUMMYFUNCTION("""COMPUTED_VALUE"""),174.45)</f>
        <v>174.45</v>
      </c>
    </row>
    <row r="564" ht="15.75" customHeight="1">
      <c r="B564" s="3">
        <f>IFERROR(__xludf.DUMMYFUNCTION("""COMPUTED_VALUE"""),41012.645833333336)</f>
        <v>41012.64583</v>
      </c>
      <c r="C564" s="2">
        <f>IFERROR(__xludf.DUMMYFUNCTION("""COMPUTED_VALUE"""),171.75)</f>
        <v>171.75</v>
      </c>
    </row>
    <row r="565" ht="15.75" customHeight="1">
      <c r="B565" s="3">
        <f>IFERROR(__xludf.DUMMYFUNCTION("""COMPUTED_VALUE"""),41019.645833333336)</f>
        <v>41019.64583</v>
      </c>
      <c r="C565" s="2">
        <f>IFERROR(__xludf.DUMMYFUNCTION("""COMPUTED_VALUE"""),169.15)</f>
        <v>169.15</v>
      </c>
    </row>
    <row r="566" ht="15.75" customHeight="1">
      <c r="B566" s="3">
        <f>IFERROR(__xludf.DUMMYFUNCTION("""COMPUTED_VALUE"""),41033.645833333336)</f>
        <v>41033.64583</v>
      </c>
      <c r="C566" s="2">
        <f>IFERROR(__xludf.DUMMYFUNCTION("""COMPUTED_VALUE"""),152.7)</f>
        <v>152.7</v>
      </c>
    </row>
    <row r="567" ht="15.75" customHeight="1">
      <c r="B567" s="3">
        <f>IFERROR(__xludf.DUMMYFUNCTION("""COMPUTED_VALUE"""),41040.645833333336)</f>
        <v>41040.64583</v>
      </c>
      <c r="C567" s="2">
        <f>IFERROR(__xludf.DUMMYFUNCTION("""COMPUTED_VALUE"""),148.0)</f>
        <v>148</v>
      </c>
    </row>
    <row r="568" ht="15.75" customHeight="1">
      <c r="B568" s="3">
        <f>IFERROR(__xludf.DUMMYFUNCTION("""COMPUTED_VALUE"""),41047.645833333336)</f>
        <v>41047.64583</v>
      </c>
      <c r="C568" s="2">
        <f>IFERROR(__xludf.DUMMYFUNCTION("""COMPUTED_VALUE"""),149.9)</f>
        <v>149.9</v>
      </c>
    </row>
    <row r="569" ht="15.75" customHeight="1">
      <c r="B569" s="3">
        <f>IFERROR(__xludf.DUMMYFUNCTION("""COMPUTED_VALUE"""),41054.645833333336)</f>
        <v>41054.64583</v>
      </c>
      <c r="C569" s="2">
        <f>IFERROR(__xludf.DUMMYFUNCTION("""COMPUTED_VALUE"""),145.0)</f>
        <v>145</v>
      </c>
    </row>
    <row r="570" ht="15.75" customHeight="1">
      <c r="B570" s="3">
        <f>IFERROR(__xludf.DUMMYFUNCTION("""COMPUTED_VALUE"""),41061.645833333336)</f>
        <v>41061.64583</v>
      </c>
      <c r="C570" s="2">
        <f>IFERROR(__xludf.DUMMYFUNCTION("""COMPUTED_VALUE"""),153.9)</f>
        <v>153.9</v>
      </c>
    </row>
    <row r="571" ht="15.75" customHeight="1">
      <c r="B571" s="3">
        <f>IFERROR(__xludf.DUMMYFUNCTION("""COMPUTED_VALUE"""),41068.645833333336)</f>
        <v>41068.64583</v>
      </c>
      <c r="C571" s="2">
        <f>IFERROR(__xludf.DUMMYFUNCTION("""COMPUTED_VALUE"""),154.25)</f>
        <v>154.25</v>
      </c>
    </row>
    <row r="572" ht="15.75" customHeight="1">
      <c r="B572" s="3">
        <f>IFERROR(__xludf.DUMMYFUNCTION("""COMPUTED_VALUE"""),41075.645833333336)</f>
        <v>41075.64583</v>
      </c>
      <c r="C572" s="2">
        <f>IFERROR(__xludf.DUMMYFUNCTION("""COMPUTED_VALUE"""),170.0)</f>
        <v>170</v>
      </c>
    </row>
    <row r="573" ht="15.75" customHeight="1">
      <c r="B573" s="3">
        <f>IFERROR(__xludf.DUMMYFUNCTION("""COMPUTED_VALUE"""),41082.645833333336)</f>
        <v>41082.64583</v>
      </c>
      <c r="C573" s="2">
        <f>IFERROR(__xludf.DUMMYFUNCTION("""COMPUTED_VALUE"""),179.7)</f>
        <v>179.7</v>
      </c>
    </row>
    <row r="574" ht="15.75" customHeight="1">
      <c r="B574" s="3">
        <f>IFERROR(__xludf.DUMMYFUNCTION("""COMPUTED_VALUE"""),41089.645833333336)</f>
        <v>41089.64583</v>
      </c>
      <c r="C574" s="2">
        <f>IFERROR(__xludf.DUMMYFUNCTION("""COMPUTED_VALUE"""),175.5)</f>
        <v>175.5</v>
      </c>
    </row>
    <row r="575" ht="15.75" customHeight="1">
      <c r="B575" s="3">
        <f>IFERROR(__xludf.DUMMYFUNCTION("""COMPUTED_VALUE"""),41096.645833333336)</f>
        <v>41096.64583</v>
      </c>
      <c r="C575" s="2">
        <f>IFERROR(__xludf.DUMMYFUNCTION("""COMPUTED_VALUE"""),177.9)</f>
        <v>177.9</v>
      </c>
    </row>
    <row r="576" ht="15.75" customHeight="1">
      <c r="B576" s="3">
        <f>IFERROR(__xludf.DUMMYFUNCTION("""COMPUTED_VALUE"""),41103.645833333336)</f>
        <v>41103.64583</v>
      </c>
      <c r="C576" s="2">
        <f>IFERROR(__xludf.DUMMYFUNCTION("""COMPUTED_VALUE"""),172.0)</f>
        <v>172</v>
      </c>
    </row>
    <row r="577" ht="15.75" customHeight="1">
      <c r="B577" s="3">
        <f>IFERROR(__xludf.DUMMYFUNCTION("""COMPUTED_VALUE"""),41110.645833333336)</f>
        <v>41110.64583</v>
      </c>
      <c r="C577" s="2">
        <f>IFERROR(__xludf.DUMMYFUNCTION("""COMPUTED_VALUE"""),171.5)</f>
        <v>171.5</v>
      </c>
    </row>
    <row r="578" ht="15.75" customHeight="1">
      <c r="B578" s="3">
        <f>IFERROR(__xludf.DUMMYFUNCTION("""COMPUTED_VALUE"""),41117.645833333336)</f>
        <v>41117.64583</v>
      </c>
      <c r="C578" s="2">
        <f>IFERROR(__xludf.DUMMYFUNCTION("""COMPUTED_VALUE"""),183.8)</f>
        <v>183.8</v>
      </c>
    </row>
    <row r="579" ht="15.75" customHeight="1">
      <c r="B579" s="3">
        <f>IFERROR(__xludf.DUMMYFUNCTION("""COMPUTED_VALUE"""),41124.645833333336)</f>
        <v>41124.64583</v>
      </c>
      <c r="C579" s="2">
        <f>IFERROR(__xludf.DUMMYFUNCTION("""COMPUTED_VALUE"""),186.45)</f>
        <v>186.45</v>
      </c>
    </row>
    <row r="580" ht="15.75" customHeight="1">
      <c r="B580" s="3">
        <f>IFERROR(__xludf.DUMMYFUNCTION("""COMPUTED_VALUE"""),41131.645833333336)</f>
        <v>41131.64583</v>
      </c>
      <c r="C580" s="2">
        <f>IFERROR(__xludf.DUMMYFUNCTION("""COMPUTED_VALUE"""),195.0)</f>
        <v>195</v>
      </c>
    </row>
    <row r="581" ht="15.75" customHeight="1">
      <c r="B581" s="3">
        <f>IFERROR(__xludf.DUMMYFUNCTION("""COMPUTED_VALUE"""),41138.645833333336)</f>
        <v>41138.64583</v>
      </c>
      <c r="C581" s="2">
        <f>IFERROR(__xludf.DUMMYFUNCTION("""COMPUTED_VALUE"""),197.95)</f>
        <v>197.95</v>
      </c>
    </row>
    <row r="582" ht="15.75" customHeight="1">
      <c r="B582" s="3">
        <f>IFERROR(__xludf.DUMMYFUNCTION("""COMPUTED_VALUE"""),41145.645833333336)</f>
        <v>41145.64583</v>
      </c>
      <c r="C582" s="2">
        <f>IFERROR(__xludf.DUMMYFUNCTION("""COMPUTED_VALUE"""),195.5)</f>
        <v>195.5</v>
      </c>
    </row>
    <row r="583" ht="15.75" customHeight="1">
      <c r="B583" s="3">
        <f>IFERROR(__xludf.DUMMYFUNCTION("""COMPUTED_VALUE"""),41152.645833333336)</f>
        <v>41152.64583</v>
      </c>
      <c r="C583" s="2">
        <f>IFERROR(__xludf.DUMMYFUNCTION("""COMPUTED_VALUE"""),193.2)</f>
        <v>193.2</v>
      </c>
    </row>
    <row r="584" ht="15.75" customHeight="1">
      <c r="B584" s="3">
        <f>IFERROR(__xludf.DUMMYFUNCTION("""COMPUTED_VALUE"""),41166.645833333336)</f>
        <v>41166.64583</v>
      </c>
      <c r="C584" s="2">
        <f>IFERROR(__xludf.DUMMYFUNCTION("""COMPUTED_VALUE"""),197.95)</f>
        <v>197.95</v>
      </c>
    </row>
    <row r="585" ht="15.75" customHeight="1">
      <c r="B585" s="3">
        <f>IFERROR(__xludf.DUMMYFUNCTION("""COMPUTED_VALUE"""),41173.645833333336)</f>
        <v>41173.64583</v>
      </c>
      <c r="C585" s="2">
        <f>IFERROR(__xludf.DUMMYFUNCTION("""COMPUTED_VALUE"""),199.0)</f>
        <v>199</v>
      </c>
    </row>
    <row r="586" ht="15.75" customHeight="1">
      <c r="B586" s="3">
        <f>IFERROR(__xludf.DUMMYFUNCTION("""COMPUTED_VALUE"""),41180.645833333336)</f>
        <v>41180.64583</v>
      </c>
      <c r="C586" s="2">
        <f>IFERROR(__xludf.DUMMYFUNCTION("""COMPUTED_VALUE"""),205.8)</f>
        <v>205.8</v>
      </c>
    </row>
    <row r="587" ht="15.75" customHeight="1">
      <c r="B587" s="3">
        <f>IFERROR(__xludf.DUMMYFUNCTION("""COMPUTED_VALUE"""),41187.645833333336)</f>
        <v>41187.64583</v>
      </c>
      <c r="C587" s="2">
        <f>IFERROR(__xludf.DUMMYFUNCTION("""COMPUTED_VALUE"""),223.0)</f>
        <v>223</v>
      </c>
    </row>
    <row r="588" ht="15.75" customHeight="1">
      <c r="B588" s="3">
        <f>IFERROR(__xludf.DUMMYFUNCTION("""COMPUTED_VALUE"""),41194.645833333336)</f>
        <v>41194.64583</v>
      </c>
      <c r="C588" s="2">
        <f>IFERROR(__xludf.DUMMYFUNCTION("""COMPUTED_VALUE"""),217.4)</f>
        <v>217.4</v>
      </c>
    </row>
    <row r="589" ht="15.75" customHeight="1">
      <c r="B589" s="3">
        <f>IFERROR(__xludf.DUMMYFUNCTION("""COMPUTED_VALUE"""),41201.645833333336)</f>
        <v>41201.64583</v>
      </c>
      <c r="C589" s="2">
        <f>IFERROR(__xludf.DUMMYFUNCTION("""COMPUTED_VALUE"""),218.4)</f>
        <v>218.4</v>
      </c>
    </row>
    <row r="590" ht="15.75" customHeight="1">
      <c r="B590" s="3">
        <f>IFERROR(__xludf.DUMMYFUNCTION("""COMPUTED_VALUE"""),41208.645833333336)</f>
        <v>41208.64583</v>
      </c>
      <c r="C590" s="2">
        <f>IFERROR(__xludf.DUMMYFUNCTION("""COMPUTED_VALUE"""),209.4)</f>
        <v>209.4</v>
      </c>
    </row>
    <row r="591" ht="15.75" customHeight="1">
      <c r="B591" s="3">
        <f>IFERROR(__xludf.DUMMYFUNCTION("""COMPUTED_VALUE"""),41215.645833333336)</f>
        <v>41215.64583</v>
      </c>
      <c r="C591" s="2">
        <f>IFERROR(__xludf.DUMMYFUNCTION("""COMPUTED_VALUE"""),211.35)</f>
        <v>211.35</v>
      </c>
    </row>
    <row r="592" ht="15.75" customHeight="1">
      <c r="B592" s="3">
        <f>IFERROR(__xludf.DUMMYFUNCTION("""COMPUTED_VALUE"""),41222.645833333336)</f>
        <v>41222.64583</v>
      </c>
      <c r="C592" s="2">
        <f>IFERROR(__xludf.DUMMYFUNCTION("""COMPUTED_VALUE"""),219.65)</f>
        <v>219.65</v>
      </c>
    </row>
    <row r="593" ht="15.75" customHeight="1">
      <c r="B593" s="3">
        <f>IFERROR(__xludf.DUMMYFUNCTION("""COMPUTED_VALUE"""),41229.645833333336)</f>
        <v>41229.64583</v>
      </c>
      <c r="C593" s="2">
        <f>IFERROR(__xludf.DUMMYFUNCTION("""COMPUTED_VALUE"""),216.3)</f>
        <v>216.3</v>
      </c>
    </row>
    <row r="594" ht="15.75" customHeight="1">
      <c r="B594" s="3">
        <f>IFERROR(__xludf.DUMMYFUNCTION("""COMPUTED_VALUE"""),41236.645833333336)</f>
        <v>41236.64583</v>
      </c>
      <c r="C594" s="2">
        <f>IFERROR(__xludf.DUMMYFUNCTION("""COMPUTED_VALUE"""),204.25)</f>
        <v>204.25</v>
      </c>
    </row>
    <row r="595" ht="15.75" customHeight="1">
      <c r="B595" s="3">
        <f>IFERROR(__xludf.DUMMYFUNCTION("""COMPUTED_VALUE"""),41243.645833333336)</f>
        <v>41243.64583</v>
      </c>
      <c r="C595" s="2">
        <f>IFERROR(__xludf.DUMMYFUNCTION("""COMPUTED_VALUE"""),209.6)</f>
        <v>209.6</v>
      </c>
    </row>
    <row r="596" ht="15.75" customHeight="1">
      <c r="B596" s="3">
        <f>IFERROR(__xludf.DUMMYFUNCTION("""COMPUTED_VALUE"""),41250.645833333336)</f>
        <v>41250.64583</v>
      </c>
      <c r="C596" s="2">
        <f>IFERROR(__xludf.DUMMYFUNCTION("""COMPUTED_VALUE"""),211.95)</f>
        <v>211.95</v>
      </c>
    </row>
    <row r="597" ht="15.75" customHeight="1">
      <c r="B597" s="3">
        <f>IFERROR(__xludf.DUMMYFUNCTION("""COMPUTED_VALUE"""),41257.645833333336)</f>
        <v>41257.64583</v>
      </c>
      <c r="C597" s="2">
        <f>IFERROR(__xludf.DUMMYFUNCTION("""COMPUTED_VALUE"""),214.4)</f>
        <v>214.4</v>
      </c>
    </row>
    <row r="598" ht="15.75" customHeight="1">
      <c r="B598" s="3">
        <f>IFERROR(__xludf.DUMMYFUNCTION("""COMPUTED_VALUE"""),41264.645833333336)</f>
        <v>41264.64583</v>
      </c>
      <c r="C598" s="2">
        <f>IFERROR(__xludf.DUMMYFUNCTION("""COMPUTED_VALUE"""),212.0)</f>
        <v>212</v>
      </c>
    </row>
    <row r="599" ht="15.75" customHeight="1">
      <c r="B599" s="3">
        <f>IFERROR(__xludf.DUMMYFUNCTION("""COMPUTED_VALUE"""),41271.645833333336)</f>
        <v>41271.64583</v>
      </c>
      <c r="C599" s="2">
        <f>IFERROR(__xludf.DUMMYFUNCTION("""COMPUTED_VALUE"""),203.8)</f>
        <v>203.8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>
      <c r="B606" s="2" t="str">
        <f>IFERROR(__xludf.DUMMYFUNCTION("GOOGLEFINANCE(""NSE:AMBUJACEM"", ""high"",DATE(2013,1,1),DATE(2014,1,1),""weekly"")"),"Date")</f>
        <v>Date</v>
      </c>
      <c r="C606" s="2" t="str">
        <f>IFERROR(__xludf.DUMMYFUNCTION("""COMPUTED_VALUE"""),"High")</f>
        <v>High</v>
      </c>
    </row>
    <row r="607" ht="15.75" customHeight="1">
      <c r="B607" s="3">
        <f>IFERROR(__xludf.DUMMYFUNCTION("""COMPUTED_VALUE"""),41278.645833333336)</f>
        <v>41278.64583</v>
      </c>
      <c r="C607" s="2">
        <f>IFERROR(__xludf.DUMMYFUNCTION("""COMPUTED_VALUE"""),208.5)</f>
        <v>208.5</v>
      </c>
    </row>
    <row r="608" ht="15.75" customHeight="1">
      <c r="B608" s="3">
        <f>IFERROR(__xludf.DUMMYFUNCTION("""COMPUTED_VALUE"""),41285.645833333336)</f>
        <v>41285.64583</v>
      </c>
      <c r="C608" s="2">
        <f>IFERROR(__xludf.DUMMYFUNCTION("""COMPUTED_VALUE"""),207.3)</f>
        <v>207.3</v>
      </c>
    </row>
    <row r="609" ht="15.75" customHeight="1">
      <c r="B609" s="3">
        <f>IFERROR(__xludf.DUMMYFUNCTION("""COMPUTED_VALUE"""),41292.645833333336)</f>
        <v>41292.64583</v>
      </c>
      <c r="C609" s="2">
        <f>IFERROR(__xludf.DUMMYFUNCTION("""COMPUTED_VALUE"""),201.95)</f>
        <v>201.95</v>
      </c>
    </row>
    <row r="610" ht="15.75" customHeight="1">
      <c r="B610" s="3">
        <f>IFERROR(__xludf.DUMMYFUNCTION("""COMPUTED_VALUE"""),41299.645833333336)</f>
        <v>41299.64583</v>
      </c>
      <c r="C610" s="2">
        <f>IFERROR(__xludf.DUMMYFUNCTION("""COMPUTED_VALUE"""),201.25)</f>
        <v>201.25</v>
      </c>
    </row>
    <row r="611" ht="15.75" customHeight="1">
      <c r="B611" s="3">
        <f>IFERROR(__xludf.DUMMYFUNCTION("""COMPUTED_VALUE"""),41306.645833333336)</f>
        <v>41306.64583</v>
      </c>
      <c r="C611" s="2">
        <f>IFERROR(__xludf.DUMMYFUNCTION("""COMPUTED_VALUE"""),205.45)</f>
        <v>205.45</v>
      </c>
    </row>
    <row r="612" ht="15.75" customHeight="1">
      <c r="B612" s="3">
        <f>IFERROR(__xludf.DUMMYFUNCTION("""COMPUTED_VALUE"""),41313.645833333336)</f>
        <v>41313.64583</v>
      </c>
      <c r="C612" s="2">
        <f>IFERROR(__xludf.DUMMYFUNCTION("""COMPUTED_VALUE"""),206.85)</f>
        <v>206.85</v>
      </c>
    </row>
    <row r="613" ht="15.75" customHeight="1">
      <c r="B613" s="3">
        <f>IFERROR(__xludf.DUMMYFUNCTION("""COMPUTED_VALUE"""),41320.645833333336)</f>
        <v>41320.64583</v>
      </c>
      <c r="C613" s="2">
        <f>IFERROR(__xludf.DUMMYFUNCTION("""COMPUTED_VALUE"""),193.7)</f>
        <v>193.7</v>
      </c>
    </row>
    <row r="614" ht="15.75" customHeight="1">
      <c r="B614" s="3">
        <f>IFERROR(__xludf.DUMMYFUNCTION("""COMPUTED_VALUE"""),41327.645833333336)</f>
        <v>41327.64583</v>
      </c>
      <c r="C614" s="2">
        <f>IFERROR(__xludf.DUMMYFUNCTION("""COMPUTED_VALUE"""),200.4)</f>
        <v>200.4</v>
      </c>
    </row>
    <row r="615" ht="15.75" customHeight="1">
      <c r="B615" s="3">
        <f>IFERROR(__xludf.DUMMYFUNCTION("""COMPUTED_VALUE"""),41334.645833333336)</f>
        <v>41334.64583</v>
      </c>
      <c r="C615" s="2">
        <f>IFERROR(__xludf.DUMMYFUNCTION("""COMPUTED_VALUE"""),201.85)</f>
        <v>201.85</v>
      </c>
    </row>
    <row r="616" ht="15.75" customHeight="1">
      <c r="B616" s="3">
        <f>IFERROR(__xludf.DUMMYFUNCTION("""COMPUTED_VALUE"""),41341.645833333336)</f>
        <v>41341.64583</v>
      </c>
      <c r="C616" s="2">
        <f>IFERROR(__xludf.DUMMYFUNCTION("""COMPUTED_VALUE"""),195.95)</f>
        <v>195.95</v>
      </c>
    </row>
    <row r="617" ht="15.75" customHeight="1">
      <c r="B617" s="3">
        <f>IFERROR(__xludf.DUMMYFUNCTION("""COMPUTED_VALUE"""),41348.645833333336)</f>
        <v>41348.64583</v>
      </c>
      <c r="C617" s="2">
        <f>IFERROR(__xludf.DUMMYFUNCTION("""COMPUTED_VALUE"""),192.45)</f>
        <v>192.45</v>
      </c>
    </row>
    <row r="618" ht="15.75" customHeight="1">
      <c r="B618" s="3">
        <f>IFERROR(__xludf.DUMMYFUNCTION("""COMPUTED_VALUE"""),41355.645833333336)</f>
        <v>41355.64583</v>
      </c>
      <c r="C618" s="2">
        <f>IFERROR(__xludf.DUMMYFUNCTION("""COMPUTED_VALUE"""),187.9)</f>
        <v>187.9</v>
      </c>
    </row>
    <row r="619" ht="15.75" customHeight="1">
      <c r="B619" s="3">
        <f>IFERROR(__xludf.DUMMYFUNCTION("""COMPUTED_VALUE"""),41361.645833333336)</f>
        <v>41361.64583</v>
      </c>
      <c r="C619" s="2">
        <f>IFERROR(__xludf.DUMMYFUNCTION("""COMPUTED_VALUE"""),180.0)</f>
        <v>180</v>
      </c>
    </row>
    <row r="620" ht="15.75" customHeight="1">
      <c r="B620" s="3">
        <f>IFERROR(__xludf.DUMMYFUNCTION("""COMPUTED_VALUE"""),41369.645833333336)</f>
        <v>41369.64583</v>
      </c>
      <c r="C620" s="2">
        <f>IFERROR(__xludf.DUMMYFUNCTION("""COMPUTED_VALUE"""),178.3)</f>
        <v>178.3</v>
      </c>
    </row>
    <row r="621" ht="15.75" customHeight="1">
      <c r="B621" s="3">
        <f>IFERROR(__xludf.DUMMYFUNCTION("""COMPUTED_VALUE"""),41376.645833333336)</f>
        <v>41376.64583</v>
      </c>
      <c r="C621" s="2">
        <f>IFERROR(__xludf.DUMMYFUNCTION("""COMPUTED_VALUE"""),177.0)</f>
        <v>177</v>
      </c>
    </row>
    <row r="622" ht="15.75" customHeight="1">
      <c r="B622" s="3">
        <f>IFERROR(__xludf.DUMMYFUNCTION("""COMPUTED_VALUE"""),41382.645833333336)</f>
        <v>41382.64583</v>
      </c>
      <c r="C622" s="2">
        <f>IFERROR(__xludf.DUMMYFUNCTION("""COMPUTED_VALUE"""),190.0)</f>
        <v>190</v>
      </c>
    </row>
    <row r="623" ht="15.75" customHeight="1">
      <c r="B623" s="3">
        <f>IFERROR(__xludf.DUMMYFUNCTION("""COMPUTED_VALUE"""),41390.645833333336)</f>
        <v>41390.64583</v>
      </c>
      <c r="C623" s="2">
        <f>IFERROR(__xludf.DUMMYFUNCTION("""COMPUTED_VALUE"""),194.0)</f>
        <v>194</v>
      </c>
    </row>
    <row r="624" ht="15.75" customHeight="1">
      <c r="B624" s="3">
        <f>IFERROR(__xludf.DUMMYFUNCTION("""COMPUTED_VALUE"""),41397.645833333336)</f>
        <v>41397.64583</v>
      </c>
      <c r="C624" s="2">
        <f>IFERROR(__xludf.DUMMYFUNCTION("""COMPUTED_VALUE"""),195.0)</f>
        <v>195</v>
      </c>
    </row>
    <row r="625" ht="15.75" customHeight="1">
      <c r="B625" s="3">
        <f>IFERROR(__xludf.DUMMYFUNCTION("""COMPUTED_VALUE"""),41411.645833333336)</f>
        <v>41411.64583</v>
      </c>
      <c r="C625" s="2">
        <f>IFERROR(__xludf.DUMMYFUNCTION("""COMPUTED_VALUE"""),192.5)</f>
        <v>192.5</v>
      </c>
    </row>
    <row r="626" ht="15.75" customHeight="1">
      <c r="B626" s="3">
        <f>IFERROR(__xludf.DUMMYFUNCTION("""COMPUTED_VALUE"""),41418.645833333336)</f>
        <v>41418.64583</v>
      </c>
      <c r="C626" s="2">
        <f>IFERROR(__xludf.DUMMYFUNCTION("""COMPUTED_VALUE"""),192.05)</f>
        <v>192.05</v>
      </c>
    </row>
    <row r="627" ht="15.75" customHeight="1">
      <c r="B627" s="3">
        <f>IFERROR(__xludf.DUMMYFUNCTION("""COMPUTED_VALUE"""),41425.645833333336)</f>
        <v>41425.64583</v>
      </c>
      <c r="C627" s="2">
        <f>IFERROR(__xludf.DUMMYFUNCTION("""COMPUTED_VALUE"""),191.8)</f>
        <v>191.8</v>
      </c>
    </row>
    <row r="628" ht="15.75" customHeight="1">
      <c r="B628" s="3">
        <f>IFERROR(__xludf.DUMMYFUNCTION("""COMPUTED_VALUE"""),41432.645833333336)</f>
        <v>41432.64583</v>
      </c>
      <c r="C628" s="2">
        <f>IFERROR(__xludf.DUMMYFUNCTION("""COMPUTED_VALUE"""),183.6)</f>
        <v>183.6</v>
      </c>
    </row>
    <row r="629" ht="15.75" customHeight="1">
      <c r="B629" s="3">
        <f>IFERROR(__xludf.DUMMYFUNCTION("""COMPUTED_VALUE"""),41439.645833333336)</f>
        <v>41439.64583</v>
      </c>
      <c r="C629" s="2">
        <f>IFERROR(__xludf.DUMMYFUNCTION("""COMPUTED_VALUE"""),179.0)</f>
        <v>179</v>
      </c>
    </row>
    <row r="630" ht="15.75" customHeight="1">
      <c r="B630" s="3">
        <f>IFERROR(__xludf.DUMMYFUNCTION("""COMPUTED_VALUE"""),41446.645833333336)</f>
        <v>41446.64583</v>
      </c>
      <c r="C630" s="2">
        <f>IFERROR(__xludf.DUMMYFUNCTION("""COMPUTED_VALUE"""),186.95)</f>
        <v>186.95</v>
      </c>
    </row>
    <row r="631" ht="15.75" customHeight="1">
      <c r="B631" s="3">
        <f>IFERROR(__xludf.DUMMYFUNCTION("""COMPUTED_VALUE"""),41453.645833333336)</f>
        <v>41453.64583</v>
      </c>
      <c r="C631" s="2">
        <f>IFERROR(__xludf.DUMMYFUNCTION("""COMPUTED_VALUE"""),187.8)</f>
        <v>187.8</v>
      </c>
    </row>
    <row r="632" ht="15.75" customHeight="1">
      <c r="B632" s="3">
        <f>IFERROR(__xludf.DUMMYFUNCTION("""COMPUTED_VALUE"""),41460.645833333336)</f>
        <v>41460.64583</v>
      </c>
      <c r="C632" s="2">
        <f>IFERROR(__xludf.DUMMYFUNCTION("""COMPUTED_VALUE"""),192.0)</f>
        <v>192</v>
      </c>
    </row>
    <row r="633" ht="15.75" customHeight="1">
      <c r="B633" s="3">
        <f>IFERROR(__xludf.DUMMYFUNCTION("""COMPUTED_VALUE"""),41467.645833333336)</f>
        <v>41467.64583</v>
      </c>
      <c r="C633" s="2">
        <f>IFERROR(__xludf.DUMMYFUNCTION("""COMPUTED_VALUE"""),198.75)</f>
        <v>198.75</v>
      </c>
    </row>
    <row r="634" ht="15.75" customHeight="1">
      <c r="B634" s="3">
        <f>IFERROR(__xludf.DUMMYFUNCTION("""COMPUTED_VALUE"""),41474.645833333336)</f>
        <v>41474.64583</v>
      </c>
      <c r="C634" s="2">
        <f>IFERROR(__xludf.DUMMYFUNCTION("""COMPUTED_VALUE"""),212.5)</f>
        <v>212.5</v>
      </c>
    </row>
    <row r="635" ht="15.75" customHeight="1">
      <c r="B635" s="3">
        <f>IFERROR(__xludf.DUMMYFUNCTION("""COMPUTED_VALUE"""),41481.645833333336)</f>
        <v>41481.64583</v>
      </c>
      <c r="C635" s="2">
        <f>IFERROR(__xludf.DUMMYFUNCTION("""COMPUTED_VALUE"""),207.65)</f>
        <v>207.65</v>
      </c>
    </row>
    <row r="636" ht="15.75" customHeight="1">
      <c r="B636" s="3">
        <f>IFERROR(__xludf.DUMMYFUNCTION("""COMPUTED_VALUE"""),41488.645833333336)</f>
        <v>41488.64583</v>
      </c>
      <c r="C636" s="2">
        <f>IFERROR(__xludf.DUMMYFUNCTION("""COMPUTED_VALUE"""),179.65)</f>
        <v>179.65</v>
      </c>
    </row>
    <row r="637" ht="15.75" customHeight="1">
      <c r="B637" s="3">
        <f>IFERROR(__xludf.DUMMYFUNCTION("""COMPUTED_VALUE"""),41494.645833333336)</f>
        <v>41494.64583</v>
      </c>
      <c r="C637" s="2">
        <f>IFERROR(__xludf.DUMMYFUNCTION("""COMPUTED_VALUE"""),185.2)</f>
        <v>185.2</v>
      </c>
    </row>
    <row r="638" ht="15.75" customHeight="1">
      <c r="B638" s="3">
        <f>IFERROR(__xludf.DUMMYFUNCTION("""COMPUTED_VALUE"""),41502.645833333336)</f>
        <v>41502.64583</v>
      </c>
      <c r="C638" s="2">
        <f>IFERROR(__xludf.DUMMYFUNCTION("""COMPUTED_VALUE"""),180.95)</f>
        <v>180.95</v>
      </c>
    </row>
    <row r="639" ht="15.75" customHeight="1">
      <c r="B639" s="3">
        <f>IFERROR(__xludf.DUMMYFUNCTION("""COMPUTED_VALUE"""),41509.645833333336)</f>
        <v>41509.64583</v>
      </c>
      <c r="C639" s="2">
        <f>IFERROR(__xludf.DUMMYFUNCTION("""COMPUTED_VALUE"""),173.75)</f>
        <v>173.75</v>
      </c>
    </row>
    <row r="640" ht="15.75" customHeight="1">
      <c r="B640" s="3">
        <f>IFERROR(__xludf.DUMMYFUNCTION("""COMPUTED_VALUE"""),41516.645833333336)</f>
        <v>41516.64583</v>
      </c>
      <c r="C640" s="2">
        <f>IFERROR(__xludf.DUMMYFUNCTION("""COMPUTED_VALUE"""),174.7)</f>
        <v>174.7</v>
      </c>
    </row>
    <row r="641" ht="15.75" customHeight="1">
      <c r="B641" s="3">
        <f>IFERROR(__xludf.DUMMYFUNCTION("""COMPUTED_VALUE"""),41523.645833333336)</f>
        <v>41523.64583</v>
      </c>
      <c r="C641" s="2">
        <f>IFERROR(__xludf.DUMMYFUNCTION("""COMPUTED_VALUE"""),176.6)</f>
        <v>176.6</v>
      </c>
    </row>
    <row r="642" ht="15.75" customHeight="1">
      <c r="B642" s="3">
        <f>IFERROR(__xludf.DUMMYFUNCTION("""COMPUTED_VALUE"""),41530.645833333336)</f>
        <v>41530.64583</v>
      </c>
      <c r="C642" s="2">
        <f>IFERROR(__xludf.DUMMYFUNCTION("""COMPUTED_VALUE"""),188.65)</f>
        <v>188.65</v>
      </c>
    </row>
    <row r="643" ht="15.75" customHeight="1">
      <c r="B643" s="3">
        <f>IFERROR(__xludf.DUMMYFUNCTION("""COMPUTED_VALUE"""),41537.645833333336)</f>
        <v>41537.64583</v>
      </c>
      <c r="C643" s="2">
        <f>IFERROR(__xludf.DUMMYFUNCTION("""COMPUTED_VALUE"""),194.0)</f>
        <v>194</v>
      </c>
    </row>
    <row r="644" ht="15.75" customHeight="1">
      <c r="B644" s="3">
        <f>IFERROR(__xludf.DUMMYFUNCTION("""COMPUTED_VALUE"""),41544.645833333336)</f>
        <v>41544.64583</v>
      </c>
      <c r="C644" s="2">
        <f>IFERROR(__xludf.DUMMYFUNCTION("""COMPUTED_VALUE"""),195.9)</f>
        <v>195.9</v>
      </c>
    </row>
    <row r="645" ht="15.75" customHeight="1">
      <c r="B645" s="3">
        <f>IFERROR(__xludf.DUMMYFUNCTION("""COMPUTED_VALUE"""),41551.645833333336)</f>
        <v>41551.64583</v>
      </c>
      <c r="C645" s="2">
        <f>IFERROR(__xludf.DUMMYFUNCTION("""COMPUTED_VALUE"""),192.95)</f>
        <v>192.95</v>
      </c>
    </row>
    <row r="646" ht="15.75" customHeight="1">
      <c r="B646" s="3">
        <f>IFERROR(__xludf.DUMMYFUNCTION("""COMPUTED_VALUE"""),41558.645833333336)</f>
        <v>41558.64583</v>
      </c>
      <c r="C646" s="2">
        <f>IFERROR(__xludf.DUMMYFUNCTION("""COMPUTED_VALUE"""),198.75)</f>
        <v>198.75</v>
      </c>
    </row>
    <row r="647" ht="15.75" customHeight="1">
      <c r="B647" s="3">
        <f>IFERROR(__xludf.DUMMYFUNCTION("""COMPUTED_VALUE"""),41565.645833333336)</f>
        <v>41565.64583</v>
      </c>
      <c r="C647" s="2">
        <f>IFERROR(__xludf.DUMMYFUNCTION("""COMPUTED_VALUE"""),201.55)</f>
        <v>201.55</v>
      </c>
    </row>
    <row r="648" ht="15.75" customHeight="1">
      <c r="B648" s="3">
        <f>IFERROR(__xludf.DUMMYFUNCTION("""COMPUTED_VALUE"""),41572.645833333336)</f>
        <v>41572.64583</v>
      </c>
      <c r="C648" s="2">
        <f>IFERROR(__xludf.DUMMYFUNCTION("""COMPUTED_VALUE"""),205.0)</f>
        <v>205</v>
      </c>
    </row>
    <row r="649" ht="15.75" customHeight="1">
      <c r="B649" s="3">
        <f>IFERROR(__xludf.DUMMYFUNCTION("""COMPUTED_VALUE"""),41579.645833333336)</f>
        <v>41579.64583</v>
      </c>
      <c r="C649" s="2">
        <f>IFERROR(__xludf.DUMMYFUNCTION("""COMPUTED_VALUE"""),197.3)</f>
        <v>197.3</v>
      </c>
    </row>
    <row r="650" ht="15.75" customHeight="1">
      <c r="B650" s="3">
        <f>IFERROR(__xludf.DUMMYFUNCTION("""COMPUTED_VALUE"""),41586.645833333336)</f>
        <v>41586.64583</v>
      </c>
      <c r="C650" s="2">
        <f>IFERROR(__xludf.DUMMYFUNCTION("""COMPUTED_VALUE"""),190.35)</f>
        <v>190.35</v>
      </c>
    </row>
    <row r="651" ht="15.75" customHeight="1">
      <c r="B651" s="3">
        <f>IFERROR(__xludf.DUMMYFUNCTION("""COMPUTED_VALUE"""),41592.645833333336)</f>
        <v>41592.64583</v>
      </c>
      <c r="C651" s="2">
        <f>IFERROR(__xludf.DUMMYFUNCTION("""COMPUTED_VALUE"""),178.5)</f>
        <v>178.5</v>
      </c>
    </row>
    <row r="652" ht="15.75" customHeight="1">
      <c r="B652" s="3">
        <f>IFERROR(__xludf.DUMMYFUNCTION("""COMPUTED_VALUE"""),41600.645833333336)</f>
        <v>41600.64583</v>
      </c>
      <c r="C652" s="2">
        <f>IFERROR(__xludf.DUMMYFUNCTION("""COMPUTED_VALUE"""),181.0)</f>
        <v>181</v>
      </c>
    </row>
    <row r="653" ht="15.75" customHeight="1">
      <c r="B653" s="3">
        <f>IFERROR(__xludf.DUMMYFUNCTION("""COMPUTED_VALUE"""),41607.645833333336)</f>
        <v>41607.64583</v>
      </c>
      <c r="C653" s="2">
        <f>IFERROR(__xludf.DUMMYFUNCTION("""COMPUTED_VALUE"""),186.0)</f>
        <v>186</v>
      </c>
    </row>
    <row r="654" ht="15.75" customHeight="1">
      <c r="B654" s="3">
        <f>IFERROR(__xludf.DUMMYFUNCTION("""COMPUTED_VALUE"""),41614.645833333336)</f>
        <v>41614.64583</v>
      </c>
      <c r="C654" s="2">
        <f>IFERROR(__xludf.DUMMYFUNCTION("""COMPUTED_VALUE"""),188.35)</f>
        <v>188.35</v>
      </c>
    </row>
    <row r="655" ht="15.75" customHeight="1">
      <c r="B655" s="3">
        <f>IFERROR(__xludf.DUMMYFUNCTION("""COMPUTED_VALUE"""),41621.645833333336)</f>
        <v>41621.64583</v>
      </c>
      <c r="C655" s="2">
        <f>IFERROR(__xludf.DUMMYFUNCTION("""COMPUTED_VALUE"""),195.8)</f>
        <v>195.8</v>
      </c>
    </row>
    <row r="656" ht="15.75" customHeight="1">
      <c r="B656" s="3">
        <f>IFERROR(__xludf.DUMMYFUNCTION("""COMPUTED_VALUE"""),41628.645833333336)</f>
        <v>41628.64583</v>
      </c>
      <c r="C656" s="2">
        <f>IFERROR(__xludf.DUMMYFUNCTION("""COMPUTED_VALUE"""),180.85)</f>
        <v>180.85</v>
      </c>
    </row>
    <row r="657" ht="15.75" customHeight="1">
      <c r="B657" s="3">
        <f>IFERROR(__xludf.DUMMYFUNCTION("""COMPUTED_VALUE"""),41635.645833333336)</f>
        <v>41635.64583</v>
      </c>
      <c r="C657" s="2">
        <f>IFERROR(__xludf.DUMMYFUNCTION("""COMPUTED_VALUE"""),185.65)</f>
        <v>185.65</v>
      </c>
    </row>
    <row r="658" ht="15.75" customHeight="1"/>
    <row r="659" ht="15.75" customHeight="1"/>
    <row r="660" ht="15.75" customHeight="1"/>
    <row r="661" ht="15.75" customHeight="1">
      <c r="B661" s="2" t="str">
        <f>IFERROR(__xludf.DUMMYFUNCTION("GOOGLEFINANCE(""NSE:AMBUJACEM"", ""high"",DATE(2014,1,1),DATE(2015,1,1),""weekly"")"),"Date")</f>
        <v>Date</v>
      </c>
      <c r="C661" s="2" t="str">
        <f>IFERROR(__xludf.DUMMYFUNCTION("""COMPUTED_VALUE"""),"High")</f>
        <v>High</v>
      </c>
    </row>
    <row r="662" ht="15.75" customHeight="1">
      <c r="B662" s="3">
        <f>IFERROR(__xludf.DUMMYFUNCTION("""COMPUTED_VALUE"""),41642.645833333336)</f>
        <v>41642.64583</v>
      </c>
      <c r="C662" s="2">
        <f>IFERROR(__xludf.DUMMYFUNCTION("""COMPUTED_VALUE"""),185.45)</f>
        <v>185.45</v>
      </c>
    </row>
    <row r="663" ht="15.75" customHeight="1">
      <c r="B663" s="3">
        <f>IFERROR(__xludf.DUMMYFUNCTION("""COMPUTED_VALUE"""),41649.645833333336)</f>
        <v>41649.64583</v>
      </c>
      <c r="C663" s="2">
        <f>IFERROR(__xludf.DUMMYFUNCTION("""COMPUTED_VALUE"""),178.55)</f>
        <v>178.55</v>
      </c>
    </row>
    <row r="664" ht="15.75" customHeight="1">
      <c r="B664" s="3">
        <f>IFERROR(__xludf.DUMMYFUNCTION("""COMPUTED_VALUE"""),41656.645833333336)</f>
        <v>41656.64583</v>
      </c>
      <c r="C664" s="2">
        <f>IFERROR(__xludf.DUMMYFUNCTION("""COMPUTED_VALUE"""),172.65)</f>
        <v>172.65</v>
      </c>
    </row>
    <row r="665" ht="15.75" customHeight="1">
      <c r="B665" s="3">
        <f>IFERROR(__xludf.DUMMYFUNCTION("""COMPUTED_VALUE"""),41663.645833333336)</f>
        <v>41663.64583</v>
      </c>
      <c r="C665" s="2">
        <f>IFERROR(__xludf.DUMMYFUNCTION("""COMPUTED_VALUE"""),173.4)</f>
        <v>173.4</v>
      </c>
    </row>
    <row r="666" ht="15.75" customHeight="1">
      <c r="B666" s="3">
        <f>IFERROR(__xludf.DUMMYFUNCTION("""COMPUTED_VALUE"""),41670.645833333336)</f>
        <v>41670.64583</v>
      </c>
      <c r="C666" s="2">
        <f>IFERROR(__xludf.DUMMYFUNCTION("""COMPUTED_VALUE"""),161.9)</f>
        <v>161.9</v>
      </c>
    </row>
    <row r="667" ht="15.75" customHeight="1">
      <c r="B667" s="3">
        <f>IFERROR(__xludf.DUMMYFUNCTION("""COMPUTED_VALUE"""),41677.645833333336)</f>
        <v>41677.64583</v>
      </c>
      <c r="C667" s="2">
        <f>IFERROR(__xludf.DUMMYFUNCTION("""COMPUTED_VALUE"""),163.85)</f>
        <v>163.85</v>
      </c>
    </row>
    <row r="668" ht="15.75" customHeight="1">
      <c r="B668" s="3">
        <f>IFERROR(__xludf.DUMMYFUNCTION("""COMPUTED_VALUE"""),41684.645833333336)</f>
        <v>41684.64583</v>
      </c>
      <c r="C668" s="2">
        <f>IFERROR(__xludf.DUMMYFUNCTION("""COMPUTED_VALUE"""),164.7)</f>
        <v>164.7</v>
      </c>
    </row>
    <row r="669" ht="15.75" customHeight="1">
      <c r="B669" s="3">
        <f>IFERROR(__xludf.DUMMYFUNCTION("""COMPUTED_VALUE"""),41691.645833333336)</f>
        <v>41691.64583</v>
      </c>
      <c r="C669" s="2">
        <f>IFERROR(__xludf.DUMMYFUNCTION("""COMPUTED_VALUE"""),162.8)</f>
        <v>162.8</v>
      </c>
    </row>
    <row r="670" ht="15.75" customHeight="1">
      <c r="B670" s="3">
        <f>IFERROR(__xludf.DUMMYFUNCTION("""COMPUTED_VALUE"""),41698.645833333336)</f>
        <v>41698.64583</v>
      </c>
      <c r="C670" s="2">
        <f>IFERROR(__xludf.DUMMYFUNCTION("""COMPUTED_VALUE"""),169.0)</f>
        <v>169</v>
      </c>
    </row>
    <row r="671" ht="15.75" customHeight="1">
      <c r="B671" s="3">
        <f>IFERROR(__xludf.DUMMYFUNCTION("""COMPUTED_VALUE"""),41705.645833333336)</f>
        <v>41705.64583</v>
      </c>
      <c r="C671" s="2">
        <f>IFERROR(__xludf.DUMMYFUNCTION("""COMPUTED_VALUE"""),186.5)</f>
        <v>186.5</v>
      </c>
    </row>
    <row r="672" ht="15.75" customHeight="1">
      <c r="B672" s="3">
        <f>IFERROR(__xludf.DUMMYFUNCTION("""COMPUTED_VALUE"""),41712.645833333336)</f>
        <v>41712.64583</v>
      </c>
      <c r="C672" s="2">
        <f>IFERROR(__xludf.DUMMYFUNCTION("""COMPUTED_VALUE"""),187.75)</f>
        <v>187.75</v>
      </c>
    </row>
    <row r="673" ht="15.75" customHeight="1">
      <c r="B673" s="3">
        <f>IFERROR(__xludf.DUMMYFUNCTION("""COMPUTED_VALUE"""),41726.645833333336)</f>
        <v>41726.64583</v>
      </c>
      <c r="C673" s="2">
        <f>IFERROR(__xludf.DUMMYFUNCTION("""COMPUTED_VALUE"""),201.0)</f>
        <v>201</v>
      </c>
    </row>
    <row r="674" ht="15.75" customHeight="1">
      <c r="B674" s="3">
        <f>IFERROR(__xludf.DUMMYFUNCTION("""COMPUTED_VALUE"""),41733.645833333336)</f>
        <v>41733.64583</v>
      </c>
      <c r="C674" s="2">
        <f>IFERROR(__xludf.DUMMYFUNCTION("""COMPUTED_VALUE"""),205.5)</f>
        <v>205.5</v>
      </c>
    </row>
    <row r="675" ht="15.75" customHeight="1">
      <c r="B675" s="3">
        <f>IFERROR(__xludf.DUMMYFUNCTION("""COMPUTED_VALUE"""),41740.645833333336)</f>
        <v>41740.64583</v>
      </c>
      <c r="C675" s="2">
        <f>IFERROR(__xludf.DUMMYFUNCTION("""COMPUTED_VALUE"""),217.8)</f>
        <v>217.8</v>
      </c>
    </row>
    <row r="676" ht="15.75" customHeight="1">
      <c r="B676" s="3">
        <f>IFERROR(__xludf.DUMMYFUNCTION("""COMPUTED_VALUE"""),41746.645833333336)</f>
        <v>41746.64583</v>
      </c>
      <c r="C676" s="2">
        <f>IFERROR(__xludf.DUMMYFUNCTION("""COMPUTED_VALUE"""),218.75)</f>
        <v>218.75</v>
      </c>
    </row>
    <row r="677" ht="15.75" customHeight="1">
      <c r="B677" s="3">
        <f>IFERROR(__xludf.DUMMYFUNCTION("""COMPUTED_VALUE"""),41754.645833333336)</f>
        <v>41754.64583</v>
      </c>
      <c r="C677" s="2">
        <f>IFERROR(__xludf.DUMMYFUNCTION("""COMPUTED_VALUE"""),221.0)</f>
        <v>221</v>
      </c>
    </row>
    <row r="678" ht="15.75" customHeight="1">
      <c r="B678" s="3">
        <f>IFERROR(__xludf.DUMMYFUNCTION("""COMPUTED_VALUE"""),41761.645833333336)</f>
        <v>41761.64583</v>
      </c>
      <c r="C678" s="2">
        <f>IFERROR(__xludf.DUMMYFUNCTION("""COMPUTED_VALUE"""),208.0)</f>
        <v>208</v>
      </c>
    </row>
    <row r="679" ht="15.75" customHeight="1">
      <c r="B679" s="3">
        <f>IFERROR(__xludf.DUMMYFUNCTION("""COMPUTED_VALUE"""),41768.645833333336)</f>
        <v>41768.64583</v>
      </c>
      <c r="C679" s="2">
        <f>IFERROR(__xludf.DUMMYFUNCTION("""COMPUTED_VALUE"""),208.0)</f>
        <v>208</v>
      </c>
    </row>
    <row r="680" ht="15.75" customHeight="1">
      <c r="B680" s="3">
        <f>IFERROR(__xludf.DUMMYFUNCTION("""COMPUTED_VALUE"""),41775.645833333336)</f>
        <v>41775.64583</v>
      </c>
      <c r="C680" s="2">
        <f>IFERROR(__xludf.DUMMYFUNCTION("""COMPUTED_VALUE"""),241.1)</f>
        <v>241.1</v>
      </c>
    </row>
    <row r="681" ht="15.75" customHeight="1">
      <c r="B681" s="3">
        <f>IFERROR(__xludf.DUMMYFUNCTION("""COMPUTED_VALUE"""),41782.645833333336)</f>
        <v>41782.64583</v>
      </c>
      <c r="C681" s="2">
        <f>IFERROR(__xludf.DUMMYFUNCTION("""COMPUTED_VALUE"""),228.95)</f>
        <v>228.95</v>
      </c>
    </row>
    <row r="682" ht="15.75" customHeight="1">
      <c r="B682" s="3">
        <f>IFERROR(__xludf.DUMMYFUNCTION("""COMPUTED_VALUE"""),41789.645833333336)</f>
        <v>41789.64583</v>
      </c>
      <c r="C682" s="2">
        <f>IFERROR(__xludf.DUMMYFUNCTION("""COMPUTED_VALUE"""),223.9)</f>
        <v>223.9</v>
      </c>
    </row>
    <row r="683" ht="15.75" customHeight="1">
      <c r="B683" s="3">
        <f>IFERROR(__xludf.DUMMYFUNCTION("""COMPUTED_VALUE"""),41796.645833333336)</f>
        <v>41796.64583</v>
      </c>
      <c r="C683" s="2">
        <f>IFERROR(__xludf.DUMMYFUNCTION("""COMPUTED_VALUE"""),235.4)</f>
        <v>235.4</v>
      </c>
    </row>
    <row r="684" ht="15.75" customHeight="1">
      <c r="B684" s="3">
        <f>IFERROR(__xludf.DUMMYFUNCTION("""COMPUTED_VALUE"""),41803.645833333336)</f>
        <v>41803.64583</v>
      </c>
      <c r="C684" s="2">
        <f>IFERROR(__xludf.DUMMYFUNCTION("""COMPUTED_VALUE"""),243.8)</f>
        <v>243.8</v>
      </c>
    </row>
    <row r="685" ht="15.75" customHeight="1">
      <c r="B685" s="3">
        <f>IFERROR(__xludf.DUMMYFUNCTION("""COMPUTED_VALUE"""),41810.645833333336)</f>
        <v>41810.64583</v>
      </c>
      <c r="C685" s="2">
        <f>IFERROR(__xludf.DUMMYFUNCTION("""COMPUTED_VALUE"""),228.95)</f>
        <v>228.95</v>
      </c>
    </row>
    <row r="686" ht="15.75" customHeight="1">
      <c r="B686" s="3">
        <f>IFERROR(__xludf.DUMMYFUNCTION("""COMPUTED_VALUE"""),41817.645833333336)</f>
        <v>41817.64583</v>
      </c>
      <c r="C686" s="2">
        <f>IFERROR(__xludf.DUMMYFUNCTION("""COMPUTED_VALUE"""),224.2)</f>
        <v>224.2</v>
      </c>
    </row>
    <row r="687" ht="15.75" customHeight="1">
      <c r="B687" s="3">
        <f>IFERROR(__xludf.DUMMYFUNCTION("""COMPUTED_VALUE"""),41824.645833333336)</f>
        <v>41824.64583</v>
      </c>
      <c r="C687" s="2">
        <f>IFERROR(__xludf.DUMMYFUNCTION("""COMPUTED_VALUE"""),227.9)</f>
        <v>227.9</v>
      </c>
    </row>
    <row r="688" ht="15.75" customHeight="1">
      <c r="B688" s="3">
        <f>IFERROR(__xludf.DUMMYFUNCTION("""COMPUTED_VALUE"""),41831.645833333336)</f>
        <v>41831.64583</v>
      </c>
      <c r="C688" s="2">
        <f>IFERROR(__xludf.DUMMYFUNCTION("""COMPUTED_VALUE"""),227.9)</f>
        <v>227.9</v>
      </c>
    </row>
    <row r="689" ht="15.75" customHeight="1">
      <c r="B689" s="3">
        <f>IFERROR(__xludf.DUMMYFUNCTION("""COMPUTED_VALUE"""),41838.645833333336)</f>
        <v>41838.64583</v>
      </c>
      <c r="C689" s="2">
        <f>IFERROR(__xludf.DUMMYFUNCTION("""COMPUTED_VALUE"""),225.75)</f>
        <v>225.75</v>
      </c>
    </row>
    <row r="690" ht="15.75" customHeight="1">
      <c r="B690" s="3">
        <f>IFERROR(__xludf.DUMMYFUNCTION("""COMPUTED_VALUE"""),41845.645833333336)</f>
        <v>41845.64583</v>
      </c>
      <c r="C690" s="2">
        <f>IFERROR(__xludf.DUMMYFUNCTION("""COMPUTED_VALUE"""),224.6)</f>
        <v>224.6</v>
      </c>
    </row>
    <row r="691" ht="15.75" customHeight="1">
      <c r="B691" s="3">
        <f>IFERROR(__xludf.DUMMYFUNCTION("""COMPUTED_VALUE"""),41852.645833333336)</f>
        <v>41852.64583</v>
      </c>
      <c r="C691" s="2">
        <f>IFERROR(__xludf.DUMMYFUNCTION("""COMPUTED_VALUE"""),212.0)</f>
        <v>212</v>
      </c>
    </row>
    <row r="692" ht="15.75" customHeight="1">
      <c r="B692" s="3">
        <f>IFERROR(__xludf.DUMMYFUNCTION("""COMPUTED_VALUE"""),41859.645833333336)</f>
        <v>41859.64583</v>
      </c>
      <c r="C692" s="2">
        <f>IFERROR(__xludf.DUMMYFUNCTION("""COMPUTED_VALUE"""),213.55)</f>
        <v>213.55</v>
      </c>
    </row>
    <row r="693" ht="15.75" customHeight="1">
      <c r="B693" s="3">
        <f>IFERROR(__xludf.DUMMYFUNCTION("""COMPUTED_VALUE"""),41865.645833333336)</f>
        <v>41865.64583</v>
      </c>
      <c r="C693" s="2">
        <f>IFERROR(__xludf.DUMMYFUNCTION("""COMPUTED_VALUE"""),212.8)</f>
        <v>212.8</v>
      </c>
    </row>
    <row r="694" ht="15.75" customHeight="1">
      <c r="B694" s="3">
        <f>IFERROR(__xludf.DUMMYFUNCTION("""COMPUTED_VALUE"""),41873.645833333336)</f>
        <v>41873.64583</v>
      </c>
      <c r="C694" s="2">
        <f>IFERROR(__xludf.DUMMYFUNCTION("""COMPUTED_VALUE"""),218.45)</f>
        <v>218.45</v>
      </c>
    </row>
    <row r="695" ht="15.75" customHeight="1">
      <c r="B695" s="3">
        <f>IFERROR(__xludf.DUMMYFUNCTION("""COMPUTED_VALUE"""),41879.645833333336)</f>
        <v>41879.64583</v>
      </c>
      <c r="C695" s="2">
        <f>IFERROR(__xludf.DUMMYFUNCTION("""COMPUTED_VALUE"""),215.0)</f>
        <v>215</v>
      </c>
    </row>
    <row r="696" ht="15.75" customHeight="1">
      <c r="B696" s="3">
        <f>IFERROR(__xludf.DUMMYFUNCTION("""COMPUTED_VALUE"""),41887.645833333336)</f>
        <v>41887.64583</v>
      </c>
      <c r="C696" s="2">
        <f>IFERROR(__xludf.DUMMYFUNCTION("""COMPUTED_VALUE"""),217.4)</f>
        <v>217.4</v>
      </c>
    </row>
    <row r="697" ht="15.75" customHeight="1">
      <c r="B697" s="3">
        <f>IFERROR(__xludf.DUMMYFUNCTION("""COMPUTED_VALUE"""),41894.645833333336)</f>
        <v>41894.64583</v>
      </c>
      <c r="C697" s="2">
        <f>IFERROR(__xludf.DUMMYFUNCTION("""COMPUTED_VALUE"""),221.15)</f>
        <v>221.15</v>
      </c>
    </row>
    <row r="698" ht="15.75" customHeight="1">
      <c r="B698" s="3">
        <f>IFERROR(__xludf.DUMMYFUNCTION("""COMPUTED_VALUE"""),41901.645833333336)</f>
        <v>41901.64583</v>
      </c>
      <c r="C698" s="2">
        <f>IFERROR(__xludf.DUMMYFUNCTION("""COMPUTED_VALUE"""),216.85)</f>
        <v>216.85</v>
      </c>
    </row>
    <row r="699" ht="15.75" customHeight="1">
      <c r="B699" s="3">
        <f>IFERROR(__xludf.DUMMYFUNCTION("""COMPUTED_VALUE"""),41908.645833333336)</f>
        <v>41908.64583</v>
      </c>
      <c r="C699" s="2">
        <f>IFERROR(__xludf.DUMMYFUNCTION("""COMPUTED_VALUE"""),216.7)</f>
        <v>216.7</v>
      </c>
    </row>
    <row r="700" ht="15.75" customHeight="1">
      <c r="B700" s="3">
        <f>IFERROR(__xludf.DUMMYFUNCTION("""COMPUTED_VALUE"""),41913.645833333336)</f>
        <v>41913.64583</v>
      </c>
      <c r="C700" s="2">
        <f>IFERROR(__xludf.DUMMYFUNCTION("""COMPUTED_VALUE"""),215.9)</f>
        <v>215.9</v>
      </c>
    </row>
    <row r="701" ht="15.75" customHeight="1">
      <c r="B701" s="3">
        <f>IFERROR(__xludf.DUMMYFUNCTION("""COMPUTED_VALUE"""),41922.645833333336)</f>
        <v>41922.64583</v>
      </c>
      <c r="C701" s="2">
        <f>IFERROR(__xludf.DUMMYFUNCTION("""COMPUTED_VALUE"""),216.9)</f>
        <v>216.9</v>
      </c>
    </row>
    <row r="702" ht="15.75" customHeight="1">
      <c r="B702" s="3">
        <f>IFERROR(__xludf.DUMMYFUNCTION("""COMPUTED_VALUE"""),41929.645833333336)</f>
        <v>41929.64583</v>
      </c>
      <c r="C702" s="2">
        <f>IFERROR(__xludf.DUMMYFUNCTION("""COMPUTED_VALUE"""),212.6)</f>
        <v>212.6</v>
      </c>
    </row>
    <row r="703" ht="15.75" customHeight="1">
      <c r="B703" s="3">
        <f>IFERROR(__xludf.DUMMYFUNCTION("""COMPUTED_VALUE"""),41935.645833333336)</f>
        <v>41935.64583</v>
      </c>
      <c r="C703" s="2">
        <f>IFERROR(__xludf.DUMMYFUNCTION("""COMPUTED_VALUE"""),218.45)</f>
        <v>218.45</v>
      </c>
    </row>
    <row r="704" ht="15.75" customHeight="1">
      <c r="B704" s="3">
        <f>IFERROR(__xludf.DUMMYFUNCTION("""COMPUTED_VALUE"""),41943.645833333336)</f>
        <v>41943.64583</v>
      </c>
      <c r="C704" s="2">
        <f>IFERROR(__xludf.DUMMYFUNCTION("""COMPUTED_VALUE"""),229.0)</f>
        <v>229</v>
      </c>
    </row>
    <row r="705" ht="15.75" customHeight="1">
      <c r="B705" s="3">
        <f>IFERROR(__xludf.DUMMYFUNCTION("""COMPUTED_VALUE"""),41950.645833333336)</f>
        <v>41950.64583</v>
      </c>
      <c r="C705" s="2">
        <f>IFERROR(__xludf.DUMMYFUNCTION("""COMPUTED_VALUE"""),229.4)</f>
        <v>229.4</v>
      </c>
    </row>
    <row r="706" ht="15.75" customHeight="1">
      <c r="B706" s="3">
        <f>IFERROR(__xludf.DUMMYFUNCTION("""COMPUTED_VALUE"""),41957.64583333333)</f>
        <v>41957.64583</v>
      </c>
      <c r="C706" s="2">
        <f>IFERROR(__xludf.DUMMYFUNCTION("""COMPUTED_VALUE"""),231.4)</f>
        <v>231.4</v>
      </c>
    </row>
    <row r="707" ht="15.75" customHeight="1">
      <c r="B707" s="3">
        <f>IFERROR(__xludf.DUMMYFUNCTION("""COMPUTED_VALUE"""),41964.64583333333)</f>
        <v>41964.64583</v>
      </c>
      <c r="C707" s="2">
        <f>IFERROR(__xludf.DUMMYFUNCTION("""COMPUTED_VALUE"""),230.75)</f>
        <v>230.75</v>
      </c>
    </row>
    <row r="708" ht="15.75" customHeight="1">
      <c r="B708" s="3">
        <f>IFERROR(__xludf.DUMMYFUNCTION("""COMPUTED_VALUE"""),41971.64583333333)</f>
        <v>41971.64583</v>
      </c>
      <c r="C708" s="2">
        <f>IFERROR(__xludf.DUMMYFUNCTION("""COMPUTED_VALUE"""),232.55)</f>
        <v>232.55</v>
      </c>
    </row>
    <row r="709" ht="15.75" customHeight="1">
      <c r="B709" s="3">
        <f>IFERROR(__xludf.DUMMYFUNCTION("""COMPUTED_VALUE"""),41978.64583333333)</f>
        <v>41978.64583</v>
      </c>
      <c r="C709" s="2">
        <f>IFERROR(__xludf.DUMMYFUNCTION("""COMPUTED_VALUE"""),237.75)</f>
        <v>237.75</v>
      </c>
    </row>
    <row r="710" ht="15.75" customHeight="1">
      <c r="B710" s="3">
        <f>IFERROR(__xludf.DUMMYFUNCTION("""COMPUTED_VALUE"""),41985.64583333333)</f>
        <v>41985.64583</v>
      </c>
      <c r="C710" s="2">
        <f>IFERROR(__xludf.DUMMYFUNCTION("""COMPUTED_VALUE"""),239.7)</f>
        <v>239.7</v>
      </c>
    </row>
    <row r="711" ht="15.75" customHeight="1">
      <c r="B711" s="3">
        <f>IFERROR(__xludf.DUMMYFUNCTION("""COMPUTED_VALUE"""),41992.64583333333)</f>
        <v>41992.64583</v>
      </c>
      <c r="C711" s="2">
        <f>IFERROR(__xludf.DUMMYFUNCTION("""COMPUTED_VALUE"""),229.9)</f>
        <v>229.9</v>
      </c>
    </row>
    <row r="712" ht="15.75" customHeight="1">
      <c r="B712" s="3">
        <f>IFERROR(__xludf.DUMMYFUNCTION("""COMPUTED_VALUE"""),41999.64583333333)</f>
        <v>41999.64583</v>
      </c>
      <c r="C712" s="2">
        <f>IFERROR(__xludf.DUMMYFUNCTION("""COMPUTED_VALUE"""),231.8)</f>
        <v>231.8</v>
      </c>
    </row>
    <row r="713" ht="15.75" customHeight="1"/>
    <row r="714" ht="15.75" customHeight="1"/>
    <row r="715" ht="15.75" customHeight="1"/>
    <row r="716" ht="15.75" customHeight="1">
      <c r="B716" s="2" t="str">
        <f>IFERROR(__xludf.DUMMYFUNCTION("GOOGLEFINANCE(""NSE:AMBUJACEM"", ""high"",DATE(2015,1,1),DATE(2016,1,1),""weekly"")"),"Date")</f>
        <v>Date</v>
      </c>
      <c r="C716" s="2" t="str">
        <f>IFERROR(__xludf.DUMMYFUNCTION("""COMPUTED_VALUE"""),"High")</f>
        <v>High</v>
      </c>
    </row>
    <row r="717" ht="15.75" customHeight="1">
      <c r="B717" s="3">
        <f>IFERROR(__xludf.DUMMYFUNCTION("""COMPUTED_VALUE"""),42006.64583333333)</f>
        <v>42006.64583</v>
      </c>
      <c r="C717" s="2">
        <f>IFERROR(__xludf.DUMMYFUNCTION("""COMPUTED_VALUE"""),231.8)</f>
        <v>231.8</v>
      </c>
    </row>
    <row r="718" ht="15.75" customHeight="1">
      <c r="B718" s="3">
        <f>IFERROR(__xludf.DUMMYFUNCTION("""COMPUTED_VALUE"""),42013.64583333333)</f>
        <v>42013.64583</v>
      </c>
      <c r="C718" s="2">
        <f>IFERROR(__xludf.DUMMYFUNCTION("""COMPUTED_VALUE"""),233.3)</f>
        <v>233.3</v>
      </c>
    </row>
    <row r="719" ht="15.75" customHeight="1">
      <c r="B719" s="3">
        <f>IFERROR(__xludf.DUMMYFUNCTION("""COMPUTED_VALUE"""),42020.64583333333)</f>
        <v>42020.64583</v>
      </c>
      <c r="C719" s="2">
        <f>IFERROR(__xludf.DUMMYFUNCTION("""COMPUTED_VALUE"""),243.5)</f>
        <v>243.5</v>
      </c>
    </row>
    <row r="720" ht="15.75" customHeight="1">
      <c r="B720" s="3">
        <f>IFERROR(__xludf.DUMMYFUNCTION("""COMPUTED_VALUE"""),42027.64583333333)</f>
        <v>42027.64583</v>
      </c>
      <c r="C720" s="2">
        <f>IFERROR(__xludf.DUMMYFUNCTION("""COMPUTED_VALUE"""),253.4)</f>
        <v>253.4</v>
      </c>
    </row>
    <row r="721" ht="15.75" customHeight="1">
      <c r="B721" s="3">
        <f>IFERROR(__xludf.DUMMYFUNCTION("""COMPUTED_VALUE"""),42034.64583333333)</f>
        <v>42034.64583</v>
      </c>
      <c r="C721" s="2">
        <f>IFERROR(__xludf.DUMMYFUNCTION("""COMPUTED_VALUE"""),257.05)</f>
        <v>257.05</v>
      </c>
    </row>
    <row r="722" ht="15.75" customHeight="1">
      <c r="B722" s="3">
        <f>IFERROR(__xludf.DUMMYFUNCTION("""COMPUTED_VALUE"""),42041.64583333333)</f>
        <v>42041.64583</v>
      </c>
      <c r="C722" s="2">
        <f>IFERROR(__xludf.DUMMYFUNCTION("""COMPUTED_VALUE"""),252.4)</f>
        <v>252.4</v>
      </c>
    </row>
    <row r="723" ht="15.75" customHeight="1">
      <c r="B723" s="3">
        <f>IFERROR(__xludf.DUMMYFUNCTION("""COMPUTED_VALUE"""),42048.64583333333)</f>
        <v>42048.64583</v>
      </c>
      <c r="C723" s="2">
        <f>IFERROR(__xludf.DUMMYFUNCTION("""COMPUTED_VALUE"""),266.0)</f>
        <v>266</v>
      </c>
    </row>
    <row r="724" ht="15.75" customHeight="1">
      <c r="B724" s="3">
        <f>IFERROR(__xludf.DUMMYFUNCTION("""COMPUTED_VALUE"""),42055.64583333333)</f>
        <v>42055.64583</v>
      </c>
      <c r="C724" s="2">
        <f>IFERROR(__xludf.DUMMYFUNCTION("""COMPUTED_VALUE"""),273.0)</f>
        <v>273</v>
      </c>
    </row>
    <row r="725" ht="15.75" customHeight="1">
      <c r="B725" s="3">
        <f>IFERROR(__xludf.DUMMYFUNCTION("""COMPUTED_VALUE"""),42068.64583333333)</f>
        <v>42068.64583</v>
      </c>
      <c r="C725" s="2">
        <f>IFERROR(__xludf.DUMMYFUNCTION("""COMPUTED_VALUE"""),287.0)</f>
        <v>287</v>
      </c>
    </row>
    <row r="726" ht="15.75" customHeight="1">
      <c r="B726" s="3">
        <f>IFERROR(__xludf.DUMMYFUNCTION("""COMPUTED_VALUE"""),42076.64583333333)</f>
        <v>42076.64583</v>
      </c>
      <c r="C726" s="2">
        <f>IFERROR(__xludf.DUMMYFUNCTION("""COMPUTED_VALUE"""),275.0)</f>
        <v>275</v>
      </c>
    </row>
    <row r="727" ht="15.75" customHeight="1">
      <c r="B727" s="3">
        <f>IFERROR(__xludf.DUMMYFUNCTION("""COMPUTED_VALUE"""),42083.64583333333)</f>
        <v>42083.64583</v>
      </c>
      <c r="C727" s="2">
        <f>IFERROR(__xludf.DUMMYFUNCTION("""COMPUTED_VALUE"""),260.6)</f>
        <v>260.6</v>
      </c>
    </row>
    <row r="728" ht="15.75" customHeight="1">
      <c r="B728" s="3">
        <f>IFERROR(__xludf.DUMMYFUNCTION("""COMPUTED_VALUE"""),42090.64583333333)</f>
        <v>42090.64583</v>
      </c>
      <c r="C728" s="2">
        <f>IFERROR(__xludf.DUMMYFUNCTION("""COMPUTED_VALUE"""),259.0)</f>
        <v>259</v>
      </c>
    </row>
    <row r="729" ht="15.75" customHeight="1">
      <c r="B729" s="3">
        <f>IFERROR(__xludf.DUMMYFUNCTION("""COMPUTED_VALUE"""),42095.64583333333)</f>
        <v>42095.64583</v>
      </c>
      <c r="C729" s="2">
        <f>IFERROR(__xludf.DUMMYFUNCTION("""COMPUTED_VALUE"""),261.4)</f>
        <v>261.4</v>
      </c>
    </row>
    <row r="730" ht="15.75" customHeight="1">
      <c r="B730" s="3">
        <f>IFERROR(__xludf.DUMMYFUNCTION("""COMPUTED_VALUE"""),42104.64583333333)</f>
        <v>42104.64583</v>
      </c>
      <c r="C730" s="2">
        <f>IFERROR(__xludf.DUMMYFUNCTION("""COMPUTED_VALUE"""),266.35)</f>
        <v>266.35</v>
      </c>
    </row>
    <row r="731" ht="15.75" customHeight="1">
      <c r="B731" s="3">
        <f>IFERROR(__xludf.DUMMYFUNCTION("""COMPUTED_VALUE"""),42111.64583333333)</f>
        <v>42111.64583</v>
      </c>
      <c r="C731" s="2">
        <f>IFERROR(__xludf.DUMMYFUNCTION("""COMPUTED_VALUE"""),262.0)</f>
        <v>262</v>
      </c>
    </row>
    <row r="732" ht="15.75" customHeight="1">
      <c r="B732" s="3">
        <f>IFERROR(__xludf.DUMMYFUNCTION("""COMPUTED_VALUE"""),42118.64583333333)</f>
        <v>42118.64583</v>
      </c>
      <c r="C732" s="2">
        <f>IFERROR(__xludf.DUMMYFUNCTION("""COMPUTED_VALUE"""),253.25)</f>
        <v>253.25</v>
      </c>
    </row>
    <row r="733" ht="15.75" customHeight="1">
      <c r="B733" s="3">
        <f>IFERROR(__xludf.DUMMYFUNCTION("""COMPUTED_VALUE"""),42124.64583333333)</f>
        <v>42124.64583</v>
      </c>
      <c r="C733" s="2">
        <f>IFERROR(__xludf.DUMMYFUNCTION("""COMPUTED_VALUE"""),241.5)</f>
        <v>241.5</v>
      </c>
    </row>
    <row r="734" ht="15.75" customHeight="1">
      <c r="B734" s="3">
        <f>IFERROR(__xludf.DUMMYFUNCTION("""COMPUTED_VALUE"""),42132.64583333333)</f>
        <v>42132.64583</v>
      </c>
      <c r="C734" s="2">
        <f>IFERROR(__xludf.DUMMYFUNCTION("""COMPUTED_VALUE"""),243.0)</f>
        <v>243</v>
      </c>
    </row>
    <row r="735" ht="15.75" customHeight="1">
      <c r="B735" s="3">
        <f>IFERROR(__xludf.DUMMYFUNCTION("""COMPUTED_VALUE"""),42139.64583333333)</f>
        <v>42139.64583</v>
      </c>
      <c r="C735" s="2">
        <f>IFERROR(__xludf.DUMMYFUNCTION("""COMPUTED_VALUE"""),239.4)</f>
        <v>239.4</v>
      </c>
    </row>
    <row r="736" ht="15.75" customHeight="1">
      <c r="B736" s="3">
        <f>IFERROR(__xludf.DUMMYFUNCTION("""COMPUTED_VALUE"""),42146.64583333333)</f>
        <v>42146.64583</v>
      </c>
      <c r="C736" s="2">
        <f>IFERROR(__xludf.DUMMYFUNCTION("""COMPUTED_VALUE"""),244.65)</f>
        <v>244.65</v>
      </c>
    </row>
    <row r="737" ht="15.75" customHeight="1">
      <c r="B737" s="3">
        <f>IFERROR(__xludf.DUMMYFUNCTION("""COMPUTED_VALUE"""),42153.64583333333)</f>
        <v>42153.64583</v>
      </c>
      <c r="C737" s="2">
        <f>IFERROR(__xludf.DUMMYFUNCTION("""COMPUTED_VALUE"""),241.7)</f>
        <v>241.7</v>
      </c>
    </row>
    <row r="738" ht="15.75" customHeight="1">
      <c r="B738" s="3">
        <f>IFERROR(__xludf.DUMMYFUNCTION("""COMPUTED_VALUE"""),42160.64583333333)</f>
        <v>42160.64583</v>
      </c>
      <c r="C738" s="2">
        <f>IFERROR(__xludf.DUMMYFUNCTION("""COMPUTED_VALUE"""),241.05)</f>
        <v>241.05</v>
      </c>
    </row>
    <row r="739" ht="15.75" customHeight="1">
      <c r="B739" s="3">
        <f>IFERROR(__xludf.DUMMYFUNCTION("""COMPUTED_VALUE"""),42167.64583333333)</f>
        <v>42167.64583</v>
      </c>
      <c r="C739" s="2">
        <f>IFERROR(__xludf.DUMMYFUNCTION("""COMPUTED_VALUE"""),232.9)</f>
        <v>232.9</v>
      </c>
    </row>
    <row r="740" ht="15.75" customHeight="1">
      <c r="B740" s="3">
        <f>IFERROR(__xludf.DUMMYFUNCTION("""COMPUTED_VALUE"""),42174.64583333333)</f>
        <v>42174.64583</v>
      </c>
      <c r="C740" s="2">
        <f>IFERROR(__xludf.DUMMYFUNCTION("""COMPUTED_VALUE"""),228.0)</f>
        <v>228</v>
      </c>
    </row>
    <row r="741" ht="15.75" customHeight="1">
      <c r="B741" s="3">
        <f>IFERROR(__xludf.DUMMYFUNCTION("""COMPUTED_VALUE"""),42181.64583333333)</f>
        <v>42181.64583</v>
      </c>
      <c r="C741" s="2">
        <f>IFERROR(__xludf.DUMMYFUNCTION("""COMPUTED_VALUE"""),232.6)</f>
        <v>232.6</v>
      </c>
    </row>
    <row r="742" ht="15.75" customHeight="1">
      <c r="B742" s="3">
        <f>IFERROR(__xludf.DUMMYFUNCTION("""COMPUTED_VALUE"""),42188.64583333333)</f>
        <v>42188.64583</v>
      </c>
      <c r="C742" s="2">
        <f>IFERROR(__xludf.DUMMYFUNCTION("""COMPUTED_VALUE"""),243.0)</f>
        <v>243</v>
      </c>
    </row>
    <row r="743" ht="15.75" customHeight="1">
      <c r="B743" s="3">
        <f>IFERROR(__xludf.DUMMYFUNCTION("""COMPUTED_VALUE"""),42195.64583333333)</f>
        <v>42195.64583</v>
      </c>
      <c r="C743" s="2">
        <f>IFERROR(__xludf.DUMMYFUNCTION("""COMPUTED_VALUE"""),247.7)</f>
        <v>247.7</v>
      </c>
    </row>
    <row r="744" ht="15.75" customHeight="1">
      <c r="B744" s="3">
        <f>IFERROR(__xludf.DUMMYFUNCTION("""COMPUTED_VALUE"""),42202.64583333333)</f>
        <v>42202.64583</v>
      </c>
      <c r="C744" s="2">
        <f>IFERROR(__xludf.DUMMYFUNCTION("""COMPUTED_VALUE"""),257.3)</f>
        <v>257.3</v>
      </c>
    </row>
    <row r="745" ht="15.75" customHeight="1">
      <c r="B745" s="3">
        <f>IFERROR(__xludf.DUMMYFUNCTION("""COMPUTED_VALUE"""),42209.64583333333)</f>
        <v>42209.64583</v>
      </c>
      <c r="C745" s="2">
        <f>IFERROR(__xludf.DUMMYFUNCTION("""COMPUTED_VALUE"""),253.2)</f>
        <v>253.2</v>
      </c>
    </row>
    <row r="746" ht="15.75" customHeight="1">
      <c r="B746" s="3">
        <f>IFERROR(__xludf.DUMMYFUNCTION("""COMPUTED_VALUE"""),42216.64583333333)</f>
        <v>42216.64583</v>
      </c>
      <c r="C746" s="2">
        <f>IFERROR(__xludf.DUMMYFUNCTION("""COMPUTED_VALUE"""),241.65)</f>
        <v>241.65</v>
      </c>
    </row>
    <row r="747" ht="15.75" customHeight="1">
      <c r="B747" s="3">
        <f>IFERROR(__xludf.DUMMYFUNCTION("""COMPUTED_VALUE"""),42223.64583333333)</f>
        <v>42223.64583</v>
      </c>
      <c r="C747" s="2">
        <f>IFERROR(__xludf.DUMMYFUNCTION("""COMPUTED_VALUE"""),233.15)</f>
        <v>233.15</v>
      </c>
    </row>
    <row r="748" ht="15.75" customHeight="1">
      <c r="B748" s="3">
        <f>IFERROR(__xludf.DUMMYFUNCTION("""COMPUTED_VALUE"""),42230.64583333333)</f>
        <v>42230.64583</v>
      </c>
      <c r="C748" s="2">
        <f>IFERROR(__xludf.DUMMYFUNCTION("""COMPUTED_VALUE"""),230.4)</f>
        <v>230.4</v>
      </c>
    </row>
    <row r="749" ht="15.75" customHeight="1">
      <c r="B749" s="3">
        <f>IFERROR(__xludf.DUMMYFUNCTION("""COMPUTED_VALUE"""),42237.64583333333)</f>
        <v>42237.64583</v>
      </c>
      <c r="C749" s="2">
        <f>IFERROR(__xludf.DUMMYFUNCTION("""COMPUTED_VALUE"""),237.9)</f>
        <v>237.9</v>
      </c>
    </row>
    <row r="750" ht="15.75" customHeight="1">
      <c r="B750" s="3">
        <f>IFERROR(__xludf.DUMMYFUNCTION("""COMPUTED_VALUE"""),42244.64583333333)</f>
        <v>42244.64583</v>
      </c>
      <c r="C750" s="2">
        <f>IFERROR(__xludf.DUMMYFUNCTION("""COMPUTED_VALUE"""),223.45)</f>
        <v>223.45</v>
      </c>
    </row>
    <row r="751" ht="15.75" customHeight="1">
      <c r="B751" s="3">
        <f>IFERROR(__xludf.DUMMYFUNCTION("""COMPUTED_VALUE"""),42251.64583333333)</f>
        <v>42251.64583</v>
      </c>
      <c r="C751" s="2">
        <f>IFERROR(__xludf.DUMMYFUNCTION("""COMPUTED_VALUE"""),221.5)</f>
        <v>221.5</v>
      </c>
    </row>
    <row r="752" ht="15.75" customHeight="1">
      <c r="B752" s="3">
        <f>IFERROR(__xludf.DUMMYFUNCTION("""COMPUTED_VALUE"""),42258.64583333333)</f>
        <v>42258.64583</v>
      </c>
      <c r="C752" s="2">
        <f>IFERROR(__xludf.DUMMYFUNCTION("""COMPUTED_VALUE"""),216.5)</f>
        <v>216.5</v>
      </c>
    </row>
    <row r="753" ht="15.75" customHeight="1">
      <c r="B753" s="3">
        <f>IFERROR(__xludf.DUMMYFUNCTION("""COMPUTED_VALUE"""),42265.64583333333)</f>
        <v>42265.64583</v>
      </c>
      <c r="C753" s="2">
        <f>IFERROR(__xludf.DUMMYFUNCTION("""COMPUTED_VALUE"""),212.45)</f>
        <v>212.45</v>
      </c>
    </row>
    <row r="754" ht="15.75" customHeight="1">
      <c r="B754" s="3">
        <f>IFERROR(__xludf.DUMMYFUNCTION("""COMPUTED_VALUE"""),42271.64583333333)</f>
        <v>42271.64583</v>
      </c>
      <c r="C754" s="2">
        <f>IFERROR(__xludf.DUMMYFUNCTION("""COMPUTED_VALUE"""),211.75)</f>
        <v>211.75</v>
      </c>
    </row>
    <row r="755" ht="15.75" customHeight="1">
      <c r="B755" s="3">
        <f>IFERROR(__xludf.DUMMYFUNCTION("""COMPUTED_VALUE"""),42278.64583333333)</f>
        <v>42278.64583</v>
      </c>
      <c r="C755" s="2">
        <f>IFERROR(__xludf.DUMMYFUNCTION("""COMPUTED_VALUE"""),211.0)</f>
        <v>211</v>
      </c>
    </row>
    <row r="756" ht="15.75" customHeight="1">
      <c r="B756" s="3">
        <f>IFERROR(__xludf.DUMMYFUNCTION("""COMPUTED_VALUE"""),42286.64583333333)</f>
        <v>42286.64583</v>
      </c>
      <c r="C756" s="2">
        <f>IFERROR(__xludf.DUMMYFUNCTION("""COMPUTED_VALUE"""),212.85)</f>
        <v>212.85</v>
      </c>
    </row>
    <row r="757" ht="15.75" customHeight="1">
      <c r="B757" s="3">
        <f>IFERROR(__xludf.DUMMYFUNCTION("""COMPUTED_VALUE"""),42300.64583333333)</f>
        <v>42300.64583</v>
      </c>
      <c r="C757" s="2">
        <f>IFERROR(__xludf.DUMMYFUNCTION("""COMPUTED_VALUE"""),214.5)</f>
        <v>214.5</v>
      </c>
    </row>
    <row r="758" ht="15.75" customHeight="1">
      <c r="B758" s="3">
        <f>IFERROR(__xludf.DUMMYFUNCTION("""COMPUTED_VALUE"""),42307.64583333333)</f>
        <v>42307.64583</v>
      </c>
      <c r="C758" s="2">
        <f>IFERROR(__xludf.DUMMYFUNCTION("""COMPUTED_VALUE"""),210.4)</f>
        <v>210.4</v>
      </c>
    </row>
    <row r="759" ht="15.75" customHeight="1">
      <c r="B759" s="3">
        <f>IFERROR(__xludf.DUMMYFUNCTION("""COMPUTED_VALUE"""),42314.64583333333)</f>
        <v>42314.64583</v>
      </c>
      <c r="C759" s="2">
        <f>IFERROR(__xludf.DUMMYFUNCTION("""COMPUTED_VALUE"""),231.0)</f>
        <v>231</v>
      </c>
    </row>
    <row r="760" ht="15.75" customHeight="1">
      <c r="B760" s="3">
        <f>IFERROR(__xludf.DUMMYFUNCTION("""COMPUTED_VALUE"""),42321.64583333333)</f>
        <v>42321.64583</v>
      </c>
      <c r="C760" s="2">
        <f>IFERROR(__xludf.DUMMYFUNCTION("""COMPUTED_VALUE"""),207.6)</f>
        <v>207.6</v>
      </c>
    </row>
    <row r="761" ht="15.75" customHeight="1">
      <c r="B761" s="3">
        <f>IFERROR(__xludf.DUMMYFUNCTION("""COMPUTED_VALUE"""),42328.64583333333)</f>
        <v>42328.64583</v>
      </c>
      <c r="C761" s="2">
        <f>IFERROR(__xludf.DUMMYFUNCTION("""COMPUTED_VALUE"""),203.75)</f>
        <v>203.75</v>
      </c>
    </row>
    <row r="762" ht="15.75" customHeight="1">
      <c r="B762" s="3">
        <f>IFERROR(__xludf.DUMMYFUNCTION("""COMPUTED_VALUE"""),42335.64583333333)</f>
        <v>42335.64583</v>
      </c>
      <c r="C762" s="2">
        <f>IFERROR(__xludf.DUMMYFUNCTION("""COMPUTED_VALUE"""),205.05)</f>
        <v>205.05</v>
      </c>
    </row>
    <row r="763" ht="15.75" customHeight="1">
      <c r="B763" s="3">
        <f>IFERROR(__xludf.DUMMYFUNCTION("""COMPUTED_VALUE"""),42342.64583333333)</f>
        <v>42342.64583</v>
      </c>
      <c r="C763" s="2">
        <f>IFERROR(__xludf.DUMMYFUNCTION("""COMPUTED_VALUE"""),203.75)</f>
        <v>203.75</v>
      </c>
    </row>
    <row r="764" ht="15.75" customHeight="1">
      <c r="B764" s="3">
        <f>IFERROR(__xludf.DUMMYFUNCTION("""COMPUTED_VALUE"""),42349.64583333333)</f>
        <v>42349.64583</v>
      </c>
      <c r="C764" s="2">
        <f>IFERROR(__xludf.DUMMYFUNCTION("""COMPUTED_VALUE"""),198.5)</f>
        <v>198.5</v>
      </c>
    </row>
    <row r="765" ht="15.75" customHeight="1">
      <c r="B765" s="3">
        <f>IFERROR(__xludf.DUMMYFUNCTION("""COMPUTED_VALUE"""),42356.64583333333)</f>
        <v>42356.64583</v>
      </c>
      <c r="C765" s="2">
        <f>IFERROR(__xludf.DUMMYFUNCTION("""COMPUTED_VALUE"""),202.5)</f>
        <v>202.5</v>
      </c>
    </row>
    <row r="766" ht="15.75" customHeight="1">
      <c r="B766" s="3">
        <f>IFERROR(__xludf.DUMMYFUNCTION("""COMPUTED_VALUE"""),42362.64583333333)</f>
        <v>42362.64583</v>
      </c>
      <c r="C766" s="2">
        <f>IFERROR(__xludf.DUMMYFUNCTION("""COMPUTED_VALUE"""),204.2)</f>
        <v>204.2</v>
      </c>
    </row>
    <row r="767" ht="15.75" customHeight="1">
      <c r="B767" s="3">
        <f>IFERROR(__xludf.DUMMYFUNCTION("""COMPUTED_VALUE"""),42370.64583333333)</f>
        <v>42370.64583</v>
      </c>
      <c r="C767" s="2">
        <f>IFERROR(__xludf.DUMMYFUNCTION("""COMPUTED_VALUE"""),206.4)</f>
        <v>206.4</v>
      </c>
    </row>
    <row r="768" ht="15.75" customHeight="1"/>
    <row r="769" ht="15.75" customHeight="1"/>
    <row r="770" ht="15.75" customHeight="1"/>
    <row r="771" ht="15.75" customHeight="1">
      <c r="B771" s="2" t="str">
        <f>IFERROR(__xludf.DUMMYFUNCTION("GOOGLEFINANCE(""NSE:AMBUJACEM"", ""high"",DATE(2016,1,1),DATE(2017,1,1),""weekly"")"),"Date")</f>
        <v>Date</v>
      </c>
      <c r="C771" s="2" t="str">
        <f>IFERROR(__xludf.DUMMYFUNCTION("""COMPUTED_VALUE"""),"High")</f>
        <v>High</v>
      </c>
    </row>
    <row r="772" ht="15.75" customHeight="1">
      <c r="B772" s="3">
        <f>IFERROR(__xludf.DUMMYFUNCTION("""COMPUTED_VALUE"""),42377.64583333333)</f>
        <v>42377.64583</v>
      </c>
      <c r="C772" s="2">
        <f>IFERROR(__xludf.DUMMYFUNCTION("""COMPUTED_VALUE"""),205.6)</f>
        <v>205.6</v>
      </c>
    </row>
    <row r="773" ht="15.75" customHeight="1">
      <c r="B773" s="3">
        <f>IFERROR(__xludf.DUMMYFUNCTION("""COMPUTED_VALUE"""),42384.64583333333)</f>
        <v>42384.64583</v>
      </c>
      <c r="C773" s="2">
        <f>IFERROR(__xludf.DUMMYFUNCTION("""COMPUTED_VALUE"""),199.5)</f>
        <v>199.5</v>
      </c>
    </row>
    <row r="774" ht="15.75" customHeight="1">
      <c r="B774" s="3">
        <f>IFERROR(__xludf.DUMMYFUNCTION("""COMPUTED_VALUE"""),42391.64583333333)</f>
        <v>42391.64583</v>
      </c>
      <c r="C774" s="2">
        <f>IFERROR(__xludf.DUMMYFUNCTION("""COMPUTED_VALUE"""),196.65)</f>
        <v>196.65</v>
      </c>
    </row>
    <row r="775" ht="15.75" customHeight="1">
      <c r="B775" s="3">
        <f>IFERROR(__xludf.DUMMYFUNCTION("""COMPUTED_VALUE"""),42398.64583333333)</f>
        <v>42398.64583</v>
      </c>
      <c r="C775" s="2">
        <f>IFERROR(__xludf.DUMMYFUNCTION("""COMPUTED_VALUE"""),199.35)</f>
        <v>199.35</v>
      </c>
    </row>
    <row r="776" ht="15.75" customHeight="1">
      <c r="B776" s="3">
        <f>IFERROR(__xludf.DUMMYFUNCTION("""COMPUTED_VALUE"""),42405.64583333333)</f>
        <v>42405.64583</v>
      </c>
      <c r="C776" s="2">
        <f>IFERROR(__xludf.DUMMYFUNCTION("""COMPUTED_VALUE"""),201.95)</f>
        <v>201.95</v>
      </c>
    </row>
    <row r="777" ht="15.75" customHeight="1">
      <c r="B777" s="3">
        <f>IFERROR(__xludf.DUMMYFUNCTION("""COMPUTED_VALUE"""),42419.64583333333)</f>
        <v>42419.64583</v>
      </c>
      <c r="C777" s="2">
        <f>IFERROR(__xludf.DUMMYFUNCTION("""COMPUTED_VALUE"""),199.35)</f>
        <v>199.35</v>
      </c>
    </row>
    <row r="778" ht="15.75" customHeight="1">
      <c r="B778" s="3">
        <f>IFERROR(__xludf.DUMMYFUNCTION("""COMPUTED_VALUE"""),42426.64583333333)</f>
        <v>42426.64583</v>
      </c>
      <c r="C778" s="2">
        <f>IFERROR(__xludf.DUMMYFUNCTION("""COMPUTED_VALUE"""),197.0)</f>
        <v>197</v>
      </c>
    </row>
    <row r="779" ht="15.75" customHeight="1">
      <c r="B779" s="3">
        <f>IFERROR(__xludf.DUMMYFUNCTION("""COMPUTED_VALUE"""),42433.64583333333)</f>
        <v>42433.64583</v>
      </c>
      <c r="C779" s="2">
        <f>IFERROR(__xludf.DUMMYFUNCTION("""COMPUTED_VALUE"""),203.2)</f>
        <v>203.2</v>
      </c>
    </row>
    <row r="780" ht="15.75" customHeight="1">
      <c r="B780" s="3">
        <f>IFERROR(__xludf.DUMMYFUNCTION("""COMPUTED_VALUE"""),42440.64583333333)</f>
        <v>42440.64583</v>
      </c>
      <c r="C780" s="2">
        <f>IFERROR(__xludf.DUMMYFUNCTION("""COMPUTED_VALUE"""),205.35)</f>
        <v>205.35</v>
      </c>
    </row>
    <row r="781" ht="15.75" customHeight="1">
      <c r="B781" s="3">
        <f>IFERROR(__xludf.DUMMYFUNCTION("""COMPUTED_VALUE"""),42447.64583333333)</f>
        <v>42447.64583</v>
      </c>
      <c r="C781" s="2">
        <f>IFERROR(__xludf.DUMMYFUNCTION("""COMPUTED_VALUE"""),223.15)</f>
        <v>223.15</v>
      </c>
    </row>
    <row r="782" ht="15.75" customHeight="1">
      <c r="B782" s="3">
        <f>IFERROR(__xludf.DUMMYFUNCTION("""COMPUTED_VALUE"""),42452.64583333333)</f>
        <v>42452.64583</v>
      </c>
      <c r="C782" s="2">
        <f>IFERROR(__xludf.DUMMYFUNCTION("""COMPUTED_VALUE"""),233.95)</f>
        <v>233.95</v>
      </c>
    </row>
    <row r="783" ht="15.75" customHeight="1">
      <c r="B783" s="3">
        <f>IFERROR(__xludf.DUMMYFUNCTION("""COMPUTED_VALUE"""),42461.64583333333)</f>
        <v>42461.64583</v>
      </c>
      <c r="C783" s="2">
        <f>IFERROR(__xludf.DUMMYFUNCTION("""COMPUTED_VALUE"""),236.4)</f>
        <v>236.4</v>
      </c>
    </row>
    <row r="784" ht="15.75" customHeight="1">
      <c r="B784" s="3">
        <f>IFERROR(__xludf.DUMMYFUNCTION("""COMPUTED_VALUE"""),42468.64583333333)</f>
        <v>42468.64583</v>
      </c>
      <c r="C784" s="2">
        <f>IFERROR(__xludf.DUMMYFUNCTION("""COMPUTED_VALUE"""),236.9)</f>
        <v>236.9</v>
      </c>
    </row>
    <row r="785" ht="15.75" customHeight="1">
      <c r="B785" s="3">
        <f>IFERROR(__xludf.DUMMYFUNCTION("""COMPUTED_VALUE"""),42473.64583333333)</f>
        <v>42473.64583</v>
      </c>
      <c r="C785" s="2">
        <f>IFERROR(__xludf.DUMMYFUNCTION("""COMPUTED_VALUE"""),232.5)</f>
        <v>232.5</v>
      </c>
    </row>
    <row r="786" ht="15.75" customHeight="1">
      <c r="B786" s="3">
        <f>IFERROR(__xludf.DUMMYFUNCTION("""COMPUTED_VALUE"""),42482.64583333333)</f>
        <v>42482.64583</v>
      </c>
      <c r="C786" s="2">
        <f>IFERROR(__xludf.DUMMYFUNCTION("""COMPUTED_VALUE"""),234.65)</f>
        <v>234.65</v>
      </c>
    </row>
    <row r="787" ht="15.75" customHeight="1">
      <c r="B787" s="3">
        <f>IFERROR(__xludf.DUMMYFUNCTION("""COMPUTED_VALUE"""),42489.64583333333)</f>
        <v>42489.64583</v>
      </c>
      <c r="C787" s="2">
        <f>IFERROR(__xludf.DUMMYFUNCTION("""COMPUTED_VALUE"""),228.7)</f>
        <v>228.7</v>
      </c>
    </row>
    <row r="788" ht="15.75" customHeight="1">
      <c r="B788" s="3">
        <f>IFERROR(__xludf.DUMMYFUNCTION("""COMPUTED_VALUE"""),42496.64583333333)</f>
        <v>42496.64583</v>
      </c>
      <c r="C788" s="2">
        <f>IFERROR(__xludf.DUMMYFUNCTION("""COMPUTED_VALUE"""),225.95)</f>
        <v>225.95</v>
      </c>
    </row>
    <row r="789" ht="15.75" customHeight="1">
      <c r="B789" s="3">
        <f>IFERROR(__xludf.DUMMYFUNCTION("""COMPUTED_VALUE"""),42503.64583333333)</f>
        <v>42503.64583</v>
      </c>
      <c r="C789" s="2">
        <f>IFERROR(__xludf.DUMMYFUNCTION("""COMPUTED_VALUE"""),222.75)</f>
        <v>222.75</v>
      </c>
    </row>
    <row r="790" ht="15.75" customHeight="1">
      <c r="B790" s="3">
        <f>IFERROR(__xludf.DUMMYFUNCTION("""COMPUTED_VALUE"""),42510.64583333333)</f>
        <v>42510.64583</v>
      </c>
      <c r="C790" s="2">
        <f>IFERROR(__xludf.DUMMYFUNCTION("""COMPUTED_VALUE"""),219.0)</f>
        <v>219</v>
      </c>
    </row>
    <row r="791" ht="15.75" customHeight="1">
      <c r="B791" s="3">
        <f>IFERROR(__xludf.DUMMYFUNCTION("""COMPUTED_VALUE"""),42517.64583333333)</f>
        <v>42517.64583</v>
      </c>
      <c r="C791" s="2">
        <f>IFERROR(__xludf.DUMMYFUNCTION("""COMPUTED_VALUE"""),232.0)</f>
        <v>232</v>
      </c>
    </row>
    <row r="792" ht="15.75" customHeight="1">
      <c r="B792" s="3">
        <f>IFERROR(__xludf.DUMMYFUNCTION("""COMPUTED_VALUE"""),42524.64583333333)</f>
        <v>42524.64583</v>
      </c>
      <c r="C792" s="2">
        <f>IFERROR(__xludf.DUMMYFUNCTION("""COMPUTED_VALUE"""),233.75)</f>
        <v>233.75</v>
      </c>
    </row>
    <row r="793" ht="15.75" customHeight="1">
      <c r="B793" s="3">
        <f>IFERROR(__xludf.DUMMYFUNCTION("""COMPUTED_VALUE"""),42531.64583333333)</f>
        <v>42531.64583</v>
      </c>
      <c r="C793" s="2">
        <f>IFERROR(__xludf.DUMMYFUNCTION("""COMPUTED_VALUE"""),239.9)</f>
        <v>239.9</v>
      </c>
    </row>
    <row r="794" ht="15.75" customHeight="1">
      <c r="B794" s="3">
        <f>IFERROR(__xludf.DUMMYFUNCTION("""COMPUTED_VALUE"""),42538.64583333333)</f>
        <v>42538.64583</v>
      </c>
      <c r="C794" s="2">
        <f>IFERROR(__xludf.DUMMYFUNCTION("""COMPUTED_VALUE"""),239.45)</f>
        <v>239.45</v>
      </c>
    </row>
    <row r="795" ht="15.75" customHeight="1">
      <c r="B795" s="3">
        <f>IFERROR(__xludf.DUMMYFUNCTION("""COMPUTED_VALUE"""),42545.64583333333)</f>
        <v>42545.64583</v>
      </c>
      <c r="C795" s="2">
        <f>IFERROR(__xludf.DUMMYFUNCTION("""COMPUTED_VALUE"""),250.9)</f>
        <v>250.9</v>
      </c>
    </row>
    <row r="796" ht="15.75" customHeight="1">
      <c r="B796" s="3">
        <f>IFERROR(__xludf.DUMMYFUNCTION("""COMPUTED_VALUE"""),42552.64583333333)</f>
        <v>42552.64583</v>
      </c>
      <c r="C796" s="2">
        <f>IFERROR(__xludf.DUMMYFUNCTION("""COMPUTED_VALUE"""),258.5)</f>
        <v>258.5</v>
      </c>
    </row>
    <row r="797" ht="15.75" customHeight="1">
      <c r="B797" s="3">
        <f>IFERROR(__xludf.DUMMYFUNCTION("""COMPUTED_VALUE"""),42559.64583333333)</f>
        <v>42559.64583</v>
      </c>
      <c r="C797" s="2">
        <f>IFERROR(__xludf.DUMMYFUNCTION("""COMPUTED_VALUE"""),261.0)</f>
        <v>261</v>
      </c>
    </row>
    <row r="798" ht="15.75" customHeight="1">
      <c r="B798" s="3">
        <f>IFERROR(__xludf.DUMMYFUNCTION("""COMPUTED_VALUE"""),42566.64583333333)</f>
        <v>42566.64583</v>
      </c>
      <c r="C798" s="2">
        <f>IFERROR(__xludf.DUMMYFUNCTION("""COMPUTED_VALUE"""),265.0)</f>
        <v>265</v>
      </c>
    </row>
    <row r="799" ht="15.75" customHeight="1">
      <c r="B799" s="3">
        <f>IFERROR(__xludf.DUMMYFUNCTION("""COMPUTED_VALUE"""),42573.64583333333)</f>
        <v>42573.64583</v>
      </c>
      <c r="C799" s="2">
        <f>IFERROR(__xludf.DUMMYFUNCTION("""COMPUTED_VALUE"""),267.7)</f>
        <v>267.7</v>
      </c>
    </row>
    <row r="800" ht="15.75" customHeight="1">
      <c r="B800" s="3">
        <f>IFERROR(__xludf.DUMMYFUNCTION("""COMPUTED_VALUE"""),42580.64583333333)</f>
        <v>42580.64583</v>
      </c>
      <c r="C800" s="2">
        <f>IFERROR(__xludf.DUMMYFUNCTION("""COMPUTED_VALUE"""),278.0)</f>
        <v>278</v>
      </c>
    </row>
    <row r="801" ht="15.75" customHeight="1">
      <c r="B801" s="3">
        <f>IFERROR(__xludf.DUMMYFUNCTION("""COMPUTED_VALUE"""),42587.64583333333)</f>
        <v>42587.64583</v>
      </c>
      <c r="C801" s="2">
        <f>IFERROR(__xludf.DUMMYFUNCTION("""COMPUTED_VALUE"""),276.65)</f>
        <v>276.65</v>
      </c>
    </row>
    <row r="802" ht="15.75" customHeight="1">
      <c r="B802" s="3">
        <f>IFERROR(__xludf.DUMMYFUNCTION("""COMPUTED_VALUE"""),42594.64583333333)</f>
        <v>42594.64583</v>
      </c>
      <c r="C802" s="2">
        <f>IFERROR(__xludf.DUMMYFUNCTION("""COMPUTED_VALUE"""),277.75)</f>
        <v>277.75</v>
      </c>
    </row>
    <row r="803" ht="15.75" customHeight="1">
      <c r="B803" s="3">
        <f>IFERROR(__xludf.DUMMYFUNCTION("""COMPUTED_VALUE"""),42601.64583333333)</f>
        <v>42601.64583</v>
      </c>
      <c r="C803" s="2">
        <f>IFERROR(__xludf.DUMMYFUNCTION("""COMPUTED_VALUE"""),277.6)</f>
        <v>277.6</v>
      </c>
    </row>
    <row r="804" ht="15.75" customHeight="1">
      <c r="B804" s="3">
        <f>IFERROR(__xludf.DUMMYFUNCTION("""COMPUTED_VALUE"""),42608.64583333333)</f>
        <v>42608.64583</v>
      </c>
      <c r="C804" s="2">
        <f>IFERROR(__xludf.DUMMYFUNCTION("""COMPUTED_VALUE"""),277.35)</f>
        <v>277.35</v>
      </c>
    </row>
    <row r="805" ht="15.75" customHeight="1">
      <c r="B805" s="3">
        <f>IFERROR(__xludf.DUMMYFUNCTION("""COMPUTED_VALUE"""),42615.64583333333)</f>
        <v>42615.64583</v>
      </c>
      <c r="C805" s="2">
        <f>IFERROR(__xludf.DUMMYFUNCTION("""COMPUTED_VALUE"""),281.7)</f>
        <v>281.7</v>
      </c>
    </row>
    <row r="806" ht="15.75" customHeight="1">
      <c r="B806" s="3">
        <f>IFERROR(__xludf.DUMMYFUNCTION("""COMPUTED_VALUE"""),42622.64583333333)</f>
        <v>42622.64583</v>
      </c>
      <c r="C806" s="2">
        <f>IFERROR(__xludf.DUMMYFUNCTION("""COMPUTED_VALUE"""),279.35)</f>
        <v>279.35</v>
      </c>
    </row>
    <row r="807" ht="15.75" customHeight="1">
      <c r="B807" s="3">
        <f>IFERROR(__xludf.DUMMYFUNCTION("""COMPUTED_VALUE"""),42629.64583333333)</f>
        <v>42629.64583</v>
      </c>
      <c r="C807" s="2">
        <f>IFERROR(__xludf.DUMMYFUNCTION("""COMPUTED_VALUE"""),269.85)</f>
        <v>269.85</v>
      </c>
    </row>
    <row r="808" ht="15.75" customHeight="1">
      <c r="B808" s="3">
        <f>IFERROR(__xludf.DUMMYFUNCTION("""COMPUTED_VALUE"""),42636.64583333333)</f>
        <v>42636.64583</v>
      </c>
      <c r="C808" s="2">
        <f>IFERROR(__xludf.DUMMYFUNCTION("""COMPUTED_VALUE"""),269.3)</f>
        <v>269.3</v>
      </c>
    </row>
    <row r="809" ht="15.75" customHeight="1">
      <c r="B809" s="3">
        <f>IFERROR(__xludf.DUMMYFUNCTION("""COMPUTED_VALUE"""),42643.64583333333)</f>
        <v>42643.64583</v>
      </c>
      <c r="C809" s="2">
        <f>IFERROR(__xludf.DUMMYFUNCTION("""COMPUTED_VALUE"""),263.0)</f>
        <v>263</v>
      </c>
    </row>
    <row r="810" ht="15.75" customHeight="1">
      <c r="B810" s="3">
        <f>IFERROR(__xludf.DUMMYFUNCTION("""COMPUTED_VALUE"""),42650.64583333333)</f>
        <v>42650.64583</v>
      </c>
      <c r="C810" s="2">
        <f>IFERROR(__xludf.DUMMYFUNCTION("""COMPUTED_VALUE"""),261.0)</f>
        <v>261</v>
      </c>
    </row>
    <row r="811" ht="15.75" customHeight="1">
      <c r="B811" s="3">
        <f>IFERROR(__xludf.DUMMYFUNCTION("""COMPUTED_VALUE"""),42657.64583333333)</f>
        <v>42657.64583</v>
      </c>
      <c r="C811" s="2">
        <f>IFERROR(__xludf.DUMMYFUNCTION("""COMPUTED_VALUE"""),258.3)</f>
        <v>258.3</v>
      </c>
    </row>
    <row r="812" ht="15.75" customHeight="1">
      <c r="B812" s="3">
        <f>IFERROR(__xludf.DUMMYFUNCTION("""COMPUTED_VALUE"""),42664.64583333333)</f>
        <v>42664.64583</v>
      </c>
      <c r="C812" s="2">
        <f>IFERROR(__xludf.DUMMYFUNCTION("""COMPUTED_VALUE"""),255.3)</f>
        <v>255.3</v>
      </c>
    </row>
    <row r="813" ht="15.75" customHeight="1">
      <c r="B813" s="3">
        <f>IFERROR(__xludf.DUMMYFUNCTION("""COMPUTED_VALUE"""),42671.64583333333)</f>
        <v>42671.64583</v>
      </c>
      <c r="C813" s="2">
        <f>IFERROR(__xludf.DUMMYFUNCTION("""COMPUTED_VALUE"""),249.55)</f>
        <v>249.55</v>
      </c>
    </row>
    <row r="814" ht="15.75" customHeight="1">
      <c r="B814" s="3">
        <f>IFERROR(__xludf.DUMMYFUNCTION("""COMPUTED_VALUE"""),42678.64583333333)</f>
        <v>42678.64583</v>
      </c>
      <c r="C814" s="2">
        <f>IFERROR(__xludf.DUMMYFUNCTION("""COMPUTED_VALUE"""),245.9)</f>
        <v>245.9</v>
      </c>
    </row>
    <row r="815" ht="15.75" customHeight="1">
      <c r="B815" s="3">
        <f>IFERROR(__xludf.DUMMYFUNCTION("""COMPUTED_VALUE"""),42685.64583333333)</f>
        <v>42685.64583</v>
      </c>
      <c r="C815" s="2">
        <f>IFERROR(__xludf.DUMMYFUNCTION("""COMPUTED_VALUE"""),247.45)</f>
        <v>247.45</v>
      </c>
    </row>
    <row r="816" ht="15.75" customHeight="1">
      <c r="B816" s="3">
        <f>IFERROR(__xludf.DUMMYFUNCTION("""COMPUTED_VALUE"""),42692.64583333333)</f>
        <v>42692.64583</v>
      </c>
      <c r="C816" s="2">
        <f>IFERROR(__xludf.DUMMYFUNCTION("""COMPUTED_VALUE"""),228.0)</f>
        <v>228</v>
      </c>
    </row>
    <row r="817" ht="15.75" customHeight="1">
      <c r="B817" s="3">
        <f>IFERROR(__xludf.DUMMYFUNCTION("""COMPUTED_VALUE"""),42699.64583333333)</f>
        <v>42699.64583</v>
      </c>
      <c r="C817" s="2">
        <f>IFERROR(__xludf.DUMMYFUNCTION("""COMPUTED_VALUE"""),207.0)</f>
        <v>207</v>
      </c>
    </row>
    <row r="818" ht="15.75" customHeight="1">
      <c r="B818" s="3">
        <f>IFERROR(__xludf.DUMMYFUNCTION("""COMPUTED_VALUE"""),42706.64583333333)</f>
        <v>42706.64583</v>
      </c>
      <c r="C818" s="2">
        <f>IFERROR(__xludf.DUMMYFUNCTION("""COMPUTED_VALUE"""),212.65)</f>
        <v>212.65</v>
      </c>
    </row>
    <row r="819" ht="15.75" customHeight="1">
      <c r="B819" s="3">
        <f>IFERROR(__xludf.DUMMYFUNCTION("""COMPUTED_VALUE"""),42713.64583333333)</f>
        <v>42713.64583</v>
      </c>
      <c r="C819" s="2">
        <f>IFERROR(__xludf.DUMMYFUNCTION("""COMPUTED_VALUE"""),217.2)</f>
        <v>217.2</v>
      </c>
    </row>
    <row r="820" ht="15.75" customHeight="1">
      <c r="B820" s="3">
        <f>IFERROR(__xludf.DUMMYFUNCTION("""COMPUTED_VALUE"""),42720.64583333333)</f>
        <v>42720.64583</v>
      </c>
      <c r="C820" s="2">
        <f>IFERROR(__xludf.DUMMYFUNCTION("""COMPUTED_VALUE"""),214.8)</f>
        <v>214.8</v>
      </c>
    </row>
    <row r="821" ht="15.75" customHeight="1">
      <c r="B821" s="3">
        <f>IFERROR(__xludf.DUMMYFUNCTION("""COMPUTED_VALUE"""),42727.64583333333)</f>
        <v>42727.64583</v>
      </c>
      <c r="C821" s="2">
        <f>IFERROR(__xludf.DUMMYFUNCTION("""COMPUTED_VALUE"""),206.0)</f>
        <v>206</v>
      </c>
    </row>
    <row r="822" ht="15.75" customHeight="1">
      <c r="B822" s="3">
        <f>IFERROR(__xludf.DUMMYFUNCTION("""COMPUTED_VALUE"""),42734.64583333333)</f>
        <v>42734.64583</v>
      </c>
      <c r="C822" s="2">
        <f>IFERROR(__xludf.DUMMYFUNCTION("""COMPUTED_VALUE"""),207.65)</f>
        <v>207.65</v>
      </c>
    </row>
    <row r="823" ht="15.75" customHeight="1"/>
    <row r="824" ht="15.75" customHeight="1"/>
    <row r="825" ht="15.75" customHeight="1"/>
    <row r="826" ht="15.75" customHeight="1">
      <c r="B826" s="2" t="str">
        <f>IFERROR(__xludf.DUMMYFUNCTION("GOOGLEFINANCE(""NSE:AMBUJACEM"", ""high"",DATE(2017,1,1),DATE(2018,1,1),""weekly"")"),"Date")</f>
        <v>Date</v>
      </c>
      <c r="C826" s="2" t="str">
        <f>IFERROR(__xludf.DUMMYFUNCTION("""COMPUTED_VALUE"""),"High")</f>
        <v>High</v>
      </c>
    </row>
    <row r="827" ht="15.75" customHeight="1">
      <c r="B827" s="3">
        <f>IFERROR(__xludf.DUMMYFUNCTION("""COMPUTED_VALUE"""),42741.64583333333)</f>
        <v>42741.64583</v>
      </c>
      <c r="C827" s="2">
        <f>IFERROR(__xludf.DUMMYFUNCTION("""COMPUTED_VALUE"""),218.2)</f>
        <v>218.2</v>
      </c>
    </row>
    <row r="828" ht="15.75" customHeight="1">
      <c r="B828" s="3">
        <f>IFERROR(__xludf.DUMMYFUNCTION("""COMPUTED_VALUE"""),42748.64583333333)</f>
        <v>42748.64583</v>
      </c>
      <c r="C828" s="2">
        <f>IFERROR(__xludf.DUMMYFUNCTION("""COMPUTED_VALUE"""),217.9)</f>
        <v>217.9</v>
      </c>
    </row>
    <row r="829" ht="15.75" customHeight="1">
      <c r="B829" s="3">
        <f>IFERROR(__xludf.DUMMYFUNCTION("""COMPUTED_VALUE"""),42755.64583333333)</f>
        <v>42755.64583</v>
      </c>
      <c r="C829" s="2">
        <f>IFERROR(__xludf.DUMMYFUNCTION("""COMPUTED_VALUE"""),221.35)</f>
        <v>221.35</v>
      </c>
    </row>
    <row r="830" ht="15.75" customHeight="1">
      <c r="B830" s="3">
        <f>IFERROR(__xludf.DUMMYFUNCTION("""COMPUTED_VALUE"""),42762.64583333333)</f>
        <v>42762.64583</v>
      </c>
      <c r="C830" s="2">
        <f>IFERROR(__xludf.DUMMYFUNCTION("""COMPUTED_VALUE"""),233.5)</f>
        <v>233.5</v>
      </c>
    </row>
    <row r="831" ht="15.75" customHeight="1">
      <c r="B831" s="3">
        <f>IFERROR(__xludf.DUMMYFUNCTION("""COMPUTED_VALUE"""),42769.64583333333)</f>
        <v>42769.64583</v>
      </c>
      <c r="C831" s="2">
        <f>IFERROR(__xludf.DUMMYFUNCTION("""COMPUTED_VALUE"""),236.5)</f>
        <v>236.5</v>
      </c>
    </row>
    <row r="832" ht="15.75" customHeight="1">
      <c r="B832" s="3">
        <f>IFERROR(__xludf.DUMMYFUNCTION("""COMPUTED_VALUE"""),42776.64583333333)</f>
        <v>42776.64583</v>
      </c>
      <c r="C832" s="2">
        <f>IFERROR(__xludf.DUMMYFUNCTION("""COMPUTED_VALUE"""),244.9)</f>
        <v>244.9</v>
      </c>
    </row>
    <row r="833" ht="15.75" customHeight="1">
      <c r="B833" s="3">
        <f>IFERROR(__xludf.DUMMYFUNCTION("""COMPUTED_VALUE"""),42783.64583333333)</f>
        <v>42783.64583</v>
      </c>
      <c r="C833" s="2">
        <f>IFERROR(__xludf.DUMMYFUNCTION("""COMPUTED_VALUE"""),241.7)</f>
        <v>241.7</v>
      </c>
    </row>
    <row r="834" ht="15.75" customHeight="1">
      <c r="B834" s="3">
        <f>IFERROR(__xludf.DUMMYFUNCTION("""COMPUTED_VALUE"""),42789.64583333333)</f>
        <v>42789.64583</v>
      </c>
      <c r="C834" s="2">
        <f>IFERROR(__xludf.DUMMYFUNCTION("""COMPUTED_VALUE"""),241.4)</f>
        <v>241.4</v>
      </c>
    </row>
    <row r="835" ht="15.75" customHeight="1">
      <c r="B835" s="3">
        <f>IFERROR(__xludf.DUMMYFUNCTION("""COMPUTED_VALUE"""),42797.64583333333)</f>
        <v>42797.64583</v>
      </c>
      <c r="C835" s="2">
        <f>IFERROR(__xludf.DUMMYFUNCTION("""COMPUTED_VALUE"""),233.5)</f>
        <v>233.5</v>
      </c>
    </row>
    <row r="836" ht="15.75" customHeight="1">
      <c r="B836" s="3">
        <f>IFERROR(__xludf.DUMMYFUNCTION("""COMPUTED_VALUE"""),42804.64583333333)</f>
        <v>42804.64583</v>
      </c>
      <c r="C836" s="2">
        <f>IFERROR(__xludf.DUMMYFUNCTION("""COMPUTED_VALUE"""),230.0)</f>
        <v>230</v>
      </c>
    </row>
    <row r="837" ht="15.75" customHeight="1">
      <c r="B837" s="3">
        <f>IFERROR(__xludf.DUMMYFUNCTION("""COMPUTED_VALUE"""),42811.64583333333)</f>
        <v>42811.64583</v>
      </c>
      <c r="C837" s="2">
        <f>IFERROR(__xludf.DUMMYFUNCTION("""COMPUTED_VALUE"""),236.4)</f>
        <v>236.4</v>
      </c>
    </row>
    <row r="838" ht="15.75" customHeight="1">
      <c r="B838" s="3">
        <f>IFERROR(__xludf.DUMMYFUNCTION("""COMPUTED_VALUE"""),42818.64583333333)</f>
        <v>42818.64583</v>
      </c>
      <c r="C838" s="2">
        <f>IFERROR(__xludf.DUMMYFUNCTION("""COMPUTED_VALUE"""),238.35)</f>
        <v>238.35</v>
      </c>
    </row>
    <row r="839" ht="15.75" customHeight="1">
      <c r="B839" s="3">
        <f>IFERROR(__xludf.DUMMYFUNCTION("""COMPUTED_VALUE"""),42825.64583333333)</f>
        <v>42825.64583</v>
      </c>
      <c r="C839" s="2">
        <f>IFERROR(__xludf.DUMMYFUNCTION("""COMPUTED_VALUE"""),237.45)</f>
        <v>237.45</v>
      </c>
    </row>
    <row r="840" ht="15.75" customHeight="1">
      <c r="B840" s="3">
        <f>IFERROR(__xludf.DUMMYFUNCTION("""COMPUTED_VALUE"""),42832.64583333333)</f>
        <v>42832.64583</v>
      </c>
      <c r="C840" s="2">
        <f>IFERROR(__xludf.DUMMYFUNCTION("""COMPUTED_VALUE"""),246.5)</f>
        <v>246.5</v>
      </c>
    </row>
    <row r="841" ht="15.75" customHeight="1">
      <c r="B841" s="3">
        <f>IFERROR(__xludf.DUMMYFUNCTION("""COMPUTED_VALUE"""),42838.64583333333)</f>
        <v>42838.64583</v>
      </c>
      <c r="C841" s="2">
        <f>IFERROR(__xludf.DUMMYFUNCTION("""COMPUTED_VALUE"""),252.75)</f>
        <v>252.75</v>
      </c>
    </row>
    <row r="842" ht="15.75" customHeight="1">
      <c r="B842" s="3">
        <f>IFERROR(__xludf.DUMMYFUNCTION("""COMPUTED_VALUE"""),42846.64583333333)</f>
        <v>42846.64583</v>
      </c>
      <c r="C842" s="2">
        <f>IFERROR(__xludf.DUMMYFUNCTION("""COMPUTED_VALUE"""),248.85)</f>
        <v>248.85</v>
      </c>
    </row>
    <row r="843" ht="15.75" customHeight="1">
      <c r="B843" s="3">
        <f>IFERROR(__xludf.DUMMYFUNCTION("""COMPUTED_VALUE"""),42853.64583333333)</f>
        <v>42853.64583</v>
      </c>
      <c r="C843" s="2">
        <f>IFERROR(__xludf.DUMMYFUNCTION("""COMPUTED_VALUE"""),251.0)</f>
        <v>251</v>
      </c>
    </row>
    <row r="844" ht="15.75" customHeight="1">
      <c r="B844" s="3">
        <f>IFERROR(__xludf.DUMMYFUNCTION("""COMPUTED_VALUE"""),42860.64583333333)</f>
        <v>42860.64583</v>
      </c>
      <c r="C844" s="2">
        <f>IFERROR(__xludf.DUMMYFUNCTION("""COMPUTED_VALUE"""),247.9)</f>
        <v>247.9</v>
      </c>
    </row>
    <row r="845" ht="15.75" customHeight="1">
      <c r="B845" s="3">
        <f>IFERROR(__xludf.DUMMYFUNCTION("""COMPUTED_VALUE"""),42867.64583333333)</f>
        <v>42867.64583</v>
      </c>
      <c r="C845" s="2">
        <f>IFERROR(__xludf.DUMMYFUNCTION("""COMPUTED_VALUE"""),270.85)</f>
        <v>270.85</v>
      </c>
    </row>
    <row r="846" ht="15.75" customHeight="1">
      <c r="B846" s="3">
        <f>IFERROR(__xludf.DUMMYFUNCTION("""COMPUTED_VALUE"""),42874.64583333333)</f>
        <v>42874.64583</v>
      </c>
      <c r="C846" s="2">
        <f>IFERROR(__xludf.DUMMYFUNCTION("""COMPUTED_VALUE"""),263.5)</f>
        <v>263.5</v>
      </c>
    </row>
    <row r="847" ht="15.75" customHeight="1">
      <c r="B847" s="3">
        <f>IFERROR(__xludf.DUMMYFUNCTION("""COMPUTED_VALUE"""),42881.64583333333)</f>
        <v>42881.64583</v>
      </c>
      <c r="C847" s="2">
        <f>IFERROR(__xludf.DUMMYFUNCTION("""COMPUTED_VALUE"""),253.0)</f>
        <v>253</v>
      </c>
    </row>
    <row r="848" ht="15.75" customHeight="1">
      <c r="B848" s="3">
        <f>IFERROR(__xludf.DUMMYFUNCTION("""COMPUTED_VALUE"""),42888.64583333333)</f>
        <v>42888.64583</v>
      </c>
      <c r="C848" s="2">
        <f>IFERROR(__xludf.DUMMYFUNCTION("""COMPUTED_VALUE"""),244.8)</f>
        <v>244.8</v>
      </c>
    </row>
    <row r="849" ht="15.75" customHeight="1">
      <c r="B849" s="3">
        <f>IFERROR(__xludf.DUMMYFUNCTION("""COMPUTED_VALUE"""),42895.64583333333)</f>
        <v>42895.64583</v>
      </c>
      <c r="C849" s="2">
        <f>IFERROR(__xludf.DUMMYFUNCTION("""COMPUTED_VALUE"""),241.95)</f>
        <v>241.95</v>
      </c>
    </row>
    <row r="850" ht="15.75" customHeight="1">
      <c r="B850" s="3">
        <f>IFERROR(__xludf.DUMMYFUNCTION("""COMPUTED_VALUE"""),42902.64583333333)</f>
        <v>42902.64583</v>
      </c>
      <c r="C850" s="2">
        <f>IFERROR(__xludf.DUMMYFUNCTION("""COMPUTED_VALUE"""),238.55)</f>
        <v>238.55</v>
      </c>
    </row>
    <row r="851" ht="15.75" customHeight="1">
      <c r="B851" s="3">
        <f>IFERROR(__xludf.DUMMYFUNCTION("""COMPUTED_VALUE"""),42909.64583333333)</f>
        <v>42909.64583</v>
      </c>
      <c r="C851" s="2">
        <f>IFERROR(__xludf.DUMMYFUNCTION("""COMPUTED_VALUE"""),246.9)</f>
        <v>246.9</v>
      </c>
    </row>
    <row r="852" ht="15.75" customHeight="1">
      <c r="B852" s="3">
        <f>IFERROR(__xludf.DUMMYFUNCTION("""COMPUTED_VALUE"""),42916.64583333333)</f>
        <v>42916.64583</v>
      </c>
      <c r="C852" s="2">
        <f>IFERROR(__xludf.DUMMYFUNCTION("""COMPUTED_VALUE"""),248.9)</f>
        <v>248.9</v>
      </c>
    </row>
    <row r="853" ht="15.75" customHeight="1">
      <c r="B853" s="3">
        <f>IFERROR(__xludf.DUMMYFUNCTION("""COMPUTED_VALUE"""),42923.64583333333)</f>
        <v>42923.64583</v>
      </c>
      <c r="C853" s="2">
        <f>IFERROR(__xludf.DUMMYFUNCTION("""COMPUTED_VALUE"""),258.2)</f>
        <v>258.2</v>
      </c>
    </row>
    <row r="854" ht="15.75" customHeight="1">
      <c r="B854" s="3">
        <f>IFERROR(__xludf.DUMMYFUNCTION("""COMPUTED_VALUE"""),42930.64583333333)</f>
        <v>42930.64583</v>
      </c>
      <c r="C854" s="2">
        <f>IFERROR(__xludf.DUMMYFUNCTION("""COMPUTED_VALUE"""),263.95)</f>
        <v>263.95</v>
      </c>
    </row>
    <row r="855" ht="15.75" customHeight="1">
      <c r="B855" s="3">
        <f>IFERROR(__xludf.DUMMYFUNCTION("""COMPUTED_VALUE"""),42937.64583333333)</f>
        <v>42937.64583</v>
      </c>
      <c r="C855" s="2">
        <f>IFERROR(__xludf.DUMMYFUNCTION("""COMPUTED_VALUE"""),271.0)</f>
        <v>271</v>
      </c>
    </row>
    <row r="856" ht="15.75" customHeight="1">
      <c r="B856" s="3">
        <f>IFERROR(__xludf.DUMMYFUNCTION("""COMPUTED_VALUE"""),42944.64583333333)</f>
        <v>42944.64583</v>
      </c>
      <c r="C856" s="2">
        <f>IFERROR(__xludf.DUMMYFUNCTION("""COMPUTED_VALUE"""),275.0)</f>
        <v>275</v>
      </c>
    </row>
    <row r="857" ht="15.75" customHeight="1">
      <c r="B857" s="3">
        <f>IFERROR(__xludf.DUMMYFUNCTION("""COMPUTED_VALUE"""),42951.64583333333)</f>
        <v>42951.64583</v>
      </c>
      <c r="C857" s="2">
        <f>IFERROR(__xludf.DUMMYFUNCTION("""COMPUTED_VALUE"""),278.2)</f>
        <v>278.2</v>
      </c>
    </row>
    <row r="858" ht="15.75" customHeight="1">
      <c r="B858" s="3">
        <f>IFERROR(__xludf.DUMMYFUNCTION("""COMPUTED_VALUE"""),42958.64583333333)</f>
        <v>42958.64583</v>
      </c>
      <c r="C858" s="2">
        <f>IFERROR(__xludf.DUMMYFUNCTION("""COMPUTED_VALUE"""),281.45)</f>
        <v>281.45</v>
      </c>
    </row>
    <row r="859" ht="15.75" customHeight="1">
      <c r="B859" s="3">
        <f>IFERROR(__xludf.DUMMYFUNCTION("""COMPUTED_VALUE"""),42965.64583333333)</f>
        <v>42965.64583</v>
      </c>
      <c r="C859" s="2">
        <f>IFERROR(__xludf.DUMMYFUNCTION("""COMPUTED_VALUE"""),276.75)</f>
        <v>276.75</v>
      </c>
    </row>
    <row r="860" ht="15.75" customHeight="1">
      <c r="B860" s="3">
        <f>IFERROR(__xludf.DUMMYFUNCTION("""COMPUTED_VALUE"""),42971.64583333333)</f>
        <v>42971.64583</v>
      </c>
      <c r="C860" s="2">
        <f>IFERROR(__xludf.DUMMYFUNCTION("""COMPUTED_VALUE"""),278.0)</f>
        <v>278</v>
      </c>
    </row>
    <row r="861" ht="15.75" customHeight="1">
      <c r="B861" s="3">
        <f>IFERROR(__xludf.DUMMYFUNCTION("""COMPUTED_VALUE"""),42979.64583333333)</f>
        <v>42979.64583</v>
      </c>
      <c r="C861" s="2">
        <f>IFERROR(__xludf.DUMMYFUNCTION("""COMPUTED_VALUE"""),284.95)</f>
        <v>284.95</v>
      </c>
    </row>
    <row r="862" ht="15.75" customHeight="1">
      <c r="B862" s="3">
        <f>IFERROR(__xludf.DUMMYFUNCTION("""COMPUTED_VALUE"""),42986.64583333333)</f>
        <v>42986.64583</v>
      </c>
      <c r="C862" s="2">
        <f>IFERROR(__xludf.DUMMYFUNCTION("""COMPUTED_VALUE"""),286.8)</f>
        <v>286.8</v>
      </c>
    </row>
    <row r="863" ht="15.75" customHeight="1">
      <c r="B863" s="3">
        <f>IFERROR(__xludf.DUMMYFUNCTION("""COMPUTED_VALUE"""),42993.64583333333)</f>
        <v>42993.64583</v>
      </c>
      <c r="C863" s="2">
        <f>IFERROR(__xludf.DUMMYFUNCTION("""COMPUTED_VALUE"""),291.5)</f>
        <v>291.5</v>
      </c>
    </row>
    <row r="864" ht="15.75" customHeight="1">
      <c r="B864" s="3">
        <f>IFERROR(__xludf.DUMMYFUNCTION("""COMPUTED_VALUE"""),43000.64583333333)</f>
        <v>43000.64583</v>
      </c>
      <c r="C864" s="2">
        <f>IFERROR(__xludf.DUMMYFUNCTION("""COMPUTED_VALUE"""),287.0)</f>
        <v>287</v>
      </c>
    </row>
    <row r="865" ht="15.75" customHeight="1">
      <c r="B865" s="3">
        <f>IFERROR(__xludf.DUMMYFUNCTION("""COMPUTED_VALUE"""),43007.64583333333)</f>
        <v>43007.64583</v>
      </c>
      <c r="C865" s="2">
        <f>IFERROR(__xludf.DUMMYFUNCTION("""COMPUTED_VALUE"""),274.0)</f>
        <v>274</v>
      </c>
    </row>
    <row r="866" ht="15.75" customHeight="1">
      <c r="B866" s="3">
        <f>IFERROR(__xludf.DUMMYFUNCTION("""COMPUTED_VALUE"""),43014.64583333333)</f>
        <v>43014.64583</v>
      </c>
      <c r="C866" s="2">
        <f>IFERROR(__xludf.DUMMYFUNCTION("""COMPUTED_VALUE"""),280.5)</f>
        <v>280.5</v>
      </c>
    </row>
    <row r="867" ht="15.75" customHeight="1">
      <c r="B867" s="3">
        <f>IFERROR(__xludf.DUMMYFUNCTION("""COMPUTED_VALUE"""),43021.64583333333)</f>
        <v>43021.64583</v>
      </c>
      <c r="C867" s="2">
        <f>IFERROR(__xludf.DUMMYFUNCTION("""COMPUTED_VALUE"""),282.35)</f>
        <v>282.35</v>
      </c>
    </row>
    <row r="868" ht="15.75" customHeight="1">
      <c r="B868" s="3">
        <f>IFERROR(__xludf.DUMMYFUNCTION("""COMPUTED_VALUE"""),43027.83333333333)</f>
        <v>43027.83333</v>
      </c>
      <c r="C868" s="2">
        <f>IFERROR(__xludf.DUMMYFUNCTION("""COMPUTED_VALUE"""),283.4)</f>
        <v>283.4</v>
      </c>
    </row>
    <row r="869" ht="15.75" customHeight="1">
      <c r="B869" s="3">
        <f>IFERROR(__xludf.DUMMYFUNCTION("""COMPUTED_VALUE"""),43035.64583333333)</f>
        <v>43035.64583</v>
      </c>
      <c r="C869" s="2">
        <f>IFERROR(__xludf.DUMMYFUNCTION("""COMPUTED_VALUE"""),286.9)</f>
        <v>286.9</v>
      </c>
    </row>
    <row r="870" ht="15.75" customHeight="1">
      <c r="B870" s="3">
        <f>IFERROR(__xludf.DUMMYFUNCTION("""COMPUTED_VALUE"""),43042.64583333333)</f>
        <v>43042.64583</v>
      </c>
      <c r="C870" s="2">
        <f>IFERROR(__xludf.DUMMYFUNCTION("""COMPUTED_VALUE"""),288.8)</f>
        <v>288.8</v>
      </c>
    </row>
    <row r="871" ht="15.75" customHeight="1">
      <c r="B871" s="3">
        <f>IFERROR(__xludf.DUMMYFUNCTION("""COMPUTED_VALUE"""),43049.64583333333)</f>
        <v>43049.64583</v>
      </c>
      <c r="C871" s="2">
        <f>IFERROR(__xludf.DUMMYFUNCTION("""COMPUTED_VALUE"""),283.4)</f>
        <v>283.4</v>
      </c>
    </row>
    <row r="872" ht="15.75" customHeight="1">
      <c r="B872" s="3">
        <f>IFERROR(__xludf.DUMMYFUNCTION("""COMPUTED_VALUE"""),43056.64583333333)</f>
        <v>43056.64583</v>
      </c>
      <c r="C872" s="2">
        <f>IFERROR(__xludf.DUMMYFUNCTION("""COMPUTED_VALUE"""),281.8)</f>
        <v>281.8</v>
      </c>
    </row>
    <row r="873" ht="15.75" customHeight="1">
      <c r="B873" s="3">
        <f>IFERROR(__xludf.DUMMYFUNCTION("""COMPUTED_VALUE"""),43063.64583333333)</f>
        <v>43063.64583</v>
      </c>
      <c r="C873" s="2">
        <f>IFERROR(__xludf.DUMMYFUNCTION("""COMPUTED_VALUE"""),272.8)</f>
        <v>272.8</v>
      </c>
    </row>
    <row r="874" ht="15.75" customHeight="1">
      <c r="B874" s="3">
        <f>IFERROR(__xludf.DUMMYFUNCTION("""COMPUTED_VALUE"""),43070.64583333333)</f>
        <v>43070.64583</v>
      </c>
      <c r="C874" s="2">
        <f>IFERROR(__xludf.DUMMYFUNCTION("""COMPUTED_VALUE"""),268.25)</f>
        <v>268.25</v>
      </c>
    </row>
    <row r="875" ht="15.75" customHeight="1">
      <c r="B875" s="3">
        <f>IFERROR(__xludf.DUMMYFUNCTION("""COMPUTED_VALUE"""),43077.64583333333)</f>
        <v>43077.64583</v>
      </c>
      <c r="C875" s="2">
        <f>IFERROR(__xludf.DUMMYFUNCTION("""COMPUTED_VALUE"""),270.0)</f>
        <v>270</v>
      </c>
    </row>
    <row r="876" ht="15.75" customHeight="1">
      <c r="B876" s="3">
        <f>IFERROR(__xludf.DUMMYFUNCTION("""COMPUTED_VALUE"""),43084.64583333333)</f>
        <v>43084.64583</v>
      </c>
      <c r="C876" s="2">
        <f>IFERROR(__xludf.DUMMYFUNCTION("""COMPUTED_VALUE"""),270.95)</f>
        <v>270.95</v>
      </c>
    </row>
    <row r="877" ht="15.75" customHeight="1">
      <c r="B877" s="3">
        <f>IFERROR(__xludf.DUMMYFUNCTION("""COMPUTED_VALUE"""),43091.64583333333)</f>
        <v>43091.64583</v>
      </c>
      <c r="C877" s="2">
        <f>IFERROR(__xludf.DUMMYFUNCTION("""COMPUTED_VALUE"""),272.4)</f>
        <v>272.4</v>
      </c>
    </row>
    <row r="878" ht="15.75" customHeight="1">
      <c r="B878" s="3">
        <f>IFERROR(__xludf.DUMMYFUNCTION("""COMPUTED_VALUE"""),43098.64583333333)</f>
        <v>43098.64583</v>
      </c>
      <c r="C878" s="2">
        <f>IFERROR(__xludf.DUMMYFUNCTION("""COMPUTED_VALUE"""),274.0)</f>
        <v>274</v>
      </c>
    </row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IFERROR(__xludf.DUMMYFUNCTION("GOOGLEFINANCE(""NSE:IBULHSGFIN"", ""high"",DATE(2017,1,1),DATE(2018,1,1),""weekly"")"),"Date")</f>
        <v>Date</v>
      </c>
      <c r="C1" s="2" t="str">
        <f>IFERROR(__xludf.DUMMYFUNCTION("""COMPUTED_VALUE"""),"High")</f>
        <v>High</v>
      </c>
    </row>
    <row r="2">
      <c r="A2" s="2" t="s">
        <v>16</v>
      </c>
      <c r="B2" s="3">
        <f>IFERROR(__xludf.DUMMYFUNCTION("""COMPUTED_VALUE"""),42741.64583333333)</f>
        <v>42741.64583</v>
      </c>
      <c r="C2" s="2">
        <f>IFERROR(__xludf.DUMMYFUNCTION("""COMPUTED_VALUE"""),684.0)</f>
        <v>684</v>
      </c>
    </row>
    <row r="3">
      <c r="A3" s="2" t="s">
        <v>17</v>
      </c>
      <c r="B3" s="3">
        <f>IFERROR(__xludf.DUMMYFUNCTION("""COMPUTED_VALUE"""),42748.64583333333)</f>
        <v>42748.64583</v>
      </c>
      <c r="C3" s="2">
        <f>IFERROR(__xludf.DUMMYFUNCTION("""COMPUTED_VALUE"""),752.5)</f>
        <v>752.5</v>
      </c>
    </row>
    <row r="4">
      <c r="B4" s="3">
        <f>IFERROR(__xludf.DUMMYFUNCTION("""COMPUTED_VALUE"""),42755.64583333333)</f>
        <v>42755.64583</v>
      </c>
      <c r="C4" s="2">
        <f>IFERROR(__xludf.DUMMYFUNCTION("""COMPUTED_VALUE"""),780.0)</f>
        <v>780</v>
      </c>
    </row>
    <row r="5">
      <c r="B5" s="3">
        <f>IFERROR(__xludf.DUMMYFUNCTION("""COMPUTED_VALUE"""),42762.64583333333)</f>
        <v>42762.64583</v>
      </c>
      <c r="C5" s="2">
        <f>IFERROR(__xludf.DUMMYFUNCTION("""COMPUTED_VALUE"""),769.75)</f>
        <v>769.75</v>
      </c>
    </row>
    <row r="6">
      <c r="B6" s="3">
        <f>IFERROR(__xludf.DUMMYFUNCTION("""COMPUTED_VALUE"""),42769.64583333333)</f>
        <v>42769.64583</v>
      </c>
      <c r="C6" s="2">
        <f>IFERROR(__xludf.DUMMYFUNCTION("""COMPUTED_VALUE"""),803.9)</f>
        <v>803.9</v>
      </c>
    </row>
    <row r="7">
      <c r="B7" s="3">
        <f>IFERROR(__xludf.DUMMYFUNCTION("""COMPUTED_VALUE"""),42776.64583333333)</f>
        <v>42776.64583</v>
      </c>
      <c r="C7" s="2">
        <f>IFERROR(__xludf.DUMMYFUNCTION("""COMPUTED_VALUE"""),849.95)</f>
        <v>849.95</v>
      </c>
    </row>
    <row r="8">
      <c r="B8" s="3">
        <f>IFERROR(__xludf.DUMMYFUNCTION("""COMPUTED_VALUE"""),42783.64583333333)</f>
        <v>42783.64583</v>
      </c>
      <c r="C8" s="2">
        <f>IFERROR(__xludf.DUMMYFUNCTION("""COMPUTED_VALUE"""),882.5)</f>
        <v>882.5</v>
      </c>
    </row>
    <row r="9">
      <c r="B9" s="3">
        <f>IFERROR(__xludf.DUMMYFUNCTION("""COMPUTED_VALUE"""),42789.64583333333)</f>
        <v>42789.64583</v>
      </c>
      <c r="C9" s="2">
        <f>IFERROR(__xludf.DUMMYFUNCTION("""COMPUTED_VALUE"""),879.9)</f>
        <v>879.9</v>
      </c>
    </row>
    <row r="10">
      <c r="B10" s="3">
        <f>IFERROR(__xludf.DUMMYFUNCTION("""COMPUTED_VALUE"""),42797.64583333333)</f>
        <v>42797.64583</v>
      </c>
      <c r="C10" s="2">
        <f>IFERROR(__xludf.DUMMYFUNCTION("""COMPUTED_VALUE"""),880.8)</f>
        <v>880.8</v>
      </c>
    </row>
    <row r="11">
      <c r="B11" s="3">
        <f>IFERROR(__xludf.DUMMYFUNCTION("""COMPUTED_VALUE"""),42804.64583333333)</f>
        <v>42804.64583</v>
      </c>
      <c r="C11" s="2">
        <f>IFERROR(__xludf.DUMMYFUNCTION("""COMPUTED_VALUE"""),864.65)</f>
        <v>864.65</v>
      </c>
    </row>
    <row r="12">
      <c r="B12" s="3">
        <f>IFERROR(__xludf.DUMMYFUNCTION("""COMPUTED_VALUE"""),42811.64583333333)</f>
        <v>42811.64583</v>
      </c>
      <c r="C12" s="2">
        <f>IFERROR(__xludf.DUMMYFUNCTION("""COMPUTED_VALUE"""),968.6)</f>
        <v>968.6</v>
      </c>
    </row>
    <row r="13">
      <c r="B13" s="3">
        <f>IFERROR(__xludf.DUMMYFUNCTION("""COMPUTED_VALUE"""),42818.64583333333)</f>
        <v>42818.64583</v>
      </c>
      <c r="C13" s="2">
        <f>IFERROR(__xludf.DUMMYFUNCTION("""COMPUTED_VALUE"""),982.25)</f>
        <v>982.25</v>
      </c>
    </row>
    <row r="14">
      <c r="B14" s="3">
        <f>IFERROR(__xludf.DUMMYFUNCTION("""COMPUTED_VALUE"""),42825.64583333333)</f>
        <v>42825.64583</v>
      </c>
      <c r="C14" s="2">
        <f>IFERROR(__xludf.DUMMYFUNCTION("""COMPUTED_VALUE"""),1001.9)</f>
        <v>1001.9</v>
      </c>
    </row>
    <row r="15">
      <c r="B15" s="3">
        <f>IFERROR(__xludf.DUMMYFUNCTION("""COMPUTED_VALUE"""),42832.64583333333)</f>
        <v>42832.64583</v>
      </c>
      <c r="C15" s="2">
        <f>IFERROR(__xludf.DUMMYFUNCTION("""COMPUTED_VALUE"""),1001.65)</f>
        <v>1001.65</v>
      </c>
    </row>
    <row r="16">
      <c r="B16" s="3">
        <f>IFERROR(__xludf.DUMMYFUNCTION("""COMPUTED_VALUE"""),42838.64583333333)</f>
        <v>42838.64583</v>
      </c>
      <c r="C16" s="2">
        <f>IFERROR(__xludf.DUMMYFUNCTION("""COMPUTED_VALUE"""),959.3)</f>
        <v>959.3</v>
      </c>
    </row>
    <row r="17">
      <c r="B17" s="3">
        <f>IFERROR(__xludf.DUMMYFUNCTION("""COMPUTED_VALUE"""),42846.64583333333)</f>
        <v>42846.64583</v>
      </c>
      <c r="C17" s="2">
        <f>IFERROR(__xludf.DUMMYFUNCTION("""COMPUTED_VALUE"""),998.0)</f>
        <v>998</v>
      </c>
    </row>
    <row r="18">
      <c r="B18" s="3">
        <f>IFERROR(__xludf.DUMMYFUNCTION("""COMPUTED_VALUE"""),42853.64583333333)</f>
        <v>42853.64583</v>
      </c>
      <c r="C18" s="2">
        <f>IFERROR(__xludf.DUMMYFUNCTION("""COMPUTED_VALUE"""),1040.0)</f>
        <v>1040</v>
      </c>
    </row>
    <row r="19">
      <c r="B19" s="3">
        <f>IFERROR(__xludf.DUMMYFUNCTION("""COMPUTED_VALUE"""),42860.64583333333)</f>
        <v>42860.64583</v>
      </c>
      <c r="C19" s="2">
        <f>IFERROR(__xludf.DUMMYFUNCTION("""COMPUTED_VALUE"""),1129.7)</f>
        <v>1129.7</v>
      </c>
    </row>
    <row r="20">
      <c r="B20" s="3">
        <f>IFERROR(__xludf.DUMMYFUNCTION("""COMPUTED_VALUE"""),42867.64583333333)</f>
        <v>42867.64583</v>
      </c>
      <c r="C20" s="2">
        <f>IFERROR(__xludf.DUMMYFUNCTION("""COMPUTED_VALUE"""),1135.0)</f>
        <v>1135</v>
      </c>
    </row>
    <row r="21" ht="15.75" customHeight="1">
      <c r="B21" s="3">
        <f>IFERROR(__xludf.DUMMYFUNCTION("""COMPUTED_VALUE"""),42874.64583333333)</f>
        <v>42874.64583</v>
      </c>
      <c r="C21" s="2">
        <f>IFERROR(__xludf.DUMMYFUNCTION("""COMPUTED_VALUE"""),1088.85)</f>
        <v>1088.85</v>
      </c>
    </row>
    <row r="22" ht="15.75" customHeight="1">
      <c r="B22" s="3">
        <f>IFERROR(__xludf.DUMMYFUNCTION("""COMPUTED_VALUE"""),42881.64583333333)</f>
        <v>42881.64583</v>
      </c>
      <c r="C22" s="2">
        <f>IFERROR(__xludf.DUMMYFUNCTION("""COMPUTED_VALUE"""),1090.0)</f>
        <v>1090</v>
      </c>
    </row>
    <row r="23" ht="15.75" customHeight="1">
      <c r="B23" s="3">
        <f>IFERROR(__xludf.DUMMYFUNCTION("""COMPUTED_VALUE"""),42888.64583333333)</f>
        <v>42888.64583</v>
      </c>
      <c r="C23" s="2">
        <f>IFERROR(__xludf.DUMMYFUNCTION("""COMPUTED_VALUE"""),1164.35)</f>
        <v>1164.35</v>
      </c>
    </row>
    <row r="24" ht="15.75" customHeight="1">
      <c r="B24" s="3">
        <f>IFERROR(__xludf.DUMMYFUNCTION("""COMPUTED_VALUE"""),42895.64583333333)</f>
        <v>42895.64583</v>
      </c>
      <c r="C24" s="2">
        <f>IFERROR(__xludf.DUMMYFUNCTION("""COMPUTED_VALUE"""),1187.4)</f>
        <v>1187.4</v>
      </c>
    </row>
    <row r="25" ht="15.75" customHeight="1">
      <c r="B25" s="3">
        <f>IFERROR(__xludf.DUMMYFUNCTION("""COMPUTED_VALUE"""),42902.64583333333)</f>
        <v>42902.64583</v>
      </c>
      <c r="C25" s="2">
        <f>IFERROR(__xludf.DUMMYFUNCTION("""COMPUTED_VALUE"""),1169.0)</f>
        <v>1169</v>
      </c>
    </row>
    <row r="26" ht="15.75" customHeight="1">
      <c r="B26" s="3">
        <f>IFERROR(__xludf.DUMMYFUNCTION("""COMPUTED_VALUE"""),42909.64583333333)</f>
        <v>42909.64583</v>
      </c>
      <c r="C26" s="2">
        <f>IFERROR(__xludf.DUMMYFUNCTION("""COMPUTED_VALUE"""),1134.65)</f>
        <v>1134.65</v>
      </c>
    </row>
    <row r="27" ht="15.75" customHeight="1">
      <c r="B27" s="3">
        <f>IFERROR(__xludf.DUMMYFUNCTION("""COMPUTED_VALUE"""),42916.64583333333)</f>
        <v>42916.64583</v>
      </c>
      <c r="C27" s="2">
        <f>IFERROR(__xludf.DUMMYFUNCTION("""COMPUTED_VALUE"""),1108.35)</f>
        <v>1108.35</v>
      </c>
    </row>
    <row r="28" ht="15.75" customHeight="1">
      <c r="B28" s="3">
        <f>IFERROR(__xludf.DUMMYFUNCTION("""COMPUTED_VALUE"""),42923.64583333333)</f>
        <v>42923.64583</v>
      </c>
      <c r="C28" s="2">
        <f>IFERROR(__xludf.DUMMYFUNCTION("""COMPUTED_VALUE"""),1102.2)</f>
        <v>1102.2</v>
      </c>
    </row>
    <row r="29" ht="15.75" customHeight="1">
      <c r="B29" s="3">
        <f>IFERROR(__xludf.DUMMYFUNCTION("""COMPUTED_VALUE"""),42930.64583333333)</f>
        <v>42930.64583</v>
      </c>
      <c r="C29" s="2">
        <f>IFERROR(__xludf.DUMMYFUNCTION("""COMPUTED_VALUE"""),1135.25)</f>
        <v>1135.25</v>
      </c>
    </row>
    <row r="30" ht="15.75" customHeight="1">
      <c r="B30" s="3">
        <f>IFERROR(__xludf.DUMMYFUNCTION("""COMPUTED_VALUE"""),42937.64583333333)</f>
        <v>42937.64583</v>
      </c>
      <c r="C30" s="2">
        <f>IFERROR(__xludf.DUMMYFUNCTION("""COMPUTED_VALUE"""),1166.4)</f>
        <v>1166.4</v>
      </c>
    </row>
    <row r="31" ht="15.75" customHeight="1">
      <c r="B31" s="3">
        <f>IFERROR(__xludf.DUMMYFUNCTION("""COMPUTED_VALUE"""),42944.64583333333)</f>
        <v>42944.64583</v>
      </c>
      <c r="C31" s="2">
        <f>IFERROR(__xludf.DUMMYFUNCTION("""COMPUTED_VALUE"""),1216.5)</f>
        <v>1216.5</v>
      </c>
    </row>
    <row r="32" ht="15.75" customHeight="1">
      <c r="B32" s="3">
        <f>IFERROR(__xludf.DUMMYFUNCTION("""COMPUTED_VALUE"""),42951.64583333333)</f>
        <v>42951.64583</v>
      </c>
      <c r="C32" s="2">
        <f>IFERROR(__xludf.DUMMYFUNCTION("""COMPUTED_VALUE"""),1232.0)</f>
        <v>1232</v>
      </c>
    </row>
    <row r="33" ht="15.75" customHeight="1">
      <c r="B33" s="3">
        <f>IFERROR(__xludf.DUMMYFUNCTION("""COMPUTED_VALUE"""),42958.64583333333)</f>
        <v>42958.64583</v>
      </c>
      <c r="C33" s="2">
        <f>IFERROR(__xludf.DUMMYFUNCTION("""COMPUTED_VALUE"""),1216.6)</f>
        <v>1216.6</v>
      </c>
    </row>
    <row r="34" ht="15.75" customHeight="1">
      <c r="B34" s="3">
        <f>IFERROR(__xludf.DUMMYFUNCTION("""COMPUTED_VALUE"""),42965.64583333333)</f>
        <v>42965.64583</v>
      </c>
      <c r="C34" s="2">
        <f>IFERROR(__xludf.DUMMYFUNCTION("""COMPUTED_VALUE"""),1219.8)</f>
        <v>1219.8</v>
      </c>
    </row>
    <row r="35" ht="15.75" customHeight="1">
      <c r="B35" s="3">
        <f>IFERROR(__xludf.DUMMYFUNCTION("""COMPUTED_VALUE"""),42971.64583333333)</f>
        <v>42971.64583</v>
      </c>
      <c r="C35" s="2">
        <f>IFERROR(__xludf.DUMMYFUNCTION("""COMPUTED_VALUE"""),1234.2)</f>
        <v>1234.2</v>
      </c>
    </row>
    <row r="36" ht="15.75" customHeight="1">
      <c r="B36" s="3">
        <f>IFERROR(__xludf.DUMMYFUNCTION("""COMPUTED_VALUE"""),42979.64583333333)</f>
        <v>42979.64583</v>
      </c>
      <c r="C36" s="2">
        <f>IFERROR(__xludf.DUMMYFUNCTION("""COMPUTED_VALUE"""),1237.95)</f>
        <v>1237.95</v>
      </c>
    </row>
    <row r="37" ht="15.75" customHeight="1">
      <c r="B37" s="3">
        <f>IFERROR(__xludf.DUMMYFUNCTION("""COMPUTED_VALUE"""),42986.64583333333)</f>
        <v>42986.64583</v>
      </c>
      <c r="C37" s="2">
        <f>IFERROR(__xludf.DUMMYFUNCTION("""COMPUTED_VALUE"""),1323.7)</f>
        <v>1323.7</v>
      </c>
    </row>
    <row r="38" ht="15.75" customHeight="1">
      <c r="B38" s="3">
        <f>IFERROR(__xludf.DUMMYFUNCTION("""COMPUTED_VALUE"""),42993.64583333333)</f>
        <v>42993.64583</v>
      </c>
      <c r="C38" s="2">
        <f>IFERROR(__xludf.DUMMYFUNCTION("""COMPUTED_VALUE"""),1319.0)</f>
        <v>1319</v>
      </c>
    </row>
    <row r="39" ht="15.75" customHeight="1">
      <c r="B39" s="3">
        <f>IFERROR(__xludf.DUMMYFUNCTION("""COMPUTED_VALUE"""),43000.64583333333)</f>
        <v>43000.64583</v>
      </c>
      <c r="C39" s="2">
        <f>IFERROR(__xludf.DUMMYFUNCTION("""COMPUTED_VALUE"""),1336.95)</f>
        <v>1336.95</v>
      </c>
    </row>
    <row r="40" ht="15.75" customHeight="1">
      <c r="B40" s="3">
        <f>IFERROR(__xludf.DUMMYFUNCTION("""COMPUTED_VALUE"""),43007.64583333333)</f>
        <v>43007.64583</v>
      </c>
      <c r="C40" s="2">
        <f>IFERROR(__xludf.DUMMYFUNCTION("""COMPUTED_VALUE"""),1255.0)</f>
        <v>1255</v>
      </c>
    </row>
    <row r="41" ht="15.75" customHeight="1">
      <c r="B41" s="3">
        <f>IFERROR(__xludf.DUMMYFUNCTION("""COMPUTED_VALUE"""),43014.64583333333)</f>
        <v>43014.64583</v>
      </c>
      <c r="C41" s="2">
        <f>IFERROR(__xludf.DUMMYFUNCTION("""COMPUTED_VALUE"""),1282.0)</f>
        <v>1282</v>
      </c>
    </row>
    <row r="42" ht="15.75" customHeight="1">
      <c r="B42" s="3">
        <f>IFERROR(__xludf.DUMMYFUNCTION("""COMPUTED_VALUE"""),43021.64583333333)</f>
        <v>43021.64583</v>
      </c>
      <c r="C42" s="2">
        <f>IFERROR(__xludf.DUMMYFUNCTION("""COMPUTED_VALUE"""),1292.6)</f>
        <v>1292.6</v>
      </c>
    </row>
    <row r="43" ht="15.75" customHeight="1">
      <c r="B43" s="3">
        <f>IFERROR(__xludf.DUMMYFUNCTION("""COMPUTED_VALUE"""),43027.83333333333)</f>
        <v>43027.83333</v>
      </c>
      <c r="C43" s="2">
        <f>IFERROR(__xludf.DUMMYFUNCTION("""COMPUTED_VALUE"""),1372.3)</f>
        <v>1372.3</v>
      </c>
    </row>
    <row r="44" ht="15.75" customHeight="1">
      <c r="B44" s="3">
        <f>IFERROR(__xludf.DUMMYFUNCTION("""COMPUTED_VALUE"""),43035.64583333333)</f>
        <v>43035.64583</v>
      </c>
      <c r="C44" s="2">
        <f>IFERROR(__xludf.DUMMYFUNCTION("""COMPUTED_VALUE"""),1373.95)</f>
        <v>1373.95</v>
      </c>
    </row>
    <row r="45" ht="15.75" customHeight="1">
      <c r="B45" s="3">
        <f>IFERROR(__xludf.DUMMYFUNCTION("""COMPUTED_VALUE"""),43042.64583333333)</f>
        <v>43042.64583</v>
      </c>
      <c r="C45" s="2">
        <f>IFERROR(__xludf.DUMMYFUNCTION("""COMPUTED_VALUE"""),1269.15)</f>
        <v>1269.15</v>
      </c>
    </row>
    <row r="46" ht="15.75" customHeight="1">
      <c r="B46" s="3">
        <f>IFERROR(__xludf.DUMMYFUNCTION("""COMPUTED_VALUE"""),43049.64583333333)</f>
        <v>43049.64583</v>
      </c>
      <c r="C46" s="2">
        <f>IFERROR(__xludf.DUMMYFUNCTION("""COMPUTED_VALUE"""),1245.0)</f>
        <v>1245</v>
      </c>
    </row>
    <row r="47" ht="15.75" customHeight="1">
      <c r="B47" s="3">
        <f>IFERROR(__xludf.DUMMYFUNCTION("""COMPUTED_VALUE"""),43056.64583333333)</f>
        <v>43056.64583</v>
      </c>
      <c r="C47" s="2">
        <f>IFERROR(__xludf.DUMMYFUNCTION("""COMPUTED_VALUE"""),1226.4)</f>
        <v>1226.4</v>
      </c>
    </row>
    <row r="48" ht="15.75" customHeight="1">
      <c r="B48" s="3">
        <f>IFERROR(__xludf.DUMMYFUNCTION("""COMPUTED_VALUE"""),43063.64583333333)</f>
        <v>43063.64583</v>
      </c>
      <c r="C48" s="2">
        <f>IFERROR(__xludf.DUMMYFUNCTION("""COMPUTED_VALUE"""),1207.95)</f>
        <v>1207.95</v>
      </c>
    </row>
    <row r="49" ht="15.75" customHeight="1">
      <c r="B49" s="3">
        <f>IFERROR(__xludf.DUMMYFUNCTION("""COMPUTED_VALUE"""),43070.64583333333)</f>
        <v>43070.64583</v>
      </c>
      <c r="C49" s="2">
        <f>IFERROR(__xludf.DUMMYFUNCTION("""COMPUTED_VALUE"""),1224.0)</f>
        <v>1224</v>
      </c>
    </row>
    <row r="50" ht="15.75" customHeight="1">
      <c r="B50" s="3">
        <f>IFERROR(__xludf.DUMMYFUNCTION("""COMPUTED_VALUE"""),43077.64583333333)</f>
        <v>43077.64583</v>
      </c>
      <c r="C50" s="2">
        <f>IFERROR(__xludf.DUMMYFUNCTION("""COMPUTED_VALUE"""),1209.0)</f>
        <v>1209</v>
      </c>
    </row>
    <row r="51" ht="15.75" customHeight="1">
      <c r="B51" s="3">
        <f>IFERROR(__xludf.DUMMYFUNCTION("""COMPUTED_VALUE"""),43084.64583333333)</f>
        <v>43084.64583</v>
      </c>
      <c r="C51" s="2">
        <f>IFERROR(__xludf.DUMMYFUNCTION("""COMPUTED_VALUE"""),1209.85)</f>
        <v>1209.85</v>
      </c>
    </row>
    <row r="52" ht="15.75" customHeight="1">
      <c r="B52" s="3">
        <f>IFERROR(__xludf.DUMMYFUNCTION("""COMPUTED_VALUE"""),43091.64583333333)</f>
        <v>43091.64583</v>
      </c>
      <c r="C52" s="2">
        <f>IFERROR(__xludf.DUMMYFUNCTION("""COMPUTED_VALUE"""),1208.6)</f>
        <v>1208.6</v>
      </c>
    </row>
    <row r="53" ht="15.75" customHeight="1">
      <c r="B53" s="3">
        <f>IFERROR(__xludf.DUMMYFUNCTION("""COMPUTED_VALUE"""),43098.64583333333)</f>
        <v>43098.64583</v>
      </c>
      <c r="C53" s="2">
        <f>IFERROR(__xludf.DUMMYFUNCTION("""COMPUTED_VALUE"""),1210.05)</f>
        <v>1210.05</v>
      </c>
    </row>
    <row r="54" ht="15.75" customHeight="1"/>
    <row r="55" ht="15.75" customHeight="1"/>
    <row r="56" ht="15.75" customHeight="1">
      <c r="B56" s="2" t="str">
        <f>IFERROR(__xludf.DUMMYFUNCTION("GOOGLEFINANCE(""NSE:IBULHSGFIN"", ""high"",DATE(2018,1,1),DATE(2019,1,1),""weekly"")"),"Date")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IFERROR(__xludf.DUMMYFUNCTION("""COMPUTED_VALUE"""),43105.64583333333)</f>
        <v>43105.64583</v>
      </c>
      <c r="C57" s="2">
        <f>IFERROR(__xludf.DUMMYFUNCTION("""COMPUTED_VALUE"""),1243.9)</f>
        <v>1243.9</v>
      </c>
    </row>
    <row r="58" ht="15.75" customHeight="1">
      <c r="B58" s="3">
        <f>IFERROR(__xludf.DUMMYFUNCTION("""COMPUTED_VALUE"""),43112.64583333333)</f>
        <v>43112.64583</v>
      </c>
      <c r="C58" s="2">
        <f>IFERROR(__xludf.DUMMYFUNCTION("""COMPUTED_VALUE"""),1245.0)</f>
        <v>1245</v>
      </c>
    </row>
    <row r="59" ht="15.75" customHeight="1">
      <c r="B59" s="3">
        <f>IFERROR(__xludf.DUMMYFUNCTION("""COMPUTED_VALUE"""),43119.64583333333)</f>
        <v>43119.64583</v>
      </c>
      <c r="C59" s="2">
        <f>IFERROR(__xludf.DUMMYFUNCTION("""COMPUTED_VALUE"""),1308.8)</f>
        <v>1308.8</v>
      </c>
    </row>
    <row r="60" ht="15.75" customHeight="1">
      <c r="B60" s="3">
        <f>IFERROR(__xludf.DUMMYFUNCTION("""COMPUTED_VALUE"""),43125.64583333333)</f>
        <v>43125.64583</v>
      </c>
      <c r="C60" s="2">
        <f>IFERROR(__xludf.DUMMYFUNCTION("""COMPUTED_VALUE"""),1409.8)</f>
        <v>1409.8</v>
      </c>
    </row>
    <row r="61" ht="15.75" customHeight="1">
      <c r="B61" s="3">
        <f>IFERROR(__xludf.DUMMYFUNCTION("""COMPUTED_VALUE"""),43133.64583333333)</f>
        <v>43133.64583</v>
      </c>
      <c r="C61" s="2">
        <f>IFERROR(__xludf.DUMMYFUNCTION("""COMPUTED_VALUE"""),1440.0)</f>
        <v>1440</v>
      </c>
    </row>
    <row r="62" ht="15.75" customHeight="1">
      <c r="B62" s="3">
        <f>IFERROR(__xludf.DUMMYFUNCTION("""COMPUTED_VALUE"""),43140.64583333333)</f>
        <v>43140.64583</v>
      </c>
      <c r="C62" s="2">
        <f>IFERROR(__xludf.DUMMYFUNCTION("""COMPUTED_VALUE"""),1329.95)</f>
        <v>1329.95</v>
      </c>
    </row>
    <row r="63" ht="15.75" customHeight="1">
      <c r="B63" s="3">
        <f>IFERROR(__xludf.DUMMYFUNCTION("""COMPUTED_VALUE"""),43147.64583333333)</f>
        <v>43147.64583</v>
      </c>
      <c r="C63" s="2">
        <f>IFERROR(__xludf.DUMMYFUNCTION("""COMPUTED_VALUE"""),1369.0)</f>
        <v>1369</v>
      </c>
    </row>
    <row r="64" ht="15.75" customHeight="1">
      <c r="B64" s="3">
        <f>IFERROR(__xludf.DUMMYFUNCTION("""COMPUTED_VALUE"""),43154.64583333333)</f>
        <v>43154.64583</v>
      </c>
      <c r="C64" s="2">
        <f>IFERROR(__xludf.DUMMYFUNCTION("""COMPUTED_VALUE"""),1293.0)</f>
        <v>1293</v>
      </c>
    </row>
    <row r="65" ht="15.75" customHeight="1">
      <c r="B65" s="3">
        <f>IFERROR(__xludf.DUMMYFUNCTION("""COMPUTED_VALUE"""),43160.64583333333)</f>
        <v>43160.64583</v>
      </c>
      <c r="C65" s="2">
        <f>IFERROR(__xludf.DUMMYFUNCTION("""COMPUTED_VALUE"""),1307.25)</f>
        <v>1307.25</v>
      </c>
    </row>
    <row r="66" ht="15.75" customHeight="1">
      <c r="B66" s="3">
        <f>IFERROR(__xludf.DUMMYFUNCTION("""COMPUTED_VALUE"""),43168.64583333333)</f>
        <v>43168.64583</v>
      </c>
      <c r="C66" s="2">
        <f>IFERROR(__xludf.DUMMYFUNCTION("""COMPUTED_VALUE"""),1276.6)</f>
        <v>1276.6</v>
      </c>
    </row>
    <row r="67" ht="15.75" customHeight="1">
      <c r="B67" s="3">
        <f>IFERROR(__xludf.DUMMYFUNCTION("""COMPUTED_VALUE"""),43175.64583333333)</f>
        <v>43175.64583</v>
      </c>
      <c r="C67" s="2">
        <f>IFERROR(__xludf.DUMMYFUNCTION("""COMPUTED_VALUE"""),1249.5)</f>
        <v>1249.5</v>
      </c>
    </row>
    <row r="68" ht="15.75" customHeight="1">
      <c r="B68" s="3">
        <f>IFERROR(__xludf.DUMMYFUNCTION("""COMPUTED_VALUE"""),43182.64583333333)</f>
        <v>43182.64583</v>
      </c>
      <c r="C68" s="2">
        <f>IFERROR(__xludf.DUMMYFUNCTION("""COMPUTED_VALUE"""),1244.0)</f>
        <v>1244</v>
      </c>
    </row>
    <row r="69" ht="15.75" customHeight="1">
      <c r="B69" s="3">
        <f>IFERROR(__xludf.DUMMYFUNCTION("""COMPUTED_VALUE"""),43187.64583333333)</f>
        <v>43187.64583</v>
      </c>
      <c r="C69" s="2">
        <f>IFERROR(__xludf.DUMMYFUNCTION("""COMPUTED_VALUE"""),1266.2)</f>
        <v>1266.2</v>
      </c>
    </row>
    <row r="70" ht="15.75" customHeight="1">
      <c r="B70" s="3">
        <f>IFERROR(__xludf.DUMMYFUNCTION("""COMPUTED_VALUE"""),43196.64583333333)</f>
        <v>43196.64583</v>
      </c>
      <c r="C70" s="2">
        <f>IFERROR(__xludf.DUMMYFUNCTION("""COMPUTED_VALUE"""),1355.0)</f>
        <v>1355</v>
      </c>
    </row>
    <row r="71" ht="15.75" customHeight="1">
      <c r="B71" s="3">
        <f>IFERROR(__xludf.DUMMYFUNCTION("""COMPUTED_VALUE"""),43203.64583333333)</f>
        <v>43203.64583</v>
      </c>
      <c r="C71" s="2">
        <f>IFERROR(__xludf.DUMMYFUNCTION("""COMPUTED_VALUE"""),1382.0)</f>
        <v>1382</v>
      </c>
    </row>
    <row r="72" ht="15.75" customHeight="1">
      <c r="B72" s="3">
        <f>IFERROR(__xludf.DUMMYFUNCTION("""COMPUTED_VALUE"""),43210.64583333333)</f>
        <v>43210.64583</v>
      </c>
      <c r="C72" s="2">
        <f>IFERROR(__xludf.DUMMYFUNCTION("""COMPUTED_VALUE"""),1386.35)</f>
        <v>1386.35</v>
      </c>
    </row>
    <row r="73" ht="15.75" customHeight="1">
      <c r="B73" s="3">
        <f>IFERROR(__xludf.DUMMYFUNCTION("""COMPUTED_VALUE"""),43217.64583333333)</f>
        <v>43217.64583</v>
      </c>
      <c r="C73" s="2">
        <f>IFERROR(__xludf.DUMMYFUNCTION("""COMPUTED_VALUE"""),1387.45)</f>
        <v>1387.45</v>
      </c>
    </row>
    <row r="74" ht="15.75" customHeight="1">
      <c r="B74" s="3">
        <f>IFERROR(__xludf.DUMMYFUNCTION("""COMPUTED_VALUE"""),43224.64583333333)</f>
        <v>43224.64583</v>
      </c>
      <c r="C74" s="2">
        <f>IFERROR(__xludf.DUMMYFUNCTION("""COMPUTED_VALUE"""),1336.0)</f>
        <v>1336</v>
      </c>
    </row>
    <row r="75" ht="15.75" customHeight="1">
      <c r="B75" s="3">
        <f>IFERROR(__xludf.DUMMYFUNCTION("""COMPUTED_VALUE"""),43231.64583333333)</f>
        <v>43231.64583</v>
      </c>
      <c r="C75" s="2">
        <f>IFERROR(__xludf.DUMMYFUNCTION("""COMPUTED_VALUE"""),1268.95)</f>
        <v>1268.95</v>
      </c>
    </row>
    <row r="76" ht="15.75" customHeight="1">
      <c r="B76" s="3">
        <f>IFERROR(__xludf.DUMMYFUNCTION("""COMPUTED_VALUE"""),43238.64583333333)</f>
        <v>43238.64583</v>
      </c>
      <c r="C76" s="2">
        <f>IFERROR(__xludf.DUMMYFUNCTION("""COMPUTED_VALUE"""),1250.0)</f>
        <v>1250</v>
      </c>
    </row>
    <row r="77" ht="15.75" customHeight="1">
      <c r="B77" s="3">
        <f>IFERROR(__xludf.DUMMYFUNCTION("""COMPUTED_VALUE"""),43245.64583333333)</f>
        <v>43245.64583</v>
      </c>
      <c r="C77" s="2">
        <f>IFERROR(__xludf.DUMMYFUNCTION("""COMPUTED_VALUE"""),1178.0)</f>
        <v>1178</v>
      </c>
    </row>
    <row r="78" ht="15.75" customHeight="1">
      <c r="B78" s="3">
        <f>IFERROR(__xludf.DUMMYFUNCTION("""COMPUTED_VALUE"""),43252.64583333333)</f>
        <v>43252.64583</v>
      </c>
      <c r="C78" s="2">
        <f>IFERROR(__xludf.DUMMYFUNCTION("""COMPUTED_VALUE"""),1271.9)</f>
        <v>1271.9</v>
      </c>
    </row>
    <row r="79" ht="15.75" customHeight="1">
      <c r="B79" s="3">
        <f>IFERROR(__xludf.DUMMYFUNCTION("""COMPUTED_VALUE"""),43259.64583333333)</f>
        <v>43259.64583</v>
      </c>
      <c r="C79" s="2">
        <f>IFERROR(__xludf.DUMMYFUNCTION("""COMPUTED_VALUE"""),1244.6)</f>
        <v>1244.6</v>
      </c>
    </row>
    <row r="80" ht="15.75" customHeight="1">
      <c r="B80" s="3">
        <f>IFERROR(__xludf.DUMMYFUNCTION("""COMPUTED_VALUE"""),43266.64583333333)</f>
        <v>43266.64583</v>
      </c>
      <c r="C80" s="2">
        <f>IFERROR(__xludf.DUMMYFUNCTION("""COMPUTED_VALUE"""),1233.9)</f>
        <v>1233.9</v>
      </c>
    </row>
    <row r="81" ht="15.75" customHeight="1">
      <c r="B81" s="3">
        <f>IFERROR(__xludf.DUMMYFUNCTION("""COMPUTED_VALUE"""),43273.64583333333)</f>
        <v>43273.64583</v>
      </c>
      <c r="C81" s="2">
        <f>IFERROR(__xludf.DUMMYFUNCTION("""COMPUTED_VALUE"""),1207.85)</f>
        <v>1207.85</v>
      </c>
    </row>
    <row r="82" ht="15.75" customHeight="1">
      <c r="B82" s="3">
        <f>IFERROR(__xludf.DUMMYFUNCTION("""COMPUTED_VALUE"""),43280.64583333333)</f>
        <v>43280.64583</v>
      </c>
      <c r="C82" s="2">
        <f>IFERROR(__xludf.DUMMYFUNCTION("""COMPUTED_VALUE"""),1204.0)</f>
        <v>1204</v>
      </c>
    </row>
    <row r="83" ht="15.75" customHeight="1">
      <c r="B83" s="3">
        <f>IFERROR(__xludf.DUMMYFUNCTION("""COMPUTED_VALUE"""),43287.64583333333)</f>
        <v>43287.64583</v>
      </c>
      <c r="C83" s="2">
        <f>IFERROR(__xludf.DUMMYFUNCTION("""COMPUTED_VALUE"""),1159.7)</f>
        <v>1159.7</v>
      </c>
    </row>
    <row r="84" ht="15.75" customHeight="1">
      <c r="B84" s="3">
        <f>IFERROR(__xludf.DUMMYFUNCTION("""COMPUTED_VALUE"""),43294.64583333333)</f>
        <v>43294.64583</v>
      </c>
      <c r="C84" s="2">
        <f>IFERROR(__xludf.DUMMYFUNCTION("""COMPUTED_VALUE"""),1170.9)</f>
        <v>1170.9</v>
      </c>
    </row>
    <row r="85" ht="15.75" customHeight="1">
      <c r="B85" s="3">
        <f>IFERROR(__xludf.DUMMYFUNCTION("""COMPUTED_VALUE"""),43301.64583333333)</f>
        <v>43301.64583</v>
      </c>
      <c r="C85" s="2">
        <f>IFERROR(__xludf.DUMMYFUNCTION("""COMPUTED_VALUE"""),1230.0)</f>
        <v>1230</v>
      </c>
    </row>
    <row r="86" ht="15.75" customHeight="1">
      <c r="B86" s="3">
        <f>IFERROR(__xludf.DUMMYFUNCTION("""COMPUTED_VALUE"""),43308.64583333333)</f>
        <v>43308.64583</v>
      </c>
      <c r="C86" s="2">
        <f>IFERROR(__xludf.DUMMYFUNCTION("""COMPUTED_VALUE"""),1345.0)</f>
        <v>1345</v>
      </c>
    </row>
    <row r="87" ht="15.75" customHeight="1">
      <c r="B87" s="3">
        <f>IFERROR(__xludf.DUMMYFUNCTION("""COMPUTED_VALUE"""),43315.64583333333)</f>
        <v>43315.64583</v>
      </c>
      <c r="C87" s="2">
        <f>IFERROR(__xludf.DUMMYFUNCTION("""COMPUTED_VALUE"""),1385.0)</f>
        <v>1385</v>
      </c>
    </row>
    <row r="88" ht="15.75" customHeight="1">
      <c r="B88" s="3">
        <f>IFERROR(__xludf.DUMMYFUNCTION("""COMPUTED_VALUE"""),43322.64583333333)</f>
        <v>43322.64583</v>
      </c>
      <c r="C88" s="2">
        <f>IFERROR(__xludf.DUMMYFUNCTION("""COMPUTED_VALUE"""),1397.0)</f>
        <v>1397</v>
      </c>
    </row>
    <row r="89" ht="15.75" customHeight="1">
      <c r="B89" s="3">
        <f>IFERROR(__xludf.DUMMYFUNCTION("""COMPUTED_VALUE"""),43329.64583333333)</f>
        <v>43329.64583</v>
      </c>
      <c r="C89" s="2">
        <f>IFERROR(__xludf.DUMMYFUNCTION("""COMPUTED_VALUE"""),1308.95)</f>
        <v>1308.95</v>
      </c>
    </row>
    <row r="90" ht="15.75" customHeight="1">
      <c r="B90" s="3">
        <f>IFERROR(__xludf.DUMMYFUNCTION("""COMPUTED_VALUE"""),43336.64583333333)</f>
        <v>43336.64583</v>
      </c>
      <c r="C90" s="2">
        <f>IFERROR(__xludf.DUMMYFUNCTION("""COMPUTED_VALUE"""),1310.0)</f>
        <v>1310</v>
      </c>
    </row>
    <row r="91" ht="15.75" customHeight="1">
      <c r="B91" s="3">
        <f>IFERROR(__xludf.DUMMYFUNCTION("""COMPUTED_VALUE"""),43343.64583333333)</f>
        <v>43343.64583</v>
      </c>
      <c r="C91" s="2">
        <f>IFERROR(__xludf.DUMMYFUNCTION("""COMPUTED_VALUE"""),1298.8)</f>
        <v>1298.8</v>
      </c>
    </row>
    <row r="92" ht="15.75" customHeight="1">
      <c r="B92" s="3">
        <f>IFERROR(__xludf.DUMMYFUNCTION("""COMPUTED_VALUE"""),43350.64583333333)</f>
        <v>43350.64583</v>
      </c>
      <c r="C92" s="2">
        <f>IFERROR(__xludf.DUMMYFUNCTION("""COMPUTED_VALUE"""),1278.45)</f>
        <v>1278.45</v>
      </c>
    </row>
    <row r="93" ht="15.75" customHeight="1">
      <c r="B93" s="3">
        <f>IFERROR(__xludf.DUMMYFUNCTION("""COMPUTED_VALUE"""),43357.64583333333)</f>
        <v>43357.64583</v>
      </c>
      <c r="C93" s="2">
        <f>IFERROR(__xludf.DUMMYFUNCTION("""COMPUTED_VALUE"""),1234.75)</f>
        <v>1234.75</v>
      </c>
    </row>
    <row r="94" ht="15.75" customHeight="1">
      <c r="B94" s="3">
        <f>IFERROR(__xludf.DUMMYFUNCTION("""COMPUTED_VALUE"""),43364.64583333333)</f>
        <v>43364.64583</v>
      </c>
      <c r="C94" s="2">
        <f>IFERROR(__xludf.DUMMYFUNCTION("""COMPUTED_VALUE"""),1222.0)</f>
        <v>1222</v>
      </c>
    </row>
    <row r="95" ht="15.75" customHeight="1">
      <c r="B95" s="3">
        <f>IFERROR(__xludf.DUMMYFUNCTION("""COMPUTED_VALUE"""),43371.64583333333)</f>
        <v>43371.64583</v>
      </c>
      <c r="C95" s="2">
        <f>IFERROR(__xludf.DUMMYFUNCTION("""COMPUTED_VALUE"""),1132.65)</f>
        <v>1132.65</v>
      </c>
    </row>
    <row r="96" ht="15.75" customHeight="1">
      <c r="B96" s="3">
        <f>IFERROR(__xludf.DUMMYFUNCTION("""COMPUTED_VALUE"""),43378.64583333333)</f>
        <v>43378.64583</v>
      </c>
      <c r="C96" s="2">
        <f>IFERROR(__xludf.DUMMYFUNCTION("""COMPUTED_VALUE"""),1003.9)</f>
        <v>1003.9</v>
      </c>
    </row>
    <row r="97" ht="15.75" customHeight="1">
      <c r="B97" s="3">
        <f>IFERROR(__xludf.DUMMYFUNCTION("""COMPUTED_VALUE"""),43385.64583333333)</f>
        <v>43385.64583</v>
      </c>
      <c r="C97" s="2">
        <f>IFERROR(__xludf.DUMMYFUNCTION("""COMPUTED_VALUE"""),988.85)</f>
        <v>988.85</v>
      </c>
    </row>
    <row r="98" ht="15.75" customHeight="1">
      <c r="B98" s="3">
        <f>IFERROR(__xludf.DUMMYFUNCTION("""COMPUTED_VALUE"""),43392.64583333333)</f>
        <v>43392.64583</v>
      </c>
      <c r="C98" s="2">
        <f>IFERROR(__xludf.DUMMYFUNCTION("""COMPUTED_VALUE"""),976.8)</f>
        <v>976.8</v>
      </c>
    </row>
    <row r="99" ht="15.75" customHeight="1">
      <c r="B99" s="3">
        <f>IFERROR(__xludf.DUMMYFUNCTION("""COMPUTED_VALUE"""),43399.64583333333)</f>
        <v>43399.64583</v>
      </c>
      <c r="C99" s="2">
        <f>IFERROR(__xludf.DUMMYFUNCTION("""COMPUTED_VALUE"""),778.9)</f>
        <v>778.9</v>
      </c>
    </row>
    <row r="100" ht="15.75" customHeight="1">
      <c r="B100" s="3">
        <f>IFERROR(__xludf.DUMMYFUNCTION("""COMPUTED_VALUE"""),43406.64583333333)</f>
        <v>43406.64583</v>
      </c>
      <c r="C100" s="2">
        <f>IFERROR(__xludf.DUMMYFUNCTION("""COMPUTED_VALUE"""),880.0)</f>
        <v>880</v>
      </c>
    </row>
    <row r="101" ht="15.75" customHeight="1">
      <c r="B101" s="3">
        <f>IFERROR(__xludf.DUMMYFUNCTION("""COMPUTED_VALUE"""),43413.64583333333)</f>
        <v>43413.64583</v>
      </c>
      <c r="C101" s="2">
        <f>IFERROR(__xludf.DUMMYFUNCTION("""COMPUTED_VALUE"""),870.9)</f>
        <v>870.9</v>
      </c>
    </row>
    <row r="102" ht="15.75" customHeight="1">
      <c r="B102" s="3">
        <f>IFERROR(__xludf.DUMMYFUNCTION("""COMPUTED_VALUE"""),43420.64583333333)</f>
        <v>43420.64583</v>
      </c>
      <c r="C102" s="2">
        <f>IFERROR(__xludf.DUMMYFUNCTION("""COMPUTED_VALUE"""),879.95)</f>
        <v>879.95</v>
      </c>
    </row>
    <row r="103" ht="15.75" customHeight="1">
      <c r="B103" s="3">
        <f>IFERROR(__xludf.DUMMYFUNCTION("""COMPUTED_VALUE"""),43426.64583333333)</f>
        <v>43426.64583</v>
      </c>
      <c r="C103" s="2">
        <f>IFERROR(__xludf.DUMMYFUNCTION("""COMPUTED_VALUE"""),776.0)</f>
        <v>776</v>
      </c>
    </row>
    <row r="104" ht="15.75" customHeight="1">
      <c r="B104" s="3">
        <f>IFERROR(__xludf.DUMMYFUNCTION("""COMPUTED_VALUE"""),43434.64583333333)</f>
        <v>43434.64583</v>
      </c>
      <c r="C104" s="2">
        <f>IFERROR(__xludf.DUMMYFUNCTION("""COMPUTED_VALUE"""),725.0)</f>
        <v>725</v>
      </c>
    </row>
    <row r="105" ht="15.75" customHeight="1">
      <c r="B105" s="3">
        <f>IFERROR(__xludf.DUMMYFUNCTION("""COMPUTED_VALUE"""),43441.64583333333)</f>
        <v>43441.64583</v>
      </c>
      <c r="C105" s="2">
        <f>IFERROR(__xludf.DUMMYFUNCTION("""COMPUTED_VALUE"""),818.0)</f>
        <v>818</v>
      </c>
    </row>
    <row r="106" ht="15.75" customHeight="1">
      <c r="B106" s="3">
        <f>IFERROR(__xludf.DUMMYFUNCTION("""COMPUTED_VALUE"""),43448.64583333333)</f>
        <v>43448.64583</v>
      </c>
      <c r="C106" s="2">
        <f>IFERROR(__xludf.DUMMYFUNCTION("""COMPUTED_VALUE"""),805.0)</f>
        <v>805</v>
      </c>
    </row>
    <row r="107" ht="15.75" customHeight="1">
      <c r="B107" s="3">
        <f>IFERROR(__xludf.DUMMYFUNCTION("""COMPUTED_VALUE"""),43455.64583333333)</f>
        <v>43455.64583</v>
      </c>
      <c r="C107" s="2">
        <f>IFERROR(__xludf.DUMMYFUNCTION("""COMPUTED_VALUE"""),875.0)</f>
        <v>875</v>
      </c>
    </row>
    <row r="108" ht="15.75" customHeight="1">
      <c r="B108" s="3">
        <f>IFERROR(__xludf.DUMMYFUNCTION("""COMPUTED_VALUE"""),43462.64583333333)</f>
        <v>43462.64583</v>
      </c>
      <c r="C108" s="2">
        <f>IFERROR(__xludf.DUMMYFUNCTION("""COMPUTED_VALUE"""),858.0)</f>
        <v>858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IFERROR(__xludf.DUMMYFUNCTION("GOOGLEFINANCE(""NSE:IOC"", ""high"",DATE(2017,1,1),DATE(2018,1,1),""weekly"")"),"Date")</f>
        <v>Date</v>
      </c>
      <c r="C1" s="2" t="str">
        <f>IFERROR(__xludf.DUMMYFUNCTION("""COMPUTED_VALUE"""),"High")</f>
        <v>High</v>
      </c>
    </row>
    <row r="2">
      <c r="A2" s="2" t="s">
        <v>16</v>
      </c>
      <c r="B2" s="3">
        <f>IFERROR(__xludf.DUMMYFUNCTION("""COMPUTED_VALUE"""),42741.64583333333)</f>
        <v>42741.64583</v>
      </c>
      <c r="C2" s="2">
        <f>IFERROR(__xludf.DUMMYFUNCTION("""COMPUTED_VALUE"""),177.6)</f>
        <v>177.6</v>
      </c>
    </row>
    <row r="3">
      <c r="A3" s="2" t="s">
        <v>17</v>
      </c>
      <c r="B3" s="3">
        <f>IFERROR(__xludf.DUMMYFUNCTION("""COMPUTED_VALUE"""),42748.64583333333)</f>
        <v>42748.64583</v>
      </c>
      <c r="C3" s="2">
        <f>IFERROR(__xludf.DUMMYFUNCTION("""COMPUTED_VALUE"""),180.0)</f>
        <v>180</v>
      </c>
    </row>
    <row r="4">
      <c r="A4" s="2" t="s">
        <v>18</v>
      </c>
      <c r="B4" s="3">
        <f>IFERROR(__xludf.DUMMYFUNCTION("""COMPUTED_VALUE"""),42755.64583333333)</f>
        <v>42755.64583</v>
      </c>
      <c r="C4" s="2">
        <f>IFERROR(__xludf.DUMMYFUNCTION("""COMPUTED_VALUE"""),180.3)</f>
        <v>180.3</v>
      </c>
    </row>
    <row r="5">
      <c r="A5" s="2" t="s">
        <v>19</v>
      </c>
      <c r="B5" s="3">
        <f>IFERROR(__xludf.DUMMYFUNCTION("""COMPUTED_VALUE"""),42762.64583333333)</f>
        <v>42762.64583</v>
      </c>
      <c r="C5" s="2">
        <f>IFERROR(__xludf.DUMMYFUNCTION("""COMPUTED_VALUE"""),196.25)</f>
        <v>196.25</v>
      </c>
    </row>
    <row r="6">
      <c r="B6" s="3">
        <f>IFERROR(__xludf.DUMMYFUNCTION("""COMPUTED_VALUE"""),42769.64583333333)</f>
        <v>42769.64583</v>
      </c>
      <c r="C6" s="2">
        <f>IFERROR(__xludf.DUMMYFUNCTION("""COMPUTED_VALUE"""),195.38)</f>
        <v>195.38</v>
      </c>
    </row>
    <row r="7">
      <c r="B7" s="3">
        <f>IFERROR(__xludf.DUMMYFUNCTION("""COMPUTED_VALUE"""),42776.64583333333)</f>
        <v>42776.64583</v>
      </c>
      <c r="C7" s="2">
        <f>IFERROR(__xludf.DUMMYFUNCTION("""COMPUTED_VALUE"""),202.0)</f>
        <v>202</v>
      </c>
    </row>
    <row r="8">
      <c r="B8" s="3">
        <f>IFERROR(__xludf.DUMMYFUNCTION("""COMPUTED_VALUE"""),42783.64583333333)</f>
        <v>42783.64583</v>
      </c>
      <c r="C8" s="2">
        <f>IFERROR(__xludf.DUMMYFUNCTION("""COMPUTED_VALUE"""),193.28)</f>
        <v>193.28</v>
      </c>
    </row>
    <row r="9">
      <c r="B9" s="3">
        <f>IFERROR(__xludf.DUMMYFUNCTION("""COMPUTED_VALUE"""),42789.64583333333)</f>
        <v>42789.64583</v>
      </c>
      <c r="C9" s="2">
        <f>IFERROR(__xludf.DUMMYFUNCTION("""COMPUTED_VALUE"""),197.63)</f>
        <v>197.63</v>
      </c>
    </row>
    <row r="10">
      <c r="B10" s="3">
        <f>IFERROR(__xludf.DUMMYFUNCTION("""COMPUTED_VALUE"""),42797.64583333333)</f>
        <v>42797.64583</v>
      </c>
      <c r="C10" s="2">
        <f>IFERROR(__xludf.DUMMYFUNCTION("""COMPUTED_VALUE"""),193.88)</f>
        <v>193.88</v>
      </c>
    </row>
    <row r="11">
      <c r="B11" s="3">
        <f>IFERROR(__xludf.DUMMYFUNCTION("""COMPUTED_VALUE"""),42804.64583333333)</f>
        <v>42804.64583</v>
      </c>
      <c r="C11" s="2">
        <f>IFERROR(__xludf.DUMMYFUNCTION("""COMPUTED_VALUE"""),190.6)</f>
        <v>190.6</v>
      </c>
    </row>
    <row r="12">
      <c r="B12" s="3">
        <f>IFERROR(__xludf.DUMMYFUNCTION("""COMPUTED_VALUE"""),42811.64583333333)</f>
        <v>42811.64583</v>
      </c>
      <c r="C12" s="2">
        <f>IFERROR(__xludf.DUMMYFUNCTION("""COMPUTED_VALUE"""),189.7)</f>
        <v>189.7</v>
      </c>
    </row>
    <row r="13">
      <c r="B13" s="3">
        <f>IFERROR(__xludf.DUMMYFUNCTION("""COMPUTED_VALUE"""),42818.64583333333)</f>
        <v>42818.64583</v>
      </c>
      <c r="C13" s="2">
        <f>IFERROR(__xludf.DUMMYFUNCTION("""COMPUTED_VALUE"""),192.0)</f>
        <v>192</v>
      </c>
    </row>
    <row r="14">
      <c r="B14" s="3">
        <f>IFERROR(__xludf.DUMMYFUNCTION("""COMPUTED_VALUE"""),42825.64583333333)</f>
        <v>42825.64583</v>
      </c>
      <c r="C14" s="2">
        <f>IFERROR(__xludf.DUMMYFUNCTION("""COMPUTED_VALUE"""),195.75)</f>
        <v>195.75</v>
      </c>
    </row>
    <row r="15">
      <c r="B15" s="3">
        <f>IFERROR(__xludf.DUMMYFUNCTION("""COMPUTED_VALUE"""),42832.64583333333)</f>
        <v>42832.64583</v>
      </c>
      <c r="C15" s="2">
        <f>IFERROR(__xludf.DUMMYFUNCTION("""COMPUTED_VALUE"""),199.95)</f>
        <v>199.95</v>
      </c>
    </row>
    <row r="16">
      <c r="B16" s="3">
        <f>IFERROR(__xludf.DUMMYFUNCTION("""COMPUTED_VALUE"""),42838.64583333333)</f>
        <v>42838.64583</v>
      </c>
      <c r="C16" s="2">
        <f>IFERROR(__xludf.DUMMYFUNCTION("""COMPUTED_VALUE"""),214.38)</f>
        <v>214.38</v>
      </c>
    </row>
    <row r="17">
      <c r="B17" s="3">
        <f>IFERROR(__xludf.DUMMYFUNCTION("""COMPUTED_VALUE"""),42846.64583333333)</f>
        <v>42846.64583</v>
      </c>
      <c r="C17" s="2">
        <f>IFERROR(__xludf.DUMMYFUNCTION("""COMPUTED_VALUE"""),219.5)</f>
        <v>219.5</v>
      </c>
    </row>
    <row r="18">
      <c r="B18" s="3">
        <f>IFERROR(__xludf.DUMMYFUNCTION("""COMPUTED_VALUE"""),42853.64583333333)</f>
        <v>42853.64583</v>
      </c>
      <c r="C18" s="2">
        <f>IFERROR(__xludf.DUMMYFUNCTION("""COMPUTED_VALUE"""),223.7)</f>
        <v>223.7</v>
      </c>
    </row>
    <row r="19">
      <c r="B19" s="3">
        <f>IFERROR(__xludf.DUMMYFUNCTION("""COMPUTED_VALUE"""),42860.64583333333)</f>
        <v>42860.64583</v>
      </c>
      <c r="C19" s="2">
        <f>IFERROR(__xludf.DUMMYFUNCTION("""COMPUTED_VALUE"""),225.13)</f>
        <v>225.13</v>
      </c>
    </row>
    <row r="20">
      <c r="B20" s="3">
        <f>IFERROR(__xludf.DUMMYFUNCTION("""COMPUTED_VALUE"""),42867.64583333333)</f>
        <v>42867.64583</v>
      </c>
      <c r="C20" s="2">
        <f>IFERROR(__xludf.DUMMYFUNCTION("""COMPUTED_VALUE"""),222.38)</f>
        <v>222.38</v>
      </c>
    </row>
    <row r="21" ht="15.75" customHeight="1">
      <c r="B21" s="3">
        <f>IFERROR(__xludf.DUMMYFUNCTION("""COMPUTED_VALUE"""),42874.64583333333)</f>
        <v>42874.64583</v>
      </c>
      <c r="C21" s="2">
        <f>IFERROR(__xludf.DUMMYFUNCTION("""COMPUTED_VALUE"""),225.45)</f>
        <v>225.45</v>
      </c>
    </row>
    <row r="22" ht="15.75" customHeight="1">
      <c r="B22" s="3">
        <f>IFERROR(__xludf.DUMMYFUNCTION("""COMPUTED_VALUE"""),42881.64583333333)</f>
        <v>42881.64583</v>
      </c>
      <c r="C22" s="2">
        <f>IFERROR(__xludf.DUMMYFUNCTION("""COMPUTED_VALUE"""),221.75)</f>
        <v>221.75</v>
      </c>
    </row>
    <row r="23" ht="15.75" customHeight="1">
      <c r="B23" s="3">
        <f>IFERROR(__xludf.DUMMYFUNCTION("""COMPUTED_VALUE"""),42888.64583333333)</f>
        <v>42888.64583</v>
      </c>
      <c r="C23" s="2">
        <f>IFERROR(__xludf.DUMMYFUNCTION("""COMPUTED_VALUE"""),217.25)</f>
        <v>217.25</v>
      </c>
    </row>
    <row r="24" ht="15.75" customHeight="1">
      <c r="B24" s="3">
        <f>IFERROR(__xludf.DUMMYFUNCTION("""COMPUTED_VALUE"""),42895.64583333333)</f>
        <v>42895.64583</v>
      </c>
      <c r="C24" s="2">
        <f>IFERROR(__xludf.DUMMYFUNCTION("""COMPUTED_VALUE"""),215.33)</f>
        <v>215.33</v>
      </c>
    </row>
    <row r="25" ht="15.75" customHeight="1">
      <c r="B25" s="3">
        <f>IFERROR(__xludf.DUMMYFUNCTION("""COMPUTED_VALUE"""),42902.64583333333)</f>
        <v>42902.64583</v>
      </c>
      <c r="C25" s="2">
        <f>IFERROR(__xludf.DUMMYFUNCTION("""COMPUTED_VALUE"""),212.65)</f>
        <v>212.65</v>
      </c>
    </row>
    <row r="26" ht="15.75" customHeight="1">
      <c r="B26" s="3">
        <f>IFERROR(__xludf.DUMMYFUNCTION("""COMPUTED_VALUE"""),42909.64583333333)</f>
        <v>42909.64583</v>
      </c>
      <c r="C26" s="2">
        <f>IFERROR(__xludf.DUMMYFUNCTION("""COMPUTED_VALUE"""),207.33)</f>
        <v>207.33</v>
      </c>
    </row>
    <row r="27" ht="15.75" customHeight="1">
      <c r="B27" s="3">
        <f>IFERROR(__xludf.DUMMYFUNCTION("""COMPUTED_VALUE"""),42916.64583333333)</f>
        <v>42916.64583</v>
      </c>
      <c r="C27" s="2">
        <f>IFERROR(__xludf.DUMMYFUNCTION("""COMPUTED_VALUE"""),199.9)</f>
        <v>199.9</v>
      </c>
    </row>
    <row r="28" ht="15.75" customHeight="1">
      <c r="B28" s="3">
        <f>IFERROR(__xludf.DUMMYFUNCTION("""COMPUTED_VALUE"""),42923.64583333333)</f>
        <v>42923.64583</v>
      </c>
      <c r="C28" s="2">
        <f>IFERROR(__xludf.DUMMYFUNCTION("""COMPUTED_VALUE"""),196.1)</f>
        <v>196.1</v>
      </c>
    </row>
    <row r="29" ht="15.75" customHeight="1">
      <c r="B29" s="3">
        <f>IFERROR(__xludf.DUMMYFUNCTION("""COMPUTED_VALUE"""),42930.64583333333)</f>
        <v>42930.64583</v>
      </c>
      <c r="C29" s="2">
        <f>IFERROR(__xludf.DUMMYFUNCTION("""COMPUTED_VALUE"""),199.3)</f>
        <v>199.3</v>
      </c>
    </row>
    <row r="30" ht="15.75" customHeight="1">
      <c r="B30" s="3">
        <f>IFERROR(__xludf.DUMMYFUNCTION("""COMPUTED_VALUE"""),42937.64583333333)</f>
        <v>42937.64583</v>
      </c>
      <c r="C30" s="2">
        <f>IFERROR(__xludf.DUMMYFUNCTION("""COMPUTED_VALUE"""),191.35)</f>
        <v>191.35</v>
      </c>
    </row>
    <row r="31" ht="15.75" customHeight="1">
      <c r="B31" s="3">
        <f>IFERROR(__xludf.DUMMYFUNCTION("""COMPUTED_VALUE"""),42944.64583333333)</f>
        <v>42944.64583</v>
      </c>
      <c r="C31" s="2">
        <f>IFERROR(__xludf.DUMMYFUNCTION("""COMPUTED_VALUE"""),191.48)</f>
        <v>191.48</v>
      </c>
    </row>
    <row r="32" ht="15.75" customHeight="1">
      <c r="B32" s="3">
        <f>IFERROR(__xludf.DUMMYFUNCTION("""COMPUTED_VALUE"""),42951.64583333333)</f>
        <v>42951.64583</v>
      </c>
      <c r="C32" s="2">
        <f>IFERROR(__xludf.DUMMYFUNCTION("""COMPUTED_VALUE"""),213.4)</f>
        <v>213.4</v>
      </c>
    </row>
    <row r="33" ht="15.75" customHeight="1">
      <c r="B33" s="3">
        <f>IFERROR(__xludf.DUMMYFUNCTION("""COMPUTED_VALUE"""),42958.64583333333)</f>
        <v>42958.64583</v>
      </c>
      <c r="C33" s="2">
        <f>IFERROR(__xludf.DUMMYFUNCTION("""COMPUTED_VALUE"""),216.73)</f>
        <v>216.73</v>
      </c>
    </row>
    <row r="34" ht="15.75" customHeight="1">
      <c r="B34" s="3">
        <f>IFERROR(__xludf.DUMMYFUNCTION("""COMPUTED_VALUE"""),42965.64583333333)</f>
        <v>42965.64583</v>
      </c>
      <c r="C34" s="2">
        <f>IFERROR(__xludf.DUMMYFUNCTION("""COMPUTED_VALUE"""),218.0)</f>
        <v>218</v>
      </c>
    </row>
    <row r="35" ht="15.75" customHeight="1">
      <c r="B35" s="3">
        <f>IFERROR(__xludf.DUMMYFUNCTION("""COMPUTED_VALUE"""),42971.64583333333)</f>
        <v>42971.64583</v>
      </c>
      <c r="C35" s="2">
        <f>IFERROR(__xludf.DUMMYFUNCTION("""COMPUTED_VALUE"""),219.0)</f>
        <v>219</v>
      </c>
    </row>
    <row r="36" ht="15.75" customHeight="1">
      <c r="B36" s="3">
        <f>IFERROR(__xludf.DUMMYFUNCTION("""COMPUTED_VALUE"""),42979.64583333333)</f>
        <v>42979.64583</v>
      </c>
      <c r="C36" s="2">
        <f>IFERROR(__xludf.DUMMYFUNCTION("""COMPUTED_VALUE"""),231.48)</f>
        <v>231.48</v>
      </c>
    </row>
    <row r="37" ht="15.75" customHeight="1">
      <c r="B37" s="3">
        <f>IFERROR(__xludf.DUMMYFUNCTION("""COMPUTED_VALUE"""),42986.64583333333)</f>
        <v>42986.64583</v>
      </c>
      <c r="C37" s="2">
        <f>IFERROR(__xludf.DUMMYFUNCTION("""COMPUTED_VALUE"""),222.35)</f>
        <v>222.35</v>
      </c>
    </row>
    <row r="38" ht="15.75" customHeight="1">
      <c r="B38" s="3">
        <f>IFERROR(__xludf.DUMMYFUNCTION("""COMPUTED_VALUE"""),42993.64583333333)</f>
        <v>42993.64583</v>
      </c>
      <c r="C38" s="2">
        <f>IFERROR(__xludf.DUMMYFUNCTION("""COMPUTED_VALUE"""),220.8)</f>
        <v>220.8</v>
      </c>
    </row>
    <row r="39" ht="15.75" customHeight="1">
      <c r="B39" s="3">
        <f>IFERROR(__xludf.DUMMYFUNCTION("""COMPUTED_VALUE"""),43000.64583333333)</f>
        <v>43000.64583</v>
      </c>
      <c r="C39" s="2">
        <f>IFERROR(__xludf.DUMMYFUNCTION("""COMPUTED_VALUE"""),211.33)</f>
        <v>211.33</v>
      </c>
    </row>
    <row r="40" ht="15.75" customHeight="1">
      <c r="B40" s="3">
        <f>IFERROR(__xludf.DUMMYFUNCTION("""COMPUTED_VALUE"""),43007.64583333333)</f>
        <v>43007.64583</v>
      </c>
      <c r="C40" s="2">
        <f>IFERROR(__xludf.DUMMYFUNCTION("""COMPUTED_VALUE"""),204.0)</f>
        <v>204</v>
      </c>
    </row>
    <row r="41" ht="15.75" customHeight="1">
      <c r="B41" s="3">
        <f>IFERROR(__xludf.DUMMYFUNCTION("""COMPUTED_VALUE"""),43014.64583333333)</f>
        <v>43014.64583</v>
      </c>
      <c r="C41" s="2">
        <f>IFERROR(__xludf.DUMMYFUNCTION("""COMPUTED_VALUE"""),209.5)</f>
        <v>209.5</v>
      </c>
    </row>
    <row r="42" ht="15.75" customHeight="1">
      <c r="B42" s="3">
        <f>IFERROR(__xludf.DUMMYFUNCTION("""COMPUTED_VALUE"""),43021.64583333333)</f>
        <v>43021.64583</v>
      </c>
      <c r="C42" s="2">
        <f>IFERROR(__xludf.DUMMYFUNCTION("""COMPUTED_VALUE"""),212.2)</f>
        <v>212.2</v>
      </c>
    </row>
    <row r="43" ht="15.75" customHeight="1">
      <c r="B43" s="3">
        <f>IFERROR(__xludf.DUMMYFUNCTION("""COMPUTED_VALUE"""),43027.83333333333)</f>
        <v>43027.83333</v>
      </c>
      <c r="C43" s="2">
        <f>IFERROR(__xludf.DUMMYFUNCTION("""COMPUTED_VALUE"""),210.7)</f>
        <v>210.7</v>
      </c>
    </row>
    <row r="44" ht="15.75" customHeight="1">
      <c r="B44" s="3">
        <f>IFERROR(__xludf.DUMMYFUNCTION("""COMPUTED_VALUE"""),43035.64583333333)</f>
        <v>43035.64583</v>
      </c>
      <c r="C44" s="2">
        <f>IFERROR(__xludf.DUMMYFUNCTION("""COMPUTED_VALUE"""),221.0)</f>
        <v>221</v>
      </c>
    </row>
    <row r="45" ht="15.75" customHeight="1">
      <c r="B45" s="3">
        <f>IFERROR(__xludf.DUMMYFUNCTION("""COMPUTED_VALUE"""),43042.64583333333)</f>
        <v>43042.64583</v>
      </c>
      <c r="C45" s="2">
        <f>IFERROR(__xludf.DUMMYFUNCTION("""COMPUTED_VALUE"""),211.43)</f>
        <v>211.43</v>
      </c>
    </row>
    <row r="46" ht="15.75" customHeight="1">
      <c r="B46" s="3">
        <f>IFERROR(__xludf.DUMMYFUNCTION("""COMPUTED_VALUE"""),43049.64583333333)</f>
        <v>43049.64583</v>
      </c>
      <c r="C46" s="2">
        <f>IFERROR(__xludf.DUMMYFUNCTION("""COMPUTED_VALUE"""),207.0)</f>
        <v>207</v>
      </c>
    </row>
    <row r="47" ht="15.75" customHeight="1">
      <c r="B47" s="3">
        <f>IFERROR(__xludf.DUMMYFUNCTION("""COMPUTED_VALUE"""),43056.64583333333)</f>
        <v>43056.64583</v>
      </c>
      <c r="C47" s="2">
        <f>IFERROR(__xludf.DUMMYFUNCTION("""COMPUTED_VALUE"""),200.08)</f>
        <v>200.08</v>
      </c>
    </row>
    <row r="48" ht="15.75" customHeight="1">
      <c r="B48" s="3">
        <f>IFERROR(__xludf.DUMMYFUNCTION("""COMPUTED_VALUE"""),43063.64583333333)</f>
        <v>43063.64583</v>
      </c>
      <c r="C48" s="2">
        <f>IFERROR(__xludf.DUMMYFUNCTION("""COMPUTED_VALUE"""),199.6)</f>
        <v>199.6</v>
      </c>
    </row>
    <row r="49" ht="15.75" customHeight="1">
      <c r="B49" s="3">
        <f>IFERROR(__xludf.DUMMYFUNCTION("""COMPUTED_VALUE"""),43070.64583333333)</f>
        <v>43070.64583</v>
      </c>
      <c r="C49" s="2">
        <f>IFERROR(__xludf.DUMMYFUNCTION("""COMPUTED_VALUE"""),198.88)</f>
        <v>198.88</v>
      </c>
    </row>
    <row r="50" ht="15.75" customHeight="1">
      <c r="B50" s="3">
        <f>IFERROR(__xludf.DUMMYFUNCTION("""COMPUTED_VALUE"""),43077.64583333333)</f>
        <v>43077.64583</v>
      </c>
      <c r="C50" s="2">
        <f>IFERROR(__xludf.DUMMYFUNCTION("""COMPUTED_VALUE"""),203.4)</f>
        <v>203.4</v>
      </c>
    </row>
    <row r="51" ht="15.75" customHeight="1">
      <c r="B51" s="3">
        <f>IFERROR(__xludf.DUMMYFUNCTION("""COMPUTED_VALUE"""),43084.64583333333)</f>
        <v>43084.64583</v>
      </c>
      <c r="C51" s="2">
        <f>IFERROR(__xludf.DUMMYFUNCTION("""COMPUTED_VALUE"""),208.5)</f>
        <v>208.5</v>
      </c>
    </row>
    <row r="52" ht="15.75" customHeight="1">
      <c r="B52" s="3">
        <f>IFERROR(__xludf.DUMMYFUNCTION("""COMPUTED_VALUE"""),43091.64583333333)</f>
        <v>43091.64583</v>
      </c>
      <c r="C52" s="2">
        <f>IFERROR(__xludf.DUMMYFUNCTION("""COMPUTED_VALUE"""),207.0)</f>
        <v>207</v>
      </c>
    </row>
    <row r="53" ht="15.75" customHeight="1">
      <c r="B53" s="3">
        <f>IFERROR(__xludf.DUMMYFUNCTION("""COMPUTED_VALUE"""),43098.64583333333)</f>
        <v>43098.64583</v>
      </c>
      <c r="C53" s="2">
        <f>IFERROR(__xludf.DUMMYFUNCTION("""COMPUTED_VALUE"""),207.5)</f>
        <v>207.5</v>
      </c>
    </row>
    <row r="54" ht="15.75" customHeight="1"/>
    <row r="55" ht="15.75" customHeight="1"/>
    <row r="56" ht="15.75" customHeight="1">
      <c r="B56" s="2" t="str">
        <f>IFERROR(__xludf.DUMMYFUNCTION("GOOGLEFINANCE(""NSE:IOC"", ""high"",DATE(2018,1,1),DATE(2019,1,1),""weekly"")"),"Date")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IFERROR(__xludf.DUMMYFUNCTION("""COMPUTED_VALUE"""),43105.64583333333)</f>
        <v>43105.64583</v>
      </c>
      <c r="C57" s="2">
        <f>IFERROR(__xludf.DUMMYFUNCTION("""COMPUTED_VALUE"""),196.4)</f>
        <v>196.4</v>
      </c>
    </row>
    <row r="58" ht="15.75" customHeight="1">
      <c r="B58" s="3">
        <f>IFERROR(__xludf.DUMMYFUNCTION("""COMPUTED_VALUE"""),43112.64583333333)</f>
        <v>43112.64583</v>
      </c>
      <c r="C58" s="2">
        <f>IFERROR(__xludf.DUMMYFUNCTION("""COMPUTED_VALUE"""),197.75)</f>
        <v>197.75</v>
      </c>
    </row>
    <row r="59" ht="15.75" customHeight="1">
      <c r="B59" s="3">
        <f>IFERROR(__xludf.DUMMYFUNCTION("""COMPUTED_VALUE"""),43119.64583333333)</f>
        <v>43119.64583</v>
      </c>
      <c r="C59" s="2">
        <f>IFERROR(__xludf.DUMMYFUNCTION("""COMPUTED_VALUE"""),198.1)</f>
        <v>198.1</v>
      </c>
    </row>
    <row r="60" ht="15.75" customHeight="1">
      <c r="B60" s="3">
        <f>IFERROR(__xludf.DUMMYFUNCTION("""COMPUTED_VALUE"""),43125.64583333333)</f>
        <v>43125.64583</v>
      </c>
      <c r="C60" s="2">
        <f>IFERROR(__xludf.DUMMYFUNCTION("""COMPUTED_VALUE"""),197.5)</f>
        <v>197.5</v>
      </c>
    </row>
    <row r="61" ht="15.75" customHeight="1">
      <c r="B61" s="3">
        <f>IFERROR(__xludf.DUMMYFUNCTION("""COMPUTED_VALUE"""),43133.64583333333)</f>
        <v>43133.64583</v>
      </c>
      <c r="C61" s="2">
        <f>IFERROR(__xludf.DUMMYFUNCTION("""COMPUTED_VALUE"""),213.7)</f>
        <v>213.7</v>
      </c>
    </row>
    <row r="62" ht="15.75" customHeight="1">
      <c r="B62" s="3">
        <f>IFERROR(__xludf.DUMMYFUNCTION("""COMPUTED_VALUE"""),43140.64583333333)</f>
        <v>43140.64583</v>
      </c>
      <c r="C62" s="2">
        <f>IFERROR(__xludf.DUMMYFUNCTION("""COMPUTED_VALUE"""),205.7)</f>
        <v>205.7</v>
      </c>
    </row>
    <row r="63" ht="15.75" customHeight="1">
      <c r="B63" s="3">
        <f>IFERROR(__xludf.DUMMYFUNCTION("""COMPUTED_VALUE"""),43147.64583333333)</f>
        <v>43147.64583</v>
      </c>
      <c r="C63" s="2">
        <f>IFERROR(__xludf.DUMMYFUNCTION("""COMPUTED_VALUE"""),192.38)</f>
        <v>192.38</v>
      </c>
    </row>
    <row r="64" ht="15.75" customHeight="1">
      <c r="B64" s="3">
        <f>IFERROR(__xludf.DUMMYFUNCTION("""COMPUTED_VALUE"""),43154.64583333333)</f>
        <v>43154.64583</v>
      </c>
      <c r="C64" s="2">
        <f>IFERROR(__xludf.DUMMYFUNCTION("""COMPUTED_VALUE"""),188.45)</f>
        <v>188.45</v>
      </c>
    </row>
    <row r="65" ht="15.75" customHeight="1">
      <c r="B65" s="3">
        <f>IFERROR(__xludf.DUMMYFUNCTION("""COMPUTED_VALUE"""),43160.64583333333)</f>
        <v>43160.64583</v>
      </c>
      <c r="C65" s="2">
        <f>IFERROR(__xludf.DUMMYFUNCTION("""COMPUTED_VALUE"""),191.45)</f>
        <v>191.45</v>
      </c>
    </row>
    <row r="66" ht="15.75" customHeight="1">
      <c r="B66" s="3">
        <f>IFERROR(__xludf.DUMMYFUNCTION("""COMPUTED_VALUE"""),43168.64583333333)</f>
        <v>43168.64583</v>
      </c>
      <c r="C66" s="2">
        <f>IFERROR(__xludf.DUMMYFUNCTION("""COMPUTED_VALUE"""),196.4)</f>
        <v>196.4</v>
      </c>
    </row>
    <row r="67" ht="15.75" customHeight="1">
      <c r="B67" s="3">
        <f>IFERROR(__xludf.DUMMYFUNCTION("""COMPUTED_VALUE"""),43175.64583333333)</f>
        <v>43175.64583</v>
      </c>
      <c r="C67" s="2">
        <f>IFERROR(__xludf.DUMMYFUNCTION("""COMPUTED_VALUE"""),206.45)</f>
        <v>206.45</v>
      </c>
    </row>
    <row r="68" ht="15.75" customHeight="1">
      <c r="B68" s="3">
        <f>IFERROR(__xludf.DUMMYFUNCTION("""COMPUTED_VALUE"""),43182.64583333333)</f>
        <v>43182.64583</v>
      </c>
      <c r="C68" s="2">
        <f>IFERROR(__xludf.DUMMYFUNCTION("""COMPUTED_VALUE"""),184.7)</f>
        <v>184.7</v>
      </c>
    </row>
    <row r="69" ht="15.75" customHeight="1">
      <c r="B69" s="3">
        <f>IFERROR(__xludf.DUMMYFUNCTION("""COMPUTED_VALUE"""),43187.64583333333)</f>
        <v>43187.64583</v>
      </c>
      <c r="C69" s="2">
        <f>IFERROR(__xludf.DUMMYFUNCTION("""COMPUTED_VALUE"""),178.55)</f>
        <v>178.55</v>
      </c>
    </row>
    <row r="70" ht="15.75" customHeight="1">
      <c r="B70" s="3">
        <f>IFERROR(__xludf.DUMMYFUNCTION("""COMPUTED_VALUE"""),43196.64583333333)</f>
        <v>43196.64583</v>
      </c>
      <c r="C70" s="2">
        <f>IFERROR(__xludf.DUMMYFUNCTION("""COMPUTED_VALUE"""),178.5)</f>
        <v>178.5</v>
      </c>
    </row>
    <row r="71" ht="15.75" customHeight="1">
      <c r="B71" s="3">
        <f>IFERROR(__xludf.DUMMYFUNCTION("""COMPUTED_VALUE"""),43203.64583333333)</f>
        <v>43203.64583</v>
      </c>
      <c r="C71" s="2">
        <f>IFERROR(__xludf.DUMMYFUNCTION("""COMPUTED_VALUE"""),181.3)</f>
        <v>181.3</v>
      </c>
    </row>
    <row r="72" ht="15.75" customHeight="1">
      <c r="B72" s="3">
        <f>IFERROR(__xludf.DUMMYFUNCTION("""COMPUTED_VALUE"""),43210.64583333333)</f>
        <v>43210.64583</v>
      </c>
      <c r="C72" s="2">
        <f>IFERROR(__xludf.DUMMYFUNCTION("""COMPUTED_VALUE"""),167.75)</f>
        <v>167.75</v>
      </c>
    </row>
    <row r="73" ht="15.75" customHeight="1">
      <c r="B73" s="3">
        <f>IFERROR(__xludf.DUMMYFUNCTION("""COMPUTED_VALUE"""),43217.64583333333)</f>
        <v>43217.64583</v>
      </c>
      <c r="C73" s="2">
        <f>IFERROR(__xludf.DUMMYFUNCTION("""COMPUTED_VALUE"""),165.2)</f>
        <v>165.2</v>
      </c>
    </row>
    <row r="74" ht="15.75" customHeight="1">
      <c r="B74" s="3">
        <f>IFERROR(__xludf.DUMMYFUNCTION("""COMPUTED_VALUE"""),43224.64583333333)</f>
        <v>43224.64583</v>
      </c>
      <c r="C74" s="2">
        <f>IFERROR(__xludf.DUMMYFUNCTION("""COMPUTED_VALUE"""),164.9)</f>
        <v>164.9</v>
      </c>
    </row>
    <row r="75" ht="15.75" customHeight="1">
      <c r="B75" s="3">
        <f>IFERROR(__xludf.DUMMYFUNCTION("""COMPUTED_VALUE"""),43231.64583333333)</f>
        <v>43231.64583</v>
      </c>
      <c r="C75" s="2">
        <f>IFERROR(__xludf.DUMMYFUNCTION("""COMPUTED_VALUE"""),173.1)</f>
        <v>173.1</v>
      </c>
    </row>
    <row r="76" ht="15.75" customHeight="1">
      <c r="B76" s="3">
        <f>IFERROR(__xludf.DUMMYFUNCTION("""COMPUTED_VALUE"""),43238.64583333333)</f>
        <v>43238.64583</v>
      </c>
      <c r="C76" s="2">
        <f>IFERROR(__xludf.DUMMYFUNCTION("""COMPUTED_VALUE"""),173.7)</f>
        <v>173.7</v>
      </c>
    </row>
    <row r="77" ht="15.75" customHeight="1">
      <c r="B77" s="3">
        <f>IFERROR(__xludf.DUMMYFUNCTION("""COMPUTED_VALUE"""),43245.64583333333)</f>
        <v>43245.64583</v>
      </c>
      <c r="C77" s="2">
        <f>IFERROR(__xludf.DUMMYFUNCTION("""COMPUTED_VALUE"""),166.95)</f>
        <v>166.95</v>
      </c>
    </row>
    <row r="78" ht="15.75" customHeight="1">
      <c r="B78" s="3">
        <f>IFERROR(__xludf.DUMMYFUNCTION("""COMPUTED_VALUE"""),43252.64583333333)</f>
        <v>43252.64583</v>
      </c>
      <c r="C78" s="2">
        <f>IFERROR(__xludf.DUMMYFUNCTION("""COMPUTED_VALUE"""),177.0)</f>
        <v>177</v>
      </c>
    </row>
    <row r="79" ht="15.75" customHeight="1">
      <c r="B79" s="3">
        <f>IFERROR(__xludf.DUMMYFUNCTION("""COMPUTED_VALUE"""),43259.64583333333)</f>
        <v>43259.64583</v>
      </c>
      <c r="C79" s="2">
        <f>IFERROR(__xludf.DUMMYFUNCTION("""COMPUTED_VALUE"""),176.45)</f>
        <v>176.45</v>
      </c>
    </row>
    <row r="80" ht="15.75" customHeight="1">
      <c r="B80" s="3">
        <f>IFERROR(__xludf.DUMMYFUNCTION("""COMPUTED_VALUE"""),43266.64583333333)</f>
        <v>43266.64583</v>
      </c>
      <c r="C80" s="2">
        <f>IFERROR(__xludf.DUMMYFUNCTION("""COMPUTED_VALUE"""),176.5)</f>
        <v>176.5</v>
      </c>
    </row>
    <row r="81" ht="15.75" customHeight="1">
      <c r="B81" s="3">
        <f>IFERROR(__xludf.DUMMYFUNCTION("""COMPUTED_VALUE"""),43273.64583333333)</f>
        <v>43273.64583</v>
      </c>
      <c r="C81" s="2">
        <f>IFERROR(__xludf.DUMMYFUNCTION("""COMPUTED_VALUE"""),177.2)</f>
        <v>177.2</v>
      </c>
    </row>
    <row r="82" ht="15.75" customHeight="1">
      <c r="B82" s="3">
        <f>IFERROR(__xludf.DUMMYFUNCTION("""COMPUTED_VALUE"""),43280.64583333333)</f>
        <v>43280.64583</v>
      </c>
      <c r="C82" s="2">
        <f>IFERROR(__xludf.DUMMYFUNCTION("""COMPUTED_VALUE"""),170.45)</f>
        <v>170.45</v>
      </c>
    </row>
    <row r="83" ht="15.75" customHeight="1">
      <c r="B83" s="3">
        <f>IFERROR(__xludf.DUMMYFUNCTION("""COMPUTED_VALUE"""),43287.64583333333)</f>
        <v>43287.64583</v>
      </c>
      <c r="C83" s="2">
        <f>IFERROR(__xludf.DUMMYFUNCTION("""COMPUTED_VALUE"""),159.9)</f>
        <v>159.9</v>
      </c>
    </row>
    <row r="84" ht="15.75" customHeight="1">
      <c r="B84" s="3">
        <f>IFERROR(__xludf.DUMMYFUNCTION("""COMPUTED_VALUE"""),43294.64583333333)</f>
        <v>43294.64583</v>
      </c>
      <c r="C84" s="2">
        <f>IFERROR(__xludf.DUMMYFUNCTION("""COMPUTED_VALUE"""),164.0)</f>
        <v>164</v>
      </c>
    </row>
    <row r="85" ht="15.75" customHeight="1">
      <c r="B85" s="3">
        <f>IFERROR(__xludf.DUMMYFUNCTION("""COMPUTED_VALUE"""),43301.64583333333)</f>
        <v>43301.64583</v>
      </c>
      <c r="C85" s="2">
        <f>IFERROR(__xludf.DUMMYFUNCTION("""COMPUTED_VALUE"""),168.2)</f>
        <v>168.2</v>
      </c>
    </row>
    <row r="86" ht="15.75" customHeight="1">
      <c r="B86" s="3">
        <f>IFERROR(__xludf.DUMMYFUNCTION("""COMPUTED_VALUE"""),43308.64583333333)</f>
        <v>43308.64583</v>
      </c>
      <c r="C86" s="2">
        <f>IFERROR(__xludf.DUMMYFUNCTION("""COMPUTED_VALUE"""),166.2)</f>
        <v>166.2</v>
      </c>
    </row>
    <row r="87" ht="15.75" customHeight="1">
      <c r="B87" s="3">
        <f>IFERROR(__xludf.DUMMYFUNCTION("""COMPUTED_VALUE"""),43315.64583333333)</f>
        <v>43315.64583</v>
      </c>
      <c r="C87" s="2">
        <f>IFERROR(__xludf.DUMMYFUNCTION("""COMPUTED_VALUE"""),171.8)</f>
        <v>171.8</v>
      </c>
    </row>
    <row r="88" ht="15.75" customHeight="1">
      <c r="B88" s="3">
        <f>IFERROR(__xludf.DUMMYFUNCTION("""COMPUTED_VALUE"""),43322.64583333333)</f>
        <v>43322.64583</v>
      </c>
      <c r="C88" s="2">
        <f>IFERROR(__xludf.DUMMYFUNCTION("""COMPUTED_VALUE"""),169.9)</f>
        <v>169.9</v>
      </c>
    </row>
    <row r="89" ht="15.75" customHeight="1">
      <c r="B89" s="3">
        <f>IFERROR(__xludf.DUMMYFUNCTION("""COMPUTED_VALUE"""),43329.64583333333)</f>
        <v>43329.64583</v>
      </c>
      <c r="C89" s="2">
        <f>IFERROR(__xludf.DUMMYFUNCTION("""COMPUTED_VALUE"""),168.0)</f>
        <v>168</v>
      </c>
    </row>
    <row r="90" ht="15.75" customHeight="1">
      <c r="B90" s="3">
        <f>IFERROR(__xludf.DUMMYFUNCTION("""COMPUTED_VALUE"""),43336.64583333333)</f>
        <v>43336.64583</v>
      </c>
      <c r="C90" s="2">
        <f>IFERROR(__xludf.DUMMYFUNCTION("""COMPUTED_VALUE"""),160.35)</f>
        <v>160.35</v>
      </c>
    </row>
    <row r="91" ht="15.75" customHeight="1">
      <c r="B91" s="3">
        <f>IFERROR(__xludf.DUMMYFUNCTION("""COMPUTED_VALUE"""),43343.64583333333)</f>
        <v>43343.64583</v>
      </c>
      <c r="C91" s="2">
        <f>IFERROR(__xludf.DUMMYFUNCTION("""COMPUTED_VALUE"""),157.4)</f>
        <v>157.4</v>
      </c>
    </row>
    <row r="92" ht="15.75" customHeight="1">
      <c r="B92" s="3">
        <f>IFERROR(__xludf.DUMMYFUNCTION("""COMPUTED_VALUE"""),43350.64583333333)</f>
        <v>43350.64583</v>
      </c>
      <c r="C92" s="2">
        <f>IFERROR(__xludf.DUMMYFUNCTION("""COMPUTED_VALUE"""),157.0)</f>
        <v>157</v>
      </c>
    </row>
    <row r="93" ht="15.75" customHeight="1">
      <c r="B93" s="3">
        <f>IFERROR(__xludf.DUMMYFUNCTION("""COMPUTED_VALUE"""),43357.64583333333)</f>
        <v>43357.64583</v>
      </c>
      <c r="C93" s="2">
        <f>IFERROR(__xludf.DUMMYFUNCTION("""COMPUTED_VALUE"""),156.0)</f>
        <v>156</v>
      </c>
    </row>
    <row r="94" ht="15.75" customHeight="1">
      <c r="B94" s="3">
        <f>IFERROR(__xludf.DUMMYFUNCTION("""COMPUTED_VALUE"""),43364.64583333333)</f>
        <v>43364.64583</v>
      </c>
      <c r="C94" s="2">
        <f>IFERROR(__xludf.DUMMYFUNCTION("""COMPUTED_VALUE"""),159.3)</f>
        <v>159.3</v>
      </c>
    </row>
    <row r="95" ht="15.75" customHeight="1">
      <c r="B95" s="3">
        <f>IFERROR(__xludf.DUMMYFUNCTION("""COMPUTED_VALUE"""),43371.64583333333)</f>
        <v>43371.64583</v>
      </c>
      <c r="C95" s="2">
        <f>IFERROR(__xludf.DUMMYFUNCTION("""COMPUTED_VALUE"""),160.2)</f>
        <v>160.2</v>
      </c>
    </row>
    <row r="96" ht="15.75" customHeight="1">
      <c r="B96" s="3">
        <f>IFERROR(__xludf.DUMMYFUNCTION("""COMPUTED_VALUE"""),43378.64583333333)</f>
        <v>43378.64583</v>
      </c>
      <c r="C96" s="2">
        <f>IFERROR(__xludf.DUMMYFUNCTION("""COMPUTED_VALUE"""),159.1)</f>
        <v>159.1</v>
      </c>
    </row>
    <row r="97" ht="15.75" customHeight="1">
      <c r="B97" s="3">
        <f>IFERROR(__xludf.DUMMYFUNCTION("""COMPUTED_VALUE"""),43385.64583333333)</f>
        <v>43385.64583</v>
      </c>
      <c r="C97" s="2">
        <f>IFERROR(__xludf.DUMMYFUNCTION("""COMPUTED_VALUE"""),136.75)</f>
        <v>136.75</v>
      </c>
    </row>
    <row r="98" ht="15.75" customHeight="1">
      <c r="B98" s="3">
        <f>IFERROR(__xludf.DUMMYFUNCTION("""COMPUTED_VALUE"""),43392.64583333333)</f>
        <v>43392.64583</v>
      </c>
      <c r="C98" s="2">
        <f>IFERROR(__xludf.DUMMYFUNCTION("""COMPUTED_VALUE"""),136.95)</f>
        <v>136.95</v>
      </c>
    </row>
    <row r="99" ht="15.75" customHeight="1">
      <c r="B99" s="3">
        <f>IFERROR(__xludf.DUMMYFUNCTION("""COMPUTED_VALUE"""),43399.64583333333)</f>
        <v>43399.64583</v>
      </c>
      <c r="C99" s="2">
        <f>IFERROR(__xludf.DUMMYFUNCTION("""COMPUTED_VALUE"""),141.55)</f>
        <v>141.55</v>
      </c>
    </row>
    <row r="100" ht="15.75" customHeight="1">
      <c r="B100" s="3">
        <f>IFERROR(__xludf.DUMMYFUNCTION("""COMPUTED_VALUE"""),43406.64583333333)</f>
        <v>43406.64583</v>
      </c>
      <c r="C100" s="2">
        <f>IFERROR(__xludf.DUMMYFUNCTION("""COMPUTED_VALUE"""),151.4)</f>
        <v>151.4</v>
      </c>
    </row>
    <row r="101" ht="15.75" customHeight="1">
      <c r="B101" s="3">
        <f>IFERROR(__xludf.DUMMYFUNCTION("""COMPUTED_VALUE"""),43413.64583333333)</f>
        <v>43413.64583</v>
      </c>
      <c r="C101" s="2">
        <f>IFERROR(__xludf.DUMMYFUNCTION("""COMPUTED_VALUE"""),146.5)</f>
        <v>146.5</v>
      </c>
    </row>
    <row r="102" ht="15.75" customHeight="1">
      <c r="B102" s="3">
        <f>IFERROR(__xludf.DUMMYFUNCTION("""COMPUTED_VALUE"""),43420.64583333333)</f>
        <v>43420.64583</v>
      </c>
      <c r="C102" s="2">
        <f>IFERROR(__xludf.DUMMYFUNCTION("""COMPUTED_VALUE"""),155.5)</f>
        <v>155.5</v>
      </c>
    </row>
    <row r="103" ht="15.75" customHeight="1">
      <c r="B103" s="3">
        <f>IFERROR(__xludf.DUMMYFUNCTION("""COMPUTED_VALUE"""),43426.64583333333)</f>
        <v>43426.64583</v>
      </c>
      <c r="C103" s="2">
        <f>IFERROR(__xludf.DUMMYFUNCTION("""COMPUTED_VALUE"""),148.5)</f>
        <v>148.5</v>
      </c>
    </row>
    <row r="104" ht="15.75" customHeight="1">
      <c r="B104" s="3">
        <f>IFERROR(__xludf.DUMMYFUNCTION("""COMPUTED_VALUE"""),43434.64583333333)</f>
        <v>43434.64583</v>
      </c>
      <c r="C104" s="2">
        <f>IFERROR(__xludf.DUMMYFUNCTION("""COMPUTED_VALUE"""),143.0)</f>
        <v>143</v>
      </c>
    </row>
    <row r="105" ht="15.75" customHeight="1">
      <c r="B105" s="3">
        <f>IFERROR(__xludf.DUMMYFUNCTION("""COMPUTED_VALUE"""),43441.64583333333)</f>
        <v>43441.64583</v>
      </c>
      <c r="C105" s="2">
        <f>IFERROR(__xludf.DUMMYFUNCTION("""COMPUTED_VALUE"""),138.2)</f>
        <v>138.2</v>
      </c>
    </row>
    <row r="106" ht="15.75" customHeight="1">
      <c r="B106" s="3">
        <f>IFERROR(__xludf.DUMMYFUNCTION("""COMPUTED_VALUE"""),43448.64583333333)</f>
        <v>43448.64583</v>
      </c>
      <c r="C106" s="2">
        <f>IFERROR(__xludf.DUMMYFUNCTION("""COMPUTED_VALUE"""),142.5)</f>
        <v>142.5</v>
      </c>
    </row>
    <row r="107" ht="15.75" customHeight="1">
      <c r="B107" s="3">
        <f>IFERROR(__xludf.DUMMYFUNCTION("""COMPUTED_VALUE"""),43455.64583333333)</f>
        <v>43455.64583</v>
      </c>
      <c r="C107" s="2">
        <f>IFERROR(__xludf.DUMMYFUNCTION("""COMPUTED_VALUE"""),148.25)</f>
        <v>148.25</v>
      </c>
    </row>
    <row r="108" ht="15.75" customHeight="1">
      <c r="B108" s="3">
        <f>IFERROR(__xludf.DUMMYFUNCTION("""COMPUTED_VALUE"""),43462.64583333333)</f>
        <v>43462.64583</v>
      </c>
      <c r="C108" s="2">
        <f>IFERROR(__xludf.DUMMYFUNCTION("""COMPUTED_VALUE"""),140.9)</f>
        <v>140.9</v>
      </c>
    </row>
    <row r="109" ht="15.75" customHeight="1"/>
    <row r="110" ht="15.75" customHeight="1"/>
    <row r="111" ht="15.75" customHeight="1">
      <c r="B111" s="2" t="str">
        <f>IFERROR(__xludf.DUMMYFUNCTION("GOOGLEFINANCE(""NSE:IOC"", ""high"",DATE(2019,1,1),DATE(2020,1,1),""weekly"")"),"Date")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IFERROR(__xludf.DUMMYFUNCTION("""COMPUTED_VALUE"""),43469.64583333333)</f>
        <v>43469.64583</v>
      </c>
      <c r="C112" s="2">
        <f>IFERROR(__xludf.DUMMYFUNCTION("""COMPUTED_VALUE"""),139.0)</f>
        <v>139</v>
      </c>
    </row>
    <row r="113" ht="15.75" customHeight="1">
      <c r="B113" s="3">
        <f>IFERROR(__xludf.DUMMYFUNCTION("""COMPUTED_VALUE"""),43476.64583333333)</f>
        <v>43476.64583</v>
      </c>
      <c r="C113" s="2">
        <f>IFERROR(__xludf.DUMMYFUNCTION("""COMPUTED_VALUE"""),134.75)</f>
        <v>134.75</v>
      </c>
    </row>
    <row r="114" ht="15.75" customHeight="1">
      <c r="B114" s="3">
        <f>IFERROR(__xludf.DUMMYFUNCTION("""COMPUTED_VALUE"""),43483.64583333333)</f>
        <v>43483.64583</v>
      </c>
      <c r="C114" s="2">
        <f>IFERROR(__xludf.DUMMYFUNCTION("""COMPUTED_VALUE"""),138.7)</f>
        <v>138.7</v>
      </c>
    </row>
    <row r="115" ht="15.75" customHeight="1">
      <c r="B115" s="3">
        <f>IFERROR(__xludf.DUMMYFUNCTION("""COMPUTED_VALUE"""),43490.64583333333)</f>
        <v>43490.64583</v>
      </c>
      <c r="C115" s="2">
        <f>IFERROR(__xludf.DUMMYFUNCTION("""COMPUTED_VALUE"""),138.8)</f>
        <v>138.8</v>
      </c>
    </row>
    <row r="116" ht="15.75" customHeight="1">
      <c r="B116" s="3">
        <f>IFERROR(__xludf.DUMMYFUNCTION("""COMPUTED_VALUE"""),43497.64583333333)</f>
        <v>43497.64583</v>
      </c>
      <c r="C116" s="2">
        <f>IFERROR(__xludf.DUMMYFUNCTION("""COMPUTED_VALUE"""),139.55)</f>
        <v>139.55</v>
      </c>
    </row>
    <row r="117" ht="15.75" customHeight="1">
      <c r="B117" s="3">
        <f>IFERROR(__xludf.DUMMYFUNCTION("""COMPUTED_VALUE"""),43504.64583333333)</f>
        <v>43504.64583</v>
      </c>
      <c r="C117" s="2">
        <f>IFERROR(__xludf.DUMMYFUNCTION("""COMPUTED_VALUE"""),138.55)</f>
        <v>138.55</v>
      </c>
    </row>
    <row r="118" ht="15.75" customHeight="1">
      <c r="B118" s="3">
        <f>IFERROR(__xludf.DUMMYFUNCTION("""COMPUTED_VALUE"""),43511.64583333333)</f>
        <v>43511.64583</v>
      </c>
      <c r="C118" s="2">
        <f>IFERROR(__xludf.DUMMYFUNCTION("""COMPUTED_VALUE"""),137.9)</f>
        <v>137.9</v>
      </c>
    </row>
    <row r="119" ht="15.75" customHeight="1">
      <c r="B119" s="3">
        <f>IFERROR(__xludf.DUMMYFUNCTION("""COMPUTED_VALUE"""),43518.64583333333)</f>
        <v>43518.64583</v>
      </c>
      <c r="C119" s="2">
        <f>IFERROR(__xludf.DUMMYFUNCTION("""COMPUTED_VALUE"""),138.0)</f>
        <v>138</v>
      </c>
    </row>
    <row r="120" ht="15.75" customHeight="1">
      <c r="B120" s="3">
        <f>IFERROR(__xludf.DUMMYFUNCTION("""COMPUTED_VALUE"""),43525.64583333333)</f>
        <v>43525.64583</v>
      </c>
      <c r="C120" s="2">
        <f>IFERROR(__xludf.DUMMYFUNCTION("""COMPUTED_VALUE"""),148.95)</f>
        <v>148.95</v>
      </c>
    </row>
    <row r="121" ht="15.75" customHeight="1">
      <c r="B121" s="3">
        <f>IFERROR(__xludf.DUMMYFUNCTION("""COMPUTED_VALUE"""),43532.64583333333)</f>
        <v>43532.64583</v>
      </c>
      <c r="C121" s="2">
        <f>IFERROR(__xludf.DUMMYFUNCTION("""COMPUTED_VALUE"""),157.25)</f>
        <v>157.25</v>
      </c>
    </row>
    <row r="122" ht="15.75" customHeight="1">
      <c r="B122" s="3">
        <f>IFERROR(__xludf.DUMMYFUNCTION("""COMPUTED_VALUE"""),43539.64583333333)</f>
        <v>43539.64583</v>
      </c>
      <c r="C122" s="2">
        <f>IFERROR(__xludf.DUMMYFUNCTION("""COMPUTED_VALUE"""),159.2)</f>
        <v>159.2</v>
      </c>
    </row>
    <row r="123" ht="15.75" customHeight="1">
      <c r="B123" s="3">
        <f>IFERROR(__xludf.DUMMYFUNCTION("""COMPUTED_VALUE"""),43546.64583333333)</f>
        <v>43546.64583</v>
      </c>
      <c r="C123" s="2">
        <f>IFERROR(__xludf.DUMMYFUNCTION("""COMPUTED_VALUE"""),166.2)</f>
        <v>166.2</v>
      </c>
    </row>
    <row r="124" ht="15.75" customHeight="1">
      <c r="B124" s="3">
        <f>IFERROR(__xludf.DUMMYFUNCTION("""COMPUTED_VALUE"""),43553.64583333333)</f>
        <v>43553.64583</v>
      </c>
      <c r="C124" s="2">
        <f>IFERROR(__xludf.DUMMYFUNCTION("""COMPUTED_VALUE"""),169.75)</f>
        <v>169.75</v>
      </c>
    </row>
    <row r="125" ht="15.75" customHeight="1">
      <c r="B125" s="3">
        <f>IFERROR(__xludf.DUMMYFUNCTION("""COMPUTED_VALUE"""),43560.64583333333)</f>
        <v>43560.64583</v>
      </c>
      <c r="C125" s="2">
        <f>IFERROR(__xludf.DUMMYFUNCTION("""COMPUTED_VALUE"""),163.8)</f>
        <v>163.8</v>
      </c>
    </row>
    <row r="126" ht="15.75" customHeight="1">
      <c r="B126" s="3">
        <f>IFERROR(__xludf.DUMMYFUNCTION("""COMPUTED_VALUE"""),43567.64583333333)</f>
        <v>43567.64583</v>
      </c>
      <c r="C126" s="2">
        <f>IFERROR(__xludf.DUMMYFUNCTION("""COMPUTED_VALUE"""),161.8)</f>
        <v>161.8</v>
      </c>
    </row>
    <row r="127" ht="15.75" customHeight="1">
      <c r="B127" s="3">
        <f>IFERROR(__xludf.DUMMYFUNCTION("""COMPUTED_VALUE"""),43573.64583333333)</f>
        <v>43573.64583</v>
      </c>
      <c r="C127" s="2">
        <f>IFERROR(__xludf.DUMMYFUNCTION("""COMPUTED_VALUE"""),158.5)</f>
        <v>158.5</v>
      </c>
    </row>
    <row r="128" ht="15.75" customHeight="1">
      <c r="B128" s="3">
        <f>IFERROR(__xludf.DUMMYFUNCTION("""COMPUTED_VALUE"""),43581.64583333333)</f>
        <v>43581.64583</v>
      </c>
      <c r="C128" s="2">
        <f>IFERROR(__xludf.DUMMYFUNCTION("""COMPUTED_VALUE"""),157.1)</f>
        <v>157.1</v>
      </c>
    </row>
    <row r="129" ht="15.75" customHeight="1">
      <c r="B129" s="3">
        <f>IFERROR(__xludf.DUMMYFUNCTION("""COMPUTED_VALUE"""),43588.64583333333)</f>
        <v>43588.64583</v>
      </c>
      <c r="C129" s="2">
        <f>IFERROR(__xludf.DUMMYFUNCTION("""COMPUTED_VALUE"""),160.3)</f>
        <v>160.3</v>
      </c>
    </row>
    <row r="130" ht="15.75" customHeight="1">
      <c r="B130" s="3">
        <f>IFERROR(__xludf.DUMMYFUNCTION("""COMPUTED_VALUE"""),43595.64583333333)</f>
        <v>43595.64583</v>
      </c>
      <c r="C130" s="2">
        <f>IFERROR(__xludf.DUMMYFUNCTION("""COMPUTED_VALUE"""),158.4)</f>
        <v>158.4</v>
      </c>
    </row>
    <row r="131" ht="15.75" customHeight="1">
      <c r="B131" s="3">
        <f>IFERROR(__xludf.DUMMYFUNCTION("""COMPUTED_VALUE"""),43602.64583333333)</f>
        <v>43602.64583</v>
      </c>
      <c r="C131" s="2">
        <f>IFERROR(__xludf.DUMMYFUNCTION("""COMPUTED_VALUE"""),152.65)</f>
        <v>152.65</v>
      </c>
    </row>
    <row r="132" ht="15.75" customHeight="1">
      <c r="B132" s="3">
        <f>IFERROR(__xludf.DUMMYFUNCTION("""COMPUTED_VALUE"""),43609.64583333333)</f>
        <v>43609.64583</v>
      </c>
      <c r="C132" s="2">
        <f>IFERROR(__xludf.DUMMYFUNCTION("""COMPUTED_VALUE"""),160.2)</f>
        <v>160.2</v>
      </c>
    </row>
    <row r="133" ht="15.75" customHeight="1">
      <c r="B133" s="3">
        <f>IFERROR(__xludf.DUMMYFUNCTION("""COMPUTED_VALUE"""),43616.64583333333)</f>
        <v>43616.64583</v>
      </c>
      <c r="C133" s="2">
        <f>IFERROR(__xludf.DUMMYFUNCTION("""COMPUTED_VALUE"""),168.8)</f>
        <v>168.8</v>
      </c>
    </row>
    <row r="134" ht="15.75" customHeight="1">
      <c r="B134" s="3">
        <f>IFERROR(__xludf.DUMMYFUNCTION("""COMPUTED_VALUE"""),43623.64583333333)</f>
        <v>43623.64583</v>
      </c>
      <c r="C134" s="2">
        <f>IFERROR(__xludf.DUMMYFUNCTION("""COMPUTED_VALUE"""),170.75)</f>
        <v>170.75</v>
      </c>
    </row>
    <row r="135" ht="15.75" customHeight="1">
      <c r="B135" s="3">
        <f>IFERROR(__xludf.DUMMYFUNCTION("""COMPUTED_VALUE"""),43630.64583333333)</f>
        <v>43630.64583</v>
      </c>
      <c r="C135" s="2">
        <f>IFERROR(__xludf.DUMMYFUNCTION("""COMPUTED_VALUE"""),163.5)</f>
        <v>163.5</v>
      </c>
    </row>
    <row r="136" ht="15.75" customHeight="1">
      <c r="B136" s="3">
        <f>IFERROR(__xludf.DUMMYFUNCTION("""COMPUTED_VALUE"""),43637.64583333333)</f>
        <v>43637.64583</v>
      </c>
      <c r="C136" s="2">
        <f>IFERROR(__xludf.DUMMYFUNCTION("""COMPUTED_VALUE"""),159.7)</f>
        <v>159.7</v>
      </c>
    </row>
    <row r="137" ht="15.75" customHeight="1">
      <c r="B137" s="3">
        <f>IFERROR(__xludf.DUMMYFUNCTION("""COMPUTED_VALUE"""),43644.64583333333)</f>
        <v>43644.64583</v>
      </c>
      <c r="C137" s="2">
        <f>IFERROR(__xludf.DUMMYFUNCTION("""COMPUTED_VALUE"""),158.0)</f>
        <v>158</v>
      </c>
    </row>
    <row r="138" ht="15.75" customHeight="1">
      <c r="B138" s="3">
        <f>IFERROR(__xludf.DUMMYFUNCTION("""COMPUTED_VALUE"""),43651.64583333333)</f>
        <v>43651.64583</v>
      </c>
      <c r="C138" s="2">
        <f>IFERROR(__xludf.DUMMYFUNCTION("""COMPUTED_VALUE"""),157.5)</f>
        <v>157.5</v>
      </c>
    </row>
    <row r="139" ht="15.75" customHeight="1">
      <c r="B139" s="3">
        <f>IFERROR(__xludf.DUMMYFUNCTION("""COMPUTED_VALUE"""),43658.64583333333)</f>
        <v>43658.64583</v>
      </c>
      <c r="C139" s="2">
        <f>IFERROR(__xludf.DUMMYFUNCTION("""COMPUTED_VALUE"""),152.7)</f>
        <v>152.7</v>
      </c>
    </row>
    <row r="140" ht="15.75" customHeight="1">
      <c r="B140" s="3">
        <f>IFERROR(__xludf.DUMMYFUNCTION("""COMPUTED_VALUE"""),43665.64583333333)</f>
        <v>43665.64583</v>
      </c>
      <c r="C140" s="2">
        <f>IFERROR(__xludf.DUMMYFUNCTION("""COMPUTED_VALUE"""),149.95)</f>
        <v>149.95</v>
      </c>
    </row>
    <row r="141" ht="15.75" customHeight="1">
      <c r="B141" s="3">
        <f>IFERROR(__xludf.DUMMYFUNCTION("""COMPUTED_VALUE"""),43672.64583333333)</f>
        <v>43672.64583</v>
      </c>
      <c r="C141" s="2">
        <f>IFERROR(__xludf.DUMMYFUNCTION("""COMPUTED_VALUE"""),151.3)</f>
        <v>151.3</v>
      </c>
    </row>
    <row r="142" ht="15.75" customHeight="1">
      <c r="B142" s="3">
        <f>IFERROR(__xludf.DUMMYFUNCTION("""COMPUTED_VALUE"""),43679.64583333333)</f>
        <v>43679.64583</v>
      </c>
      <c r="C142" s="2">
        <f>IFERROR(__xludf.DUMMYFUNCTION("""COMPUTED_VALUE"""),143.0)</f>
        <v>143</v>
      </c>
    </row>
    <row r="143" ht="15.75" customHeight="1">
      <c r="B143" s="3">
        <f>IFERROR(__xludf.DUMMYFUNCTION("""COMPUTED_VALUE"""),43686.64583333333)</f>
        <v>43686.64583</v>
      </c>
      <c r="C143" s="2">
        <f>IFERROR(__xludf.DUMMYFUNCTION("""COMPUTED_VALUE"""),134.7)</f>
        <v>134.7</v>
      </c>
    </row>
    <row r="144" ht="15.75" customHeight="1">
      <c r="B144" s="3">
        <f>IFERROR(__xludf.DUMMYFUNCTION("""COMPUTED_VALUE"""),43693.64583333333)</f>
        <v>43693.64583</v>
      </c>
      <c r="C144" s="2">
        <f>IFERROR(__xludf.DUMMYFUNCTION("""COMPUTED_VALUE"""),131.85)</f>
        <v>131.85</v>
      </c>
    </row>
    <row r="145" ht="15.75" customHeight="1">
      <c r="B145" s="3">
        <f>IFERROR(__xludf.DUMMYFUNCTION("""COMPUTED_VALUE"""),43700.64583333333)</f>
        <v>43700.64583</v>
      </c>
      <c r="C145" s="2">
        <f>IFERROR(__xludf.DUMMYFUNCTION("""COMPUTED_VALUE"""),127.4)</f>
        <v>127.4</v>
      </c>
    </row>
    <row r="146" ht="15.75" customHeight="1">
      <c r="B146" s="3">
        <f>IFERROR(__xludf.DUMMYFUNCTION("""COMPUTED_VALUE"""),43707.64583333333)</f>
        <v>43707.64583</v>
      </c>
      <c r="C146" s="2">
        <f>IFERROR(__xludf.DUMMYFUNCTION("""COMPUTED_VALUE"""),128.2)</f>
        <v>128.2</v>
      </c>
    </row>
    <row r="147" ht="15.75" customHeight="1">
      <c r="B147" s="3">
        <f>IFERROR(__xludf.DUMMYFUNCTION("""COMPUTED_VALUE"""),43714.64583333333)</f>
        <v>43714.64583</v>
      </c>
      <c r="C147" s="2">
        <f>IFERROR(__xludf.DUMMYFUNCTION("""COMPUTED_VALUE"""),129.2)</f>
        <v>129.2</v>
      </c>
    </row>
    <row r="148" ht="15.75" customHeight="1">
      <c r="B148" s="3">
        <f>IFERROR(__xludf.DUMMYFUNCTION("""COMPUTED_VALUE"""),43721.64583333333)</f>
        <v>43721.64583</v>
      </c>
      <c r="C148" s="2">
        <f>IFERROR(__xludf.DUMMYFUNCTION("""COMPUTED_VALUE"""),131.0)</f>
        <v>131</v>
      </c>
    </row>
    <row r="149" ht="15.75" customHeight="1">
      <c r="B149" s="3">
        <f>IFERROR(__xludf.DUMMYFUNCTION("""COMPUTED_VALUE"""),43728.64583333333)</f>
        <v>43728.64583</v>
      </c>
      <c r="C149" s="2">
        <f>IFERROR(__xludf.DUMMYFUNCTION("""COMPUTED_VALUE"""),136.55)</f>
        <v>136.55</v>
      </c>
    </row>
    <row r="150" ht="15.75" customHeight="1">
      <c r="B150" s="3">
        <f>IFERROR(__xludf.DUMMYFUNCTION("""COMPUTED_VALUE"""),43735.64583333333)</f>
        <v>43735.64583</v>
      </c>
      <c r="C150" s="2">
        <f>IFERROR(__xludf.DUMMYFUNCTION("""COMPUTED_VALUE"""),149.45)</f>
        <v>149.45</v>
      </c>
    </row>
    <row r="151" ht="15.75" customHeight="1">
      <c r="B151" s="3">
        <f>IFERROR(__xludf.DUMMYFUNCTION("""COMPUTED_VALUE"""),43742.64583333333)</f>
        <v>43742.64583</v>
      </c>
      <c r="C151" s="2">
        <f>IFERROR(__xludf.DUMMYFUNCTION("""COMPUTED_VALUE"""),156.0)</f>
        <v>156</v>
      </c>
    </row>
    <row r="152" ht="15.75" customHeight="1">
      <c r="B152" s="3">
        <f>IFERROR(__xludf.DUMMYFUNCTION("""COMPUTED_VALUE"""),43749.64583333333)</f>
        <v>43749.64583</v>
      </c>
      <c r="C152" s="2">
        <f>IFERROR(__xludf.DUMMYFUNCTION("""COMPUTED_VALUE"""),150.95)</f>
        <v>150.95</v>
      </c>
    </row>
    <row r="153" ht="15.75" customHeight="1">
      <c r="B153" s="3">
        <f>IFERROR(__xludf.DUMMYFUNCTION("""COMPUTED_VALUE"""),43756.64583333333)</f>
        <v>43756.64583</v>
      </c>
      <c r="C153" s="2">
        <f>IFERROR(__xludf.DUMMYFUNCTION("""COMPUTED_VALUE"""),149.0)</f>
        <v>149</v>
      </c>
    </row>
    <row r="154" ht="15.75" customHeight="1">
      <c r="B154" s="3">
        <f>IFERROR(__xludf.DUMMYFUNCTION("""COMPUTED_VALUE"""),43763.79166666667)</f>
        <v>43763.79167</v>
      </c>
      <c r="C154" s="2">
        <f>IFERROR(__xludf.DUMMYFUNCTION("""COMPUTED_VALUE"""),148.1)</f>
        <v>148.1</v>
      </c>
    </row>
    <row r="155" ht="15.75" customHeight="1">
      <c r="B155" s="3">
        <f>IFERROR(__xludf.DUMMYFUNCTION("""COMPUTED_VALUE"""),43770.64583333333)</f>
        <v>43770.64583</v>
      </c>
      <c r="C155" s="2">
        <f>IFERROR(__xludf.DUMMYFUNCTION("""COMPUTED_VALUE"""),148.95)</f>
        <v>148.95</v>
      </c>
    </row>
    <row r="156" ht="15.75" customHeight="1">
      <c r="B156" s="3">
        <f>IFERROR(__xludf.DUMMYFUNCTION("""COMPUTED_VALUE"""),43777.64583333333)</f>
        <v>43777.64583</v>
      </c>
      <c r="C156" s="2">
        <f>IFERROR(__xludf.DUMMYFUNCTION("""COMPUTED_VALUE"""),142.7)</f>
        <v>142.7</v>
      </c>
    </row>
    <row r="157" ht="15.75" customHeight="1">
      <c r="B157" s="3">
        <f>IFERROR(__xludf.DUMMYFUNCTION("""COMPUTED_VALUE"""),43784.64583333333)</f>
        <v>43784.64583</v>
      </c>
      <c r="C157" s="2">
        <f>IFERROR(__xludf.DUMMYFUNCTION("""COMPUTED_VALUE"""),140.0)</f>
        <v>140</v>
      </c>
    </row>
    <row r="158" ht="15.75" customHeight="1">
      <c r="B158" s="3">
        <f>IFERROR(__xludf.DUMMYFUNCTION("""COMPUTED_VALUE"""),43791.64583333333)</f>
        <v>43791.64583</v>
      </c>
      <c r="C158" s="2">
        <f>IFERROR(__xludf.DUMMYFUNCTION("""COMPUTED_VALUE"""),134.25)</f>
        <v>134.25</v>
      </c>
    </row>
    <row r="159" ht="15.75" customHeight="1">
      <c r="B159" s="3">
        <f>IFERROR(__xludf.DUMMYFUNCTION("""COMPUTED_VALUE"""),43798.64583333333)</f>
        <v>43798.64583</v>
      </c>
      <c r="C159" s="2">
        <f>IFERROR(__xludf.DUMMYFUNCTION("""COMPUTED_VALUE"""),133.7)</f>
        <v>133.7</v>
      </c>
    </row>
    <row r="160" ht="15.75" customHeight="1">
      <c r="B160" s="3">
        <f>IFERROR(__xludf.DUMMYFUNCTION("""COMPUTED_VALUE"""),43805.64583333333)</f>
        <v>43805.64583</v>
      </c>
      <c r="C160" s="2">
        <f>IFERROR(__xludf.DUMMYFUNCTION("""COMPUTED_VALUE"""),131.6)</f>
        <v>131.6</v>
      </c>
    </row>
    <row r="161" ht="15.75" customHeight="1">
      <c r="B161" s="3">
        <f>IFERROR(__xludf.DUMMYFUNCTION("""COMPUTED_VALUE"""),43812.64583333333)</f>
        <v>43812.64583</v>
      </c>
      <c r="C161" s="2">
        <f>IFERROR(__xludf.DUMMYFUNCTION("""COMPUTED_VALUE"""),129.7)</f>
        <v>129.7</v>
      </c>
    </row>
    <row r="162" ht="15.75" customHeight="1">
      <c r="B162" s="3">
        <f>IFERROR(__xludf.DUMMYFUNCTION("""COMPUTED_VALUE"""),43819.64583333333)</f>
        <v>43819.64583</v>
      </c>
      <c r="C162" s="2">
        <f>IFERROR(__xludf.DUMMYFUNCTION("""COMPUTED_VALUE"""),129.1)</f>
        <v>129.1</v>
      </c>
    </row>
    <row r="163" ht="15.75" customHeight="1">
      <c r="B163" s="3">
        <f>IFERROR(__xludf.DUMMYFUNCTION("""COMPUTED_VALUE"""),43826.64583333333)</f>
        <v>43826.64583</v>
      </c>
      <c r="C163" s="2">
        <f>IFERROR(__xludf.DUMMYFUNCTION("""COMPUTED_VALUE"""),129.0)</f>
        <v>129</v>
      </c>
    </row>
    <row r="164" ht="15.75" customHeight="1"/>
    <row r="165" ht="15.75" customHeight="1"/>
    <row r="166" ht="15.75" customHeight="1">
      <c r="B166" s="2" t="str">
        <f>IFERROR(__xludf.DUMMYFUNCTION("GOOGLEFINANCE(""NSE:IOC"", ""high"",DATE(2020,1,1),DATE(2021,1,1),""weekly"")"),"Date")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IFERROR(__xludf.DUMMYFUNCTION("""COMPUTED_VALUE"""),43833.64583333333)</f>
        <v>43833.64583</v>
      </c>
      <c r="C167" s="2">
        <f>IFERROR(__xludf.DUMMYFUNCTION("""COMPUTED_VALUE"""),127.6)</f>
        <v>127.6</v>
      </c>
    </row>
    <row r="168" ht="15.75" customHeight="1">
      <c r="B168" s="3">
        <f>IFERROR(__xludf.DUMMYFUNCTION("""COMPUTED_VALUE"""),43840.64583333333)</f>
        <v>43840.64583</v>
      </c>
      <c r="C168" s="2">
        <f>IFERROR(__xludf.DUMMYFUNCTION("""COMPUTED_VALUE"""),127.45)</f>
        <v>127.45</v>
      </c>
    </row>
    <row r="169" ht="15.75" customHeight="1">
      <c r="B169" s="3">
        <f>IFERROR(__xludf.DUMMYFUNCTION("""COMPUTED_VALUE"""),43847.64583333333)</f>
        <v>43847.64583</v>
      </c>
      <c r="C169" s="2">
        <f>IFERROR(__xludf.DUMMYFUNCTION("""COMPUTED_VALUE"""),128.2)</f>
        <v>128.2</v>
      </c>
    </row>
    <row r="170" ht="15.75" customHeight="1">
      <c r="B170" s="3">
        <f>IFERROR(__xludf.DUMMYFUNCTION("""COMPUTED_VALUE"""),43854.64583333333)</f>
        <v>43854.64583</v>
      </c>
      <c r="C170" s="2">
        <f>IFERROR(__xludf.DUMMYFUNCTION("""COMPUTED_VALUE"""),121.65)</f>
        <v>121.65</v>
      </c>
    </row>
    <row r="171" ht="15.75" customHeight="1">
      <c r="B171" s="3">
        <f>IFERROR(__xludf.DUMMYFUNCTION("""COMPUTED_VALUE"""),43862.70833333333)</f>
        <v>43862.70833</v>
      </c>
      <c r="C171" s="2">
        <f>IFERROR(__xludf.DUMMYFUNCTION("""COMPUTED_VALUE"""),120.2)</f>
        <v>120.2</v>
      </c>
    </row>
    <row r="172" ht="15.75" customHeight="1">
      <c r="B172" s="3">
        <f>IFERROR(__xludf.DUMMYFUNCTION("""COMPUTED_VALUE"""),43868.64583333333)</f>
        <v>43868.64583</v>
      </c>
      <c r="C172" s="2">
        <f>IFERROR(__xludf.DUMMYFUNCTION("""COMPUTED_VALUE"""),117.75)</f>
        <v>117.75</v>
      </c>
    </row>
    <row r="173" ht="15.75" customHeight="1">
      <c r="B173" s="3">
        <f>IFERROR(__xludf.DUMMYFUNCTION("""COMPUTED_VALUE"""),43875.64583333333)</f>
        <v>43875.64583</v>
      </c>
      <c r="C173" s="2">
        <f>IFERROR(__xludf.DUMMYFUNCTION("""COMPUTED_VALUE"""),118.35)</f>
        <v>118.35</v>
      </c>
    </row>
    <row r="174" ht="15.75" customHeight="1">
      <c r="B174" s="3">
        <f>IFERROR(__xludf.DUMMYFUNCTION("""COMPUTED_VALUE"""),43881.64583333333)</f>
        <v>43881.64583</v>
      </c>
      <c r="C174" s="2">
        <f>IFERROR(__xludf.DUMMYFUNCTION("""COMPUTED_VALUE"""),115.3)</f>
        <v>115.3</v>
      </c>
    </row>
    <row r="175" ht="15.75" customHeight="1">
      <c r="B175" s="3">
        <f>IFERROR(__xludf.DUMMYFUNCTION("""COMPUTED_VALUE"""),43889.64583333333)</f>
        <v>43889.64583</v>
      </c>
      <c r="C175" s="2">
        <f>IFERROR(__xludf.DUMMYFUNCTION("""COMPUTED_VALUE"""),113.1)</f>
        <v>113.1</v>
      </c>
    </row>
    <row r="176" ht="15.75" customHeight="1">
      <c r="B176" s="3">
        <f>IFERROR(__xludf.DUMMYFUNCTION("""COMPUTED_VALUE"""),43896.64583333333)</f>
        <v>43896.64583</v>
      </c>
      <c r="C176" s="2">
        <f>IFERROR(__xludf.DUMMYFUNCTION("""COMPUTED_VALUE"""),112.9)</f>
        <v>112.9</v>
      </c>
    </row>
    <row r="177" ht="15.75" customHeight="1">
      <c r="B177" s="3">
        <f>IFERROR(__xludf.DUMMYFUNCTION("""COMPUTED_VALUE"""),43903.64583333333)</f>
        <v>43903.64583</v>
      </c>
      <c r="C177" s="2">
        <f>IFERROR(__xludf.DUMMYFUNCTION("""COMPUTED_VALUE"""),105.25)</f>
        <v>105.25</v>
      </c>
    </row>
    <row r="178" ht="15.75" customHeight="1">
      <c r="B178" s="3">
        <f>IFERROR(__xludf.DUMMYFUNCTION("""COMPUTED_VALUE"""),43910.64583333333)</f>
        <v>43910.64583</v>
      </c>
      <c r="C178" s="2">
        <f>IFERROR(__xludf.DUMMYFUNCTION("""COMPUTED_VALUE"""),93.5)</f>
        <v>93.5</v>
      </c>
    </row>
    <row r="179" ht="15.75" customHeight="1">
      <c r="B179" s="3">
        <f>IFERROR(__xludf.DUMMYFUNCTION("""COMPUTED_VALUE"""),43917.64583333333)</f>
        <v>43917.64583</v>
      </c>
      <c r="C179" s="2">
        <f>IFERROR(__xludf.DUMMYFUNCTION("""COMPUTED_VALUE"""),87.25)</f>
        <v>87.25</v>
      </c>
    </row>
    <row r="180" ht="15.75" customHeight="1">
      <c r="B180" s="3">
        <f>IFERROR(__xludf.DUMMYFUNCTION("""COMPUTED_VALUE"""),43924.64583333333)</f>
        <v>43924.64583</v>
      </c>
      <c r="C180" s="2">
        <f>IFERROR(__xludf.DUMMYFUNCTION("""COMPUTED_VALUE"""),82.5)</f>
        <v>82.5</v>
      </c>
    </row>
    <row r="181" ht="15.75" customHeight="1">
      <c r="B181" s="3">
        <f>IFERROR(__xludf.DUMMYFUNCTION("""COMPUTED_VALUE"""),43930.64583333333)</f>
        <v>43930.64583</v>
      </c>
      <c r="C181" s="2">
        <f>IFERROR(__xludf.DUMMYFUNCTION("""COMPUTED_VALUE"""),86.0)</f>
        <v>86</v>
      </c>
    </row>
    <row r="182" ht="15.75" customHeight="1">
      <c r="B182" s="3">
        <f>IFERROR(__xludf.DUMMYFUNCTION("""COMPUTED_VALUE"""),43938.64583333333)</f>
        <v>43938.64583</v>
      </c>
      <c r="C182" s="2">
        <f>IFERROR(__xludf.DUMMYFUNCTION("""COMPUTED_VALUE"""),86.8)</f>
        <v>86.8</v>
      </c>
    </row>
    <row r="183" ht="15.75" customHeight="1">
      <c r="B183" s="3">
        <f>IFERROR(__xludf.DUMMYFUNCTION("""COMPUTED_VALUE"""),43945.64583333333)</f>
        <v>43945.64583</v>
      </c>
      <c r="C183" s="2">
        <f>IFERROR(__xludf.DUMMYFUNCTION("""COMPUTED_VALUE"""),89.5)</f>
        <v>89.5</v>
      </c>
    </row>
    <row r="184" ht="15.75" customHeight="1">
      <c r="B184" s="3">
        <f>IFERROR(__xludf.DUMMYFUNCTION("""COMPUTED_VALUE"""),43951.64583333333)</f>
        <v>43951.64583</v>
      </c>
      <c r="C184" s="2">
        <f>IFERROR(__xludf.DUMMYFUNCTION("""COMPUTED_VALUE"""),84.5)</f>
        <v>84.5</v>
      </c>
    </row>
    <row r="185" ht="15.75" customHeight="1">
      <c r="B185" s="3">
        <f>IFERROR(__xludf.DUMMYFUNCTION("""COMPUTED_VALUE"""),43959.64583333333)</f>
        <v>43959.64583</v>
      </c>
      <c r="C185" s="2">
        <f>IFERROR(__xludf.DUMMYFUNCTION("""COMPUTED_VALUE"""),82.7)</f>
        <v>82.7</v>
      </c>
    </row>
    <row r="186" ht="15.75" customHeight="1">
      <c r="B186" s="3">
        <f>IFERROR(__xludf.DUMMYFUNCTION("""COMPUTED_VALUE"""),43966.64583333333)</f>
        <v>43966.64583</v>
      </c>
      <c r="C186" s="2">
        <f>IFERROR(__xludf.DUMMYFUNCTION("""COMPUTED_VALUE"""),77.9)</f>
        <v>77.9</v>
      </c>
    </row>
    <row r="187" ht="15.75" customHeight="1">
      <c r="B187" s="3">
        <f>IFERROR(__xludf.DUMMYFUNCTION("""COMPUTED_VALUE"""),43973.64583333333)</f>
        <v>43973.64583</v>
      </c>
      <c r="C187" s="2">
        <f>IFERROR(__xludf.DUMMYFUNCTION("""COMPUTED_VALUE"""),75.9)</f>
        <v>75.9</v>
      </c>
    </row>
    <row r="188" ht="15.75" customHeight="1">
      <c r="B188" s="3">
        <f>IFERROR(__xludf.DUMMYFUNCTION("""COMPUTED_VALUE"""),43980.64583333333)</f>
        <v>43980.64583</v>
      </c>
      <c r="C188" s="2">
        <f>IFERROR(__xludf.DUMMYFUNCTION("""COMPUTED_VALUE"""),84.7)</f>
        <v>84.7</v>
      </c>
    </row>
    <row r="189" ht="15.75" customHeight="1">
      <c r="B189" s="3">
        <f>IFERROR(__xludf.DUMMYFUNCTION("""COMPUTED_VALUE"""),43987.64583333333)</f>
        <v>43987.64583</v>
      </c>
      <c r="C189" s="2">
        <f>IFERROR(__xludf.DUMMYFUNCTION("""COMPUTED_VALUE"""),90.05)</f>
        <v>90.05</v>
      </c>
    </row>
    <row r="190" ht="15.75" customHeight="1">
      <c r="B190" s="3">
        <f>IFERROR(__xludf.DUMMYFUNCTION("""COMPUTED_VALUE"""),43994.64583333333)</f>
        <v>43994.64583</v>
      </c>
      <c r="C190" s="2">
        <f>IFERROR(__xludf.DUMMYFUNCTION("""COMPUTED_VALUE"""),96.4)</f>
        <v>96.4</v>
      </c>
    </row>
    <row r="191" ht="15.75" customHeight="1">
      <c r="B191" s="3">
        <f>IFERROR(__xludf.DUMMYFUNCTION("""COMPUTED_VALUE"""),44001.64583333333)</f>
        <v>44001.64583</v>
      </c>
      <c r="C191" s="2">
        <f>IFERROR(__xludf.DUMMYFUNCTION("""COMPUTED_VALUE"""),88.25)</f>
        <v>88.25</v>
      </c>
    </row>
    <row r="192" ht="15.75" customHeight="1">
      <c r="B192" s="3">
        <f>IFERROR(__xludf.DUMMYFUNCTION("""COMPUTED_VALUE"""),44008.64583333333)</f>
        <v>44008.64583</v>
      </c>
      <c r="C192" s="2">
        <f>IFERROR(__xludf.DUMMYFUNCTION("""COMPUTED_VALUE"""),90.5)</f>
        <v>90.5</v>
      </c>
    </row>
    <row r="193" ht="15.75" customHeight="1">
      <c r="B193" s="3">
        <f>IFERROR(__xludf.DUMMYFUNCTION("""COMPUTED_VALUE"""),44015.64583333333)</f>
        <v>44015.64583</v>
      </c>
      <c r="C193" s="2">
        <f>IFERROR(__xludf.DUMMYFUNCTION("""COMPUTED_VALUE"""),90.7)</f>
        <v>90.7</v>
      </c>
    </row>
    <row r="194" ht="15.75" customHeight="1">
      <c r="B194" s="3">
        <f>IFERROR(__xludf.DUMMYFUNCTION("""COMPUTED_VALUE"""),44022.64583333333)</f>
        <v>44022.64583</v>
      </c>
      <c r="C194" s="2">
        <f>IFERROR(__xludf.DUMMYFUNCTION("""COMPUTED_VALUE"""),89.35)</f>
        <v>89.35</v>
      </c>
    </row>
    <row r="195" ht="15.75" customHeight="1">
      <c r="B195" s="3">
        <f>IFERROR(__xludf.DUMMYFUNCTION("""COMPUTED_VALUE"""),44029.64583333333)</f>
        <v>44029.64583</v>
      </c>
      <c r="C195" s="2">
        <f>IFERROR(__xludf.DUMMYFUNCTION("""COMPUTED_VALUE"""),87.8)</f>
        <v>87.8</v>
      </c>
    </row>
    <row r="196" ht="15.75" customHeight="1">
      <c r="B196" s="3">
        <f>IFERROR(__xludf.DUMMYFUNCTION("""COMPUTED_VALUE"""),44036.64583333333)</f>
        <v>44036.64583</v>
      </c>
      <c r="C196" s="2">
        <f>IFERROR(__xludf.DUMMYFUNCTION("""COMPUTED_VALUE"""),95.45)</f>
        <v>95.45</v>
      </c>
    </row>
    <row r="197" ht="15.75" customHeight="1">
      <c r="B197" s="3">
        <f>IFERROR(__xludf.DUMMYFUNCTION("""COMPUTED_VALUE"""),44043.64583333333)</f>
        <v>44043.64583</v>
      </c>
      <c r="C197" s="2">
        <f>IFERROR(__xludf.DUMMYFUNCTION("""COMPUTED_VALUE"""),95.65)</f>
        <v>95.65</v>
      </c>
    </row>
    <row r="198" ht="15.75" customHeight="1">
      <c r="B198" s="3">
        <f>IFERROR(__xludf.DUMMYFUNCTION("""COMPUTED_VALUE"""),44050.64583333333)</f>
        <v>44050.64583</v>
      </c>
      <c r="C198" s="2">
        <f>IFERROR(__xludf.DUMMYFUNCTION("""COMPUTED_VALUE"""),88.4)</f>
        <v>88.4</v>
      </c>
    </row>
    <row r="199" ht="15.75" customHeight="1">
      <c r="B199" s="3">
        <f>IFERROR(__xludf.DUMMYFUNCTION("""COMPUTED_VALUE"""),44057.64583333333)</f>
        <v>44057.64583</v>
      </c>
      <c r="C199" s="2">
        <f>IFERROR(__xludf.DUMMYFUNCTION("""COMPUTED_VALUE"""),88.2)</f>
        <v>88.2</v>
      </c>
    </row>
    <row r="200" ht="15.75" customHeight="1">
      <c r="B200" s="3">
        <f>IFERROR(__xludf.DUMMYFUNCTION("""COMPUTED_VALUE"""),44064.64583333333)</f>
        <v>44064.64583</v>
      </c>
      <c r="C200" s="2">
        <f>IFERROR(__xludf.DUMMYFUNCTION("""COMPUTED_VALUE"""),90.45)</f>
        <v>90.45</v>
      </c>
    </row>
    <row r="201" ht="15.75" customHeight="1">
      <c r="B201" s="3">
        <f>IFERROR(__xludf.DUMMYFUNCTION("""COMPUTED_VALUE"""),44071.64583333333)</f>
        <v>44071.64583</v>
      </c>
      <c r="C201" s="2">
        <f>IFERROR(__xludf.DUMMYFUNCTION("""COMPUTED_VALUE"""),89.4)</f>
        <v>89.4</v>
      </c>
    </row>
    <row r="202" ht="15.75" customHeight="1">
      <c r="B202" s="3">
        <f>IFERROR(__xludf.DUMMYFUNCTION("""COMPUTED_VALUE"""),44078.64583333333)</f>
        <v>44078.64583</v>
      </c>
      <c r="C202" s="2">
        <f>IFERROR(__xludf.DUMMYFUNCTION("""COMPUTED_VALUE"""),91.75)</f>
        <v>91.75</v>
      </c>
    </row>
    <row r="203" ht="15.75" customHeight="1">
      <c r="B203" s="3">
        <f>IFERROR(__xludf.DUMMYFUNCTION("""COMPUTED_VALUE"""),44085.64583333333)</f>
        <v>44085.64583</v>
      </c>
      <c r="C203" s="2">
        <f>IFERROR(__xludf.DUMMYFUNCTION("""COMPUTED_VALUE"""),84.95)</f>
        <v>84.95</v>
      </c>
    </row>
    <row r="204" ht="15.75" customHeight="1">
      <c r="B204" s="3">
        <f>IFERROR(__xludf.DUMMYFUNCTION("""COMPUTED_VALUE"""),44092.64583333333)</f>
        <v>44092.64583</v>
      </c>
      <c r="C204" s="2">
        <f>IFERROR(__xludf.DUMMYFUNCTION("""COMPUTED_VALUE"""),83.8)</f>
        <v>83.8</v>
      </c>
    </row>
    <row r="205" ht="15.75" customHeight="1">
      <c r="B205" s="3">
        <f>IFERROR(__xludf.DUMMYFUNCTION("""COMPUTED_VALUE"""),44099.64583333333)</f>
        <v>44099.64583</v>
      </c>
      <c r="C205" s="2">
        <f>IFERROR(__xludf.DUMMYFUNCTION("""COMPUTED_VALUE"""),81.0)</f>
        <v>81</v>
      </c>
    </row>
    <row r="206" ht="15.75" customHeight="1">
      <c r="B206" s="3">
        <f>IFERROR(__xludf.DUMMYFUNCTION("""COMPUTED_VALUE"""),44105.64583333333)</f>
        <v>44105.64583</v>
      </c>
      <c r="C206" s="2">
        <f>IFERROR(__xludf.DUMMYFUNCTION("""COMPUTED_VALUE"""),76.6)</f>
        <v>76.6</v>
      </c>
    </row>
    <row r="207" ht="15.75" customHeight="1">
      <c r="B207" s="3">
        <f>IFERROR(__xludf.DUMMYFUNCTION("""COMPUTED_VALUE"""),44113.64583333333)</f>
        <v>44113.64583</v>
      </c>
      <c r="C207" s="2">
        <f>IFERROR(__xludf.DUMMYFUNCTION("""COMPUTED_VALUE"""),77.5)</f>
        <v>77.5</v>
      </c>
    </row>
    <row r="208" ht="15.75" customHeight="1">
      <c r="B208" s="3">
        <f>IFERROR(__xludf.DUMMYFUNCTION("""COMPUTED_VALUE"""),44120.64583333333)</f>
        <v>44120.64583</v>
      </c>
      <c r="C208" s="2">
        <f>IFERROR(__xludf.DUMMYFUNCTION("""COMPUTED_VALUE"""),77.45)</f>
        <v>77.45</v>
      </c>
    </row>
    <row r="209" ht="15.75" customHeight="1">
      <c r="B209" s="3">
        <f>IFERROR(__xludf.DUMMYFUNCTION("""COMPUTED_VALUE"""),44127.64583333333)</f>
        <v>44127.64583</v>
      </c>
      <c r="C209" s="2">
        <f>IFERROR(__xludf.DUMMYFUNCTION("""COMPUTED_VALUE"""),79.25)</f>
        <v>79.25</v>
      </c>
    </row>
    <row r="210" ht="15.75" customHeight="1">
      <c r="B210" s="3">
        <f>IFERROR(__xludf.DUMMYFUNCTION("""COMPUTED_VALUE"""),44134.64583333333)</f>
        <v>44134.64583</v>
      </c>
      <c r="C210" s="2">
        <f>IFERROR(__xludf.DUMMYFUNCTION("""COMPUTED_VALUE"""),81.9)</f>
        <v>81.9</v>
      </c>
    </row>
    <row r="211" ht="15.75" customHeight="1">
      <c r="B211" s="3">
        <f>IFERROR(__xludf.DUMMYFUNCTION("""COMPUTED_VALUE"""),44141.64583333333)</f>
        <v>44141.64583</v>
      </c>
      <c r="C211" s="2">
        <f>IFERROR(__xludf.DUMMYFUNCTION("""COMPUTED_VALUE"""),80.9)</f>
        <v>80.9</v>
      </c>
    </row>
    <row r="212" ht="15.75" customHeight="1">
      <c r="B212" s="3">
        <f>IFERROR(__xludf.DUMMYFUNCTION("""COMPUTED_VALUE"""),44155.64583333333)</f>
        <v>44155.64583</v>
      </c>
      <c r="C212" s="2">
        <f>IFERROR(__xludf.DUMMYFUNCTION("""COMPUTED_VALUE"""),87.0)</f>
        <v>87</v>
      </c>
    </row>
    <row r="213" ht="15.75" customHeight="1">
      <c r="B213" s="3">
        <f>IFERROR(__xludf.DUMMYFUNCTION("""COMPUTED_VALUE"""),44162.64583333333)</f>
        <v>44162.64583</v>
      </c>
      <c r="C213" s="2">
        <f>IFERROR(__xludf.DUMMYFUNCTION("""COMPUTED_VALUE"""),87.35)</f>
        <v>87.35</v>
      </c>
    </row>
    <row r="214" ht="15.75" customHeight="1">
      <c r="B214" s="3">
        <f>IFERROR(__xludf.DUMMYFUNCTION("""COMPUTED_VALUE"""),44169.64583333333)</f>
        <v>44169.64583</v>
      </c>
      <c r="C214" s="2">
        <f>IFERROR(__xludf.DUMMYFUNCTION("""COMPUTED_VALUE"""),91.45)</f>
        <v>91.45</v>
      </c>
    </row>
    <row r="215" ht="15.75" customHeight="1">
      <c r="B215" s="3">
        <f>IFERROR(__xludf.DUMMYFUNCTION("""COMPUTED_VALUE"""),44176.64583333333)</f>
        <v>44176.64583</v>
      </c>
      <c r="C215" s="2">
        <f>IFERROR(__xludf.DUMMYFUNCTION("""COMPUTED_VALUE"""),96.1)</f>
        <v>96.1</v>
      </c>
    </row>
    <row r="216" ht="15.75" customHeight="1">
      <c r="B216" s="3">
        <f>IFERROR(__xludf.DUMMYFUNCTION("""COMPUTED_VALUE"""),44183.64583333333)</f>
        <v>44183.64583</v>
      </c>
      <c r="C216" s="2">
        <f>IFERROR(__xludf.DUMMYFUNCTION("""COMPUTED_VALUE"""),97.5)</f>
        <v>97.5</v>
      </c>
    </row>
    <row r="217" ht="15.75" customHeight="1">
      <c r="B217" s="3">
        <f>IFERROR(__xludf.DUMMYFUNCTION("""COMPUTED_VALUE"""),44189.64583333333)</f>
        <v>44189.64583</v>
      </c>
      <c r="C217" s="2">
        <f>IFERROR(__xludf.DUMMYFUNCTION("""COMPUTED_VALUE"""),93.4)</f>
        <v>93.4</v>
      </c>
    </row>
    <row r="218" ht="15.75" customHeight="1">
      <c r="B218" s="3">
        <f>IFERROR(__xludf.DUMMYFUNCTION("""COMPUTED_VALUE"""),44197.64583333333)</f>
        <v>44197.64583</v>
      </c>
      <c r="C218" s="2">
        <f>IFERROR(__xludf.DUMMYFUNCTION("""COMPUTED_VALUE"""),92.5)</f>
        <v>92.5</v>
      </c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IFERROR(__xludf.DUMMYFUNCTION("GOOGLEFINANCE(""NSE:UPL"", ""high"",DATE(2017,1,1),DATE(2018,1,1),""weekly"")"),"Date")</f>
        <v>Date</v>
      </c>
      <c r="C1" s="2" t="str">
        <f>IFERROR(__xludf.DUMMYFUNCTION("""COMPUTED_VALUE"""),"High")</f>
        <v>High</v>
      </c>
    </row>
    <row r="2">
      <c r="A2" s="2" t="s">
        <v>16</v>
      </c>
      <c r="B2" s="3">
        <f>IFERROR(__xludf.DUMMYFUNCTION("""COMPUTED_VALUE"""),42741.64583333333)</f>
        <v>42741.64583</v>
      </c>
      <c r="C2" s="2">
        <f>IFERROR(__xludf.DUMMYFUNCTION("""COMPUTED_VALUE"""),451.8)</f>
        <v>451.8</v>
      </c>
    </row>
    <row r="3">
      <c r="A3" s="2" t="s">
        <v>17</v>
      </c>
      <c r="B3" s="3">
        <f>IFERROR(__xludf.DUMMYFUNCTION("""COMPUTED_VALUE"""),42748.64583333333)</f>
        <v>42748.64583</v>
      </c>
      <c r="C3" s="2">
        <f>IFERROR(__xludf.DUMMYFUNCTION("""COMPUTED_VALUE"""),464.63)</f>
        <v>464.63</v>
      </c>
    </row>
    <row r="4">
      <c r="A4" s="2" t="s">
        <v>18</v>
      </c>
      <c r="B4" s="3">
        <f>IFERROR(__xludf.DUMMYFUNCTION("""COMPUTED_VALUE"""),42755.64583333333)</f>
        <v>42755.64583</v>
      </c>
      <c r="C4" s="2">
        <f>IFERROR(__xludf.DUMMYFUNCTION("""COMPUTED_VALUE"""),498.33)</f>
        <v>498.33</v>
      </c>
    </row>
    <row r="5">
      <c r="A5" s="2" t="s">
        <v>19</v>
      </c>
      <c r="B5" s="3">
        <f>IFERROR(__xludf.DUMMYFUNCTION("""COMPUTED_VALUE"""),42762.64583333333)</f>
        <v>42762.64583</v>
      </c>
      <c r="C5" s="2">
        <f>IFERROR(__xludf.DUMMYFUNCTION("""COMPUTED_VALUE"""),503.0)</f>
        <v>503</v>
      </c>
    </row>
    <row r="6">
      <c r="B6" s="3">
        <f>IFERROR(__xludf.DUMMYFUNCTION("""COMPUTED_VALUE"""),42769.64583333333)</f>
        <v>42769.64583</v>
      </c>
      <c r="C6" s="2">
        <f>IFERROR(__xludf.DUMMYFUNCTION("""COMPUTED_VALUE"""),501.1)</f>
        <v>501.1</v>
      </c>
    </row>
    <row r="7">
      <c r="B7" s="3">
        <f>IFERROR(__xludf.DUMMYFUNCTION("""COMPUTED_VALUE"""),42776.64583333333)</f>
        <v>42776.64583</v>
      </c>
      <c r="C7" s="2">
        <f>IFERROR(__xludf.DUMMYFUNCTION("""COMPUTED_VALUE"""),494.1)</f>
        <v>494.1</v>
      </c>
    </row>
    <row r="8">
      <c r="B8" s="3">
        <f>IFERROR(__xludf.DUMMYFUNCTION("""COMPUTED_VALUE"""),42783.64583333333)</f>
        <v>42783.64583</v>
      </c>
      <c r="C8" s="2">
        <f>IFERROR(__xludf.DUMMYFUNCTION("""COMPUTED_VALUE"""),488.5)</f>
        <v>488.5</v>
      </c>
    </row>
    <row r="9">
      <c r="B9" s="3">
        <f>IFERROR(__xludf.DUMMYFUNCTION("""COMPUTED_VALUE"""),42789.64583333333)</f>
        <v>42789.64583</v>
      </c>
      <c r="C9" s="2">
        <f>IFERROR(__xludf.DUMMYFUNCTION("""COMPUTED_VALUE"""),481.83)</f>
        <v>481.83</v>
      </c>
    </row>
    <row r="10">
      <c r="B10" s="3">
        <f>IFERROR(__xludf.DUMMYFUNCTION("""COMPUTED_VALUE"""),42797.64583333333)</f>
        <v>42797.64583</v>
      </c>
      <c r="C10" s="2">
        <f>IFERROR(__xludf.DUMMYFUNCTION("""COMPUTED_VALUE"""),484.33)</f>
        <v>484.33</v>
      </c>
    </row>
    <row r="11">
      <c r="B11" s="3">
        <f>IFERROR(__xludf.DUMMYFUNCTION("""COMPUTED_VALUE"""),42804.64583333333)</f>
        <v>42804.64583</v>
      </c>
      <c r="C11" s="2">
        <f>IFERROR(__xludf.DUMMYFUNCTION("""COMPUTED_VALUE"""),480.37)</f>
        <v>480.37</v>
      </c>
    </row>
    <row r="12">
      <c r="B12" s="3">
        <f>IFERROR(__xludf.DUMMYFUNCTION("""COMPUTED_VALUE"""),42811.64583333333)</f>
        <v>42811.64583</v>
      </c>
      <c r="C12" s="2">
        <f>IFERROR(__xludf.DUMMYFUNCTION("""COMPUTED_VALUE"""),487.07)</f>
        <v>487.07</v>
      </c>
    </row>
    <row r="13">
      <c r="B13" s="3">
        <f>IFERROR(__xludf.DUMMYFUNCTION("""COMPUTED_VALUE"""),42818.64583333333)</f>
        <v>42818.64583</v>
      </c>
      <c r="C13" s="2">
        <f>IFERROR(__xludf.DUMMYFUNCTION("""COMPUTED_VALUE"""),490.4)</f>
        <v>490.4</v>
      </c>
    </row>
    <row r="14">
      <c r="B14" s="3">
        <f>IFERROR(__xludf.DUMMYFUNCTION("""COMPUTED_VALUE"""),42825.64583333333)</f>
        <v>42825.64583</v>
      </c>
      <c r="C14" s="2">
        <f>IFERROR(__xludf.DUMMYFUNCTION("""COMPUTED_VALUE"""),489.9)</f>
        <v>489.9</v>
      </c>
    </row>
    <row r="15">
      <c r="B15" s="3">
        <f>IFERROR(__xludf.DUMMYFUNCTION("""COMPUTED_VALUE"""),42832.64583333333)</f>
        <v>42832.64583</v>
      </c>
      <c r="C15" s="2">
        <f>IFERROR(__xludf.DUMMYFUNCTION("""COMPUTED_VALUE"""),497.07)</f>
        <v>497.07</v>
      </c>
    </row>
    <row r="16">
      <c r="B16" s="3">
        <f>IFERROR(__xludf.DUMMYFUNCTION("""COMPUTED_VALUE"""),42838.64583333333)</f>
        <v>42838.64583</v>
      </c>
      <c r="C16" s="2">
        <f>IFERROR(__xludf.DUMMYFUNCTION("""COMPUTED_VALUE"""),497.2)</f>
        <v>497.2</v>
      </c>
    </row>
    <row r="17">
      <c r="B17" s="3">
        <f>IFERROR(__xludf.DUMMYFUNCTION("""COMPUTED_VALUE"""),42846.64583333333)</f>
        <v>42846.64583</v>
      </c>
      <c r="C17" s="2">
        <f>IFERROR(__xludf.DUMMYFUNCTION("""COMPUTED_VALUE"""),531.0)</f>
        <v>531</v>
      </c>
    </row>
    <row r="18">
      <c r="B18" s="3">
        <f>IFERROR(__xludf.DUMMYFUNCTION("""COMPUTED_VALUE"""),42853.64583333333)</f>
        <v>42853.64583</v>
      </c>
      <c r="C18" s="2">
        <f>IFERROR(__xludf.DUMMYFUNCTION("""COMPUTED_VALUE"""),576.63)</f>
        <v>576.63</v>
      </c>
    </row>
    <row r="19">
      <c r="B19" s="3">
        <f>IFERROR(__xludf.DUMMYFUNCTION("""COMPUTED_VALUE"""),42860.64583333333)</f>
        <v>42860.64583</v>
      </c>
      <c r="C19" s="2">
        <f>IFERROR(__xludf.DUMMYFUNCTION("""COMPUTED_VALUE"""),546.33)</f>
        <v>546.33</v>
      </c>
    </row>
    <row r="20">
      <c r="B20" s="3">
        <f>IFERROR(__xludf.DUMMYFUNCTION("""COMPUTED_VALUE"""),42867.64583333333)</f>
        <v>42867.64583</v>
      </c>
      <c r="C20" s="2">
        <f>IFERROR(__xludf.DUMMYFUNCTION("""COMPUTED_VALUE"""),558.0)</f>
        <v>558</v>
      </c>
    </row>
    <row r="21" ht="15.75" customHeight="1">
      <c r="B21" s="3">
        <f>IFERROR(__xludf.DUMMYFUNCTION("""COMPUTED_VALUE"""),42874.64583333333)</f>
        <v>42874.64583</v>
      </c>
      <c r="C21" s="2">
        <f>IFERROR(__xludf.DUMMYFUNCTION("""COMPUTED_VALUE"""),563.87)</f>
        <v>563.87</v>
      </c>
    </row>
    <row r="22" ht="15.75" customHeight="1">
      <c r="B22" s="3">
        <f>IFERROR(__xludf.DUMMYFUNCTION("""COMPUTED_VALUE"""),42881.64583333333)</f>
        <v>42881.64583</v>
      </c>
      <c r="C22" s="2">
        <f>IFERROR(__xludf.DUMMYFUNCTION("""COMPUTED_VALUE"""),562.0)</f>
        <v>562</v>
      </c>
    </row>
    <row r="23" ht="15.75" customHeight="1">
      <c r="B23" s="3">
        <f>IFERROR(__xludf.DUMMYFUNCTION("""COMPUTED_VALUE"""),42888.64583333333)</f>
        <v>42888.64583</v>
      </c>
      <c r="C23" s="2">
        <f>IFERROR(__xludf.DUMMYFUNCTION("""COMPUTED_VALUE"""),588.63)</f>
        <v>588.63</v>
      </c>
    </row>
    <row r="24" ht="15.75" customHeight="1">
      <c r="B24" s="3">
        <f>IFERROR(__xludf.DUMMYFUNCTION("""COMPUTED_VALUE"""),42895.64583333333)</f>
        <v>42895.64583</v>
      </c>
      <c r="C24" s="2">
        <f>IFERROR(__xludf.DUMMYFUNCTION("""COMPUTED_VALUE"""),587.57)</f>
        <v>587.57</v>
      </c>
    </row>
    <row r="25" ht="15.75" customHeight="1">
      <c r="B25" s="3">
        <f>IFERROR(__xludf.DUMMYFUNCTION("""COMPUTED_VALUE"""),42902.64583333333)</f>
        <v>42902.64583</v>
      </c>
      <c r="C25" s="2">
        <f>IFERROR(__xludf.DUMMYFUNCTION("""COMPUTED_VALUE"""),587.33)</f>
        <v>587.33</v>
      </c>
    </row>
    <row r="26" ht="15.75" customHeight="1">
      <c r="B26" s="3">
        <f>IFERROR(__xludf.DUMMYFUNCTION("""COMPUTED_VALUE"""),42909.64583333333)</f>
        <v>42909.64583</v>
      </c>
      <c r="C26" s="2">
        <f>IFERROR(__xludf.DUMMYFUNCTION("""COMPUTED_VALUE"""),594.57)</f>
        <v>594.57</v>
      </c>
    </row>
    <row r="27" ht="15.75" customHeight="1">
      <c r="B27" s="3">
        <f>IFERROR(__xludf.DUMMYFUNCTION("""COMPUTED_VALUE"""),42916.64583333333)</f>
        <v>42916.64583</v>
      </c>
      <c r="C27" s="2">
        <f>IFERROR(__xludf.DUMMYFUNCTION("""COMPUTED_VALUE"""),563.23)</f>
        <v>563.23</v>
      </c>
    </row>
    <row r="28" ht="15.75" customHeight="1">
      <c r="B28" s="3">
        <f>IFERROR(__xludf.DUMMYFUNCTION("""COMPUTED_VALUE"""),42923.64583333333)</f>
        <v>42923.64583</v>
      </c>
      <c r="C28" s="2">
        <f>IFERROR(__xludf.DUMMYFUNCTION("""COMPUTED_VALUE"""),573.8)</f>
        <v>573.8</v>
      </c>
    </row>
    <row r="29" ht="15.75" customHeight="1">
      <c r="B29" s="3">
        <f>IFERROR(__xludf.DUMMYFUNCTION("""COMPUTED_VALUE"""),42930.64583333333)</f>
        <v>42930.64583</v>
      </c>
      <c r="C29" s="2">
        <f>IFERROR(__xludf.DUMMYFUNCTION("""COMPUTED_VALUE"""),584.57)</f>
        <v>584.57</v>
      </c>
    </row>
    <row r="30" ht="15.75" customHeight="1">
      <c r="B30" s="3">
        <f>IFERROR(__xludf.DUMMYFUNCTION("""COMPUTED_VALUE"""),42937.64583333333)</f>
        <v>42937.64583</v>
      </c>
      <c r="C30" s="2">
        <f>IFERROR(__xludf.DUMMYFUNCTION("""COMPUTED_VALUE"""),581.17)</f>
        <v>581.17</v>
      </c>
    </row>
    <row r="31" ht="15.75" customHeight="1">
      <c r="B31" s="3">
        <f>IFERROR(__xludf.DUMMYFUNCTION("""COMPUTED_VALUE"""),42944.64583333333)</f>
        <v>42944.64583</v>
      </c>
      <c r="C31" s="2">
        <f>IFERROR(__xludf.DUMMYFUNCTION("""COMPUTED_VALUE"""),600.0)</f>
        <v>600</v>
      </c>
    </row>
    <row r="32" ht="15.75" customHeight="1">
      <c r="B32" s="3">
        <f>IFERROR(__xludf.DUMMYFUNCTION("""COMPUTED_VALUE"""),42951.64583333333)</f>
        <v>42951.64583</v>
      </c>
      <c r="C32" s="2">
        <f>IFERROR(__xludf.DUMMYFUNCTION("""COMPUTED_VALUE"""),601.67)</f>
        <v>601.67</v>
      </c>
    </row>
    <row r="33" ht="15.75" customHeight="1">
      <c r="B33" s="3">
        <f>IFERROR(__xludf.DUMMYFUNCTION("""COMPUTED_VALUE"""),42958.64583333333)</f>
        <v>42958.64583</v>
      </c>
      <c r="C33" s="2">
        <f>IFERROR(__xludf.DUMMYFUNCTION("""COMPUTED_VALUE"""),595.97)</f>
        <v>595.97</v>
      </c>
    </row>
    <row r="34" ht="15.75" customHeight="1">
      <c r="B34" s="3">
        <f>IFERROR(__xludf.DUMMYFUNCTION("""COMPUTED_VALUE"""),42965.64583333333)</f>
        <v>42965.64583</v>
      </c>
      <c r="C34" s="2">
        <f>IFERROR(__xludf.DUMMYFUNCTION("""COMPUTED_VALUE"""),586.37)</f>
        <v>586.37</v>
      </c>
    </row>
    <row r="35" ht="15.75" customHeight="1">
      <c r="B35" s="3">
        <f>IFERROR(__xludf.DUMMYFUNCTION("""COMPUTED_VALUE"""),42971.64583333333)</f>
        <v>42971.64583</v>
      </c>
      <c r="C35" s="2">
        <f>IFERROR(__xludf.DUMMYFUNCTION("""COMPUTED_VALUE"""),568.6)</f>
        <v>568.6</v>
      </c>
    </row>
    <row r="36" ht="15.75" customHeight="1">
      <c r="B36" s="3">
        <f>IFERROR(__xludf.DUMMYFUNCTION("""COMPUTED_VALUE"""),42979.64583333333)</f>
        <v>42979.64583</v>
      </c>
      <c r="C36" s="2">
        <f>IFERROR(__xludf.DUMMYFUNCTION("""COMPUTED_VALUE"""),570.83)</f>
        <v>570.83</v>
      </c>
    </row>
    <row r="37" ht="15.75" customHeight="1">
      <c r="B37" s="3">
        <f>IFERROR(__xludf.DUMMYFUNCTION("""COMPUTED_VALUE"""),42986.64583333333)</f>
        <v>42986.64583</v>
      </c>
      <c r="C37" s="2">
        <f>IFERROR(__xludf.DUMMYFUNCTION("""COMPUTED_VALUE"""),558.0)</f>
        <v>558</v>
      </c>
    </row>
    <row r="38" ht="15.75" customHeight="1">
      <c r="B38" s="3">
        <f>IFERROR(__xludf.DUMMYFUNCTION("""COMPUTED_VALUE"""),42993.64583333333)</f>
        <v>42993.64583</v>
      </c>
      <c r="C38" s="2">
        <f>IFERROR(__xludf.DUMMYFUNCTION("""COMPUTED_VALUE"""),555.33)</f>
        <v>555.33</v>
      </c>
    </row>
    <row r="39" ht="15.75" customHeight="1">
      <c r="B39" s="3">
        <f>IFERROR(__xludf.DUMMYFUNCTION("""COMPUTED_VALUE"""),43000.64583333333)</f>
        <v>43000.64583</v>
      </c>
      <c r="C39" s="2">
        <f>IFERROR(__xludf.DUMMYFUNCTION("""COMPUTED_VALUE"""),562.6)</f>
        <v>562.6</v>
      </c>
    </row>
    <row r="40" ht="15.75" customHeight="1">
      <c r="B40" s="3">
        <f>IFERROR(__xludf.DUMMYFUNCTION("""COMPUTED_VALUE"""),43007.64583333333)</f>
        <v>43007.64583</v>
      </c>
      <c r="C40" s="2">
        <f>IFERROR(__xludf.DUMMYFUNCTION("""COMPUTED_VALUE"""),539.77)</f>
        <v>539.77</v>
      </c>
    </row>
    <row r="41" ht="15.75" customHeight="1">
      <c r="B41" s="3">
        <f>IFERROR(__xludf.DUMMYFUNCTION("""COMPUTED_VALUE"""),43014.64583333333)</f>
        <v>43014.64583</v>
      </c>
      <c r="C41" s="2">
        <f>IFERROR(__xludf.DUMMYFUNCTION("""COMPUTED_VALUE"""),535.87)</f>
        <v>535.87</v>
      </c>
    </row>
    <row r="42" ht="15.75" customHeight="1">
      <c r="B42" s="3">
        <f>IFERROR(__xludf.DUMMYFUNCTION("""COMPUTED_VALUE"""),43021.64583333333)</f>
        <v>43021.64583</v>
      </c>
      <c r="C42" s="2">
        <f>IFERROR(__xludf.DUMMYFUNCTION("""COMPUTED_VALUE"""),554.67)</f>
        <v>554.67</v>
      </c>
    </row>
    <row r="43" ht="15.75" customHeight="1">
      <c r="B43" s="3">
        <f>IFERROR(__xludf.DUMMYFUNCTION("""COMPUTED_VALUE"""),43027.83333333333)</f>
        <v>43027.83333</v>
      </c>
      <c r="C43" s="2">
        <f>IFERROR(__xludf.DUMMYFUNCTION("""COMPUTED_VALUE"""),544.43)</f>
        <v>544.43</v>
      </c>
    </row>
    <row r="44" ht="15.75" customHeight="1">
      <c r="B44" s="3">
        <f>IFERROR(__xludf.DUMMYFUNCTION("""COMPUTED_VALUE"""),43035.64583333333)</f>
        <v>43035.64583</v>
      </c>
      <c r="C44" s="2">
        <f>IFERROR(__xludf.DUMMYFUNCTION("""COMPUTED_VALUE"""),556.43)</f>
        <v>556.43</v>
      </c>
    </row>
    <row r="45" ht="15.75" customHeight="1">
      <c r="B45" s="3">
        <f>IFERROR(__xludf.DUMMYFUNCTION("""COMPUTED_VALUE"""),43042.64583333333)</f>
        <v>43042.64583</v>
      </c>
      <c r="C45" s="2">
        <f>IFERROR(__xludf.DUMMYFUNCTION("""COMPUTED_VALUE"""),566.47)</f>
        <v>566.47</v>
      </c>
    </row>
    <row r="46" ht="15.75" customHeight="1">
      <c r="B46" s="3">
        <f>IFERROR(__xludf.DUMMYFUNCTION("""COMPUTED_VALUE"""),43049.64583333333)</f>
        <v>43049.64583</v>
      </c>
      <c r="C46" s="2">
        <f>IFERROR(__xludf.DUMMYFUNCTION("""COMPUTED_VALUE"""),521.2)</f>
        <v>521.2</v>
      </c>
    </row>
    <row r="47" ht="15.75" customHeight="1">
      <c r="B47" s="3">
        <f>IFERROR(__xludf.DUMMYFUNCTION("""COMPUTED_VALUE"""),43056.64583333333)</f>
        <v>43056.64583</v>
      </c>
      <c r="C47" s="2">
        <f>IFERROR(__xludf.DUMMYFUNCTION("""COMPUTED_VALUE"""),502.5)</f>
        <v>502.5</v>
      </c>
    </row>
    <row r="48" ht="15.75" customHeight="1">
      <c r="B48" s="3">
        <f>IFERROR(__xludf.DUMMYFUNCTION("""COMPUTED_VALUE"""),43063.64583333333)</f>
        <v>43063.64583</v>
      </c>
      <c r="C48" s="2">
        <f>IFERROR(__xludf.DUMMYFUNCTION("""COMPUTED_VALUE"""),506.67)</f>
        <v>506.67</v>
      </c>
    </row>
    <row r="49" ht="15.75" customHeight="1">
      <c r="B49" s="3">
        <f>IFERROR(__xludf.DUMMYFUNCTION("""COMPUTED_VALUE"""),43070.64583333333)</f>
        <v>43070.64583</v>
      </c>
      <c r="C49" s="2">
        <f>IFERROR(__xludf.DUMMYFUNCTION("""COMPUTED_VALUE"""),512.5)</f>
        <v>512.5</v>
      </c>
    </row>
    <row r="50" ht="15.75" customHeight="1">
      <c r="B50" s="3">
        <f>IFERROR(__xludf.DUMMYFUNCTION("""COMPUTED_VALUE"""),43077.64583333333)</f>
        <v>43077.64583</v>
      </c>
      <c r="C50" s="2">
        <f>IFERROR(__xludf.DUMMYFUNCTION("""COMPUTED_VALUE"""),491.2)</f>
        <v>491.2</v>
      </c>
    </row>
    <row r="51" ht="15.75" customHeight="1">
      <c r="B51" s="3">
        <f>IFERROR(__xludf.DUMMYFUNCTION("""COMPUTED_VALUE"""),43084.64583333333)</f>
        <v>43084.64583</v>
      </c>
      <c r="C51" s="2">
        <f>IFERROR(__xludf.DUMMYFUNCTION("""COMPUTED_VALUE"""),499.67)</f>
        <v>499.67</v>
      </c>
    </row>
    <row r="52" ht="15.75" customHeight="1">
      <c r="B52" s="3">
        <f>IFERROR(__xludf.DUMMYFUNCTION("""COMPUTED_VALUE"""),43091.64583333333)</f>
        <v>43091.64583</v>
      </c>
      <c r="C52" s="2">
        <f>IFERROR(__xludf.DUMMYFUNCTION("""COMPUTED_VALUE"""),496.2)</f>
        <v>496.2</v>
      </c>
    </row>
    <row r="53" ht="15.75" customHeight="1">
      <c r="B53" s="3">
        <f>IFERROR(__xludf.DUMMYFUNCTION("""COMPUTED_VALUE"""),43098.64583333333)</f>
        <v>43098.64583</v>
      </c>
      <c r="C53" s="2">
        <f>IFERROR(__xludf.DUMMYFUNCTION("""COMPUTED_VALUE"""),514.67)</f>
        <v>514.67</v>
      </c>
    </row>
    <row r="54" ht="15.75" customHeight="1"/>
    <row r="55" ht="15.75" customHeight="1"/>
    <row r="56" ht="15.75" customHeight="1">
      <c r="B56" s="2" t="str">
        <f>IFERROR(__xludf.DUMMYFUNCTION("GOOGLEFINANCE(""NSE:UPL"", ""high"",DATE(2018,1,1),DATE(2019,1,1),""weekly"")"),"Date")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IFERROR(__xludf.DUMMYFUNCTION("""COMPUTED_VALUE"""),43105.64583333333)</f>
        <v>43105.64583</v>
      </c>
      <c r="C57" s="2">
        <f>IFERROR(__xludf.DUMMYFUNCTION("""COMPUTED_VALUE"""),525.17)</f>
        <v>525.17</v>
      </c>
    </row>
    <row r="58" ht="15.75" customHeight="1">
      <c r="B58" s="3">
        <f>IFERROR(__xludf.DUMMYFUNCTION("""COMPUTED_VALUE"""),43112.64583333333)</f>
        <v>43112.64583</v>
      </c>
      <c r="C58" s="2">
        <f>IFERROR(__xludf.DUMMYFUNCTION("""COMPUTED_VALUE"""),529.33)</f>
        <v>529.33</v>
      </c>
    </row>
    <row r="59" ht="15.75" customHeight="1">
      <c r="B59" s="3">
        <f>IFERROR(__xludf.DUMMYFUNCTION("""COMPUTED_VALUE"""),43119.64583333333)</f>
        <v>43119.64583</v>
      </c>
      <c r="C59" s="2">
        <f>IFERROR(__xludf.DUMMYFUNCTION("""COMPUTED_VALUE"""),543.27)</f>
        <v>543.27</v>
      </c>
    </row>
    <row r="60" ht="15.75" customHeight="1">
      <c r="B60" s="3">
        <f>IFERROR(__xludf.DUMMYFUNCTION("""COMPUTED_VALUE"""),43125.64583333333)</f>
        <v>43125.64583</v>
      </c>
      <c r="C60" s="2">
        <f>IFERROR(__xludf.DUMMYFUNCTION("""COMPUTED_VALUE"""),552.33)</f>
        <v>552.33</v>
      </c>
    </row>
    <row r="61" ht="15.75" customHeight="1">
      <c r="B61" s="3">
        <f>IFERROR(__xludf.DUMMYFUNCTION("""COMPUTED_VALUE"""),43133.64583333333)</f>
        <v>43133.64583</v>
      </c>
      <c r="C61" s="2">
        <f>IFERROR(__xludf.DUMMYFUNCTION("""COMPUTED_VALUE"""),530.27)</f>
        <v>530.27</v>
      </c>
    </row>
    <row r="62" ht="15.75" customHeight="1">
      <c r="B62" s="3">
        <f>IFERROR(__xludf.DUMMYFUNCTION("""COMPUTED_VALUE"""),43140.64583333333)</f>
        <v>43140.64583</v>
      </c>
      <c r="C62" s="2">
        <f>IFERROR(__xludf.DUMMYFUNCTION("""COMPUTED_VALUE"""),485.97)</f>
        <v>485.97</v>
      </c>
    </row>
    <row r="63" ht="15.75" customHeight="1">
      <c r="B63" s="3">
        <f>IFERROR(__xludf.DUMMYFUNCTION("""COMPUTED_VALUE"""),43147.64583333333)</f>
        <v>43147.64583</v>
      </c>
      <c r="C63" s="2">
        <f>IFERROR(__xludf.DUMMYFUNCTION("""COMPUTED_VALUE"""),488.97)</f>
        <v>488.97</v>
      </c>
    </row>
    <row r="64" ht="15.75" customHeight="1">
      <c r="B64" s="3">
        <f>IFERROR(__xludf.DUMMYFUNCTION("""COMPUTED_VALUE"""),43154.64583333333)</f>
        <v>43154.64583</v>
      </c>
      <c r="C64" s="2">
        <f>IFERROR(__xludf.DUMMYFUNCTION("""COMPUTED_VALUE"""),473.33)</f>
        <v>473.33</v>
      </c>
    </row>
    <row r="65" ht="15.75" customHeight="1">
      <c r="B65" s="3">
        <f>IFERROR(__xludf.DUMMYFUNCTION("""COMPUTED_VALUE"""),43160.64583333333)</f>
        <v>43160.64583</v>
      </c>
      <c r="C65" s="2">
        <f>IFERROR(__xludf.DUMMYFUNCTION("""COMPUTED_VALUE"""),488.6)</f>
        <v>488.6</v>
      </c>
    </row>
    <row r="66" ht="15.75" customHeight="1">
      <c r="B66" s="3">
        <f>IFERROR(__xludf.DUMMYFUNCTION("""COMPUTED_VALUE"""),43168.64583333333)</f>
        <v>43168.64583</v>
      </c>
      <c r="C66" s="2">
        <f>IFERROR(__xludf.DUMMYFUNCTION("""COMPUTED_VALUE"""),484.53)</f>
        <v>484.53</v>
      </c>
    </row>
    <row r="67" ht="15.75" customHeight="1">
      <c r="B67" s="3">
        <f>IFERROR(__xludf.DUMMYFUNCTION("""COMPUTED_VALUE"""),43175.64583333333)</f>
        <v>43175.64583</v>
      </c>
      <c r="C67" s="2">
        <f>IFERROR(__xludf.DUMMYFUNCTION("""COMPUTED_VALUE"""),488.77)</f>
        <v>488.77</v>
      </c>
    </row>
    <row r="68" ht="15.75" customHeight="1">
      <c r="B68" s="3">
        <f>IFERROR(__xludf.DUMMYFUNCTION("""COMPUTED_VALUE"""),43182.64583333333)</f>
        <v>43182.64583</v>
      </c>
      <c r="C68" s="2">
        <f>IFERROR(__xludf.DUMMYFUNCTION("""COMPUTED_VALUE"""),485.1)</f>
        <v>485.1</v>
      </c>
    </row>
    <row r="69" ht="15.75" customHeight="1">
      <c r="B69" s="3">
        <f>IFERROR(__xludf.DUMMYFUNCTION("""COMPUTED_VALUE"""),43187.64583333333)</f>
        <v>43187.64583</v>
      </c>
      <c r="C69" s="2">
        <f>IFERROR(__xludf.DUMMYFUNCTION("""COMPUTED_VALUE"""),497.87)</f>
        <v>497.87</v>
      </c>
    </row>
    <row r="70" ht="15.75" customHeight="1">
      <c r="B70" s="3">
        <f>IFERROR(__xludf.DUMMYFUNCTION("""COMPUTED_VALUE"""),43196.64583333333)</f>
        <v>43196.64583</v>
      </c>
      <c r="C70" s="2">
        <f>IFERROR(__xludf.DUMMYFUNCTION("""COMPUTED_VALUE"""),513.3)</f>
        <v>513.3</v>
      </c>
    </row>
    <row r="71" ht="15.75" customHeight="1">
      <c r="B71" s="3">
        <f>IFERROR(__xludf.DUMMYFUNCTION("""COMPUTED_VALUE"""),43203.64583333333)</f>
        <v>43203.64583</v>
      </c>
      <c r="C71" s="2">
        <f>IFERROR(__xludf.DUMMYFUNCTION("""COMPUTED_VALUE"""),510.4)</f>
        <v>510.4</v>
      </c>
    </row>
    <row r="72" ht="15.75" customHeight="1">
      <c r="B72" s="3">
        <f>IFERROR(__xludf.DUMMYFUNCTION("""COMPUTED_VALUE"""),43210.64583333333)</f>
        <v>43210.64583</v>
      </c>
      <c r="C72" s="2">
        <f>IFERROR(__xludf.DUMMYFUNCTION("""COMPUTED_VALUE"""),516.6)</f>
        <v>516.6</v>
      </c>
    </row>
    <row r="73" ht="15.75" customHeight="1">
      <c r="B73" s="3">
        <f>IFERROR(__xludf.DUMMYFUNCTION("""COMPUTED_VALUE"""),43217.64583333333)</f>
        <v>43217.64583</v>
      </c>
      <c r="C73" s="2">
        <f>IFERROR(__xludf.DUMMYFUNCTION("""COMPUTED_VALUE"""),516.27)</f>
        <v>516.27</v>
      </c>
    </row>
    <row r="74" ht="15.75" customHeight="1">
      <c r="B74" s="3">
        <f>IFERROR(__xludf.DUMMYFUNCTION("""COMPUTED_VALUE"""),43224.64583333333)</f>
        <v>43224.64583</v>
      </c>
      <c r="C74" s="2">
        <f>IFERROR(__xludf.DUMMYFUNCTION("""COMPUTED_VALUE"""),506.47)</f>
        <v>506.47</v>
      </c>
    </row>
    <row r="75" ht="15.75" customHeight="1">
      <c r="B75" s="3">
        <f>IFERROR(__xludf.DUMMYFUNCTION("""COMPUTED_VALUE"""),43231.64583333333)</f>
        <v>43231.64583</v>
      </c>
      <c r="C75" s="2">
        <f>IFERROR(__xludf.DUMMYFUNCTION("""COMPUTED_VALUE"""),493.07)</f>
        <v>493.07</v>
      </c>
    </row>
    <row r="76" ht="15.75" customHeight="1">
      <c r="B76" s="3">
        <f>IFERROR(__xludf.DUMMYFUNCTION("""COMPUTED_VALUE"""),43238.64583333333)</f>
        <v>43238.64583</v>
      </c>
      <c r="C76" s="2">
        <f>IFERROR(__xludf.DUMMYFUNCTION("""COMPUTED_VALUE"""),493.33)</f>
        <v>493.33</v>
      </c>
    </row>
    <row r="77" ht="15.75" customHeight="1">
      <c r="B77" s="3">
        <f>IFERROR(__xludf.DUMMYFUNCTION("""COMPUTED_VALUE"""),43245.64583333333)</f>
        <v>43245.64583</v>
      </c>
      <c r="C77" s="2">
        <f>IFERROR(__xludf.DUMMYFUNCTION("""COMPUTED_VALUE"""),474.6)</f>
        <v>474.6</v>
      </c>
    </row>
    <row r="78" ht="15.75" customHeight="1">
      <c r="B78" s="3">
        <f>IFERROR(__xludf.DUMMYFUNCTION("""COMPUTED_VALUE"""),43252.64583333333)</f>
        <v>43252.64583</v>
      </c>
      <c r="C78" s="2">
        <f>IFERROR(__xludf.DUMMYFUNCTION("""COMPUTED_VALUE"""),500.0)</f>
        <v>500</v>
      </c>
    </row>
    <row r="79" ht="15.75" customHeight="1">
      <c r="B79" s="3">
        <f>IFERROR(__xludf.DUMMYFUNCTION("""COMPUTED_VALUE"""),43259.64583333333)</f>
        <v>43259.64583</v>
      </c>
      <c r="C79" s="2">
        <f>IFERROR(__xludf.DUMMYFUNCTION("""COMPUTED_VALUE"""),477.9)</f>
        <v>477.9</v>
      </c>
    </row>
    <row r="80" ht="15.75" customHeight="1">
      <c r="B80" s="3">
        <f>IFERROR(__xludf.DUMMYFUNCTION("""COMPUTED_VALUE"""),43266.64583333333)</f>
        <v>43266.64583</v>
      </c>
      <c r="C80" s="2">
        <f>IFERROR(__xludf.DUMMYFUNCTION("""COMPUTED_VALUE"""),475.2)</f>
        <v>475.2</v>
      </c>
    </row>
    <row r="81" ht="15.75" customHeight="1">
      <c r="B81" s="3">
        <f>IFERROR(__xludf.DUMMYFUNCTION("""COMPUTED_VALUE"""),43273.64583333333)</f>
        <v>43273.64583</v>
      </c>
      <c r="C81" s="2">
        <f>IFERROR(__xludf.DUMMYFUNCTION("""COMPUTED_VALUE"""),466.6)</f>
        <v>466.6</v>
      </c>
    </row>
    <row r="82" ht="15.75" customHeight="1">
      <c r="B82" s="3">
        <f>IFERROR(__xludf.DUMMYFUNCTION("""COMPUTED_VALUE"""),43280.64583333333)</f>
        <v>43280.64583</v>
      </c>
      <c r="C82" s="2">
        <f>IFERROR(__xludf.DUMMYFUNCTION("""COMPUTED_VALUE"""),432.5)</f>
        <v>432.5</v>
      </c>
    </row>
    <row r="83" ht="15.75" customHeight="1">
      <c r="B83" s="3">
        <f>IFERROR(__xludf.DUMMYFUNCTION("""COMPUTED_VALUE"""),43287.64583333333)</f>
        <v>43287.64583</v>
      </c>
      <c r="C83" s="2">
        <f>IFERROR(__xludf.DUMMYFUNCTION("""COMPUTED_VALUE"""),422.67)</f>
        <v>422.67</v>
      </c>
    </row>
    <row r="84" ht="15.75" customHeight="1">
      <c r="B84" s="3">
        <f>IFERROR(__xludf.DUMMYFUNCTION("""COMPUTED_VALUE"""),43294.64583333333)</f>
        <v>43294.64583</v>
      </c>
      <c r="C84" s="2">
        <f>IFERROR(__xludf.DUMMYFUNCTION("""COMPUTED_VALUE"""),427.33)</f>
        <v>427.33</v>
      </c>
    </row>
    <row r="85" ht="15.75" customHeight="1">
      <c r="B85" s="3">
        <f>IFERROR(__xludf.DUMMYFUNCTION("""COMPUTED_VALUE"""),43301.64583333333)</f>
        <v>43301.64583</v>
      </c>
      <c r="C85" s="2">
        <f>IFERROR(__xludf.DUMMYFUNCTION("""COMPUTED_VALUE"""),385.1)</f>
        <v>385.1</v>
      </c>
    </row>
    <row r="86" ht="15.75" customHeight="1">
      <c r="B86" s="3">
        <f>IFERROR(__xludf.DUMMYFUNCTION("""COMPUTED_VALUE"""),43308.64583333333)</f>
        <v>43308.64583</v>
      </c>
      <c r="C86" s="2">
        <f>IFERROR(__xludf.DUMMYFUNCTION("""COMPUTED_VALUE"""),441.77)</f>
        <v>441.77</v>
      </c>
    </row>
    <row r="87" ht="15.75" customHeight="1">
      <c r="B87" s="3">
        <f>IFERROR(__xludf.DUMMYFUNCTION("""COMPUTED_VALUE"""),43315.64583333333)</f>
        <v>43315.64583</v>
      </c>
      <c r="C87" s="2">
        <f>IFERROR(__xludf.DUMMYFUNCTION("""COMPUTED_VALUE"""),437.23)</f>
        <v>437.23</v>
      </c>
    </row>
    <row r="88" ht="15.75" customHeight="1">
      <c r="B88" s="3">
        <f>IFERROR(__xludf.DUMMYFUNCTION("""COMPUTED_VALUE"""),43322.64583333333)</f>
        <v>43322.64583</v>
      </c>
      <c r="C88" s="2">
        <f>IFERROR(__xludf.DUMMYFUNCTION("""COMPUTED_VALUE"""),442.6)</f>
        <v>442.6</v>
      </c>
    </row>
    <row r="89" ht="15.75" customHeight="1">
      <c r="B89" s="3">
        <f>IFERROR(__xludf.DUMMYFUNCTION("""COMPUTED_VALUE"""),43329.64583333333)</f>
        <v>43329.64583</v>
      </c>
      <c r="C89" s="2">
        <f>IFERROR(__xludf.DUMMYFUNCTION("""COMPUTED_VALUE"""),423.33)</f>
        <v>423.33</v>
      </c>
    </row>
    <row r="90" ht="15.75" customHeight="1">
      <c r="B90" s="3">
        <f>IFERROR(__xludf.DUMMYFUNCTION("""COMPUTED_VALUE"""),43336.64583333333)</f>
        <v>43336.64583</v>
      </c>
      <c r="C90" s="2">
        <f>IFERROR(__xludf.DUMMYFUNCTION("""COMPUTED_VALUE"""),449.33)</f>
        <v>449.33</v>
      </c>
    </row>
    <row r="91" ht="15.75" customHeight="1">
      <c r="B91" s="3">
        <f>IFERROR(__xludf.DUMMYFUNCTION("""COMPUTED_VALUE"""),43343.64583333333)</f>
        <v>43343.64583</v>
      </c>
      <c r="C91" s="2">
        <f>IFERROR(__xludf.DUMMYFUNCTION("""COMPUTED_VALUE"""),481.27)</f>
        <v>481.27</v>
      </c>
    </row>
    <row r="92" ht="15.75" customHeight="1">
      <c r="B92" s="3">
        <f>IFERROR(__xludf.DUMMYFUNCTION("""COMPUTED_VALUE"""),43350.64583333333)</f>
        <v>43350.64583</v>
      </c>
      <c r="C92" s="2">
        <f>IFERROR(__xludf.DUMMYFUNCTION("""COMPUTED_VALUE"""),484.0)</f>
        <v>484</v>
      </c>
    </row>
    <row r="93" ht="15.75" customHeight="1">
      <c r="B93" s="3">
        <f>IFERROR(__xludf.DUMMYFUNCTION("""COMPUTED_VALUE"""),43357.64583333333)</f>
        <v>43357.64583</v>
      </c>
      <c r="C93" s="2">
        <f>IFERROR(__xludf.DUMMYFUNCTION("""COMPUTED_VALUE"""),492.6)</f>
        <v>492.6</v>
      </c>
    </row>
    <row r="94" ht="15.75" customHeight="1">
      <c r="B94" s="3">
        <f>IFERROR(__xludf.DUMMYFUNCTION("""COMPUTED_VALUE"""),43364.64583333333)</f>
        <v>43364.64583</v>
      </c>
      <c r="C94" s="2">
        <f>IFERROR(__xludf.DUMMYFUNCTION("""COMPUTED_VALUE"""),492.1)</f>
        <v>492.1</v>
      </c>
    </row>
    <row r="95" ht="15.75" customHeight="1">
      <c r="B95" s="3">
        <f>IFERROR(__xludf.DUMMYFUNCTION("""COMPUTED_VALUE"""),43371.64583333333)</f>
        <v>43371.64583</v>
      </c>
      <c r="C95" s="2">
        <f>IFERROR(__xludf.DUMMYFUNCTION("""COMPUTED_VALUE"""),470.0)</f>
        <v>470</v>
      </c>
    </row>
    <row r="96" ht="15.75" customHeight="1">
      <c r="B96" s="3">
        <f>IFERROR(__xludf.DUMMYFUNCTION("""COMPUTED_VALUE"""),43378.64583333333)</f>
        <v>43378.64583</v>
      </c>
      <c r="C96" s="2">
        <f>IFERROR(__xludf.DUMMYFUNCTION("""COMPUTED_VALUE"""),446.67)</f>
        <v>446.67</v>
      </c>
    </row>
    <row r="97" ht="15.75" customHeight="1">
      <c r="B97" s="3">
        <f>IFERROR(__xludf.DUMMYFUNCTION("""COMPUTED_VALUE"""),43385.64583333333)</f>
        <v>43385.64583</v>
      </c>
      <c r="C97" s="2">
        <f>IFERROR(__xludf.DUMMYFUNCTION("""COMPUTED_VALUE"""),423.33)</f>
        <v>423.33</v>
      </c>
    </row>
    <row r="98" ht="15.75" customHeight="1">
      <c r="B98" s="3">
        <f>IFERROR(__xludf.DUMMYFUNCTION("""COMPUTED_VALUE"""),43392.64583333333)</f>
        <v>43392.64583</v>
      </c>
      <c r="C98" s="2">
        <f>IFERROR(__xludf.DUMMYFUNCTION("""COMPUTED_VALUE"""),443.33)</f>
        <v>443.33</v>
      </c>
    </row>
    <row r="99" ht="15.75" customHeight="1">
      <c r="B99" s="3">
        <f>IFERROR(__xludf.DUMMYFUNCTION("""COMPUTED_VALUE"""),43399.64583333333)</f>
        <v>43399.64583</v>
      </c>
      <c r="C99" s="2">
        <f>IFERROR(__xludf.DUMMYFUNCTION("""COMPUTED_VALUE"""),434.67)</f>
        <v>434.67</v>
      </c>
    </row>
    <row r="100" ht="15.75" customHeight="1">
      <c r="B100" s="3">
        <f>IFERROR(__xludf.DUMMYFUNCTION("""COMPUTED_VALUE"""),43406.64583333333)</f>
        <v>43406.64583</v>
      </c>
      <c r="C100" s="2">
        <f>IFERROR(__xludf.DUMMYFUNCTION("""COMPUTED_VALUE"""),477.67)</f>
        <v>477.67</v>
      </c>
    </row>
    <row r="101" ht="15.75" customHeight="1">
      <c r="B101" s="3">
        <f>IFERROR(__xludf.DUMMYFUNCTION("""COMPUTED_VALUE"""),43413.64583333333)</f>
        <v>43413.64583</v>
      </c>
      <c r="C101" s="2">
        <f>IFERROR(__xludf.DUMMYFUNCTION("""COMPUTED_VALUE"""),496.6)</f>
        <v>496.6</v>
      </c>
    </row>
    <row r="102" ht="15.75" customHeight="1">
      <c r="B102" s="3">
        <f>IFERROR(__xludf.DUMMYFUNCTION("""COMPUTED_VALUE"""),43420.64583333333)</f>
        <v>43420.64583</v>
      </c>
      <c r="C102" s="2">
        <f>IFERROR(__xludf.DUMMYFUNCTION("""COMPUTED_VALUE"""),516.43)</f>
        <v>516.43</v>
      </c>
    </row>
    <row r="103" ht="15.75" customHeight="1">
      <c r="B103" s="3">
        <f>IFERROR(__xludf.DUMMYFUNCTION("""COMPUTED_VALUE"""),43426.64583333333)</f>
        <v>43426.64583</v>
      </c>
      <c r="C103" s="2">
        <f>IFERROR(__xludf.DUMMYFUNCTION("""COMPUTED_VALUE"""),523.27)</f>
        <v>523.27</v>
      </c>
    </row>
    <row r="104" ht="15.75" customHeight="1">
      <c r="B104" s="3">
        <f>IFERROR(__xludf.DUMMYFUNCTION("""COMPUTED_VALUE"""),43434.64583333333)</f>
        <v>43434.64583</v>
      </c>
      <c r="C104" s="2">
        <f>IFERROR(__xludf.DUMMYFUNCTION("""COMPUTED_VALUE"""),526.27)</f>
        <v>526.27</v>
      </c>
    </row>
    <row r="105" ht="15.75" customHeight="1">
      <c r="B105" s="3">
        <f>IFERROR(__xludf.DUMMYFUNCTION("""COMPUTED_VALUE"""),43441.64583333333)</f>
        <v>43441.64583</v>
      </c>
      <c r="C105" s="2">
        <f>IFERROR(__xludf.DUMMYFUNCTION("""COMPUTED_VALUE"""),509.2)</f>
        <v>509.2</v>
      </c>
    </row>
    <row r="106" ht="15.75" customHeight="1">
      <c r="B106" s="3">
        <f>IFERROR(__xludf.DUMMYFUNCTION("""COMPUTED_VALUE"""),43448.64583333333)</f>
        <v>43448.64583</v>
      </c>
      <c r="C106" s="2">
        <f>IFERROR(__xludf.DUMMYFUNCTION("""COMPUTED_VALUE"""),529.53)</f>
        <v>529.53</v>
      </c>
    </row>
    <row r="107" ht="15.75" customHeight="1">
      <c r="B107" s="3">
        <f>IFERROR(__xludf.DUMMYFUNCTION("""COMPUTED_VALUE"""),43455.64583333333)</f>
        <v>43455.64583</v>
      </c>
      <c r="C107" s="2">
        <f>IFERROR(__xludf.DUMMYFUNCTION("""COMPUTED_VALUE"""),516.13)</f>
        <v>516.13</v>
      </c>
    </row>
    <row r="108" ht="15.75" customHeight="1">
      <c r="B108" s="3">
        <f>IFERROR(__xludf.DUMMYFUNCTION("""COMPUTED_VALUE"""),43462.64583333333)</f>
        <v>43462.64583</v>
      </c>
      <c r="C108" s="2">
        <f>IFERROR(__xludf.DUMMYFUNCTION("""COMPUTED_VALUE"""),514.0)</f>
        <v>514</v>
      </c>
    </row>
    <row r="109" ht="15.75" customHeight="1"/>
    <row r="110" ht="15.75" customHeight="1"/>
    <row r="111" ht="15.75" customHeight="1">
      <c r="B111" s="2" t="str">
        <f>IFERROR(__xludf.DUMMYFUNCTION("GOOGLEFINANCE(""NSE:UPL"", ""high"",DATE(2019,1,1),DATE(2020,1,1),""weekly"")"),"Date")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IFERROR(__xludf.DUMMYFUNCTION("""COMPUTED_VALUE"""),43469.64583333333)</f>
        <v>43469.64583</v>
      </c>
      <c r="C112" s="2">
        <f>IFERROR(__xludf.DUMMYFUNCTION("""COMPUTED_VALUE"""),510.83)</f>
        <v>510.83</v>
      </c>
    </row>
    <row r="113" ht="15.75" customHeight="1">
      <c r="B113" s="3">
        <f>IFERROR(__xludf.DUMMYFUNCTION("""COMPUTED_VALUE"""),43476.64583333333)</f>
        <v>43476.64583</v>
      </c>
      <c r="C113" s="2">
        <f>IFERROR(__xludf.DUMMYFUNCTION("""COMPUTED_VALUE"""),524.67)</f>
        <v>524.67</v>
      </c>
    </row>
    <row r="114" ht="15.75" customHeight="1">
      <c r="B114" s="3">
        <f>IFERROR(__xludf.DUMMYFUNCTION("""COMPUTED_VALUE"""),43483.64583333333)</f>
        <v>43483.64583</v>
      </c>
      <c r="C114" s="2">
        <f>IFERROR(__xludf.DUMMYFUNCTION("""COMPUTED_VALUE"""),522.67)</f>
        <v>522.67</v>
      </c>
    </row>
    <row r="115" ht="15.75" customHeight="1">
      <c r="B115" s="3">
        <f>IFERROR(__xludf.DUMMYFUNCTION("""COMPUTED_VALUE"""),43490.64583333333)</f>
        <v>43490.64583</v>
      </c>
      <c r="C115" s="2">
        <f>IFERROR(__xludf.DUMMYFUNCTION("""COMPUTED_VALUE"""),521.43)</f>
        <v>521.43</v>
      </c>
    </row>
    <row r="116" ht="15.75" customHeight="1">
      <c r="B116" s="3">
        <f>IFERROR(__xludf.DUMMYFUNCTION("""COMPUTED_VALUE"""),43497.64583333333)</f>
        <v>43497.64583</v>
      </c>
      <c r="C116" s="2">
        <f>IFERROR(__xludf.DUMMYFUNCTION("""COMPUTED_VALUE"""),533.17)</f>
        <v>533.17</v>
      </c>
    </row>
    <row r="117" ht="15.75" customHeight="1">
      <c r="B117" s="3">
        <f>IFERROR(__xludf.DUMMYFUNCTION("""COMPUTED_VALUE"""),43504.64583333333)</f>
        <v>43504.64583</v>
      </c>
      <c r="C117" s="2">
        <f>IFERROR(__xludf.DUMMYFUNCTION("""COMPUTED_VALUE"""),545.0)</f>
        <v>545</v>
      </c>
    </row>
    <row r="118" ht="15.75" customHeight="1">
      <c r="B118" s="3">
        <f>IFERROR(__xludf.DUMMYFUNCTION("""COMPUTED_VALUE"""),43511.64583333333)</f>
        <v>43511.64583</v>
      </c>
      <c r="C118" s="2">
        <f>IFERROR(__xludf.DUMMYFUNCTION("""COMPUTED_VALUE"""),549.67)</f>
        <v>549.67</v>
      </c>
    </row>
    <row r="119" ht="15.75" customHeight="1">
      <c r="B119" s="3">
        <f>IFERROR(__xludf.DUMMYFUNCTION("""COMPUTED_VALUE"""),43518.64583333333)</f>
        <v>43518.64583</v>
      </c>
      <c r="C119" s="2">
        <f>IFERROR(__xludf.DUMMYFUNCTION("""COMPUTED_VALUE"""),555.13)</f>
        <v>555.13</v>
      </c>
    </row>
    <row r="120" ht="15.75" customHeight="1">
      <c r="B120" s="3">
        <f>IFERROR(__xludf.DUMMYFUNCTION("""COMPUTED_VALUE"""),43525.64583333333)</f>
        <v>43525.64583</v>
      </c>
      <c r="C120" s="2">
        <f>IFERROR(__xludf.DUMMYFUNCTION("""COMPUTED_VALUE"""),587.93)</f>
        <v>587.93</v>
      </c>
    </row>
    <row r="121" ht="15.75" customHeight="1">
      <c r="B121" s="3">
        <f>IFERROR(__xludf.DUMMYFUNCTION("""COMPUTED_VALUE"""),43532.64583333333)</f>
        <v>43532.64583</v>
      </c>
      <c r="C121" s="2">
        <f>IFERROR(__xludf.DUMMYFUNCTION("""COMPUTED_VALUE"""),590.0)</f>
        <v>590</v>
      </c>
    </row>
    <row r="122" ht="15.75" customHeight="1">
      <c r="B122" s="3">
        <f>IFERROR(__xludf.DUMMYFUNCTION("""COMPUTED_VALUE"""),43539.64583333333)</f>
        <v>43539.64583</v>
      </c>
      <c r="C122" s="2">
        <f>IFERROR(__xludf.DUMMYFUNCTION("""COMPUTED_VALUE"""),618.93)</f>
        <v>618.93</v>
      </c>
    </row>
    <row r="123" ht="15.75" customHeight="1">
      <c r="B123" s="3">
        <f>IFERROR(__xludf.DUMMYFUNCTION("""COMPUTED_VALUE"""),43546.64583333333)</f>
        <v>43546.64583</v>
      </c>
      <c r="C123" s="2">
        <f>IFERROR(__xludf.DUMMYFUNCTION("""COMPUTED_VALUE"""),627.33)</f>
        <v>627.33</v>
      </c>
    </row>
    <row r="124" ht="15.75" customHeight="1">
      <c r="B124" s="3">
        <f>IFERROR(__xludf.DUMMYFUNCTION("""COMPUTED_VALUE"""),43553.64583333333)</f>
        <v>43553.64583</v>
      </c>
      <c r="C124" s="2">
        <f>IFERROR(__xludf.DUMMYFUNCTION("""COMPUTED_VALUE"""),641.93)</f>
        <v>641.93</v>
      </c>
    </row>
    <row r="125" ht="15.75" customHeight="1">
      <c r="B125" s="3">
        <f>IFERROR(__xludf.DUMMYFUNCTION("""COMPUTED_VALUE"""),43560.64583333333)</f>
        <v>43560.64583</v>
      </c>
      <c r="C125" s="2">
        <f>IFERROR(__xludf.DUMMYFUNCTION("""COMPUTED_VALUE"""),641.33)</f>
        <v>641.33</v>
      </c>
    </row>
    <row r="126" ht="15.75" customHeight="1">
      <c r="B126" s="3">
        <f>IFERROR(__xludf.DUMMYFUNCTION("""COMPUTED_VALUE"""),43567.64583333333)</f>
        <v>43567.64583</v>
      </c>
      <c r="C126" s="2">
        <f>IFERROR(__xludf.DUMMYFUNCTION("""COMPUTED_VALUE"""),633.93)</f>
        <v>633.93</v>
      </c>
    </row>
    <row r="127" ht="15.75" customHeight="1">
      <c r="B127" s="3">
        <f>IFERROR(__xludf.DUMMYFUNCTION("""COMPUTED_VALUE"""),43573.64583333333)</f>
        <v>43573.64583</v>
      </c>
      <c r="C127" s="2">
        <f>IFERROR(__xludf.DUMMYFUNCTION("""COMPUTED_VALUE"""),626.4)</f>
        <v>626.4</v>
      </c>
    </row>
    <row r="128" ht="15.75" customHeight="1">
      <c r="B128" s="3">
        <f>IFERROR(__xludf.DUMMYFUNCTION("""COMPUTED_VALUE"""),43581.64583333333)</f>
        <v>43581.64583</v>
      </c>
      <c r="C128" s="2">
        <f>IFERROR(__xludf.DUMMYFUNCTION("""COMPUTED_VALUE"""),649.27)</f>
        <v>649.27</v>
      </c>
    </row>
    <row r="129" ht="15.75" customHeight="1">
      <c r="B129" s="3">
        <f>IFERROR(__xludf.DUMMYFUNCTION("""COMPUTED_VALUE"""),43588.64583333333)</f>
        <v>43588.64583</v>
      </c>
      <c r="C129" s="2">
        <f>IFERROR(__xludf.DUMMYFUNCTION("""COMPUTED_VALUE"""),650.17)</f>
        <v>650.17</v>
      </c>
    </row>
    <row r="130" ht="15.75" customHeight="1">
      <c r="B130" s="3">
        <f>IFERROR(__xludf.DUMMYFUNCTION("""COMPUTED_VALUE"""),43595.64583333333)</f>
        <v>43595.64583</v>
      </c>
      <c r="C130" s="2">
        <f>IFERROR(__xludf.DUMMYFUNCTION("""COMPUTED_VALUE"""),645.6)</f>
        <v>645.6</v>
      </c>
    </row>
    <row r="131" ht="15.75" customHeight="1">
      <c r="B131" s="3">
        <f>IFERROR(__xludf.DUMMYFUNCTION("""COMPUTED_VALUE"""),43602.64583333333)</f>
        <v>43602.64583</v>
      </c>
      <c r="C131" s="2">
        <f>IFERROR(__xludf.DUMMYFUNCTION("""COMPUTED_VALUE"""),661.97)</f>
        <v>661.97</v>
      </c>
    </row>
    <row r="132" ht="15.75" customHeight="1">
      <c r="B132" s="3">
        <f>IFERROR(__xludf.DUMMYFUNCTION("""COMPUTED_VALUE"""),43609.64583333333)</f>
        <v>43609.64583</v>
      </c>
      <c r="C132" s="2">
        <f>IFERROR(__xludf.DUMMYFUNCTION("""COMPUTED_VALUE"""),695.73)</f>
        <v>695.73</v>
      </c>
    </row>
    <row r="133" ht="15.75" customHeight="1">
      <c r="B133" s="3">
        <f>IFERROR(__xludf.DUMMYFUNCTION("""COMPUTED_VALUE"""),43616.64583333333)</f>
        <v>43616.64583</v>
      </c>
      <c r="C133" s="2">
        <f>IFERROR(__xludf.DUMMYFUNCTION("""COMPUTED_VALUE"""),695.83)</f>
        <v>695.83</v>
      </c>
    </row>
    <row r="134" ht="15.75" customHeight="1">
      <c r="B134" s="3">
        <f>IFERROR(__xludf.DUMMYFUNCTION("""COMPUTED_VALUE"""),43623.64583333333)</f>
        <v>43623.64583</v>
      </c>
      <c r="C134" s="2">
        <f>IFERROR(__xludf.DUMMYFUNCTION("""COMPUTED_VALUE"""),681.97)</f>
        <v>681.97</v>
      </c>
    </row>
    <row r="135" ht="15.75" customHeight="1">
      <c r="B135" s="3">
        <f>IFERROR(__xludf.DUMMYFUNCTION("""COMPUTED_VALUE"""),43630.64583333333)</f>
        <v>43630.64583</v>
      </c>
      <c r="C135" s="2">
        <f>IFERROR(__xludf.DUMMYFUNCTION("""COMPUTED_VALUE"""),693.33)</f>
        <v>693.33</v>
      </c>
    </row>
    <row r="136" ht="15.75" customHeight="1">
      <c r="B136" s="3">
        <f>IFERROR(__xludf.DUMMYFUNCTION("""COMPUTED_VALUE"""),43637.64583333333)</f>
        <v>43637.64583</v>
      </c>
      <c r="C136" s="2">
        <f>IFERROR(__xludf.DUMMYFUNCTION("""COMPUTED_VALUE"""),675.87)</f>
        <v>675.87</v>
      </c>
    </row>
    <row r="137" ht="15.75" customHeight="1">
      <c r="B137" s="3">
        <f>IFERROR(__xludf.DUMMYFUNCTION("""COMPUTED_VALUE"""),43644.64583333333)</f>
        <v>43644.64583</v>
      </c>
      <c r="C137" s="2">
        <f>IFERROR(__xludf.DUMMYFUNCTION("""COMPUTED_VALUE"""),642.53)</f>
        <v>642.53</v>
      </c>
    </row>
    <row r="138" ht="15.75" customHeight="1">
      <c r="B138" s="3">
        <f>IFERROR(__xludf.DUMMYFUNCTION("""COMPUTED_VALUE"""),43651.64583333333)</f>
        <v>43651.64583</v>
      </c>
      <c r="C138" s="2">
        <f>IFERROR(__xludf.DUMMYFUNCTION("""COMPUTED_VALUE"""),709.05)</f>
        <v>709.05</v>
      </c>
    </row>
    <row r="139" ht="15.75" customHeight="1">
      <c r="B139" s="3">
        <f>IFERROR(__xludf.DUMMYFUNCTION("""COMPUTED_VALUE"""),43658.64583333333)</f>
        <v>43658.64583</v>
      </c>
      <c r="C139" s="2">
        <f>IFERROR(__xludf.DUMMYFUNCTION("""COMPUTED_VALUE"""),673.5)</f>
        <v>673.5</v>
      </c>
    </row>
    <row r="140" ht="15.75" customHeight="1">
      <c r="B140" s="3">
        <f>IFERROR(__xludf.DUMMYFUNCTION("""COMPUTED_VALUE"""),43665.64583333333)</f>
        <v>43665.64583</v>
      </c>
      <c r="C140" s="2">
        <f>IFERROR(__xludf.DUMMYFUNCTION("""COMPUTED_VALUE"""),670.95)</f>
        <v>670.95</v>
      </c>
    </row>
    <row r="141" ht="15.75" customHeight="1">
      <c r="B141" s="3">
        <f>IFERROR(__xludf.DUMMYFUNCTION("""COMPUTED_VALUE"""),43672.64583333333)</f>
        <v>43672.64583</v>
      </c>
      <c r="C141" s="2">
        <f>IFERROR(__xludf.DUMMYFUNCTION("""COMPUTED_VALUE"""),654.8)</f>
        <v>654.8</v>
      </c>
    </row>
    <row r="142" ht="15.75" customHeight="1">
      <c r="B142" s="3">
        <f>IFERROR(__xludf.DUMMYFUNCTION("""COMPUTED_VALUE"""),43679.64583333333)</f>
        <v>43679.64583</v>
      </c>
      <c r="C142" s="2">
        <f>IFERROR(__xludf.DUMMYFUNCTION("""COMPUTED_VALUE"""),604.75)</f>
        <v>604.75</v>
      </c>
    </row>
    <row r="143" ht="15.75" customHeight="1">
      <c r="B143" s="3">
        <f>IFERROR(__xludf.DUMMYFUNCTION("""COMPUTED_VALUE"""),43686.64583333333)</f>
        <v>43686.64583</v>
      </c>
      <c r="C143" s="2">
        <f>IFERROR(__xludf.DUMMYFUNCTION("""COMPUTED_VALUE"""),568.95)</f>
        <v>568.95</v>
      </c>
    </row>
    <row r="144" ht="15.75" customHeight="1">
      <c r="B144" s="3">
        <f>IFERROR(__xludf.DUMMYFUNCTION("""COMPUTED_VALUE"""),43693.64583333333)</f>
        <v>43693.64583</v>
      </c>
      <c r="C144" s="2">
        <f>IFERROR(__xludf.DUMMYFUNCTION("""COMPUTED_VALUE"""),553.25)</f>
        <v>553.25</v>
      </c>
    </row>
    <row r="145" ht="15.75" customHeight="1">
      <c r="B145" s="3">
        <f>IFERROR(__xludf.DUMMYFUNCTION("""COMPUTED_VALUE"""),43700.64583333333)</f>
        <v>43700.64583</v>
      </c>
      <c r="C145" s="2">
        <f>IFERROR(__xludf.DUMMYFUNCTION("""COMPUTED_VALUE"""),556.8)</f>
        <v>556.8</v>
      </c>
    </row>
    <row r="146" ht="15.75" customHeight="1">
      <c r="B146" s="3">
        <f>IFERROR(__xludf.DUMMYFUNCTION("""COMPUTED_VALUE"""),43707.64583333333)</f>
        <v>43707.64583</v>
      </c>
      <c r="C146" s="2">
        <f>IFERROR(__xludf.DUMMYFUNCTION("""COMPUTED_VALUE"""),573.15)</f>
        <v>573.15</v>
      </c>
    </row>
    <row r="147" ht="15.75" customHeight="1">
      <c r="B147" s="3">
        <f>IFERROR(__xludf.DUMMYFUNCTION("""COMPUTED_VALUE"""),43714.64583333333)</f>
        <v>43714.64583</v>
      </c>
      <c r="C147" s="2">
        <f>IFERROR(__xludf.DUMMYFUNCTION("""COMPUTED_VALUE"""),573.9)</f>
        <v>573.9</v>
      </c>
    </row>
    <row r="148" ht="15.75" customHeight="1">
      <c r="B148" s="3">
        <f>IFERROR(__xludf.DUMMYFUNCTION("""COMPUTED_VALUE"""),43721.64583333333)</f>
        <v>43721.64583</v>
      </c>
      <c r="C148" s="2">
        <f>IFERROR(__xludf.DUMMYFUNCTION("""COMPUTED_VALUE"""),590.6)</f>
        <v>590.6</v>
      </c>
    </row>
    <row r="149" ht="15.75" customHeight="1">
      <c r="B149" s="3">
        <f>IFERROR(__xludf.DUMMYFUNCTION("""COMPUTED_VALUE"""),43728.64583333333)</f>
        <v>43728.64583</v>
      </c>
      <c r="C149" s="2">
        <f>IFERROR(__xludf.DUMMYFUNCTION("""COMPUTED_VALUE"""),585.0)</f>
        <v>585</v>
      </c>
    </row>
    <row r="150" ht="15.75" customHeight="1">
      <c r="B150" s="3">
        <f>IFERROR(__xludf.DUMMYFUNCTION("""COMPUTED_VALUE"""),43735.64583333333)</f>
        <v>43735.64583</v>
      </c>
      <c r="C150" s="2">
        <f>IFERROR(__xludf.DUMMYFUNCTION("""COMPUTED_VALUE"""),596.4)</f>
        <v>596.4</v>
      </c>
    </row>
    <row r="151" ht="15.75" customHeight="1">
      <c r="B151" s="3">
        <f>IFERROR(__xludf.DUMMYFUNCTION("""COMPUTED_VALUE"""),43742.64583333333)</f>
        <v>43742.64583</v>
      </c>
      <c r="C151" s="2">
        <f>IFERROR(__xludf.DUMMYFUNCTION("""COMPUTED_VALUE"""),614.35)</f>
        <v>614.35</v>
      </c>
    </row>
    <row r="152" ht="15.75" customHeight="1">
      <c r="B152" s="3">
        <f>IFERROR(__xludf.DUMMYFUNCTION("""COMPUTED_VALUE"""),43749.64583333333)</f>
        <v>43749.64583</v>
      </c>
      <c r="C152" s="2">
        <f>IFERROR(__xludf.DUMMYFUNCTION("""COMPUTED_VALUE"""),593.2)</f>
        <v>593.2</v>
      </c>
    </row>
    <row r="153" ht="15.75" customHeight="1">
      <c r="B153" s="3">
        <f>IFERROR(__xludf.DUMMYFUNCTION("""COMPUTED_VALUE"""),43756.64583333333)</f>
        <v>43756.64583</v>
      </c>
      <c r="C153" s="2">
        <f>IFERROR(__xludf.DUMMYFUNCTION("""COMPUTED_VALUE"""),603.5)</f>
        <v>603.5</v>
      </c>
    </row>
    <row r="154" ht="15.75" customHeight="1">
      <c r="B154" s="3">
        <f>IFERROR(__xludf.DUMMYFUNCTION("""COMPUTED_VALUE"""),43763.79166666667)</f>
        <v>43763.79167</v>
      </c>
      <c r="C154" s="2">
        <f>IFERROR(__xludf.DUMMYFUNCTION("""COMPUTED_VALUE"""),606.5)</f>
        <v>606.5</v>
      </c>
    </row>
    <row r="155" ht="15.75" customHeight="1">
      <c r="B155" s="3">
        <f>IFERROR(__xludf.DUMMYFUNCTION("""COMPUTED_VALUE"""),43770.64583333333)</f>
        <v>43770.64583</v>
      </c>
      <c r="C155" s="2">
        <f>IFERROR(__xludf.DUMMYFUNCTION("""COMPUTED_VALUE"""),600.8)</f>
        <v>600.8</v>
      </c>
    </row>
    <row r="156" ht="15.75" customHeight="1">
      <c r="B156" s="3">
        <f>IFERROR(__xludf.DUMMYFUNCTION("""COMPUTED_VALUE"""),43777.64583333333)</f>
        <v>43777.64583</v>
      </c>
      <c r="C156" s="2">
        <f>IFERROR(__xludf.DUMMYFUNCTION("""COMPUTED_VALUE"""),617.75)</f>
        <v>617.75</v>
      </c>
    </row>
    <row r="157" ht="15.75" customHeight="1">
      <c r="B157" s="3">
        <f>IFERROR(__xludf.DUMMYFUNCTION("""COMPUTED_VALUE"""),43784.64583333333)</f>
        <v>43784.64583</v>
      </c>
      <c r="C157" s="2">
        <f>IFERROR(__xludf.DUMMYFUNCTION("""COMPUTED_VALUE"""),561.0)</f>
        <v>561</v>
      </c>
    </row>
    <row r="158" ht="15.75" customHeight="1">
      <c r="B158" s="3">
        <f>IFERROR(__xludf.DUMMYFUNCTION("""COMPUTED_VALUE"""),43791.64583333333)</f>
        <v>43791.64583</v>
      </c>
      <c r="C158" s="2">
        <f>IFERROR(__xludf.DUMMYFUNCTION("""COMPUTED_VALUE"""),559.8)</f>
        <v>559.8</v>
      </c>
    </row>
    <row r="159" ht="15.75" customHeight="1">
      <c r="B159" s="3">
        <f>IFERROR(__xludf.DUMMYFUNCTION("""COMPUTED_VALUE"""),43798.64583333333)</f>
        <v>43798.64583</v>
      </c>
      <c r="C159" s="2">
        <f>IFERROR(__xludf.DUMMYFUNCTION("""COMPUTED_VALUE"""),582.8)</f>
        <v>582.8</v>
      </c>
    </row>
    <row r="160" ht="15.75" customHeight="1">
      <c r="B160" s="3">
        <f>IFERROR(__xludf.DUMMYFUNCTION("""COMPUTED_VALUE"""),43805.64583333333)</f>
        <v>43805.64583</v>
      </c>
      <c r="C160" s="2">
        <f>IFERROR(__xludf.DUMMYFUNCTION("""COMPUTED_VALUE"""),574.8)</f>
        <v>574.8</v>
      </c>
    </row>
    <row r="161" ht="15.75" customHeight="1">
      <c r="B161" s="3">
        <f>IFERROR(__xludf.DUMMYFUNCTION("""COMPUTED_VALUE"""),43812.64583333333)</f>
        <v>43812.64583</v>
      </c>
      <c r="C161" s="2">
        <f>IFERROR(__xludf.DUMMYFUNCTION("""COMPUTED_VALUE"""),581.0)</f>
        <v>581</v>
      </c>
    </row>
    <row r="162" ht="15.75" customHeight="1">
      <c r="B162" s="3">
        <f>IFERROR(__xludf.DUMMYFUNCTION("""COMPUTED_VALUE"""),43819.64583333333)</f>
        <v>43819.64583</v>
      </c>
      <c r="C162" s="2">
        <f>IFERROR(__xludf.DUMMYFUNCTION("""COMPUTED_VALUE"""),580.9)</f>
        <v>580.9</v>
      </c>
    </row>
    <row r="163" ht="15.75" customHeight="1">
      <c r="B163" s="3">
        <f>IFERROR(__xludf.DUMMYFUNCTION("""COMPUTED_VALUE"""),43826.64583333333)</f>
        <v>43826.64583</v>
      </c>
      <c r="C163" s="2">
        <f>IFERROR(__xludf.DUMMYFUNCTION("""COMPUTED_VALUE"""),596.2)</f>
        <v>596.2</v>
      </c>
    </row>
    <row r="164" ht="15.75" customHeight="1"/>
    <row r="165" ht="15.75" customHeight="1"/>
    <row r="166" ht="15.75" customHeight="1">
      <c r="B166" s="2" t="str">
        <f>IFERROR(__xludf.DUMMYFUNCTION("GOOGLEFINANCE(""NSE:UPL"", ""high"",DATE(2020,1,1),DATE(2021,1,1),""weekly"")"),"Date")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IFERROR(__xludf.DUMMYFUNCTION("""COMPUTED_VALUE"""),43833.64583333333)</f>
        <v>43833.64583</v>
      </c>
      <c r="C167" s="2">
        <f>IFERROR(__xludf.DUMMYFUNCTION("""COMPUTED_VALUE"""),597.2)</f>
        <v>597.2</v>
      </c>
    </row>
    <row r="168" ht="15.75" customHeight="1">
      <c r="B168" s="3">
        <f>IFERROR(__xludf.DUMMYFUNCTION("""COMPUTED_VALUE"""),43840.64583333333)</f>
        <v>43840.64583</v>
      </c>
      <c r="C168" s="2">
        <f>IFERROR(__xludf.DUMMYFUNCTION("""COMPUTED_VALUE"""),614.9)</f>
        <v>614.9</v>
      </c>
    </row>
    <row r="169" ht="15.75" customHeight="1">
      <c r="B169" s="3">
        <f>IFERROR(__xludf.DUMMYFUNCTION("""COMPUTED_VALUE"""),43847.64583333333)</f>
        <v>43847.64583</v>
      </c>
      <c r="C169" s="2">
        <f>IFERROR(__xludf.DUMMYFUNCTION("""COMPUTED_VALUE"""),605.75)</f>
        <v>605.75</v>
      </c>
    </row>
    <row r="170" ht="15.75" customHeight="1">
      <c r="B170" s="3">
        <f>IFERROR(__xludf.DUMMYFUNCTION("""COMPUTED_VALUE"""),43854.64583333333)</f>
        <v>43854.64583</v>
      </c>
      <c r="C170" s="2">
        <f>IFERROR(__xludf.DUMMYFUNCTION("""COMPUTED_VALUE"""),590.85)</f>
        <v>590.85</v>
      </c>
    </row>
    <row r="171" ht="15.75" customHeight="1">
      <c r="B171" s="3">
        <f>IFERROR(__xludf.DUMMYFUNCTION("""COMPUTED_VALUE"""),43862.70833333333)</f>
        <v>43862.70833</v>
      </c>
      <c r="C171" s="2">
        <f>IFERROR(__xludf.DUMMYFUNCTION("""COMPUTED_VALUE"""),551.35)</f>
        <v>551.35</v>
      </c>
    </row>
    <row r="172" ht="15.75" customHeight="1">
      <c r="B172" s="3">
        <f>IFERROR(__xludf.DUMMYFUNCTION("""COMPUTED_VALUE"""),43868.64583333333)</f>
        <v>43868.64583</v>
      </c>
      <c r="C172" s="2">
        <f>IFERROR(__xludf.DUMMYFUNCTION("""COMPUTED_VALUE"""),555.45)</f>
        <v>555.45</v>
      </c>
    </row>
    <row r="173" ht="15.75" customHeight="1">
      <c r="B173" s="3">
        <f>IFERROR(__xludf.DUMMYFUNCTION("""COMPUTED_VALUE"""),43875.64583333333)</f>
        <v>43875.64583</v>
      </c>
      <c r="C173" s="2">
        <f>IFERROR(__xludf.DUMMYFUNCTION("""COMPUTED_VALUE"""),601.4)</f>
        <v>601.4</v>
      </c>
    </row>
    <row r="174" ht="15.75" customHeight="1">
      <c r="B174" s="3">
        <f>IFERROR(__xludf.DUMMYFUNCTION("""COMPUTED_VALUE"""),43881.64583333333)</f>
        <v>43881.64583</v>
      </c>
      <c r="C174" s="2">
        <f>IFERROR(__xludf.DUMMYFUNCTION("""COMPUTED_VALUE"""),599.8)</f>
        <v>599.8</v>
      </c>
    </row>
    <row r="175" ht="15.75" customHeight="1">
      <c r="B175" s="3">
        <f>IFERROR(__xludf.DUMMYFUNCTION("""COMPUTED_VALUE"""),43889.64583333333)</f>
        <v>43889.64583</v>
      </c>
      <c r="C175" s="2">
        <f>IFERROR(__xludf.DUMMYFUNCTION("""COMPUTED_VALUE"""),590.75)</f>
        <v>590.75</v>
      </c>
    </row>
    <row r="176" ht="15.75" customHeight="1">
      <c r="B176" s="3">
        <f>IFERROR(__xludf.DUMMYFUNCTION("""COMPUTED_VALUE"""),43896.64583333333)</f>
        <v>43896.64583</v>
      </c>
      <c r="C176" s="2">
        <f>IFERROR(__xludf.DUMMYFUNCTION("""COMPUTED_VALUE"""),541.6)</f>
        <v>541.6</v>
      </c>
    </row>
    <row r="177" ht="15.75" customHeight="1">
      <c r="B177" s="3">
        <f>IFERROR(__xludf.DUMMYFUNCTION("""COMPUTED_VALUE"""),43903.64583333333)</f>
        <v>43903.64583</v>
      </c>
      <c r="C177" s="2">
        <f>IFERROR(__xludf.DUMMYFUNCTION("""COMPUTED_VALUE"""),523.45)</f>
        <v>523.45</v>
      </c>
    </row>
    <row r="178" ht="15.75" customHeight="1">
      <c r="B178" s="3">
        <f>IFERROR(__xludf.DUMMYFUNCTION("""COMPUTED_VALUE"""),43910.64583333333)</f>
        <v>43910.64583</v>
      </c>
      <c r="C178" s="2">
        <f>IFERROR(__xludf.DUMMYFUNCTION("""COMPUTED_VALUE"""),394.95)</f>
        <v>394.95</v>
      </c>
    </row>
    <row r="179" ht="15.75" customHeight="1">
      <c r="B179" s="3">
        <f>IFERROR(__xludf.DUMMYFUNCTION("""COMPUTED_VALUE"""),43917.64583333333)</f>
        <v>43917.64583</v>
      </c>
      <c r="C179" s="2">
        <f>IFERROR(__xludf.DUMMYFUNCTION("""COMPUTED_VALUE"""),336.0)</f>
        <v>336</v>
      </c>
    </row>
    <row r="180" ht="15.75" customHeight="1">
      <c r="B180" s="3">
        <f>IFERROR(__xludf.DUMMYFUNCTION("""COMPUTED_VALUE"""),43924.64583333333)</f>
        <v>43924.64583</v>
      </c>
      <c r="C180" s="2">
        <f>IFERROR(__xludf.DUMMYFUNCTION("""COMPUTED_VALUE"""),331.75)</f>
        <v>331.75</v>
      </c>
    </row>
    <row r="181" ht="15.75" customHeight="1">
      <c r="B181" s="3">
        <f>IFERROR(__xludf.DUMMYFUNCTION("""COMPUTED_VALUE"""),43930.64583333333)</f>
        <v>43930.64583</v>
      </c>
      <c r="C181" s="2">
        <f>IFERROR(__xludf.DUMMYFUNCTION("""COMPUTED_VALUE"""),337.5)</f>
        <v>337.5</v>
      </c>
    </row>
    <row r="182" ht="15.75" customHeight="1">
      <c r="B182" s="3">
        <f>IFERROR(__xludf.DUMMYFUNCTION("""COMPUTED_VALUE"""),43938.64583333333)</f>
        <v>43938.64583</v>
      </c>
      <c r="C182" s="2">
        <f>IFERROR(__xludf.DUMMYFUNCTION("""COMPUTED_VALUE"""),381.75)</f>
        <v>381.75</v>
      </c>
    </row>
    <row r="183" ht="15.75" customHeight="1">
      <c r="B183" s="3">
        <f>IFERROR(__xludf.DUMMYFUNCTION("""COMPUTED_VALUE"""),43945.64583333333)</f>
        <v>43945.64583</v>
      </c>
      <c r="C183" s="2">
        <f>IFERROR(__xludf.DUMMYFUNCTION("""COMPUTED_VALUE"""),369.8)</f>
        <v>369.8</v>
      </c>
    </row>
    <row r="184" ht="15.75" customHeight="1">
      <c r="B184" s="3">
        <f>IFERROR(__xludf.DUMMYFUNCTION("""COMPUTED_VALUE"""),43951.64583333333)</f>
        <v>43951.64583</v>
      </c>
      <c r="C184" s="2">
        <f>IFERROR(__xludf.DUMMYFUNCTION("""COMPUTED_VALUE"""),429.35)</f>
        <v>429.35</v>
      </c>
    </row>
    <row r="185" ht="15.75" customHeight="1">
      <c r="B185" s="3">
        <f>IFERROR(__xludf.DUMMYFUNCTION("""COMPUTED_VALUE"""),43959.64583333333)</f>
        <v>43959.64583</v>
      </c>
      <c r="C185" s="2">
        <f>IFERROR(__xludf.DUMMYFUNCTION("""COMPUTED_VALUE"""),419.5)</f>
        <v>419.5</v>
      </c>
    </row>
    <row r="186" ht="15.75" customHeight="1">
      <c r="B186" s="3">
        <f>IFERROR(__xludf.DUMMYFUNCTION("""COMPUTED_VALUE"""),43966.64583333333)</f>
        <v>43966.64583</v>
      </c>
      <c r="C186" s="2">
        <f>IFERROR(__xludf.DUMMYFUNCTION("""COMPUTED_VALUE"""),398.8)</f>
        <v>398.8</v>
      </c>
    </row>
    <row r="187" ht="15.75" customHeight="1">
      <c r="B187" s="3">
        <f>IFERROR(__xludf.DUMMYFUNCTION("""COMPUTED_VALUE"""),43973.64583333333)</f>
        <v>43973.64583</v>
      </c>
      <c r="C187" s="2">
        <f>IFERROR(__xludf.DUMMYFUNCTION("""COMPUTED_VALUE"""),384.7)</f>
        <v>384.7</v>
      </c>
    </row>
    <row r="188" ht="15.75" customHeight="1">
      <c r="B188" s="3">
        <f>IFERROR(__xludf.DUMMYFUNCTION("""COMPUTED_VALUE"""),43980.64583333333)</f>
        <v>43980.64583</v>
      </c>
      <c r="C188" s="2">
        <f>IFERROR(__xludf.DUMMYFUNCTION("""COMPUTED_VALUE"""),419.75)</f>
        <v>419.75</v>
      </c>
    </row>
    <row r="189" ht="15.75" customHeight="1">
      <c r="B189" s="3">
        <f>IFERROR(__xludf.DUMMYFUNCTION("""COMPUTED_VALUE"""),43987.64583333333)</f>
        <v>43987.64583</v>
      </c>
      <c r="C189" s="2">
        <f>IFERROR(__xludf.DUMMYFUNCTION("""COMPUTED_VALUE"""),445.95)</f>
        <v>445.95</v>
      </c>
    </row>
    <row r="190" ht="15.75" customHeight="1">
      <c r="B190" s="3">
        <f>IFERROR(__xludf.DUMMYFUNCTION("""COMPUTED_VALUE"""),43994.64583333333)</f>
        <v>43994.64583</v>
      </c>
      <c r="C190" s="2">
        <f>IFERROR(__xludf.DUMMYFUNCTION("""COMPUTED_VALUE"""),449.7)</f>
        <v>449.7</v>
      </c>
    </row>
    <row r="191" ht="15.75" customHeight="1">
      <c r="B191" s="3">
        <f>IFERROR(__xludf.DUMMYFUNCTION("""COMPUTED_VALUE"""),44001.64583333333)</f>
        <v>44001.64583</v>
      </c>
      <c r="C191" s="2">
        <f>IFERROR(__xludf.DUMMYFUNCTION("""COMPUTED_VALUE"""),439.55)</f>
        <v>439.55</v>
      </c>
    </row>
    <row r="192" ht="15.75" customHeight="1">
      <c r="B192" s="3">
        <f>IFERROR(__xludf.DUMMYFUNCTION("""COMPUTED_VALUE"""),44008.64583333333)</f>
        <v>44008.64583</v>
      </c>
      <c r="C192" s="2">
        <f>IFERROR(__xludf.DUMMYFUNCTION("""COMPUTED_VALUE"""),470.0)</f>
        <v>470</v>
      </c>
    </row>
    <row r="193" ht="15.75" customHeight="1">
      <c r="B193" s="3">
        <f>IFERROR(__xludf.DUMMYFUNCTION("""COMPUTED_VALUE"""),44015.64583333333)</f>
        <v>44015.64583</v>
      </c>
      <c r="C193" s="2">
        <f>IFERROR(__xludf.DUMMYFUNCTION("""COMPUTED_VALUE"""),453.75)</f>
        <v>453.75</v>
      </c>
    </row>
    <row r="194" ht="15.75" customHeight="1">
      <c r="B194" s="3">
        <f>IFERROR(__xludf.DUMMYFUNCTION("""COMPUTED_VALUE"""),44022.64583333333)</f>
        <v>44022.64583</v>
      </c>
      <c r="C194" s="2">
        <f>IFERROR(__xludf.DUMMYFUNCTION("""COMPUTED_VALUE"""),464.0)</f>
        <v>464</v>
      </c>
    </row>
    <row r="195" ht="15.75" customHeight="1">
      <c r="B195" s="3">
        <f>IFERROR(__xludf.DUMMYFUNCTION("""COMPUTED_VALUE"""),44029.64583333333)</f>
        <v>44029.64583</v>
      </c>
      <c r="C195" s="2">
        <f>IFERROR(__xludf.DUMMYFUNCTION("""COMPUTED_VALUE"""),444.95)</f>
        <v>444.95</v>
      </c>
    </row>
    <row r="196" ht="15.75" customHeight="1">
      <c r="B196" s="3">
        <f>IFERROR(__xludf.DUMMYFUNCTION("""COMPUTED_VALUE"""),44036.64583333333)</f>
        <v>44036.64583</v>
      </c>
      <c r="C196" s="2">
        <f>IFERROR(__xludf.DUMMYFUNCTION("""COMPUTED_VALUE"""),478.0)</f>
        <v>478</v>
      </c>
    </row>
    <row r="197" ht="15.75" customHeight="1">
      <c r="B197" s="3">
        <f>IFERROR(__xludf.DUMMYFUNCTION("""COMPUTED_VALUE"""),44043.64583333333)</f>
        <v>44043.64583</v>
      </c>
      <c r="C197" s="2">
        <f>IFERROR(__xludf.DUMMYFUNCTION("""COMPUTED_VALUE"""),486.0)</f>
        <v>486</v>
      </c>
    </row>
    <row r="198" ht="15.75" customHeight="1">
      <c r="B198" s="3">
        <f>IFERROR(__xludf.DUMMYFUNCTION("""COMPUTED_VALUE"""),44050.64583333333)</f>
        <v>44050.64583</v>
      </c>
      <c r="C198" s="2">
        <f>IFERROR(__xludf.DUMMYFUNCTION("""COMPUTED_VALUE"""),484.9)</f>
        <v>484.9</v>
      </c>
    </row>
    <row r="199" ht="15.75" customHeight="1">
      <c r="B199" s="3">
        <f>IFERROR(__xludf.DUMMYFUNCTION("""COMPUTED_VALUE"""),44057.64583333333)</f>
        <v>44057.64583</v>
      </c>
      <c r="C199" s="2">
        <f>IFERROR(__xludf.DUMMYFUNCTION("""COMPUTED_VALUE"""),499.9)</f>
        <v>499.9</v>
      </c>
    </row>
    <row r="200" ht="15.75" customHeight="1">
      <c r="B200" s="3">
        <f>IFERROR(__xludf.DUMMYFUNCTION("""COMPUTED_VALUE"""),44064.64583333333)</f>
        <v>44064.64583</v>
      </c>
      <c r="C200" s="2">
        <f>IFERROR(__xludf.DUMMYFUNCTION("""COMPUTED_VALUE"""),508.95)</f>
        <v>508.95</v>
      </c>
    </row>
    <row r="201" ht="15.75" customHeight="1">
      <c r="B201" s="3">
        <f>IFERROR(__xludf.DUMMYFUNCTION("""COMPUTED_VALUE"""),44071.64583333333)</f>
        <v>44071.64583</v>
      </c>
      <c r="C201" s="2">
        <f>IFERROR(__xludf.DUMMYFUNCTION("""COMPUTED_VALUE"""),521.1)</f>
        <v>521.1</v>
      </c>
    </row>
    <row r="202" ht="15.75" customHeight="1">
      <c r="B202" s="3">
        <f>IFERROR(__xludf.DUMMYFUNCTION("""COMPUTED_VALUE"""),44078.64583333333)</f>
        <v>44078.64583</v>
      </c>
      <c r="C202" s="2">
        <f>IFERROR(__xludf.DUMMYFUNCTION("""COMPUTED_VALUE"""),534.9)</f>
        <v>534.9</v>
      </c>
    </row>
    <row r="203" ht="15.75" customHeight="1">
      <c r="B203" s="3">
        <f>IFERROR(__xludf.DUMMYFUNCTION("""COMPUTED_VALUE"""),44085.64583333333)</f>
        <v>44085.64583</v>
      </c>
      <c r="C203" s="2">
        <f>IFERROR(__xludf.DUMMYFUNCTION("""COMPUTED_VALUE"""),510.45)</f>
        <v>510.45</v>
      </c>
    </row>
    <row r="204" ht="15.75" customHeight="1">
      <c r="B204" s="3">
        <f>IFERROR(__xludf.DUMMYFUNCTION("""COMPUTED_VALUE"""),44092.64583333333)</f>
        <v>44092.64583</v>
      </c>
      <c r="C204" s="2">
        <f>IFERROR(__xludf.DUMMYFUNCTION("""COMPUTED_VALUE"""),540.0)</f>
        <v>540</v>
      </c>
    </row>
    <row r="205" ht="15.75" customHeight="1">
      <c r="B205" s="3">
        <f>IFERROR(__xludf.DUMMYFUNCTION("""COMPUTED_VALUE"""),44099.64583333333)</f>
        <v>44099.64583</v>
      </c>
      <c r="C205" s="2">
        <f>IFERROR(__xludf.DUMMYFUNCTION("""COMPUTED_VALUE"""),546.5)</f>
        <v>546.5</v>
      </c>
    </row>
    <row r="206" ht="15.75" customHeight="1">
      <c r="B206" s="3">
        <f>IFERROR(__xludf.DUMMYFUNCTION("""COMPUTED_VALUE"""),44105.64583333333)</f>
        <v>44105.64583</v>
      </c>
      <c r="C206" s="2">
        <f>IFERROR(__xludf.DUMMYFUNCTION("""COMPUTED_VALUE"""),517.75)</f>
        <v>517.75</v>
      </c>
    </row>
    <row r="207" ht="15.75" customHeight="1">
      <c r="B207" s="3">
        <f>IFERROR(__xludf.DUMMYFUNCTION("""COMPUTED_VALUE"""),44113.64583333333)</f>
        <v>44113.64583</v>
      </c>
      <c r="C207" s="2">
        <f>IFERROR(__xludf.DUMMYFUNCTION("""COMPUTED_VALUE"""),524.9)</f>
        <v>524.9</v>
      </c>
    </row>
    <row r="208" ht="15.75" customHeight="1">
      <c r="B208" s="3">
        <f>IFERROR(__xludf.DUMMYFUNCTION("""COMPUTED_VALUE"""),44120.64583333333)</f>
        <v>44120.64583</v>
      </c>
      <c r="C208" s="2">
        <f>IFERROR(__xludf.DUMMYFUNCTION("""COMPUTED_VALUE"""),520.0)</f>
        <v>520</v>
      </c>
    </row>
    <row r="209" ht="15.75" customHeight="1">
      <c r="B209" s="3">
        <f>IFERROR(__xludf.DUMMYFUNCTION("""COMPUTED_VALUE"""),44127.64583333333)</f>
        <v>44127.64583</v>
      </c>
      <c r="C209" s="2">
        <f>IFERROR(__xludf.DUMMYFUNCTION("""COMPUTED_VALUE"""),474.8)</f>
        <v>474.8</v>
      </c>
    </row>
    <row r="210" ht="15.75" customHeight="1">
      <c r="B210" s="3">
        <f>IFERROR(__xludf.DUMMYFUNCTION("""COMPUTED_VALUE"""),44134.64583333333)</f>
        <v>44134.64583</v>
      </c>
      <c r="C210" s="2">
        <f>IFERROR(__xludf.DUMMYFUNCTION("""COMPUTED_VALUE"""),457.5)</f>
        <v>457.5</v>
      </c>
    </row>
    <row r="211" ht="15.75" customHeight="1">
      <c r="B211" s="3">
        <f>IFERROR(__xludf.DUMMYFUNCTION("""COMPUTED_VALUE"""),44141.64583333333)</f>
        <v>44141.64583</v>
      </c>
      <c r="C211" s="2">
        <f>IFERROR(__xludf.DUMMYFUNCTION("""COMPUTED_VALUE"""),465.0)</f>
        <v>465</v>
      </c>
    </row>
    <row r="212" ht="15.75" customHeight="1">
      <c r="B212" s="3">
        <f>IFERROR(__xludf.DUMMYFUNCTION("""COMPUTED_VALUE"""),44155.64583333333)</f>
        <v>44155.64583</v>
      </c>
      <c r="C212" s="2">
        <f>IFERROR(__xludf.DUMMYFUNCTION("""COMPUTED_VALUE"""),434.5)</f>
        <v>434.5</v>
      </c>
    </row>
    <row r="213" ht="15.75" customHeight="1">
      <c r="B213" s="3">
        <f>IFERROR(__xludf.DUMMYFUNCTION("""COMPUTED_VALUE"""),44162.64583333333)</f>
        <v>44162.64583</v>
      </c>
      <c r="C213" s="2">
        <f>IFERROR(__xludf.DUMMYFUNCTION("""COMPUTED_VALUE"""),431.5)</f>
        <v>431.5</v>
      </c>
    </row>
    <row r="214" ht="15.75" customHeight="1">
      <c r="B214" s="3">
        <f>IFERROR(__xludf.DUMMYFUNCTION("""COMPUTED_VALUE"""),44169.64583333333)</f>
        <v>44169.64583</v>
      </c>
      <c r="C214" s="2">
        <f>IFERROR(__xludf.DUMMYFUNCTION("""COMPUTED_VALUE"""),463.0)</f>
        <v>463</v>
      </c>
    </row>
    <row r="215" ht="15.75" customHeight="1">
      <c r="B215" s="3">
        <f>IFERROR(__xludf.DUMMYFUNCTION("""COMPUTED_VALUE"""),44176.64583333333)</f>
        <v>44176.64583</v>
      </c>
      <c r="C215" s="2">
        <f>IFERROR(__xludf.DUMMYFUNCTION("""COMPUTED_VALUE"""),495.0)</f>
        <v>495</v>
      </c>
    </row>
    <row r="216" ht="15.75" customHeight="1">
      <c r="B216" s="3">
        <f>IFERROR(__xludf.DUMMYFUNCTION("""COMPUTED_VALUE"""),44183.64583333333)</f>
        <v>44183.64583</v>
      </c>
      <c r="C216" s="2">
        <f>IFERROR(__xludf.DUMMYFUNCTION("""COMPUTED_VALUE"""),466.4)</f>
        <v>466.4</v>
      </c>
    </row>
    <row r="217" ht="15.75" customHeight="1">
      <c r="B217" s="3">
        <f>IFERROR(__xludf.DUMMYFUNCTION("""COMPUTED_VALUE"""),44189.64583333333)</f>
        <v>44189.64583</v>
      </c>
      <c r="C217" s="2">
        <f>IFERROR(__xludf.DUMMYFUNCTION("""COMPUTED_VALUE"""),460.75)</f>
        <v>460.75</v>
      </c>
    </row>
    <row r="218" ht="15.75" customHeight="1">
      <c r="B218" s="3">
        <f>IFERROR(__xludf.DUMMYFUNCTION("""COMPUTED_VALUE"""),44197.64583333333)</f>
        <v>44197.64583</v>
      </c>
      <c r="C218" s="2">
        <f>IFERROR(__xludf.DUMMYFUNCTION("""COMPUTED_VALUE"""),476.6)</f>
        <v>476.6</v>
      </c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IFERROR(__xludf.DUMMYFUNCTION("GOOGLEFINANCE(""NSE:BAJAJFINSV"", ""high"",DATE(2018,1,1),DATE(2019,1,1),""weekly"")"),"Date")</f>
        <v>Date</v>
      </c>
      <c r="C1" s="2" t="str">
        <f>IFERROR(__xludf.DUMMYFUNCTION("""COMPUTED_VALUE"""),"High")</f>
        <v>High</v>
      </c>
    </row>
    <row r="2">
      <c r="A2" s="2" t="s">
        <v>17</v>
      </c>
      <c r="B2" s="3">
        <f>IFERROR(__xludf.DUMMYFUNCTION("""COMPUTED_VALUE"""),43105.64583333333)</f>
        <v>43105.64583</v>
      </c>
      <c r="C2" s="2">
        <f>IFERROR(__xludf.DUMMYFUNCTION("""COMPUTED_VALUE"""),5308.75)</f>
        <v>5308.75</v>
      </c>
    </row>
    <row r="3">
      <c r="A3" s="2" t="s">
        <v>18</v>
      </c>
      <c r="B3" s="3">
        <f>IFERROR(__xludf.DUMMYFUNCTION("""COMPUTED_VALUE"""),43112.64583333333)</f>
        <v>43112.64583</v>
      </c>
      <c r="C3" s="2">
        <f>IFERROR(__xludf.DUMMYFUNCTION("""COMPUTED_VALUE"""),5272.6)</f>
        <v>5272.6</v>
      </c>
    </row>
    <row r="4">
      <c r="A4" s="2" t="s">
        <v>19</v>
      </c>
      <c r="B4" s="3">
        <f>IFERROR(__xludf.DUMMYFUNCTION("""COMPUTED_VALUE"""),43119.64583333333)</f>
        <v>43119.64583</v>
      </c>
      <c r="C4" s="2">
        <f>IFERROR(__xludf.DUMMYFUNCTION("""COMPUTED_VALUE"""),5105.2)</f>
        <v>5105.2</v>
      </c>
    </row>
    <row r="5">
      <c r="B5" s="3">
        <f>IFERROR(__xludf.DUMMYFUNCTION("""COMPUTED_VALUE"""),43125.64583333333)</f>
        <v>43125.64583</v>
      </c>
      <c r="C5" s="2">
        <f>IFERROR(__xludf.DUMMYFUNCTION("""COMPUTED_VALUE"""),5089.0)</f>
        <v>5089</v>
      </c>
    </row>
    <row r="6">
      <c r="B6" s="3">
        <f>IFERROR(__xludf.DUMMYFUNCTION("""COMPUTED_VALUE"""),43133.64583333333)</f>
        <v>43133.64583</v>
      </c>
      <c r="C6" s="2">
        <f>IFERROR(__xludf.DUMMYFUNCTION("""COMPUTED_VALUE"""),5148.1)</f>
        <v>5148.1</v>
      </c>
    </row>
    <row r="7">
      <c r="B7" s="3">
        <f>IFERROR(__xludf.DUMMYFUNCTION("""COMPUTED_VALUE"""),43140.64583333333)</f>
        <v>43140.64583</v>
      </c>
      <c r="C7" s="2">
        <f>IFERROR(__xludf.DUMMYFUNCTION("""COMPUTED_VALUE"""),5174.0)</f>
        <v>5174</v>
      </c>
    </row>
    <row r="8">
      <c r="B8" s="3">
        <f>IFERROR(__xludf.DUMMYFUNCTION("""COMPUTED_VALUE"""),43147.64583333333)</f>
        <v>43147.64583</v>
      </c>
      <c r="C8" s="2">
        <f>IFERROR(__xludf.DUMMYFUNCTION("""COMPUTED_VALUE"""),5350.0)</f>
        <v>5350</v>
      </c>
    </row>
    <row r="9">
      <c r="B9" s="3">
        <f>IFERROR(__xludf.DUMMYFUNCTION("""COMPUTED_VALUE"""),43154.64583333333)</f>
        <v>43154.64583</v>
      </c>
      <c r="C9" s="2">
        <f>IFERROR(__xludf.DUMMYFUNCTION("""COMPUTED_VALUE"""),5119.85)</f>
        <v>5119.85</v>
      </c>
    </row>
    <row r="10">
      <c r="B10" s="3">
        <f>IFERROR(__xludf.DUMMYFUNCTION("""COMPUTED_VALUE"""),43160.64583333333)</f>
        <v>43160.64583</v>
      </c>
      <c r="C10" s="2">
        <f>IFERROR(__xludf.DUMMYFUNCTION("""COMPUTED_VALUE"""),5260.0)</f>
        <v>5260</v>
      </c>
    </row>
    <row r="11">
      <c r="B11" s="3">
        <f>IFERROR(__xludf.DUMMYFUNCTION("""COMPUTED_VALUE"""),43168.64583333333)</f>
        <v>43168.64583</v>
      </c>
      <c r="C11" s="2">
        <f>IFERROR(__xludf.DUMMYFUNCTION("""COMPUTED_VALUE"""),5097.95)</f>
        <v>5097.95</v>
      </c>
    </row>
    <row r="12">
      <c r="B12" s="3">
        <f>IFERROR(__xludf.DUMMYFUNCTION("""COMPUTED_VALUE"""),43175.64583333333)</f>
        <v>43175.64583</v>
      </c>
      <c r="C12" s="2">
        <f>IFERROR(__xludf.DUMMYFUNCTION("""COMPUTED_VALUE"""),5140.05)</f>
        <v>5140.05</v>
      </c>
    </row>
    <row r="13">
      <c r="B13" s="3">
        <f>IFERROR(__xludf.DUMMYFUNCTION("""COMPUTED_VALUE"""),43182.64583333333)</f>
        <v>43182.64583</v>
      </c>
      <c r="C13" s="2">
        <f>IFERROR(__xludf.DUMMYFUNCTION("""COMPUTED_VALUE"""),5151.7)</f>
        <v>5151.7</v>
      </c>
    </row>
    <row r="14">
      <c r="B14" s="3">
        <f>IFERROR(__xludf.DUMMYFUNCTION("""COMPUTED_VALUE"""),43187.64583333333)</f>
        <v>43187.64583</v>
      </c>
      <c r="C14" s="2">
        <f>IFERROR(__xludf.DUMMYFUNCTION("""COMPUTED_VALUE"""),5299.0)</f>
        <v>5299</v>
      </c>
    </row>
    <row r="15">
      <c r="B15" s="3">
        <f>IFERROR(__xludf.DUMMYFUNCTION("""COMPUTED_VALUE"""),43196.64583333333)</f>
        <v>43196.64583</v>
      </c>
      <c r="C15" s="2">
        <f>IFERROR(__xludf.DUMMYFUNCTION("""COMPUTED_VALUE"""),5513.95)</f>
        <v>5513.95</v>
      </c>
    </row>
    <row r="16">
      <c r="B16" s="3">
        <f>IFERROR(__xludf.DUMMYFUNCTION("""COMPUTED_VALUE"""),43203.64583333333)</f>
        <v>43203.64583</v>
      </c>
      <c r="C16" s="2">
        <f>IFERROR(__xludf.DUMMYFUNCTION("""COMPUTED_VALUE"""),5585.95)</f>
        <v>5585.95</v>
      </c>
    </row>
    <row r="17">
      <c r="B17" s="3">
        <f>IFERROR(__xludf.DUMMYFUNCTION("""COMPUTED_VALUE"""),43210.64583333333)</f>
        <v>43210.64583</v>
      </c>
      <c r="C17" s="2">
        <f>IFERROR(__xludf.DUMMYFUNCTION("""COMPUTED_VALUE"""),5456.9)</f>
        <v>5456.9</v>
      </c>
    </row>
    <row r="18">
      <c r="B18" s="3">
        <f>IFERROR(__xludf.DUMMYFUNCTION("""COMPUTED_VALUE"""),43217.64583333333)</f>
        <v>43217.64583</v>
      </c>
      <c r="C18" s="2">
        <f>IFERROR(__xludf.DUMMYFUNCTION("""COMPUTED_VALUE"""),5497.55)</f>
        <v>5497.55</v>
      </c>
    </row>
    <row r="19">
      <c r="B19" s="3">
        <f>IFERROR(__xludf.DUMMYFUNCTION("""COMPUTED_VALUE"""),43224.64583333333)</f>
        <v>43224.64583</v>
      </c>
      <c r="C19" s="2">
        <f>IFERROR(__xludf.DUMMYFUNCTION("""COMPUTED_VALUE"""),5534.9)</f>
        <v>5534.9</v>
      </c>
    </row>
    <row r="20">
      <c r="B20" s="3">
        <f>IFERROR(__xludf.DUMMYFUNCTION("""COMPUTED_VALUE"""),43231.64583333333)</f>
        <v>43231.64583</v>
      </c>
      <c r="C20" s="2">
        <f>IFERROR(__xludf.DUMMYFUNCTION("""COMPUTED_VALUE"""),5439.0)</f>
        <v>5439</v>
      </c>
    </row>
    <row r="21" ht="15.75" customHeight="1">
      <c r="B21" s="3">
        <f>IFERROR(__xludf.DUMMYFUNCTION("""COMPUTED_VALUE"""),43238.64583333333)</f>
        <v>43238.64583</v>
      </c>
      <c r="C21" s="2">
        <f>IFERROR(__xludf.DUMMYFUNCTION("""COMPUTED_VALUE"""),5824.0)</f>
        <v>5824</v>
      </c>
    </row>
    <row r="22" ht="15.75" customHeight="1">
      <c r="B22" s="3">
        <f>IFERROR(__xludf.DUMMYFUNCTION("""COMPUTED_VALUE"""),43245.64583333333)</f>
        <v>43245.64583</v>
      </c>
      <c r="C22" s="2">
        <f>IFERROR(__xludf.DUMMYFUNCTION("""COMPUTED_VALUE"""),6097.3)</f>
        <v>6097.3</v>
      </c>
    </row>
    <row r="23" ht="15.75" customHeight="1">
      <c r="B23" s="3">
        <f>IFERROR(__xludf.DUMMYFUNCTION("""COMPUTED_VALUE"""),43252.64583333333)</f>
        <v>43252.64583</v>
      </c>
      <c r="C23" s="2">
        <f>IFERROR(__xludf.DUMMYFUNCTION("""COMPUTED_VALUE"""),6156.9)</f>
        <v>6156.9</v>
      </c>
    </row>
    <row r="24" ht="15.75" customHeight="1">
      <c r="B24" s="3">
        <f>IFERROR(__xludf.DUMMYFUNCTION("""COMPUTED_VALUE"""),43259.64583333333)</f>
        <v>43259.64583</v>
      </c>
      <c r="C24" s="2">
        <f>IFERROR(__xludf.DUMMYFUNCTION("""COMPUTED_VALUE"""),6047.4)</f>
        <v>6047.4</v>
      </c>
    </row>
    <row r="25" ht="15.75" customHeight="1">
      <c r="B25" s="3">
        <f>IFERROR(__xludf.DUMMYFUNCTION("""COMPUTED_VALUE"""),43266.64583333333)</f>
        <v>43266.64583</v>
      </c>
      <c r="C25" s="2">
        <f>IFERROR(__xludf.DUMMYFUNCTION("""COMPUTED_VALUE"""),6148.0)</f>
        <v>6148</v>
      </c>
    </row>
    <row r="26" ht="15.75" customHeight="1">
      <c r="B26" s="3">
        <f>IFERROR(__xludf.DUMMYFUNCTION("""COMPUTED_VALUE"""),43273.64583333333)</f>
        <v>43273.64583</v>
      </c>
      <c r="C26" s="2">
        <f>IFERROR(__xludf.DUMMYFUNCTION("""COMPUTED_VALUE"""),6190.0)</f>
        <v>6190</v>
      </c>
    </row>
    <row r="27" ht="15.75" customHeight="1">
      <c r="B27" s="3">
        <f>IFERROR(__xludf.DUMMYFUNCTION("""COMPUTED_VALUE"""),43280.64583333333)</f>
        <v>43280.64583</v>
      </c>
      <c r="C27" s="2">
        <f>IFERROR(__xludf.DUMMYFUNCTION("""COMPUTED_VALUE"""),6293.6)</f>
        <v>6293.6</v>
      </c>
    </row>
    <row r="28" ht="15.75" customHeight="1">
      <c r="B28" s="3">
        <f>IFERROR(__xludf.DUMMYFUNCTION("""COMPUTED_VALUE"""),43287.64583333333)</f>
        <v>43287.64583</v>
      </c>
      <c r="C28" s="2">
        <f>IFERROR(__xludf.DUMMYFUNCTION("""COMPUTED_VALUE"""),6159.85)</f>
        <v>6159.85</v>
      </c>
    </row>
    <row r="29" ht="15.75" customHeight="1">
      <c r="B29" s="3">
        <f>IFERROR(__xludf.DUMMYFUNCTION("""COMPUTED_VALUE"""),43294.64583333333)</f>
        <v>43294.64583</v>
      </c>
      <c r="C29" s="2">
        <f>IFERROR(__xludf.DUMMYFUNCTION("""COMPUTED_VALUE"""),6348.0)</f>
        <v>6348</v>
      </c>
    </row>
    <row r="30" ht="15.75" customHeight="1">
      <c r="B30" s="3">
        <f>IFERROR(__xludf.DUMMYFUNCTION("""COMPUTED_VALUE"""),43301.64583333333)</f>
        <v>43301.64583</v>
      </c>
      <c r="C30" s="2">
        <f>IFERROR(__xludf.DUMMYFUNCTION("""COMPUTED_VALUE"""),6782.0)</f>
        <v>6782</v>
      </c>
    </row>
    <row r="31" ht="15.75" customHeight="1">
      <c r="B31" s="3">
        <f>IFERROR(__xludf.DUMMYFUNCTION("""COMPUTED_VALUE"""),43308.64583333333)</f>
        <v>43308.64583</v>
      </c>
      <c r="C31" s="2">
        <f>IFERROR(__xludf.DUMMYFUNCTION("""COMPUTED_VALUE"""),7100.0)</f>
        <v>7100</v>
      </c>
    </row>
    <row r="32" ht="15.75" customHeight="1">
      <c r="B32" s="3">
        <f>IFERROR(__xludf.DUMMYFUNCTION("""COMPUTED_VALUE"""),43315.64583333333)</f>
        <v>43315.64583</v>
      </c>
      <c r="C32" s="2">
        <f>IFERROR(__xludf.DUMMYFUNCTION("""COMPUTED_VALUE"""),7173.2)</f>
        <v>7173.2</v>
      </c>
    </row>
    <row r="33" ht="15.75" customHeight="1">
      <c r="B33" s="3">
        <f>IFERROR(__xludf.DUMMYFUNCTION("""COMPUTED_VALUE"""),43322.64583333333)</f>
        <v>43322.64583</v>
      </c>
      <c r="C33" s="2">
        <f>IFERROR(__xludf.DUMMYFUNCTION("""COMPUTED_VALUE"""),7134.65)</f>
        <v>7134.65</v>
      </c>
    </row>
    <row r="34" ht="15.75" customHeight="1">
      <c r="B34" s="3">
        <f>IFERROR(__xludf.DUMMYFUNCTION("""COMPUTED_VALUE"""),43329.64583333333)</f>
        <v>43329.64583</v>
      </c>
      <c r="C34" s="2">
        <f>IFERROR(__xludf.DUMMYFUNCTION("""COMPUTED_VALUE"""),7200.0)</f>
        <v>7200</v>
      </c>
    </row>
    <row r="35" ht="15.75" customHeight="1">
      <c r="B35" s="3">
        <f>IFERROR(__xludf.DUMMYFUNCTION("""COMPUTED_VALUE"""),43336.64583333333)</f>
        <v>43336.64583</v>
      </c>
      <c r="C35" s="2">
        <f>IFERROR(__xludf.DUMMYFUNCTION("""COMPUTED_VALUE"""),7185.0)</f>
        <v>7185</v>
      </c>
    </row>
    <row r="36" ht="15.75" customHeight="1">
      <c r="B36" s="3">
        <f>IFERROR(__xludf.DUMMYFUNCTION("""COMPUTED_VALUE"""),43343.64583333333)</f>
        <v>43343.64583</v>
      </c>
      <c r="C36" s="2">
        <f>IFERROR(__xludf.DUMMYFUNCTION("""COMPUTED_VALUE"""),7112.45)</f>
        <v>7112.45</v>
      </c>
    </row>
    <row r="37" ht="15.75" customHeight="1">
      <c r="B37" s="3">
        <f>IFERROR(__xludf.DUMMYFUNCTION("""COMPUTED_VALUE"""),43350.64583333333)</f>
        <v>43350.64583</v>
      </c>
      <c r="C37" s="2">
        <f>IFERROR(__xludf.DUMMYFUNCTION("""COMPUTED_VALUE"""),6840.0)</f>
        <v>6840</v>
      </c>
    </row>
    <row r="38" ht="15.75" customHeight="1">
      <c r="B38" s="3">
        <f>IFERROR(__xludf.DUMMYFUNCTION("""COMPUTED_VALUE"""),43357.64583333333)</f>
        <v>43357.64583</v>
      </c>
      <c r="C38" s="2">
        <f>IFERROR(__xludf.DUMMYFUNCTION("""COMPUTED_VALUE"""),6799.0)</f>
        <v>6799</v>
      </c>
    </row>
    <row r="39" ht="15.75" customHeight="1">
      <c r="B39" s="3">
        <f>IFERROR(__xludf.DUMMYFUNCTION("""COMPUTED_VALUE"""),43364.64583333333)</f>
        <v>43364.64583</v>
      </c>
      <c r="C39" s="2">
        <f>IFERROR(__xludf.DUMMYFUNCTION("""COMPUTED_VALUE"""),6699.95)</f>
        <v>6699.95</v>
      </c>
    </row>
    <row r="40" ht="15.75" customHeight="1">
      <c r="B40" s="3">
        <f>IFERROR(__xludf.DUMMYFUNCTION("""COMPUTED_VALUE"""),43371.64583333333)</f>
        <v>43371.64583</v>
      </c>
      <c r="C40" s="2">
        <f>IFERROR(__xludf.DUMMYFUNCTION("""COMPUTED_VALUE"""),6307.0)</f>
        <v>6307</v>
      </c>
    </row>
    <row r="41" ht="15.75" customHeight="1">
      <c r="B41" s="3">
        <f>IFERROR(__xludf.DUMMYFUNCTION("""COMPUTED_VALUE"""),43378.64583333333)</f>
        <v>43378.64583</v>
      </c>
      <c r="C41" s="2">
        <f>IFERROR(__xludf.DUMMYFUNCTION("""COMPUTED_VALUE"""),6040.0)</f>
        <v>6040</v>
      </c>
    </row>
    <row r="42" ht="15.75" customHeight="1">
      <c r="B42" s="3">
        <f>IFERROR(__xludf.DUMMYFUNCTION("""COMPUTED_VALUE"""),43385.64583333333)</f>
        <v>43385.64583</v>
      </c>
      <c r="C42" s="2">
        <f>IFERROR(__xludf.DUMMYFUNCTION("""COMPUTED_VALUE"""),6014.0)</f>
        <v>6014</v>
      </c>
    </row>
    <row r="43" ht="15.75" customHeight="1">
      <c r="B43" s="3">
        <f>IFERROR(__xludf.DUMMYFUNCTION("""COMPUTED_VALUE"""),43392.64583333333)</f>
        <v>43392.64583</v>
      </c>
      <c r="C43" s="2">
        <f>IFERROR(__xludf.DUMMYFUNCTION("""COMPUTED_VALUE"""),5815.0)</f>
        <v>5815</v>
      </c>
    </row>
    <row r="44" ht="15.75" customHeight="1">
      <c r="B44" s="3">
        <f>IFERROR(__xludf.DUMMYFUNCTION("""COMPUTED_VALUE"""),43399.64583333333)</f>
        <v>43399.64583</v>
      </c>
      <c r="C44" s="2">
        <f>IFERROR(__xludf.DUMMYFUNCTION("""COMPUTED_VALUE"""),5511.0)</f>
        <v>5511</v>
      </c>
    </row>
    <row r="45" ht="15.75" customHeight="1">
      <c r="B45" s="3">
        <f>IFERROR(__xludf.DUMMYFUNCTION("""COMPUTED_VALUE"""),43406.64583333333)</f>
        <v>43406.64583</v>
      </c>
      <c r="C45" s="2">
        <f>IFERROR(__xludf.DUMMYFUNCTION("""COMPUTED_VALUE"""),5623.8)</f>
        <v>5623.8</v>
      </c>
    </row>
    <row r="46" ht="15.75" customHeight="1">
      <c r="B46" s="3">
        <f>IFERROR(__xludf.DUMMYFUNCTION("""COMPUTED_VALUE"""),43413.64583333333)</f>
        <v>43413.64583</v>
      </c>
      <c r="C46" s="2">
        <f>IFERROR(__xludf.DUMMYFUNCTION("""COMPUTED_VALUE"""),5725.0)</f>
        <v>5725</v>
      </c>
    </row>
    <row r="47" ht="15.75" customHeight="1">
      <c r="B47" s="3">
        <f>IFERROR(__xludf.DUMMYFUNCTION("""COMPUTED_VALUE"""),43420.64583333333)</f>
        <v>43420.64583</v>
      </c>
      <c r="C47" s="2">
        <f>IFERROR(__xludf.DUMMYFUNCTION("""COMPUTED_VALUE"""),5783.0)</f>
        <v>5783</v>
      </c>
    </row>
    <row r="48" ht="15.75" customHeight="1">
      <c r="B48" s="3">
        <f>IFERROR(__xludf.DUMMYFUNCTION("""COMPUTED_VALUE"""),43426.64583333333)</f>
        <v>43426.64583</v>
      </c>
      <c r="C48" s="2">
        <f>IFERROR(__xludf.DUMMYFUNCTION("""COMPUTED_VALUE"""),5926.25)</f>
        <v>5926.25</v>
      </c>
    </row>
    <row r="49" ht="15.75" customHeight="1">
      <c r="B49" s="3">
        <f>IFERROR(__xludf.DUMMYFUNCTION("""COMPUTED_VALUE"""),43434.64583333333)</f>
        <v>43434.64583</v>
      </c>
      <c r="C49" s="2">
        <f>IFERROR(__xludf.DUMMYFUNCTION("""COMPUTED_VALUE"""),6100.0)</f>
        <v>6100</v>
      </c>
    </row>
    <row r="50" ht="15.75" customHeight="1">
      <c r="B50" s="3">
        <f>IFERROR(__xludf.DUMMYFUNCTION("""COMPUTED_VALUE"""),43441.64583333333)</f>
        <v>43441.64583</v>
      </c>
      <c r="C50" s="2">
        <f>IFERROR(__xludf.DUMMYFUNCTION("""COMPUTED_VALUE"""),6090.0)</f>
        <v>6090</v>
      </c>
    </row>
    <row r="51" ht="15.75" customHeight="1">
      <c r="B51" s="3">
        <f>IFERROR(__xludf.DUMMYFUNCTION("""COMPUTED_VALUE"""),43448.64583333333)</f>
        <v>43448.64583</v>
      </c>
      <c r="C51" s="2">
        <f>IFERROR(__xludf.DUMMYFUNCTION("""COMPUTED_VALUE"""),6228.0)</f>
        <v>6228</v>
      </c>
    </row>
    <row r="52" ht="15.75" customHeight="1">
      <c r="B52" s="3">
        <f>IFERROR(__xludf.DUMMYFUNCTION("""COMPUTED_VALUE"""),43455.64583333333)</f>
        <v>43455.64583</v>
      </c>
      <c r="C52" s="2">
        <f>IFERROR(__xludf.DUMMYFUNCTION("""COMPUTED_VALUE"""),6500.0)</f>
        <v>6500</v>
      </c>
    </row>
    <row r="53" ht="15.75" customHeight="1">
      <c r="B53" s="3">
        <f>IFERROR(__xludf.DUMMYFUNCTION("""COMPUTED_VALUE"""),43462.64583333333)</f>
        <v>43462.64583</v>
      </c>
      <c r="C53" s="2">
        <f>IFERROR(__xludf.DUMMYFUNCTION("""COMPUTED_VALUE"""),6550.0)</f>
        <v>6550</v>
      </c>
    </row>
    <row r="54" ht="15.75" customHeight="1"/>
    <row r="55" ht="15.75" customHeight="1"/>
    <row r="56" ht="15.75" customHeight="1">
      <c r="B56" s="2" t="str">
        <f>IFERROR(__xludf.DUMMYFUNCTION("GOOGLEFINANCE(""NSE:BAJAJFINSV"", ""high"",DATE(2019,1,1),DATE(2020,1,1),""weekly"")"),"Date")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IFERROR(__xludf.DUMMYFUNCTION("""COMPUTED_VALUE"""),43469.64583333333)</f>
        <v>43469.64583</v>
      </c>
      <c r="C57" s="2">
        <f>IFERROR(__xludf.DUMMYFUNCTION("""COMPUTED_VALUE"""),6591.2)</f>
        <v>6591.2</v>
      </c>
    </row>
    <row r="58" ht="15.75" customHeight="1">
      <c r="B58" s="3">
        <f>IFERROR(__xludf.DUMMYFUNCTION("""COMPUTED_VALUE"""),43476.64583333333)</f>
        <v>43476.64583</v>
      </c>
      <c r="C58" s="2">
        <f>IFERROR(__xludf.DUMMYFUNCTION("""COMPUTED_VALUE"""),6500.0)</f>
        <v>6500</v>
      </c>
    </row>
    <row r="59" ht="15.75" customHeight="1">
      <c r="B59" s="3">
        <f>IFERROR(__xludf.DUMMYFUNCTION("""COMPUTED_VALUE"""),43483.64583333333)</f>
        <v>43483.64583</v>
      </c>
      <c r="C59" s="2">
        <f>IFERROR(__xludf.DUMMYFUNCTION("""COMPUTED_VALUE"""),6535.0)</f>
        <v>6535</v>
      </c>
    </row>
    <row r="60" ht="15.75" customHeight="1">
      <c r="B60" s="3">
        <f>IFERROR(__xludf.DUMMYFUNCTION("""COMPUTED_VALUE"""),43490.64583333333)</f>
        <v>43490.64583</v>
      </c>
      <c r="C60" s="2">
        <f>IFERROR(__xludf.DUMMYFUNCTION("""COMPUTED_VALUE"""),6528.0)</f>
        <v>6528</v>
      </c>
    </row>
    <row r="61" ht="15.75" customHeight="1">
      <c r="B61" s="3">
        <f>IFERROR(__xludf.DUMMYFUNCTION("""COMPUTED_VALUE"""),43497.64583333333)</f>
        <v>43497.64583</v>
      </c>
      <c r="C61" s="2">
        <f>IFERROR(__xludf.DUMMYFUNCTION("""COMPUTED_VALUE"""),6368.8)</f>
        <v>6368.8</v>
      </c>
    </row>
    <row r="62" ht="15.75" customHeight="1">
      <c r="B62" s="3">
        <f>IFERROR(__xludf.DUMMYFUNCTION("""COMPUTED_VALUE"""),43504.64583333333)</f>
        <v>43504.64583</v>
      </c>
      <c r="C62" s="2">
        <f>IFERROR(__xludf.DUMMYFUNCTION("""COMPUTED_VALUE"""),6294.45)</f>
        <v>6294.45</v>
      </c>
    </row>
    <row r="63" ht="15.75" customHeight="1">
      <c r="B63" s="3">
        <f>IFERROR(__xludf.DUMMYFUNCTION("""COMPUTED_VALUE"""),43511.64583333333)</f>
        <v>43511.64583</v>
      </c>
      <c r="C63" s="2">
        <f>IFERROR(__xludf.DUMMYFUNCTION("""COMPUTED_VALUE"""),6223.5)</f>
        <v>6223.5</v>
      </c>
    </row>
    <row r="64" ht="15.75" customHeight="1">
      <c r="B64" s="3">
        <f>IFERROR(__xludf.DUMMYFUNCTION("""COMPUTED_VALUE"""),43518.64583333333)</f>
        <v>43518.64583</v>
      </c>
      <c r="C64" s="2">
        <f>IFERROR(__xludf.DUMMYFUNCTION("""COMPUTED_VALUE"""),6272.7)</f>
        <v>6272.7</v>
      </c>
    </row>
    <row r="65" ht="15.75" customHeight="1">
      <c r="B65" s="3">
        <f>IFERROR(__xludf.DUMMYFUNCTION("""COMPUTED_VALUE"""),43525.64583333333)</f>
        <v>43525.64583</v>
      </c>
      <c r="C65" s="2">
        <f>IFERROR(__xludf.DUMMYFUNCTION("""COMPUTED_VALUE"""),6540.0)</f>
        <v>6540</v>
      </c>
    </row>
    <row r="66" ht="15.75" customHeight="1">
      <c r="B66" s="3">
        <f>IFERROR(__xludf.DUMMYFUNCTION("""COMPUTED_VALUE"""),43532.64583333333)</f>
        <v>43532.64583</v>
      </c>
      <c r="C66" s="2">
        <f>IFERROR(__xludf.DUMMYFUNCTION("""COMPUTED_VALUE"""),6668.6)</f>
        <v>6668.6</v>
      </c>
    </row>
    <row r="67" ht="15.75" customHeight="1">
      <c r="B67" s="3">
        <f>IFERROR(__xludf.DUMMYFUNCTION("""COMPUTED_VALUE"""),43539.64583333333)</f>
        <v>43539.64583</v>
      </c>
      <c r="C67" s="2">
        <f>IFERROR(__xludf.DUMMYFUNCTION("""COMPUTED_VALUE"""),7004.0)</f>
        <v>7004</v>
      </c>
    </row>
    <row r="68" ht="15.75" customHeight="1">
      <c r="B68" s="3">
        <f>IFERROR(__xludf.DUMMYFUNCTION("""COMPUTED_VALUE"""),43546.64583333333)</f>
        <v>43546.64583</v>
      </c>
      <c r="C68" s="2">
        <f>IFERROR(__xludf.DUMMYFUNCTION("""COMPUTED_VALUE"""),7080.0)</f>
        <v>7080</v>
      </c>
    </row>
    <row r="69" ht="15.75" customHeight="1">
      <c r="B69" s="3">
        <f>IFERROR(__xludf.DUMMYFUNCTION("""COMPUTED_VALUE"""),43553.64583333333)</f>
        <v>43553.64583</v>
      </c>
      <c r="C69" s="2">
        <f>IFERROR(__xludf.DUMMYFUNCTION("""COMPUTED_VALUE"""),7079.0)</f>
        <v>7079</v>
      </c>
    </row>
    <row r="70" ht="15.75" customHeight="1">
      <c r="B70" s="3">
        <f>IFERROR(__xludf.DUMMYFUNCTION("""COMPUTED_VALUE"""),43560.64583333333)</f>
        <v>43560.64583</v>
      </c>
      <c r="C70" s="2">
        <f>IFERROR(__xludf.DUMMYFUNCTION("""COMPUTED_VALUE"""),7450.0)</f>
        <v>7450</v>
      </c>
    </row>
    <row r="71" ht="15.75" customHeight="1">
      <c r="B71" s="3">
        <f>IFERROR(__xludf.DUMMYFUNCTION("""COMPUTED_VALUE"""),43567.64583333333)</f>
        <v>43567.64583</v>
      </c>
      <c r="C71" s="2">
        <f>IFERROR(__xludf.DUMMYFUNCTION("""COMPUTED_VALUE"""),7594.95)</f>
        <v>7594.95</v>
      </c>
    </row>
    <row r="72" ht="15.75" customHeight="1">
      <c r="B72" s="3">
        <f>IFERROR(__xludf.DUMMYFUNCTION("""COMPUTED_VALUE"""),43573.64583333333)</f>
        <v>43573.64583</v>
      </c>
      <c r="C72" s="2">
        <f>IFERROR(__xludf.DUMMYFUNCTION("""COMPUTED_VALUE"""),7620.0)</f>
        <v>7620</v>
      </c>
    </row>
    <row r="73" ht="15.75" customHeight="1">
      <c r="B73" s="3">
        <f>IFERROR(__xludf.DUMMYFUNCTION("""COMPUTED_VALUE"""),43581.64583333333)</f>
        <v>43581.64583</v>
      </c>
      <c r="C73" s="2">
        <f>IFERROR(__xludf.DUMMYFUNCTION("""COMPUTED_VALUE"""),7747.2)</f>
        <v>7747.2</v>
      </c>
    </row>
    <row r="74" ht="15.75" customHeight="1">
      <c r="B74" s="3">
        <f>IFERROR(__xludf.DUMMYFUNCTION("""COMPUTED_VALUE"""),43588.64583333333)</f>
        <v>43588.64583</v>
      </c>
      <c r="C74" s="2">
        <f>IFERROR(__xludf.DUMMYFUNCTION("""COMPUTED_VALUE"""),7730.0)</f>
        <v>7730</v>
      </c>
    </row>
    <row r="75" ht="15.75" customHeight="1">
      <c r="B75" s="3">
        <f>IFERROR(__xludf.DUMMYFUNCTION("""COMPUTED_VALUE"""),43595.64583333333)</f>
        <v>43595.64583</v>
      </c>
      <c r="C75" s="2">
        <f>IFERROR(__xludf.DUMMYFUNCTION("""COMPUTED_VALUE"""),7699.75)</f>
        <v>7699.75</v>
      </c>
    </row>
    <row r="76" ht="15.75" customHeight="1">
      <c r="B76" s="3">
        <f>IFERROR(__xludf.DUMMYFUNCTION("""COMPUTED_VALUE"""),43602.64583333333)</f>
        <v>43602.64583</v>
      </c>
      <c r="C76" s="2">
        <f>IFERROR(__xludf.DUMMYFUNCTION("""COMPUTED_VALUE"""),8029.75)</f>
        <v>8029.75</v>
      </c>
    </row>
    <row r="77" ht="15.75" customHeight="1">
      <c r="B77" s="3">
        <f>IFERROR(__xludf.DUMMYFUNCTION("""COMPUTED_VALUE"""),43609.64583333333)</f>
        <v>43609.64583</v>
      </c>
      <c r="C77" s="2">
        <f>IFERROR(__xludf.DUMMYFUNCTION("""COMPUTED_VALUE"""),8335.0)</f>
        <v>8335</v>
      </c>
    </row>
    <row r="78" ht="15.75" customHeight="1">
      <c r="B78" s="3">
        <f>IFERROR(__xludf.DUMMYFUNCTION("""COMPUTED_VALUE"""),43616.64583333333)</f>
        <v>43616.64583</v>
      </c>
      <c r="C78" s="2">
        <f>IFERROR(__xludf.DUMMYFUNCTION("""COMPUTED_VALUE"""),8279.0)</f>
        <v>8279</v>
      </c>
    </row>
    <row r="79" ht="15.75" customHeight="1">
      <c r="B79" s="3">
        <f>IFERROR(__xludf.DUMMYFUNCTION("""COMPUTED_VALUE"""),43623.64583333333)</f>
        <v>43623.64583</v>
      </c>
      <c r="C79" s="2">
        <f>IFERROR(__xludf.DUMMYFUNCTION("""COMPUTED_VALUE"""),8388.0)</f>
        <v>8388</v>
      </c>
    </row>
    <row r="80" ht="15.75" customHeight="1">
      <c r="B80" s="3">
        <f>IFERROR(__xludf.DUMMYFUNCTION("""COMPUTED_VALUE"""),43630.64583333333)</f>
        <v>43630.64583</v>
      </c>
      <c r="C80" s="2">
        <f>IFERROR(__xludf.DUMMYFUNCTION("""COMPUTED_VALUE"""),8360.0)</f>
        <v>8360</v>
      </c>
    </row>
    <row r="81" ht="15.75" customHeight="1">
      <c r="B81" s="3">
        <f>IFERROR(__xludf.DUMMYFUNCTION("""COMPUTED_VALUE"""),43637.64583333333)</f>
        <v>43637.64583</v>
      </c>
      <c r="C81" s="2">
        <f>IFERROR(__xludf.DUMMYFUNCTION("""COMPUTED_VALUE"""),8474.0)</f>
        <v>8474</v>
      </c>
    </row>
    <row r="82" ht="15.75" customHeight="1">
      <c r="B82" s="3">
        <f>IFERROR(__xludf.DUMMYFUNCTION("""COMPUTED_VALUE"""),43644.64583333333)</f>
        <v>43644.64583</v>
      </c>
      <c r="C82" s="2">
        <f>IFERROR(__xludf.DUMMYFUNCTION("""COMPUTED_VALUE"""),8557.85)</f>
        <v>8557.85</v>
      </c>
    </row>
    <row r="83" ht="15.75" customHeight="1">
      <c r="B83" s="3">
        <f>IFERROR(__xludf.DUMMYFUNCTION("""COMPUTED_VALUE"""),43651.64583333333)</f>
        <v>43651.64583</v>
      </c>
      <c r="C83" s="2">
        <f>IFERROR(__xludf.DUMMYFUNCTION("""COMPUTED_VALUE"""),8580.0)</f>
        <v>8580</v>
      </c>
    </row>
    <row r="84" ht="15.75" customHeight="1">
      <c r="B84" s="3">
        <f>IFERROR(__xludf.DUMMYFUNCTION("""COMPUTED_VALUE"""),43658.64583333333)</f>
        <v>43658.64583</v>
      </c>
      <c r="C84" s="2">
        <f>IFERROR(__xludf.DUMMYFUNCTION("""COMPUTED_VALUE"""),8499.9)</f>
        <v>8499.9</v>
      </c>
    </row>
    <row r="85" ht="15.75" customHeight="1">
      <c r="B85" s="3">
        <f>IFERROR(__xludf.DUMMYFUNCTION("""COMPUTED_VALUE"""),43665.64583333333)</f>
        <v>43665.64583</v>
      </c>
      <c r="C85" s="2">
        <f>IFERROR(__xludf.DUMMYFUNCTION("""COMPUTED_VALUE"""),7909.0)</f>
        <v>7909</v>
      </c>
    </row>
    <row r="86" ht="15.75" customHeight="1">
      <c r="B86" s="3">
        <f>IFERROR(__xludf.DUMMYFUNCTION("""COMPUTED_VALUE"""),43672.64583333333)</f>
        <v>43672.64583</v>
      </c>
      <c r="C86" s="2">
        <f>IFERROR(__xludf.DUMMYFUNCTION("""COMPUTED_VALUE"""),7544.0)</f>
        <v>7544</v>
      </c>
    </row>
    <row r="87" ht="15.75" customHeight="1">
      <c r="B87" s="3">
        <f>IFERROR(__xludf.DUMMYFUNCTION("""COMPUTED_VALUE"""),43679.64583333333)</f>
        <v>43679.64583</v>
      </c>
      <c r="C87" s="2">
        <f>IFERROR(__xludf.DUMMYFUNCTION("""COMPUTED_VALUE"""),7283.7)</f>
        <v>7283.7</v>
      </c>
    </row>
    <row r="88" ht="15.75" customHeight="1">
      <c r="B88" s="3">
        <f>IFERROR(__xludf.DUMMYFUNCTION("""COMPUTED_VALUE"""),43686.64583333333)</f>
        <v>43686.64583</v>
      </c>
      <c r="C88" s="2">
        <f>IFERROR(__xludf.DUMMYFUNCTION("""COMPUTED_VALUE"""),7590.0)</f>
        <v>7590</v>
      </c>
    </row>
    <row r="89" ht="15.75" customHeight="1">
      <c r="B89" s="3">
        <f>IFERROR(__xludf.DUMMYFUNCTION("""COMPUTED_VALUE"""),43693.64583333333)</f>
        <v>43693.64583</v>
      </c>
      <c r="C89" s="2">
        <f>IFERROR(__xludf.DUMMYFUNCTION("""COMPUTED_VALUE"""),7575.0)</f>
        <v>7575</v>
      </c>
    </row>
    <row r="90" ht="15.75" customHeight="1">
      <c r="B90" s="3">
        <f>IFERROR(__xludf.DUMMYFUNCTION("""COMPUTED_VALUE"""),43700.64583333333)</f>
        <v>43700.64583</v>
      </c>
      <c r="C90" s="2">
        <f>IFERROR(__xludf.DUMMYFUNCTION("""COMPUTED_VALUE"""),7530.85)</f>
        <v>7530.85</v>
      </c>
    </row>
    <row r="91" ht="15.75" customHeight="1">
      <c r="B91" s="3">
        <f>IFERROR(__xludf.DUMMYFUNCTION("""COMPUTED_VALUE"""),43707.64583333333)</f>
        <v>43707.64583</v>
      </c>
      <c r="C91" s="2">
        <f>IFERROR(__xludf.DUMMYFUNCTION("""COMPUTED_VALUE"""),7242.0)</f>
        <v>7242</v>
      </c>
    </row>
    <row r="92" ht="15.75" customHeight="1">
      <c r="B92" s="3">
        <f>IFERROR(__xludf.DUMMYFUNCTION("""COMPUTED_VALUE"""),43714.64583333333)</f>
        <v>43714.64583</v>
      </c>
      <c r="C92" s="2">
        <f>IFERROR(__xludf.DUMMYFUNCTION("""COMPUTED_VALUE"""),7187.95)</f>
        <v>7187.95</v>
      </c>
    </row>
    <row r="93" ht="15.75" customHeight="1">
      <c r="B93" s="3">
        <f>IFERROR(__xludf.DUMMYFUNCTION("""COMPUTED_VALUE"""),43721.64583333333)</f>
        <v>43721.64583</v>
      </c>
      <c r="C93" s="2">
        <f>IFERROR(__xludf.DUMMYFUNCTION("""COMPUTED_VALUE"""),7419.0)</f>
        <v>7419</v>
      </c>
    </row>
    <row r="94" ht="15.75" customHeight="1">
      <c r="B94" s="3">
        <f>IFERROR(__xludf.DUMMYFUNCTION("""COMPUTED_VALUE"""),43728.64583333333)</f>
        <v>43728.64583</v>
      </c>
      <c r="C94" s="2">
        <f>IFERROR(__xludf.DUMMYFUNCTION("""COMPUTED_VALUE"""),7800.0)</f>
        <v>7800</v>
      </c>
    </row>
    <row r="95" ht="15.75" customHeight="1">
      <c r="B95" s="3">
        <f>IFERROR(__xludf.DUMMYFUNCTION("""COMPUTED_VALUE"""),43735.64583333333)</f>
        <v>43735.64583</v>
      </c>
      <c r="C95" s="2">
        <f>IFERROR(__xludf.DUMMYFUNCTION("""COMPUTED_VALUE"""),8577.0)</f>
        <v>8577</v>
      </c>
    </row>
    <row r="96" ht="15.75" customHeight="1">
      <c r="B96" s="3">
        <f>IFERROR(__xludf.DUMMYFUNCTION("""COMPUTED_VALUE"""),43742.64583333333)</f>
        <v>43742.64583</v>
      </c>
      <c r="C96" s="2">
        <f>IFERROR(__xludf.DUMMYFUNCTION("""COMPUTED_VALUE"""),8668.8)</f>
        <v>8668.8</v>
      </c>
    </row>
    <row r="97" ht="15.75" customHeight="1">
      <c r="B97" s="3">
        <f>IFERROR(__xludf.DUMMYFUNCTION("""COMPUTED_VALUE"""),43749.64583333333)</f>
        <v>43749.64583</v>
      </c>
      <c r="C97" s="2">
        <f>IFERROR(__xludf.DUMMYFUNCTION("""COMPUTED_VALUE"""),8355.0)</f>
        <v>8355</v>
      </c>
    </row>
    <row r="98" ht="15.75" customHeight="1">
      <c r="B98" s="3">
        <f>IFERROR(__xludf.DUMMYFUNCTION("""COMPUTED_VALUE"""),43756.64583333333)</f>
        <v>43756.64583</v>
      </c>
      <c r="C98" s="2">
        <f>IFERROR(__xludf.DUMMYFUNCTION("""COMPUTED_VALUE"""),8437.6)</f>
        <v>8437.6</v>
      </c>
    </row>
    <row r="99" ht="15.75" customHeight="1">
      <c r="B99" s="3">
        <f>IFERROR(__xludf.DUMMYFUNCTION("""COMPUTED_VALUE"""),43763.79166666667)</f>
        <v>43763.79167</v>
      </c>
      <c r="C99" s="2">
        <f>IFERROR(__xludf.DUMMYFUNCTION("""COMPUTED_VALUE"""),8393.0)</f>
        <v>8393</v>
      </c>
    </row>
    <row r="100" ht="15.75" customHeight="1">
      <c r="B100" s="3">
        <f>IFERROR(__xludf.DUMMYFUNCTION("""COMPUTED_VALUE"""),43770.64583333333)</f>
        <v>43770.64583</v>
      </c>
      <c r="C100" s="2">
        <f>IFERROR(__xludf.DUMMYFUNCTION("""COMPUTED_VALUE"""),8429.0)</f>
        <v>8429</v>
      </c>
    </row>
    <row r="101" ht="15.75" customHeight="1">
      <c r="B101" s="3">
        <f>IFERROR(__xludf.DUMMYFUNCTION("""COMPUTED_VALUE"""),43777.64583333333)</f>
        <v>43777.64583</v>
      </c>
      <c r="C101" s="2">
        <f>IFERROR(__xludf.DUMMYFUNCTION("""COMPUTED_VALUE"""),8950.0)</f>
        <v>8950</v>
      </c>
    </row>
    <row r="102" ht="15.75" customHeight="1">
      <c r="B102" s="3">
        <f>IFERROR(__xludf.DUMMYFUNCTION("""COMPUTED_VALUE"""),43784.64583333333)</f>
        <v>43784.64583</v>
      </c>
      <c r="C102" s="2">
        <f>IFERROR(__xludf.DUMMYFUNCTION("""COMPUTED_VALUE"""),9140.0)</f>
        <v>9140</v>
      </c>
    </row>
    <row r="103" ht="15.75" customHeight="1">
      <c r="B103" s="3">
        <f>IFERROR(__xludf.DUMMYFUNCTION("""COMPUTED_VALUE"""),43791.64583333333)</f>
        <v>43791.64583</v>
      </c>
      <c r="C103" s="2">
        <f>IFERROR(__xludf.DUMMYFUNCTION("""COMPUTED_VALUE"""),9189.0)</f>
        <v>9189</v>
      </c>
    </row>
    <row r="104" ht="15.75" customHeight="1">
      <c r="B104" s="3">
        <f>IFERROR(__xludf.DUMMYFUNCTION("""COMPUTED_VALUE"""),43798.64583333333)</f>
        <v>43798.64583</v>
      </c>
      <c r="C104" s="2">
        <f>IFERROR(__xludf.DUMMYFUNCTION("""COMPUTED_VALUE"""),9284.75)</f>
        <v>9284.75</v>
      </c>
    </row>
    <row r="105" ht="15.75" customHeight="1">
      <c r="B105" s="3">
        <f>IFERROR(__xludf.DUMMYFUNCTION("""COMPUTED_VALUE"""),43805.64583333333)</f>
        <v>43805.64583</v>
      </c>
      <c r="C105" s="2">
        <f>IFERROR(__xludf.DUMMYFUNCTION("""COMPUTED_VALUE"""),9127.3)</f>
        <v>9127.3</v>
      </c>
    </row>
    <row r="106" ht="15.75" customHeight="1">
      <c r="B106" s="3">
        <f>IFERROR(__xludf.DUMMYFUNCTION("""COMPUTED_VALUE"""),43812.64583333333)</f>
        <v>43812.64583</v>
      </c>
      <c r="C106" s="2">
        <f>IFERROR(__xludf.DUMMYFUNCTION("""COMPUTED_VALUE"""),9274.9)</f>
        <v>9274.9</v>
      </c>
    </row>
    <row r="107" ht="15.75" customHeight="1">
      <c r="B107" s="3">
        <f>IFERROR(__xludf.DUMMYFUNCTION("""COMPUTED_VALUE"""),43819.64583333333)</f>
        <v>43819.64583</v>
      </c>
      <c r="C107" s="2">
        <f>IFERROR(__xludf.DUMMYFUNCTION("""COMPUTED_VALUE"""),9421.0)</f>
        <v>9421</v>
      </c>
    </row>
    <row r="108" ht="15.75" customHeight="1">
      <c r="B108" s="3">
        <f>IFERROR(__xludf.DUMMYFUNCTION("""COMPUTED_VALUE"""),43826.64583333333)</f>
        <v>43826.64583</v>
      </c>
      <c r="C108" s="2">
        <f>IFERROR(__xludf.DUMMYFUNCTION("""COMPUTED_VALUE"""),9465.0)</f>
        <v>9465</v>
      </c>
    </row>
    <row r="109" ht="15.75" customHeight="1"/>
    <row r="110" ht="15.75" customHeight="1"/>
    <row r="111" ht="15.75" customHeight="1">
      <c r="B111" s="2" t="str">
        <f>IFERROR(__xludf.DUMMYFUNCTION("GOOGLEFINANCE(""NSE:BAJAJFINSV"", ""high"",DATE(2020,1,1),DATE(2021,1,1),""weekly"")"),"Date")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IFERROR(__xludf.DUMMYFUNCTION("""COMPUTED_VALUE"""),43833.64583333333)</f>
        <v>43833.64583</v>
      </c>
      <c r="C112" s="2">
        <f>IFERROR(__xludf.DUMMYFUNCTION("""COMPUTED_VALUE"""),9530.95)</f>
        <v>9530.95</v>
      </c>
    </row>
    <row r="113" ht="15.75" customHeight="1">
      <c r="B113" s="3">
        <f>IFERROR(__xludf.DUMMYFUNCTION("""COMPUTED_VALUE"""),43840.64583333333)</f>
        <v>43840.64583</v>
      </c>
      <c r="C113" s="2">
        <f>IFERROR(__xludf.DUMMYFUNCTION("""COMPUTED_VALUE"""),9499.9)</f>
        <v>9499.9</v>
      </c>
    </row>
    <row r="114" ht="15.75" customHeight="1">
      <c r="B114" s="3">
        <f>IFERROR(__xludf.DUMMYFUNCTION("""COMPUTED_VALUE"""),43847.64583333333)</f>
        <v>43847.64583</v>
      </c>
      <c r="C114" s="2">
        <f>IFERROR(__xludf.DUMMYFUNCTION("""COMPUTED_VALUE"""),9740.3)</f>
        <v>9740.3</v>
      </c>
    </row>
    <row r="115" ht="15.75" customHeight="1">
      <c r="B115" s="3">
        <f>IFERROR(__xludf.DUMMYFUNCTION("""COMPUTED_VALUE"""),43854.64583333333)</f>
        <v>43854.64583</v>
      </c>
      <c r="C115" s="2">
        <f>IFERROR(__xludf.DUMMYFUNCTION("""COMPUTED_VALUE"""),9764.35)</f>
        <v>9764.35</v>
      </c>
    </row>
    <row r="116" ht="15.75" customHeight="1">
      <c r="B116" s="3">
        <f>IFERROR(__xludf.DUMMYFUNCTION("""COMPUTED_VALUE"""),43862.70833333333)</f>
        <v>43862.70833</v>
      </c>
      <c r="C116" s="2">
        <f>IFERROR(__xludf.DUMMYFUNCTION("""COMPUTED_VALUE"""),9950.0)</f>
        <v>9950</v>
      </c>
    </row>
    <row r="117" ht="15.75" customHeight="1">
      <c r="B117" s="3">
        <f>IFERROR(__xludf.DUMMYFUNCTION("""COMPUTED_VALUE"""),43868.64583333333)</f>
        <v>43868.64583</v>
      </c>
      <c r="C117" s="2">
        <f>IFERROR(__xludf.DUMMYFUNCTION("""COMPUTED_VALUE"""),9709.0)</f>
        <v>9709</v>
      </c>
    </row>
    <row r="118" ht="15.75" customHeight="1">
      <c r="B118" s="3">
        <f>IFERROR(__xludf.DUMMYFUNCTION("""COMPUTED_VALUE"""),43875.64583333333)</f>
        <v>43875.64583</v>
      </c>
      <c r="C118" s="2">
        <f>IFERROR(__xludf.DUMMYFUNCTION("""COMPUTED_VALUE"""),9840.95)</f>
        <v>9840.95</v>
      </c>
    </row>
    <row r="119" ht="15.75" customHeight="1">
      <c r="B119" s="3">
        <f>IFERROR(__xludf.DUMMYFUNCTION("""COMPUTED_VALUE"""),43881.64583333333)</f>
        <v>43881.64583</v>
      </c>
      <c r="C119" s="2">
        <f>IFERROR(__xludf.DUMMYFUNCTION("""COMPUTED_VALUE"""),9827.55)</f>
        <v>9827.55</v>
      </c>
    </row>
    <row r="120" ht="15.75" customHeight="1">
      <c r="B120" s="3">
        <f>IFERROR(__xludf.DUMMYFUNCTION("""COMPUTED_VALUE"""),43889.64583333333)</f>
        <v>43889.64583</v>
      </c>
      <c r="C120" s="2">
        <f>IFERROR(__xludf.DUMMYFUNCTION("""COMPUTED_VALUE"""),9680.0)</f>
        <v>9680</v>
      </c>
    </row>
    <row r="121" ht="15.75" customHeight="1">
      <c r="B121" s="3">
        <f>IFERROR(__xludf.DUMMYFUNCTION("""COMPUTED_VALUE"""),43896.64583333333)</f>
        <v>43896.64583</v>
      </c>
      <c r="C121" s="2">
        <f>IFERROR(__xludf.DUMMYFUNCTION("""COMPUTED_VALUE"""),9300.0)</f>
        <v>9300</v>
      </c>
    </row>
    <row r="122" ht="15.75" customHeight="1">
      <c r="B122" s="3">
        <f>IFERROR(__xludf.DUMMYFUNCTION("""COMPUTED_VALUE"""),43903.64583333333)</f>
        <v>43903.64583</v>
      </c>
      <c r="C122" s="2">
        <f>IFERROR(__xludf.DUMMYFUNCTION("""COMPUTED_VALUE"""),8450.0)</f>
        <v>8450</v>
      </c>
    </row>
    <row r="123" ht="15.75" customHeight="1">
      <c r="B123" s="3">
        <f>IFERROR(__xludf.DUMMYFUNCTION("""COMPUTED_VALUE"""),43910.64583333333)</f>
        <v>43910.64583</v>
      </c>
      <c r="C123" s="2">
        <f>IFERROR(__xludf.DUMMYFUNCTION("""COMPUTED_VALUE"""),7566.5)</f>
        <v>7566.5</v>
      </c>
    </row>
    <row r="124" ht="15.75" customHeight="1">
      <c r="B124" s="3">
        <f>IFERROR(__xludf.DUMMYFUNCTION("""COMPUTED_VALUE"""),43917.64583333333)</f>
        <v>43917.64583</v>
      </c>
      <c r="C124" s="2">
        <f>IFERROR(__xludf.DUMMYFUNCTION("""COMPUTED_VALUE"""),5890.4)</f>
        <v>5890.4</v>
      </c>
    </row>
    <row r="125" ht="15.75" customHeight="1">
      <c r="B125" s="3">
        <f>IFERROR(__xludf.DUMMYFUNCTION("""COMPUTED_VALUE"""),43924.64583333333)</f>
        <v>43924.64583</v>
      </c>
      <c r="C125" s="2">
        <f>IFERROR(__xludf.DUMMYFUNCTION("""COMPUTED_VALUE"""),4879.55)</f>
        <v>4879.55</v>
      </c>
    </row>
    <row r="126" ht="15.75" customHeight="1">
      <c r="B126" s="3">
        <f>IFERROR(__xludf.DUMMYFUNCTION("""COMPUTED_VALUE"""),43930.64583333333)</f>
        <v>43930.64583</v>
      </c>
      <c r="C126" s="2">
        <f>IFERROR(__xludf.DUMMYFUNCTION("""COMPUTED_VALUE"""),4950.0)</f>
        <v>4950</v>
      </c>
    </row>
    <row r="127" ht="15.75" customHeight="1">
      <c r="B127" s="3">
        <f>IFERROR(__xludf.DUMMYFUNCTION("""COMPUTED_VALUE"""),43938.64583333333)</f>
        <v>43938.64583</v>
      </c>
      <c r="C127" s="2">
        <f>IFERROR(__xludf.DUMMYFUNCTION("""COMPUTED_VALUE"""),5136.0)</f>
        <v>5136</v>
      </c>
    </row>
    <row r="128" ht="15.75" customHeight="1">
      <c r="B128" s="3">
        <f>IFERROR(__xludf.DUMMYFUNCTION("""COMPUTED_VALUE"""),43945.64583333333)</f>
        <v>43945.64583</v>
      </c>
      <c r="C128" s="2">
        <f>IFERROR(__xludf.DUMMYFUNCTION("""COMPUTED_VALUE"""),5090.0)</f>
        <v>5090</v>
      </c>
    </row>
    <row r="129" ht="15.75" customHeight="1">
      <c r="B129" s="3">
        <f>IFERROR(__xludf.DUMMYFUNCTION("""COMPUTED_VALUE"""),43951.64583333333)</f>
        <v>43951.64583</v>
      </c>
      <c r="C129" s="2">
        <f>IFERROR(__xludf.DUMMYFUNCTION("""COMPUTED_VALUE"""),5175.0)</f>
        <v>5175</v>
      </c>
    </row>
    <row r="130" ht="15.75" customHeight="1">
      <c r="B130" s="3">
        <f>IFERROR(__xludf.DUMMYFUNCTION("""COMPUTED_VALUE"""),43959.64583333333)</f>
        <v>43959.64583</v>
      </c>
      <c r="C130" s="2">
        <f>IFERROR(__xludf.DUMMYFUNCTION("""COMPUTED_VALUE"""),4939.9)</f>
        <v>4939.9</v>
      </c>
    </row>
    <row r="131" ht="15.75" customHeight="1">
      <c r="B131" s="3">
        <f>IFERROR(__xludf.DUMMYFUNCTION("""COMPUTED_VALUE"""),43966.64583333333)</f>
        <v>43966.64583</v>
      </c>
      <c r="C131" s="2">
        <f>IFERROR(__xludf.DUMMYFUNCTION("""COMPUTED_VALUE"""),5050.0)</f>
        <v>5050</v>
      </c>
    </row>
    <row r="132" ht="15.75" customHeight="1">
      <c r="B132" s="3">
        <f>IFERROR(__xludf.DUMMYFUNCTION("""COMPUTED_VALUE"""),43973.64583333333)</f>
        <v>43973.64583</v>
      </c>
      <c r="C132" s="2">
        <f>IFERROR(__xludf.DUMMYFUNCTION("""COMPUTED_VALUE"""),4742.7)</f>
        <v>4742.7</v>
      </c>
    </row>
    <row r="133" ht="15.75" customHeight="1">
      <c r="B133" s="3">
        <f>IFERROR(__xludf.DUMMYFUNCTION("""COMPUTED_VALUE"""),43980.64583333333)</f>
        <v>43980.64583</v>
      </c>
      <c r="C133" s="2">
        <f>IFERROR(__xludf.DUMMYFUNCTION("""COMPUTED_VALUE"""),4428.95)</f>
        <v>4428.95</v>
      </c>
    </row>
    <row r="134" ht="15.75" customHeight="1">
      <c r="B134" s="3">
        <f>IFERROR(__xludf.DUMMYFUNCTION("""COMPUTED_VALUE"""),43987.64583333333)</f>
        <v>43987.64583</v>
      </c>
      <c r="C134" s="2">
        <f>IFERROR(__xludf.DUMMYFUNCTION("""COMPUTED_VALUE"""),5529.8)</f>
        <v>5529.8</v>
      </c>
    </row>
    <row r="135" ht="15.75" customHeight="1">
      <c r="B135" s="3">
        <f>IFERROR(__xludf.DUMMYFUNCTION("""COMPUTED_VALUE"""),43994.64583333333)</f>
        <v>43994.64583</v>
      </c>
      <c r="C135" s="2">
        <f>IFERROR(__xludf.DUMMYFUNCTION("""COMPUTED_VALUE"""),5523.95)</f>
        <v>5523.95</v>
      </c>
    </row>
    <row r="136" ht="15.75" customHeight="1">
      <c r="B136" s="3">
        <f>IFERROR(__xludf.DUMMYFUNCTION("""COMPUTED_VALUE"""),44001.64583333333)</f>
        <v>44001.64583</v>
      </c>
      <c r="C136" s="2">
        <f>IFERROR(__xludf.DUMMYFUNCTION("""COMPUTED_VALUE"""),5970.3)</f>
        <v>5970.3</v>
      </c>
    </row>
    <row r="137" ht="15.75" customHeight="1">
      <c r="B137" s="3">
        <f>IFERROR(__xludf.DUMMYFUNCTION("""COMPUTED_VALUE"""),44008.64583333333)</f>
        <v>44008.64583</v>
      </c>
      <c r="C137" s="2">
        <f>IFERROR(__xludf.DUMMYFUNCTION("""COMPUTED_VALUE"""),6455.0)</f>
        <v>6455</v>
      </c>
    </row>
    <row r="138" ht="15.75" customHeight="1">
      <c r="B138" s="3">
        <f>IFERROR(__xludf.DUMMYFUNCTION("""COMPUTED_VALUE"""),44015.64583333333)</f>
        <v>44015.64583</v>
      </c>
      <c r="C138" s="2">
        <f>IFERROR(__xludf.DUMMYFUNCTION("""COMPUTED_VALUE"""),6267.0)</f>
        <v>6267</v>
      </c>
    </row>
    <row r="139" ht="15.75" customHeight="1">
      <c r="B139" s="3">
        <f>IFERROR(__xludf.DUMMYFUNCTION("""COMPUTED_VALUE"""),44022.64583333333)</f>
        <v>44022.64583</v>
      </c>
      <c r="C139" s="2">
        <f>IFERROR(__xludf.DUMMYFUNCTION("""COMPUTED_VALUE"""),6680.0)</f>
        <v>6680</v>
      </c>
    </row>
    <row r="140" ht="15.75" customHeight="1">
      <c r="B140" s="3">
        <f>IFERROR(__xludf.DUMMYFUNCTION("""COMPUTED_VALUE"""),44029.64583333333)</f>
        <v>44029.64583</v>
      </c>
      <c r="C140" s="2">
        <f>IFERROR(__xludf.DUMMYFUNCTION("""COMPUTED_VALUE"""),6592.4)</f>
        <v>6592.4</v>
      </c>
    </row>
    <row r="141" ht="15.75" customHeight="1">
      <c r="B141" s="3">
        <f>IFERROR(__xludf.DUMMYFUNCTION("""COMPUTED_VALUE"""),44036.64583333333)</f>
        <v>44036.64583</v>
      </c>
      <c r="C141" s="2">
        <f>IFERROR(__xludf.DUMMYFUNCTION("""COMPUTED_VALUE"""),6710.0)</f>
        <v>6710</v>
      </c>
    </row>
    <row r="142" ht="15.75" customHeight="1">
      <c r="B142" s="3">
        <f>IFERROR(__xludf.DUMMYFUNCTION("""COMPUTED_VALUE"""),44043.64583333333)</f>
        <v>44043.64583</v>
      </c>
      <c r="C142" s="2">
        <f>IFERROR(__xludf.DUMMYFUNCTION("""COMPUTED_VALUE"""),6425.0)</f>
        <v>6425</v>
      </c>
    </row>
    <row r="143" ht="15.75" customHeight="1">
      <c r="B143" s="3">
        <f>IFERROR(__xludf.DUMMYFUNCTION("""COMPUTED_VALUE"""),44050.64583333333)</f>
        <v>44050.64583</v>
      </c>
      <c r="C143" s="2">
        <f>IFERROR(__xludf.DUMMYFUNCTION("""COMPUTED_VALUE"""),6500.0)</f>
        <v>6500</v>
      </c>
    </row>
    <row r="144" ht="15.75" customHeight="1">
      <c r="B144" s="3">
        <f>IFERROR(__xludf.DUMMYFUNCTION("""COMPUTED_VALUE"""),44057.64583333333)</f>
        <v>44057.64583</v>
      </c>
      <c r="C144" s="2">
        <f>IFERROR(__xludf.DUMMYFUNCTION("""COMPUTED_VALUE"""),6570.0)</f>
        <v>6570</v>
      </c>
    </row>
    <row r="145" ht="15.75" customHeight="1">
      <c r="B145" s="3">
        <f>IFERROR(__xludf.DUMMYFUNCTION("""COMPUTED_VALUE"""),44064.64583333333)</f>
        <v>44064.64583</v>
      </c>
      <c r="C145" s="2">
        <f>IFERROR(__xludf.DUMMYFUNCTION("""COMPUTED_VALUE"""),6425.0)</f>
        <v>6425</v>
      </c>
    </row>
    <row r="146" ht="15.75" customHeight="1">
      <c r="B146" s="3">
        <f>IFERROR(__xludf.DUMMYFUNCTION("""COMPUTED_VALUE"""),44071.64583333333)</f>
        <v>44071.64583</v>
      </c>
      <c r="C146" s="2">
        <f>IFERROR(__xludf.DUMMYFUNCTION("""COMPUTED_VALUE"""),6700.0)</f>
        <v>6700</v>
      </c>
    </row>
    <row r="147" ht="15.75" customHeight="1">
      <c r="B147" s="3">
        <f>IFERROR(__xludf.DUMMYFUNCTION("""COMPUTED_VALUE"""),44078.64583333333)</f>
        <v>44078.64583</v>
      </c>
      <c r="C147" s="2">
        <f>IFERROR(__xludf.DUMMYFUNCTION("""COMPUTED_VALUE"""),6670.0)</f>
        <v>6670</v>
      </c>
    </row>
    <row r="148" ht="15.75" customHeight="1">
      <c r="B148" s="3">
        <f>IFERROR(__xludf.DUMMYFUNCTION("""COMPUTED_VALUE"""),44085.64583333333)</f>
        <v>44085.64583</v>
      </c>
      <c r="C148" s="2">
        <f>IFERROR(__xludf.DUMMYFUNCTION("""COMPUTED_VALUE"""),6349.25)</f>
        <v>6349.25</v>
      </c>
    </row>
    <row r="149" ht="15.75" customHeight="1">
      <c r="B149" s="3">
        <f>IFERROR(__xludf.DUMMYFUNCTION("""COMPUTED_VALUE"""),44092.64583333333)</f>
        <v>44092.64583</v>
      </c>
      <c r="C149" s="2">
        <f>IFERROR(__xludf.DUMMYFUNCTION("""COMPUTED_VALUE"""),6239.95)</f>
        <v>6239.95</v>
      </c>
    </row>
    <row r="150" ht="15.75" customHeight="1">
      <c r="B150" s="3">
        <f>IFERROR(__xludf.DUMMYFUNCTION("""COMPUTED_VALUE"""),44099.64583333333)</f>
        <v>44099.64583</v>
      </c>
      <c r="C150" s="2">
        <f>IFERROR(__xludf.DUMMYFUNCTION("""COMPUTED_VALUE"""),5909.9)</f>
        <v>5909.9</v>
      </c>
    </row>
    <row r="151" ht="15.75" customHeight="1">
      <c r="B151" s="3">
        <f>IFERROR(__xludf.DUMMYFUNCTION("""COMPUTED_VALUE"""),44105.64583333333)</f>
        <v>44105.64583</v>
      </c>
      <c r="C151" s="2">
        <f>IFERROR(__xludf.DUMMYFUNCTION("""COMPUTED_VALUE"""),6104.8)</f>
        <v>6104.8</v>
      </c>
    </row>
    <row r="152" ht="15.75" customHeight="1">
      <c r="B152" s="3">
        <f>IFERROR(__xludf.DUMMYFUNCTION("""COMPUTED_VALUE"""),44113.64583333333)</f>
        <v>44113.64583</v>
      </c>
      <c r="C152" s="2">
        <f>IFERROR(__xludf.DUMMYFUNCTION("""COMPUTED_VALUE"""),6169.5)</f>
        <v>6169.5</v>
      </c>
    </row>
    <row r="153" ht="15.75" customHeight="1">
      <c r="B153" s="3">
        <f>IFERROR(__xludf.DUMMYFUNCTION("""COMPUTED_VALUE"""),44120.64583333333)</f>
        <v>44120.64583</v>
      </c>
      <c r="C153" s="2">
        <f>IFERROR(__xludf.DUMMYFUNCTION("""COMPUTED_VALUE"""),6168.0)</f>
        <v>6168</v>
      </c>
    </row>
    <row r="154" ht="15.75" customHeight="1">
      <c r="B154" s="3">
        <f>IFERROR(__xludf.DUMMYFUNCTION("""COMPUTED_VALUE"""),44127.64583333333)</f>
        <v>44127.64583</v>
      </c>
      <c r="C154" s="2">
        <f>IFERROR(__xludf.DUMMYFUNCTION("""COMPUTED_VALUE"""),6080.0)</f>
        <v>6080</v>
      </c>
    </row>
    <row r="155" ht="15.75" customHeight="1">
      <c r="B155" s="3">
        <f>IFERROR(__xludf.DUMMYFUNCTION("""COMPUTED_VALUE"""),44134.64583333333)</f>
        <v>44134.64583</v>
      </c>
      <c r="C155" s="2">
        <f>IFERROR(__xludf.DUMMYFUNCTION("""COMPUTED_VALUE"""),5872.65)</f>
        <v>5872.65</v>
      </c>
    </row>
    <row r="156" ht="15.75" customHeight="1">
      <c r="B156" s="3">
        <f>IFERROR(__xludf.DUMMYFUNCTION("""COMPUTED_VALUE"""),44141.64583333333)</f>
        <v>44141.64583</v>
      </c>
      <c r="C156" s="2">
        <f>IFERROR(__xludf.DUMMYFUNCTION("""COMPUTED_VALUE"""),6350.0)</f>
        <v>6350</v>
      </c>
    </row>
    <row r="157" ht="15.75" customHeight="1">
      <c r="B157" s="3">
        <f>IFERROR(__xludf.DUMMYFUNCTION("""COMPUTED_VALUE"""),44155.64583333333)</f>
        <v>44155.64583</v>
      </c>
      <c r="C157" s="2">
        <f>IFERROR(__xludf.DUMMYFUNCTION("""COMPUTED_VALUE"""),8588.65)</f>
        <v>8588.65</v>
      </c>
    </row>
    <row r="158" ht="15.75" customHeight="1">
      <c r="B158" s="3">
        <f>IFERROR(__xludf.DUMMYFUNCTION("""COMPUTED_VALUE"""),44162.64583333333)</f>
        <v>44162.64583</v>
      </c>
      <c r="C158" s="2">
        <f>IFERROR(__xludf.DUMMYFUNCTION("""COMPUTED_VALUE"""),9009.0)</f>
        <v>9009</v>
      </c>
    </row>
    <row r="159" ht="15.75" customHeight="1">
      <c r="B159" s="3">
        <f>IFERROR(__xludf.DUMMYFUNCTION("""COMPUTED_VALUE"""),44169.64583333333)</f>
        <v>44169.64583</v>
      </c>
      <c r="C159" s="2">
        <f>IFERROR(__xludf.DUMMYFUNCTION("""COMPUTED_VALUE"""),9234.5)</f>
        <v>9234.5</v>
      </c>
    </row>
    <row r="160" ht="15.75" customHeight="1">
      <c r="B160" s="3">
        <f>IFERROR(__xludf.DUMMYFUNCTION("""COMPUTED_VALUE"""),44176.64583333333)</f>
        <v>44176.64583</v>
      </c>
      <c r="C160" s="2">
        <f>IFERROR(__xludf.DUMMYFUNCTION("""COMPUTED_VALUE"""),9139.0)</f>
        <v>9139</v>
      </c>
    </row>
    <row r="161" ht="15.75" customHeight="1">
      <c r="B161" s="3">
        <f>IFERROR(__xludf.DUMMYFUNCTION("""COMPUTED_VALUE"""),44183.64583333333)</f>
        <v>44183.64583</v>
      </c>
      <c r="C161" s="2">
        <f>IFERROR(__xludf.DUMMYFUNCTION("""COMPUTED_VALUE"""),9450.0)</f>
        <v>9450</v>
      </c>
    </row>
    <row r="162" ht="15.75" customHeight="1">
      <c r="B162" s="3">
        <f>IFERROR(__xludf.DUMMYFUNCTION("""COMPUTED_VALUE"""),44189.64583333333)</f>
        <v>44189.64583</v>
      </c>
      <c r="C162" s="2">
        <f>IFERROR(__xludf.DUMMYFUNCTION("""COMPUTED_VALUE"""),9245.0)</f>
        <v>9245</v>
      </c>
    </row>
    <row r="163" ht="15.75" customHeight="1">
      <c r="B163" s="3">
        <f>IFERROR(__xludf.DUMMYFUNCTION("""COMPUTED_VALUE"""),44197.64583333333)</f>
        <v>44197.64583</v>
      </c>
      <c r="C163" s="2">
        <f>IFERROR(__xludf.DUMMYFUNCTION("""COMPUTED_VALUE"""),9115.0)</f>
        <v>9115</v>
      </c>
    </row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IFERROR(__xludf.DUMMYFUNCTION("GOOGLEFINANCE(""NSE:JSWSTEEL"", ""high"",DATE(2018,1,1),DATE(2019,1,1),""weekly"")"),"Date")</f>
        <v>Date</v>
      </c>
      <c r="C1" s="2" t="str">
        <f>IFERROR(__xludf.DUMMYFUNCTION("""COMPUTED_VALUE"""),"High")</f>
        <v>High</v>
      </c>
    </row>
    <row r="2">
      <c r="A2" s="2" t="s">
        <v>17</v>
      </c>
      <c r="B2" s="3">
        <f>IFERROR(__xludf.DUMMYFUNCTION("""COMPUTED_VALUE"""),43105.64583333333)</f>
        <v>43105.64583</v>
      </c>
      <c r="C2" s="2">
        <f>IFERROR(__xludf.DUMMYFUNCTION("""COMPUTED_VALUE"""),289.9)</f>
        <v>289.9</v>
      </c>
    </row>
    <row r="3">
      <c r="A3" s="2" t="s">
        <v>18</v>
      </c>
      <c r="B3" s="3">
        <f>IFERROR(__xludf.DUMMYFUNCTION("""COMPUTED_VALUE"""),43112.64583333333)</f>
        <v>43112.64583</v>
      </c>
      <c r="C3" s="2">
        <f>IFERROR(__xludf.DUMMYFUNCTION("""COMPUTED_VALUE"""),289.75)</f>
        <v>289.75</v>
      </c>
    </row>
    <row r="4">
      <c r="A4" s="2" t="s">
        <v>19</v>
      </c>
      <c r="B4" s="3">
        <f>IFERROR(__xludf.DUMMYFUNCTION("""COMPUTED_VALUE"""),43119.64583333333)</f>
        <v>43119.64583</v>
      </c>
      <c r="C4" s="2">
        <f>IFERROR(__xludf.DUMMYFUNCTION("""COMPUTED_VALUE"""),292.9)</f>
        <v>292.9</v>
      </c>
    </row>
    <row r="5">
      <c r="B5" s="3">
        <f>IFERROR(__xludf.DUMMYFUNCTION("""COMPUTED_VALUE"""),43125.64583333333)</f>
        <v>43125.64583</v>
      </c>
      <c r="C5" s="2">
        <f>IFERROR(__xludf.DUMMYFUNCTION("""COMPUTED_VALUE"""),299.3)</f>
        <v>299.3</v>
      </c>
    </row>
    <row r="6">
      <c r="B6" s="3">
        <f>IFERROR(__xludf.DUMMYFUNCTION("""COMPUTED_VALUE"""),43133.64583333333)</f>
        <v>43133.64583</v>
      </c>
      <c r="C6" s="2">
        <f>IFERROR(__xludf.DUMMYFUNCTION("""COMPUTED_VALUE"""),314.35)</f>
        <v>314.35</v>
      </c>
    </row>
    <row r="7">
      <c r="B7" s="3">
        <f>IFERROR(__xludf.DUMMYFUNCTION("""COMPUTED_VALUE"""),43140.64583333333)</f>
        <v>43140.64583</v>
      </c>
      <c r="C7" s="2">
        <f>IFERROR(__xludf.DUMMYFUNCTION("""COMPUTED_VALUE"""),311.85)</f>
        <v>311.85</v>
      </c>
    </row>
    <row r="8">
      <c r="B8" s="3">
        <f>IFERROR(__xludf.DUMMYFUNCTION("""COMPUTED_VALUE"""),43147.64583333333)</f>
        <v>43147.64583</v>
      </c>
      <c r="C8" s="2">
        <f>IFERROR(__xludf.DUMMYFUNCTION("""COMPUTED_VALUE"""),315.7)</f>
        <v>315.7</v>
      </c>
    </row>
    <row r="9">
      <c r="B9" s="3">
        <f>IFERROR(__xludf.DUMMYFUNCTION("""COMPUTED_VALUE"""),43154.64583333333)</f>
        <v>43154.64583</v>
      </c>
      <c r="C9" s="2">
        <f>IFERROR(__xludf.DUMMYFUNCTION("""COMPUTED_VALUE"""),313.8)</f>
        <v>313.8</v>
      </c>
    </row>
    <row r="10">
      <c r="B10" s="3">
        <f>IFERROR(__xludf.DUMMYFUNCTION("""COMPUTED_VALUE"""),43160.64583333333)</f>
        <v>43160.64583</v>
      </c>
      <c r="C10" s="2">
        <f>IFERROR(__xludf.DUMMYFUNCTION("""COMPUTED_VALUE"""),320.45)</f>
        <v>320.45</v>
      </c>
    </row>
    <row r="11">
      <c r="B11" s="3">
        <f>IFERROR(__xludf.DUMMYFUNCTION("""COMPUTED_VALUE"""),43168.64583333333)</f>
        <v>43168.64583</v>
      </c>
      <c r="C11" s="2">
        <f>IFERROR(__xludf.DUMMYFUNCTION("""COMPUTED_VALUE"""),301.9)</f>
        <v>301.9</v>
      </c>
    </row>
    <row r="12">
      <c r="B12" s="3">
        <f>IFERROR(__xludf.DUMMYFUNCTION("""COMPUTED_VALUE"""),43175.64583333333)</f>
        <v>43175.64583</v>
      </c>
      <c r="C12" s="2">
        <f>IFERROR(__xludf.DUMMYFUNCTION("""COMPUTED_VALUE"""),304.6)</f>
        <v>304.6</v>
      </c>
    </row>
    <row r="13">
      <c r="B13" s="3">
        <f>IFERROR(__xludf.DUMMYFUNCTION("""COMPUTED_VALUE"""),43182.64583333333)</f>
        <v>43182.64583</v>
      </c>
      <c r="C13" s="2">
        <f>IFERROR(__xludf.DUMMYFUNCTION("""COMPUTED_VALUE"""),291.3)</f>
        <v>291.3</v>
      </c>
    </row>
    <row r="14">
      <c r="B14" s="3">
        <f>IFERROR(__xludf.DUMMYFUNCTION("""COMPUTED_VALUE"""),43187.64583333333)</f>
        <v>43187.64583</v>
      </c>
      <c r="C14" s="2">
        <f>IFERROR(__xludf.DUMMYFUNCTION("""COMPUTED_VALUE"""),300.0)</f>
        <v>300</v>
      </c>
    </row>
    <row r="15">
      <c r="B15" s="3">
        <f>IFERROR(__xludf.DUMMYFUNCTION("""COMPUTED_VALUE"""),43196.64583333333)</f>
        <v>43196.64583</v>
      </c>
      <c r="C15" s="2">
        <f>IFERROR(__xludf.DUMMYFUNCTION("""COMPUTED_VALUE"""),309.35)</f>
        <v>309.35</v>
      </c>
    </row>
    <row r="16">
      <c r="B16" s="3">
        <f>IFERROR(__xludf.DUMMYFUNCTION("""COMPUTED_VALUE"""),43203.64583333333)</f>
        <v>43203.64583</v>
      </c>
      <c r="C16" s="2">
        <f>IFERROR(__xludf.DUMMYFUNCTION("""COMPUTED_VALUE"""),318.4)</f>
        <v>318.4</v>
      </c>
    </row>
    <row r="17">
      <c r="B17" s="3">
        <f>IFERROR(__xludf.DUMMYFUNCTION("""COMPUTED_VALUE"""),43210.64583333333)</f>
        <v>43210.64583</v>
      </c>
      <c r="C17" s="2">
        <f>IFERROR(__xludf.DUMMYFUNCTION("""COMPUTED_VALUE"""),327.8)</f>
        <v>327.8</v>
      </c>
    </row>
    <row r="18">
      <c r="B18" s="3">
        <f>IFERROR(__xludf.DUMMYFUNCTION("""COMPUTED_VALUE"""),43217.64583333333)</f>
        <v>43217.64583</v>
      </c>
      <c r="C18" s="2">
        <f>IFERROR(__xludf.DUMMYFUNCTION("""COMPUTED_VALUE"""),330.4)</f>
        <v>330.4</v>
      </c>
    </row>
    <row r="19">
      <c r="B19" s="3">
        <f>IFERROR(__xludf.DUMMYFUNCTION("""COMPUTED_VALUE"""),43224.64583333333)</f>
        <v>43224.64583</v>
      </c>
      <c r="C19" s="2">
        <f>IFERROR(__xludf.DUMMYFUNCTION("""COMPUTED_VALUE"""),331.2)</f>
        <v>331.2</v>
      </c>
    </row>
    <row r="20">
      <c r="B20" s="3">
        <f>IFERROR(__xludf.DUMMYFUNCTION("""COMPUTED_VALUE"""),43231.64583333333)</f>
        <v>43231.64583</v>
      </c>
      <c r="C20" s="2">
        <f>IFERROR(__xludf.DUMMYFUNCTION("""COMPUTED_VALUE"""),328.45)</f>
        <v>328.45</v>
      </c>
    </row>
    <row r="21" ht="15.75" customHeight="1">
      <c r="B21" s="3">
        <f>IFERROR(__xludf.DUMMYFUNCTION("""COMPUTED_VALUE"""),43238.64583333333)</f>
        <v>43238.64583</v>
      </c>
      <c r="C21" s="2">
        <f>IFERROR(__xludf.DUMMYFUNCTION("""COMPUTED_VALUE"""),342.75)</f>
        <v>342.75</v>
      </c>
    </row>
    <row r="22" ht="15.75" customHeight="1">
      <c r="B22" s="3">
        <f>IFERROR(__xludf.DUMMYFUNCTION("""COMPUTED_VALUE"""),43245.64583333333)</f>
        <v>43245.64583</v>
      </c>
      <c r="C22" s="2">
        <f>IFERROR(__xludf.DUMMYFUNCTION("""COMPUTED_VALUE"""),327.5)</f>
        <v>327.5</v>
      </c>
    </row>
    <row r="23" ht="15.75" customHeight="1">
      <c r="B23" s="3">
        <f>IFERROR(__xludf.DUMMYFUNCTION("""COMPUTED_VALUE"""),43252.64583333333)</f>
        <v>43252.64583</v>
      </c>
      <c r="C23" s="2">
        <f>IFERROR(__xludf.DUMMYFUNCTION("""COMPUTED_VALUE"""),337.6)</f>
        <v>337.6</v>
      </c>
    </row>
    <row r="24" ht="15.75" customHeight="1">
      <c r="B24" s="3">
        <f>IFERROR(__xludf.DUMMYFUNCTION("""COMPUTED_VALUE"""),43259.64583333333)</f>
        <v>43259.64583</v>
      </c>
      <c r="C24" s="2">
        <f>IFERROR(__xludf.DUMMYFUNCTION("""COMPUTED_VALUE"""),346.5)</f>
        <v>346.5</v>
      </c>
    </row>
    <row r="25" ht="15.75" customHeight="1">
      <c r="B25" s="3">
        <f>IFERROR(__xludf.DUMMYFUNCTION("""COMPUTED_VALUE"""),43266.64583333333)</f>
        <v>43266.64583</v>
      </c>
      <c r="C25" s="2">
        <f>IFERROR(__xludf.DUMMYFUNCTION("""COMPUTED_VALUE"""),345.9)</f>
        <v>345.9</v>
      </c>
    </row>
    <row r="26" ht="15.75" customHeight="1">
      <c r="B26" s="3">
        <f>IFERROR(__xludf.DUMMYFUNCTION("""COMPUTED_VALUE"""),43273.64583333333)</f>
        <v>43273.64583</v>
      </c>
      <c r="C26" s="2">
        <f>IFERROR(__xludf.DUMMYFUNCTION("""COMPUTED_VALUE"""),338.35)</f>
        <v>338.35</v>
      </c>
    </row>
    <row r="27" ht="15.75" customHeight="1">
      <c r="B27" s="3">
        <f>IFERROR(__xludf.DUMMYFUNCTION("""COMPUTED_VALUE"""),43280.64583333333)</f>
        <v>43280.64583</v>
      </c>
      <c r="C27" s="2">
        <f>IFERROR(__xludf.DUMMYFUNCTION("""COMPUTED_VALUE"""),338.45)</f>
        <v>338.45</v>
      </c>
    </row>
    <row r="28" ht="15.75" customHeight="1">
      <c r="B28" s="3">
        <f>IFERROR(__xludf.DUMMYFUNCTION("""COMPUTED_VALUE"""),43287.64583333333)</f>
        <v>43287.64583</v>
      </c>
      <c r="C28" s="2">
        <f>IFERROR(__xludf.DUMMYFUNCTION("""COMPUTED_VALUE"""),328.75)</f>
        <v>328.75</v>
      </c>
    </row>
    <row r="29" ht="15.75" customHeight="1">
      <c r="B29" s="3">
        <f>IFERROR(__xludf.DUMMYFUNCTION("""COMPUTED_VALUE"""),43294.64583333333)</f>
        <v>43294.64583</v>
      </c>
      <c r="C29" s="2">
        <f>IFERROR(__xludf.DUMMYFUNCTION("""COMPUTED_VALUE"""),320.7)</f>
        <v>320.7</v>
      </c>
    </row>
    <row r="30" ht="15.75" customHeight="1">
      <c r="B30" s="3">
        <f>IFERROR(__xludf.DUMMYFUNCTION("""COMPUTED_VALUE"""),43301.64583333333)</f>
        <v>43301.64583</v>
      </c>
      <c r="C30" s="2">
        <f>IFERROR(__xludf.DUMMYFUNCTION("""COMPUTED_VALUE"""),318.5)</f>
        <v>318.5</v>
      </c>
    </row>
    <row r="31" ht="15.75" customHeight="1">
      <c r="B31" s="3">
        <f>IFERROR(__xludf.DUMMYFUNCTION("""COMPUTED_VALUE"""),43308.64583333333)</f>
        <v>43308.64583</v>
      </c>
      <c r="C31" s="2">
        <f>IFERROR(__xludf.DUMMYFUNCTION("""COMPUTED_VALUE"""),327.4)</f>
        <v>327.4</v>
      </c>
    </row>
    <row r="32" ht="15.75" customHeight="1">
      <c r="B32" s="3">
        <f>IFERROR(__xludf.DUMMYFUNCTION("""COMPUTED_VALUE"""),43315.64583333333)</f>
        <v>43315.64583</v>
      </c>
      <c r="C32" s="2">
        <f>IFERROR(__xludf.DUMMYFUNCTION("""COMPUTED_VALUE"""),338.3)</f>
        <v>338.3</v>
      </c>
    </row>
    <row r="33" ht="15.75" customHeight="1">
      <c r="B33" s="3">
        <f>IFERROR(__xludf.DUMMYFUNCTION("""COMPUTED_VALUE"""),43322.64583333333)</f>
        <v>43322.64583</v>
      </c>
      <c r="C33" s="2">
        <f>IFERROR(__xludf.DUMMYFUNCTION("""COMPUTED_VALUE"""),345.5)</f>
        <v>345.5</v>
      </c>
    </row>
    <row r="34" ht="15.75" customHeight="1">
      <c r="B34" s="3">
        <f>IFERROR(__xludf.DUMMYFUNCTION("""COMPUTED_VALUE"""),43329.64583333333)</f>
        <v>43329.64583</v>
      </c>
      <c r="C34" s="2">
        <f>IFERROR(__xludf.DUMMYFUNCTION("""COMPUTED_VALUE"""),351.0)</f>
        <v>351</v>
      </c>
    </row>
    <row r="35" ht="15.75" customHeight="1">
      <c r="B35" s="3">
        <f>IFERROR(__xludf.DUMMYFUNCTION("""COMPUTED_VALUE"""),43336.64583333333)</f>
        <v>43336.64583</v>
      </c>
      <c r="C35" s="2">
        <f>IFERROR(__xludf.DUMMYFUNCTION("""COMPUTED_VALUE"""),356.5)</f>
        <v>356.5</v>
      </c>
    </row>
    <row r="36" ht="15.75" customHeight="1">
      <c r="B36" s="3">
        <f>IFERROR(__xludf.DUMMYFUNCTION("""COMPUTED_VALUE"""),43343.64583333333)</f>
        <v>43343.64583</v>
      </c>
      <c r="C36" s="2">
        <f>IFERROR(__xludf.DUMMYFUNCTION("""COMPUTED_VALUE"""),408.8)</f>
        <v>408.8</v>
      </c>
    </row>
    <row r="37" ht="15.75" customHeight="1">
      <c r="B37" s="3">
        <f>IFERROR(__xludf.DUMMYFUNCTION("""COMPUTED_VALUE"""),43350.64583333333)</f>
        <v>43350.64583</v>
      </c>
      <c r="C37" s="2">
        <f>IFERROR(__xludf.DUMMYFUNCTION("""COMPUTED_VALUE"""),409.9)</f>
        <v>409.9</v>
      </c>
    </row>
    <row r="38" ht="15.75" customHeight="1">
      <c r="B38" s="3">
        <f>IFERROR(__xludf.DUMMYFUNCTION("""COMPUTED_VALUE"""),43357.64583333333)</f>
        <v>43357.64583</v>
      </c>
      <c r="C38" s="2">
        <f>IFERROR(__xludf.DUMMYFUNCTION("""COMPUTED_VALUE"""),414.95)</f>
        <v>414.95</v>
      </c>
    </row>
    <row r="39" ht="15.75" customHeight="1">
      <c r="B39" s="3">
        <f>IFERROR(__xludf.DUMMYFUNCTION("""COMPUTED_VALUE"""),43364.64583333333)</f>
        <v>43364.64583</v>
      </c>
      <c r="C39" s="2">
        <f>IFERROR(__xludf.DUMMYFUNCTION("""COMPUTED_VALUE"""),427.55)</f>
        <v>427.55</v>
      </c>
    </row>
    <row r="40" ht="15.75" customHeight="1">
      <c r="B40" s="3">
        <f>IFERROR(__xludf.DUMMYFUNCTION("""COMPUTED_VALUE"""),43371.64583333333)</f>
        <v>43371.64583</v>
      </c>
      <c r="C40" s="2">
        <f>IFERROR(__xludf.DUMMYFUNCTION("""COMPUTED_VALUE"""),414.0)</f>
        <v>414</v>
      </c>
    </row>
    <row r="41" ht="15.75" customHeight="1">
      <c r="B41" s="3">
        <f>IFERROR(__xludf.DUMMYFUNCTION("""COMPUTED_VALUE"""),43378.64583333333)</f>
        <v>43378.64583</v>
      </c>
      <c r="C41" s="2">
        <f>IFERROR(__xludf.DUMMYFUNCTION("""COMPUTED_VALUE"""),387.5)</f>
        <v>387.5</v>
      </c>
    </row>
    <row r="42" ht="15.75" customHeight="1">
      <c r="B42" s="3">
        <f>IFERROR(__xludf.DUMMYFUNCTION("""COMPUTED_VALUE"""),43385.64583333333)</f>
        <v>43385.64583</v>
      </c>
      <c r="C42" s="2">
        <f>IFERROR(__xludf.DUMMYFUNCTION("""COMPUTED_VALUE"""),382.75)</f>
        <v>382.75</v>
      </c>
    </row>
    <row r="43" ht="15.75" customHeight="1">
      <c r="B43" s="3">
        <f>IFERROR(__xludf.DUMMYFUNCTION("""COMPUTED_VALUE"""),43392.64583333333)</f>
        <v>43392.64583</v>
      </c>
      <c r="C43" s="2">
        <f>IFERROR(__xludf.DUMMYFUNCTION("""COMPUTED_VALUE"""),385.2)</f>
        <v>385.2</v>
      </c>
    </row>
    <row r="44" ht="15.75" customHeight="1">
      <c r="B44" s="3">
        <f>IFERROR(__xludf.DUMMYFUNCTION("""COMPUTED_VALUE"""),43399.64583333333)</f>
        <v>43399.64583</v>
      </c>
      <c r="C44" s="2">
        <f>IFERROR(__xludf.DUMMYFUNCTION("""COMPUTED_VALUE"""),368.85)</f>
        <v>368.85</v>
      </c>
    </row>
    <row r="45" ht="15.75" customHeight="1">
      <c r="B45" s="3">
        <f>IFERROR(__xludf.DUMMYFUNCTION("""COMPUTED_VALUE"""),43406.64583333333)</f>
        <v>43406.64583</v>
      </c>
      <c r="C45" s="2">
        <f>IFERROR(__xludf.DUMMYFUNCTION("""COMPUTED_VALUE"""),357.0)</f>
        <v>357</v>
      </c>
    </row>
    <row r="46" ht="15.75" customHeight="1">
      <c r="B46" s="3">
        <f>IFERROR(__xludf.DUMMYFUNCTION("""COMPUTED_VALUE"""),43413.64583333333)</f>
        <v>43413.64583</v>
      </c>
      <c r="C46" s="2">
        <f>IFERROR(__xludf.DUMMYFUNCTION("""COMPUTED_VALUE"""),359.9)</f>
        <v>359.9</v>
      </c>
    </row>
    <row r="47" ht="15.75" customHeight="1">
      <c r="B47" s="3">
        <f>IFERROR(__xludf.DUMMYFUNCTION("""COMPUTED_VALUE"""),43420.64583333333)</f>
        <v>43420.64583</v>
      </c>
      <c r="C47" s="2">
        <f>IFERROR(__xludf.DUMMYFUNCTION("""COMPUTED_VALUE"""),354.35)</f>
        <v>354.35</v>
      </c>
    </row>
    <row r="48" ht="15.75" customHeight="1">
      <c r="B48" s="3">
        <f>IFERROR(__xludf.DUMMYFUNCTION("""COMPUTED_VALUE"""),43426.64583333333)</f>
        <v>43426.64583</v>
      </c>
      <c r="C48" s="2">
        <f>IFERROR(__xludf.DUMMYFUNCTION("""COMPUTED_VALUE"""),339.55)</f>
        <v>339.55</v>
      </c>
    </row>
    <row r="49" ht="15.75" customHeight="1">
      <c r="B49" s="3">
        <f>IFERROR(__xludf.DUMMYFUNCTION("""COMPUTED_VALUE"""),43434.64583333333)</f>
        <v>43434.64583</v>
      </c>
      <c r="C49" s="2">
        <f>IFERROR(__xludf.DUMMYFUNCTION("""COMPUTED_VALUE"""),323.5)</f>
        <v>323.5</v>
      </c>
    </row>
    <row r="50" ht="15.75" customHeight="1">
      <c r="B50" s="3">
        <f>IFERROR(__xludf.DUMMYFUNCTION("""COMPUTED_VALUE"""),43441.64583333333)</f>
        <v>43441.64583</v>
      </c>
      <c r="C50" s="2">
        <f>IFERROR(__xludf.DUMMYFUNCTION("""COMPUTED_VALUE"""),325.0)</f>
        <v>325</v>
      </c>
    </row>
    <row r="51" ht="15.75" customHeight="1">
      <c r="B51" s="3">
        <f>IFERROR(__xludf.DUMMYFUNCTION("""COMPUTED_VALUE"""),43448.64583333333)</f>
        <v>43448.64583</v>
      </c>
      <c r="C51" s="2">
        <f>IFERROR(__xludf.DUMMYFUNCTION("""COMPUTED_VALUE"""),307.5)</f>
        <v>307.5</v>
      </c>
    </row>
    <row r="52" ht="15.75" customHeight="1">
      <c r="B52" s="3">
        <f>IFERROR(__xludf.DUMMYFUNCTION("""COMPUTED_VALUE"""),43455.64583333333)</f>
        <v>43455.64583</v>
      </c>
      <c r="C52" s="2">
        <f>IFERROR(__xludf.DUMMYFUNCTION("""COMPUTED_VALUE"""),312.7)</f>
        <v>312.7</v>
      </c>
    </row>
    <row r="53" ht="15.75" customHeight="1">
      <c r="B53" s="3">
        <f>IFERROR(__xludf.DUMMYFUNCTION("""COMPUTED_VALUE"""),43462.64583333333)</f>
        <v>43462.64583</v>
      </c>
      <c r="C53" s="2">
        <f>IFERROR(__xludf.DUMMYFUNCTION("""COMPUTED_VALUE"""),308.5)</f>
        <v>308.5</v>
      </c>
    </row>
    <row r="54" ht="15.75" customHeight="1"/>
    <row r="55" ht="15.75" customHeight="1"/>
    <row r="56" ht="15.75" customHeight="1">
      <c r="B56" s="2" t="str">
        <f>IFERROR(__xludf.DUMMYFUNCTION("GOOGLEFINANCE(""NSE:JSWSTEEL"", ""high"",DATE(2019,1,1),DATE(2020,1,1),""weekly"")"),"Date")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IFERROR(__xludf.DUMMYFUNCTION("""COMPUTED_VALUE"""),43469.64583333333)</f>
        <v>43469.64583</v>
      </c>
      <c r="C57" s="2">
        <f>IFERROR(__xludf.DUMMYFUNCTION("""COMPUTED_VALUE"""),308.9)</f>
        <v>308.9</v>
      </c>
    </row>
    <row r="58" ht="15.75" customHeight="1">
      <c r="B58" s="3">
        <f>IFERROR(__xludf.DUMMYFUNCTION("""COMPUTED_VALUE"""),43476.64583333333)</f>
        <v>43476.64583</v>
      </c>
      <c r="C58" s="2">
        <f>IFERROR(__xludf.DUMMYFUNCTION("""COMPUTED_VALUE"""),296.8)</f>
        <v>296.8</v>
      </c>
    </row>
    <row r="59" ht="15.75" customHeight="1">
      <c r="B59" s="3">
        <f>IFERROR(__xludf.DUMMYFUNCTION("""COMPUTED_VALUE"""),43483.64583333333)</f>
        <v>43483.64583</v>
      </c>
      <c r="C59" s="2">
        <f>IFERROR(__xludf.DUMMYFUNCTION("""COMPUTED_VALUE"""),293.25)</f>
        <v>293.25</v>
      </c>
    </row>
    <row r="60" ht="15.75" customHeight="1">
      <c r="B60" s="3">
        <f>IFERROR(__xludf.DUMMYFUNCTION("""COMPUTED_VALUE"""),43490.64583333333)</f>
        <v>43490.64583</v>
      </c>
      <c r="C60" s="2">
        <f>IFERROR(__xludf.DUMMYFUNCTION("""COMPUTED_VALUE"""),288.95)</f>
        <v>288.95</v>
      </c>
    </row>
    <row r="61" ht="15.75" customHeight="1">
      <c r="B61" s="3">
        <f>IFERROR(__xludf.DUMMYFUNCTION("""COMPUTED_VALUE"""),43497.64583333333)</f>
        <v>43497.64583</v>
      </c>
      <c r="C61" s="2">
        <f>IFERROR(__xludf.DUMMYFUNCTION("""COMPUTED_VALUE"""),280.0)</f>
        <v>280</v>
      </c>
    </row>
    <row r="62" ht="15.75" customHeight="1">
      <c r="B62" s="3">
        <f>IFERROR(__xludf.DUMMYFUNCTION("""COMPUTED_VALUE"""),43504.64583333333)</f>
        <v>43504.64583</v>
      </c>
      <c r="C62" s="2">
        <f>IFERROR(__xludf.DUMMYFUNCTION("""COMPUTED_VALUE"""),282.9)</f>
        <v>282.9</v>
      </c>
    </row>
    <row r="63" ht="15.75" customHeight="1">
      <c r="B63" s="3">
        <f>IFERROR(__xludf.DUMMYFUNCTION("""COMPUTED_VALUE"""),43511.64583333333)</f>
        <v>43511.64583</v>
      </c>
      <c r="C63" s="2">
        <f>IFERROR(__xludf.DUMMYFUNCTION("""COMPUTED_VALUE"""),282.5)</f>
        <v>282.5</v>
      </c>
    </row>
    <row r="64" ht="15.75" customHeight="1">
      <c r="B64" s="3">
        <f>IFERROR(__xludf.DUMMYFUNCTION("""COMPUTED_VALUE"""),43518.64583333333)</f>
        <v>43518.64583</v>
      </c>
      <c r="C64" s="2">
        <f>IFERROR(__xludf.DUMMYFUNCTION("""COMPUTED_VALUE"""),286.8)</f>
        <v>286.8</v>
      </c>
    </row>
    <row r="65" ht="15.75" customHeight="1">
      <c r="B65" s="3">
        <f>IFERROR(__xludf.DUMMYFUNCTION("""COMPUTED_VALUE"""),43525.64583333333)</f>
        <v>43525.64583</v>
      </c>
      <c r="C65" s="2">
        <f>IFERROR(__xludf.DUMMYFUNCTION("""COMPUTED_VALUE"""),293.8)</f>
        <v>293.8</v>
      </c>
    </row>
    <row r="66" ht="15.75" customHeight="1">
      <c r="B66" s="3">
        <f>IFERROR(__xludf.DUMMYFUNCTION("""COMPUTED_VALUE"""),43532.64583333333)</f>
        <v>43532.64583</v>
      </c>
      <c r="C66" s="2">
        <f>IFERROR(__xludf.DUMMYFUNCTION("""COMPUTED_VALUE"""),294.0)</f>
        <v>294</v>
      </c>
    </row>
    <row r="67" ht="15.75" customHeight="1">
      <c r="B67" s="3">
        <f>IFERROR(__xludf.DUMMYFUNCTION("""COMPUTED_VALUE"""),43539.64583333333)</f>
        <v>43539.64583</v>
      </c>
      <c r="C67" s="2">
        <f>IFERROR(__xludf.DUMMYFUNCTION("""COMPUTED_VALUE"""),298.0)</f>
        <v>298</v>
      </c>
    </row>
    <row r="68" ht="15.75" customHeight="1">
      <c r="B68" s="3">
        <f>IFERROR(__xludf.DUMMYFUNCTION("""COMPUTED_VALUE"""),43546.64583333333)</f>
        <v>43546.64583</v>
      </c>
      <c r="C68" s="2">
        <f>IFERROR(__xludf.DUMMYFUNCTION("""COMPUTED_VALUE"""),296.75)</f>
        <v>296.75</v>
      </c>
    </row>
    <row r="69" ht="15.75" customHeight="1">
      <c r="B69" s="3">
        <f>IFERROR(__xludf.DUMMYFUNCTION("""COMPUTED_VALUE"""),43553.64583333333)</f>
        <v>43553.64583</v>
      </c>
      <c r="C69" s="2">
        <f>IFERROR(__xludf.DUMMYFUNCTION("""COMPUTED_VALUE"""),297.95)</f>
        <v>297.95</v>
      </c>
    </row>
    <row r="70" ht="15.75" customHeight="1">
      <c r="B70" s="3">
        <f>IFERROR(__xludf.DUMMYFUNCTION("""COMPUTED_VALUE"""),43560.64583333333)</f>
        <v>43560.64583</v>
      </c>
      <c r="C70" s="2">
        <f>IFERROR(__xludf.DUMMYFUNCTION("""COMPUTED_VALUE"""),300.0)</f>
        <v>300</v>
      </c>
    </row>
    <row r="71" ht="15.75" customHeight="1">
      <c r="B71" s="3">
        <f>IFERROR(__xludf.DUMMYFUNCTION("""COMPUTED_VALUE"""),43567.64583333333)</f>
        <v>43567.64583</v>
      </c>
      <c r="C71" s="2">
        <f>IFERROR(__xludf.DUMMYFUNCTION("""COMPUTED_VALUE"""),298.65)</f>
        <v>298.65</v>
      </c>
    </row>
    <row r="72" ht="15.75" customHeight="1">
      <c r="B72" s="3">
        <f>IFERROR(__xludf.DUMMYFUNCTION("""COMPUTED_VALUE"""),43573.64583333333)</f>
        <v>43573.64583</v>
      </c>
      <c r="C72" s="2">
        <f>IFERROR(__xludf.DUMMYFUNCTION("""COMPUTED_VALUE"""),301.3)</f>
        <v>301.3</v>
      </c>
    </row>
    <row r="73" ht="15.75" customHeight="1">
      <c r="B73" s="3">
        <f>IFERROR(__xludf.DUMMYFUNCTION("""COMPUTED_VALUE"""),43581.64583333333)</f>
        <v>43581.64583</v>
      </c>
      <c r="C73" s="2">
        <f>IFERROR(__xludf.DUMMYFUNCTION("""COMPUTED_VALUE"""),302.45)</f>
        <v>302.45</v>
      </c>
    </row>
    <row r="74" ht="15.75" customHeight="1">
      <c r="B74" s="3">
        <f>IFERROR(__xludf.DUMMYFUNCTION("""COMPUTED_VALUE"""),43588.64583333333)</f>
        <v>43588.64583</v>
      </c>
      <c r="C74" s="2">
        <f>IFERROR(__xludf.DUMMYFUNCTION("""COMPUTED_VALUE"""),314.0)</f>
        <v>314</v>
      </c>
    </row>
    <row r="75" ht="15.75" customHeight="1">
      <c r="B75" s="3">
        <f>IFERROR(__xludf.DUMMYFUNCTION("""COMPUTED_VALUE"""),43595.64583333333)</f>
        <v>43595.64583</v>
      </c>
      <c r="C75" s="2">
        <f>IFERROR(__xludf.DUMMYFUNCTION("""COMPUTED_VALUE"""),302.4)</f>
        <v>302.4</v>
      </c>
    </row>
    <row r="76" ht="15.75" customHeight="1">
      <c r="B76" s="3">
        <f>IFERROR(__xludf.DUMMYFUNCTION("""COMPUTED_VALUE"""),43602.64583333333)</f>
        <v>43602.64583</v>
      </c>
      <c r="C76" s="2">
        <f>IFERROR(__xludf.DUMMYFUNCTION("""COMPUTED_VALUE"""),286.9)</f>
        <v>286.9</v>
      </c>
    </row>
    <row r="77" ht="15.75" customHeight="1">
      <c r="B77" s="3">
        <f>IFERROR(__xludf.DUMMYFUNCTION("""COMPUTED_VALUE"""),43609.64583333333)</f>
        <v>43609.64583</v>
      </c>
      <c r="C77" s="2">
        <f>IFERROR(__xludf.DUMMYFUNCTION("""COMPUTED_VALUE"""),293.65)</f>
        <v>293.65</v>
      </c>
    </row>
    <row r="78" ht="15.75" customHeight="1">
      <c r="B78" s="3">
        <f>IFERROR(__xludf.DUMMYFUNCTION("""COMPUTED_VALUE"""),43616.64583333333)</f>
        <v>43616.64583</v>
      </c>
      <c r="C78" s="2">
        <f>IFERROR(__xludf.DUMMYFUNCTION("""COMPUTED_VALUE"""),297.5)</f>
        <v>297.5</v>
      </c>
    </row>
    <row r="79" ht="15.75" customHeight="1">
      <c r="B79" s="3">
        <f>IFERROR(__xludf.DUMMYFUNCTION("""COMPUTED_VALUE"""),43623.64583333333)</f>
        <v>43623.64583</v>
      </c>
      <c r="C79" s="2">
        <f>IFERROR(__xludf.DUMMYFUNCTION("""COMPUTED_VALUE"""),276.1)</f>
        <v>276.1</v>
      </c>
    </row>
    <row r="80" ht="15.75" customHeight="1">
      <c r="B80" s="3">
        <f>IFERROR(__xludf.DUMMYFUNCTION("""COMPUTED_VALUE"""),43630.64583333333)</f>
        <v>43630.64583</v>
      </c>
      <c r="C80" s="2">
        <f>IFERROR(__xludf.DUMMYFUNCTION("""COMPUTED_VALUE"""),277.3)</f>
        <v>277.3</v>
      </c>
    </row>
    <row r="81" ht="15.75" customHeight="1">
      <c r="B81" s="3">
        <f>IFERROR(__xludf.DUMMYFUNCTION("""COMPUTED_VALUE"""),43637.64583333333)</f>
        <v>43637.64583</v>
      </c>
      <c r="C81" s="2">
        <f>IFERROR(__xludf.DUMMYFUNCTION("""COMPUTED_VALUE"""),271.0)</f>
        <v>271</v>
      </c>
    </row>
    <row r="82" ht="15.75" customHeight="1">
      <c r="B82" s="3">
        <f>IFERROR(__xludf.DUMMYFUNCTION("""COMPUTED_VALUE"""),43644.64583333333)</f>
        <v>43644.64583</v>
      </c>
      <c r="C82" s="2">
        <f>IFERROR(__xludf.DUMMYFUNCTION("""COMPUTED_VALUE"""),280.8)</f>
        <v>280.8</v>
      </c>
    </row>
    <row r="83" ht="15.75" customHeight="1">
      <c r="B83" s="3">
        <f>IFERROR(__xludf.DUMMYFUNCTION("""COMPUTED_VALUE"""),43651.64583333333)</f>
        <v>43651.64583</v>
      </c>
      <c r="C83" s="2">
        <f>IFERROR(__xludf.DUMMYFUNCTION("""COMPUTED_VALUE"""),281.8)</f>
        <v>281.8</v>
      </c>
    </row>
    <row r="84" ht="15.75" customHeight="1">
      <c r="B84" s="3">
        <f>IFERROR(__xludf.DUMMYFUNCTION("""COMPUTED_VALUE"""),43658.64583333333)</f>
        <v>43658.64583</v>
      </c>
      <c r="C84" s="2">
        <f>IFERROR(__xludf.DUMMYFUNCTION("""COMPUTED_VALUE"""),270.85)</f>
        <v>270.85</v>
      </c>
    </row>
    <row r="85" ht="15.75" customHeight="1">
      <c r="B85" s="3">
        <f>IFERROR(__xludf.DUMMYFUNCTION("""COMPUTED_VALUE"""),43665.64583333333)</f>
        <v>43665.64583</v>
      </c>
      <c r="C85" s="2">
        <f>IFERROR(__xludf.DUMMYFUNCTION("""COMPUTED_VALUE"""),275.0)</f>
        <v>275</v>
      </c>
    </row>
    <row r="86" ht="15.75" customHeight="1">
      <c r="B86" s="3">
        <f>IFERROR(__xludf.DUMMYFUNCTION("""COMPUTED_VALUE"""),43672.64583333333)</f>
        <v>43672.64583</v>
      </c>
      <c r="C86" s="2">
        <f>IFERROR(__xludf.DUMMYFUNCTION("""COMPUTED_VALUE"""),266.0)</f>
        <v>266</v>
      </c>
    </row>
    <row r="87" ht="15.75" customHeight="1">
      <c r="B87" s="3">
        <f>IFERROR(__xludf.DUMMYFUNCTION("""COMPUTED_VALUE"""),43679.64583333333)</f>
        <v>43679.64583</v>
      </c>
      <c r="C87" s="2">
        <f>IFERROR(__xludf.DUMMYFUNCTION("""COMPUTED_VALUE"""),248.0)</f>
        <v>248</v>
      </c>
    </row>
    <row r="88" ht="15.75" customHeight="1">
      <c r="B88" s="3">
        <f>IFERROR(__xludf.DUMMYFUNCTION("""COMPUTED_VALUE"""),43686.64583333333)</f>
        <v>43686.64583</v>
      </c>
      <c r="C88" s="2">
        <f>IFERROR(__xludf.DUMMYFUNCTION("""COMPUTED_VALUE"""),228.45)</f>
        <v>228.45</v>
      </c>
    </row>
    <row r="89" ht="15.75" customHeight="1">
      <c r="B89" s="3">
        <f>IFERROR(__xludf.DUMMYFUNCTION("""COMPUTED_VALUE"""),43693.64583333333)</f>
        <v>43693.64583</v>
      </c>
      <c r="C89" s="2">
        <f>IFERROR(__xludf.DUMMYFUNCTION("""COMPUTED_VALUE"""),229.9)</f>
        <v>229.9</v>
      </c>
    </row>
    <row r="90" ht="15.75" customHeight="1">
      <c r="B90" s="3">
        <f>IFERROR(__xludf.DUMMYFUNCTION("""COMPUTED_VALUE"""),43700.64583333333)</f>
        <v>43700.64583</v>
      </c>
      <c r="C90" s="2">
        <f>IFERROR(__xludf.DUMMYFUNCTION("""COMPUTED_VALUE"""),230.85)</f>
        <v>230.85</v>
      </c>
    </row>
    <row r="91" ht="15.75" customHeight="1">
      <c r="B91" s="3">
        <f>IFERROR(__xludf.DUMMYFUNCTION("""COMPUTED_VALUE"""),43707.64583333333)</f>
        <v>43707.64583</v>
      </c>
      <c r="C91" s="2">
        <f>IFERROR(__xludf.DUMMYFUNCTION("""COMPUTED_VALUE"""),225.0)</f>
        <v>225</v>
      </c>
    </row>
    <row r="92" ht="15.75" customHeight="1">
      <c r="B92" s="3">
        <f>IFERROR(__xludf.DUMMYFUNCTION("""COMPUTED_VALUE"""),43714.64583333333)</f>
        <v>43714.64583</v>
      </c>
      <c r="C92" s="2">
        <f>IFERROR(__xludf.DUMMYFUNCTION("""COMPUTED_VALUE"""),222.3)</f>
        <v>222.3</v>
      </c>
    </row>
    <row r="93" ht="15.75" customHeight="1">
      <c r="B93" s="3">
        <f>IFERROR(__xludf.DUMMYFUNCTION("""COMPUTED_VALUE"""),43721.64583333333)</f>
        <v>43721.64583</v>
      </c>
      <c r="C93" s="2">
        <f>IFERROR(__xludf.DUMMYFUNCTION("""COMPUTED_VALUE"""),232.25)</f>
        <v>232.25</v>
      </c>
    </row>
    <row r="94" ht="15.75" customHeight="1">
      <c r="B94" s="3">
        <f>IFERROR(__xludf.DUMMYFUNCTION("""COMPUTED_VALUE"""),43728.64583333333)</f>
        <v>43728.64583</v>
      </c>
      <c r="C94" s="2">
        <f>IFERROR(__xludf.DUMMYFUNCTION("""COMPUTED_VALUE"""),240.2)</f>
        <v>240.2</v>
      </c>
    </row>
    <row r="95" ht="15.75" customHeight="1">
      <c r="B95" s="3">
        <f>IFERROR(__xludf.DUMMYFUNCTION("""COMPUTED_VALUE"""),43735.64583333333)</f>
        <v>43735.64583</v>
      </c>
      <c r="C95" s="2">
        <f>IFERROR(__xludf.DUMMYFUNCTION("""COMPUTED_VALUE"""),252.95)</f>
        <v>252.95</v>
      </c>
    </row>
    <row r="96" ht="15.75" customHeight="1">
      <c r="B96" s="3">
        <f>IFERROR(__xludf.DUMMYFUNCTION("""COMPUTED_VALUE"""),43742.64583333333)</f>
        <v>43742.64583</v>
      </c>
      <c r="C96" s="2">
        <f>IFERROR(__xludf.DUMMYFUNCTION("""COMPUTED_VALUE"""),231.75)</f>
        <v>231.75</v>
      </c>
    </row>
    <row r="97" ht="15.75" customHeight="1">
      <c r="B97" s="3">
        <f>IFERROR(__xludf.DUMMYFUNCTION("""COMPUTED_VALUE"""),43749.64583333333)</f>
        <v>43749.64583</v>
      </c>
      <c r="C97" s="2">
        <f>IFERROR(__xludf.DUMMYFUNCTION("""COMPUTED_VALUE"""),220.9)</f>
        <v>220.9</v>
      </c>
    </row>
    <row r="98" ht="15.75" customHeight="1">
      <c r="B98" s="3">
        <f>IFERROR(__xludf.DUMMYFUNCTION("""COMPUTED_VALUE"""),43756.64583333333)</f>
        <v>43756.64583</v>
      </c>
      <c r="C98" s="2">
        <f>IFERROR(__xludf.DUMMYFUNCTION("""COMPUTED_VALUE"""),226.9)</f>
        <v>226.9</v>
      </c>
    </row>
    <row r="99" ht="15.75" customHeight="1">
      <c r="B99" s="3">
        <f>IFERROR(__xludf.DUMMYFUNCTION("""COMPUTED_VALUE"""),43763.79166666667)</f>
        <v>43763.79167</v>
      </c>
      <c r="C99" s="2">
        <f>IFERROR(__xludf.DUMMYFUNCTION("""COMPUTED_VALUE"""),225.9)</f>
        <v>225.9</v>
      </c>
    </row>
    <row r="100" ht="15.75" customHeight="1">
      <c r="B100" s="3">
        <f>IFERROR(__xludf.DUMMYFUNCTION("""COMPUTED_VALUE"""),43770.64583333333)</f>
        <v>43770.64583</v>
      </c>
      <c r="C100" s="2">
        <f>IFERROR(__xludf.DUMMYFUNCTION("""COMPUTED_VALUE"""),239.5)</f>
        <v>239.5</v>
      </c>
    </row>
    <row r="101" ht="15.75" customHeight="1">
      <c r="B101" s="3">
        <f>IFERROR(__xludf.DUMMYFUNCTION("""COMPUTED_VALUE"""),43777.64583333333)</f>
        <v>43777.64583</v>
      </c>
      <c r="C101" s="2">
        <f>IFERROR(__xludf.DUMMYFUNCTION("""COMPUTED_VALUE"""),256.5)</f>
        <v>256.5</v>
      </c>
    </row>
    <row r="102" ht="15.75" customHeight="1">
      <c r="B102" s="3">
        <f>IFERROR(__xludf.DUMMYFUNCTION("""COMPUTED_VALUE"""),43784.64583333333)</f>
        <v>43784.64583</v>
      </c>
      <c r="C102" s="2">
        <f>IFERROR(__xludf.DUMMYFUNCTION("""COMPUTED_VALUE"""),254.7)</f>
        <v>254.7</v>
      </c>
    </row>
    <row r="103" ht="15.75" customHeight="1">
      <c r="B103" s="3">
        <f>IFERROR(__xludf.DUMMYFUNCTION("""COMPUTED_VALUE"""),43791.64583333333)</f>
        <v>43791.64583</v>
      </c>
      <c r="C103" s="2">
        <f>IFERROR(__xludf.DUMMYFUNCTION("""COMPUTED_VALUE"""),253.0)</f>
        <v>253</v>
      </c>
    </row>
    <row r="104" ht="15.75" customHeight="1">
      <c r="B104" s="3">
        <f>IFERROR(__xludf.DUMMYFUNCTION("""COMPUTED_VALUE"""),43798.64583333333)</f>
        <v>43798.64583</v>
      </c>
      <c r="C104" s="2">
        <f>IFERROR(__xludf.DUMMYFUNCTION("""COMPUTED_VALUE"""),269.5)</f>
        <v>269.5</v>
      </c>
    </row>
    <row r="105" ht="15.75" customHeight="1">
      <c r="B105" s="3">
        <f>IFERROR(__xludf.DUMMYFUNCTION("""COMPUTED_VALUE"""),43805.64583333333)</f>
        <v>43805.64583</v>
      </c>
      <c r="C105" s="2">
        <f>IFERROR(__xludf.DUMMYFUNCTION("""COMPUTED_VALUE"""),269.45)</f>
        <v>269.45</v>
      </c>
    </row>
    <row r="106" ht="15.75" customHeight="1">
      <c r="B106" s="3">
        <f>IFERROR(__xludf.DUMMYFUNCTION("""COMPUTED_VALUE"""),43812.64583333333)</f>
        <v>43812.64583</v>
      </c>
      <c r="C106" s="2">
        <f>IFERROR(__xludf.DUMMYFUNCTION("""COMPUTED_VALUE"""),264.4)</f>
        <v>264.4</v>
      </c>
    </row>
    <row r="107" ht="15.75" customHeight="1">
      <c r="B107" s="3">
        <f>IFERROR(__xludf.DUMMYFUNCTION("""COMPUTED_VALUE"""),43819.64583333333)</f>
        <v>43819.64583</v>
      </c>
      <c r="C107" s="2">
        <f>IFERROR(__xludf.DUMMYFUNCTION("""COMPUTED_VALUE"""),267.2)</f>
        <v>267.2</v>
      </c>
    </row>
    <row r="108" ht="15.75" customHeight="1">
      <c r="B108" s="3">
        <f>IFERROR(__xludf.DUMMYFUNCTION("""COMPUTED_VALUE"""),43826.64583333333)</f>
        <v>43826.64583</v>
      </c>
      <c r="C108" s="2">
        <f>IFERROR(__xludf.DUMMYFUNCTION("""COMPUTED_VALUE"""),272.0)</f>
        <v>272</v>
      </c>
    </row>
    <row r="109" ht="15.75" customHeight="1"/>
    <row r="110" ht="15.75" customHeight="1"/>
    <row r="111" ht="15.75" customHeight="1">
      <c r="B111" s="2" t="str">
        <f>IFERROR(__xludf.DUMMYFUNCTION("GOOGLEFINANCE(""NSE:JSWSTEEL"", ""high"",DATE(2020,1,1),DATE(2021,1,1),""weekly"")"),"Date")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IFERROR(__xludf.DUMMYFUNCTION("""COMPUTED_VALUE"""),43833.64583333333)</f>
        <v>43833.64583</v>
      </c>
      <c r="C112" s="2">
        <f>IFERROR(__xludf.DUMMYFUNCTION("""COMPUTED_VALUE"""),277.0)</f>
        <v>277</v>
      </c>
    </row>
    <row r="113" ht="15.75" customHeight="1">
      <c r="B113" s="3">
        <f>IFERROR(__xludf.DUMMYFUNCTION("""COMPUTED_VALUE"""),43840.64583333333)</f>
        <v>43840.64583</v>
      </c>
      <c r="C113" s="2">
        <f>IFERROR(__xludf.DUMMYFUNCTION("""COMPUTED_VALUE"""),280.0)</f>
        <v>280</v>
      </c>
    </row>
    <row r="114" ht="15.75" customHeight="1">
      <c r="B114" s="3">
        <f>IFERROR(__xludf.DUMMYFUNCTION("""COMPUTED_VALUE"""),43847.64583333333)</f>
        <v>43847.64583</v>
      </c>
      <c r="C114" s="2">
        <f>IFERROR(__xludf.DUMMYFUNCTION("""COMPUTED_VALUE"""),284.0)</f>
        <v>284</v>
      </c>
    </row>
    <row r="115" ht="15.75" customHeight="1">
      <c r="B115" s="3">
        <f>IFERROR(__xludf.DUMMYFUNCTION("""COMPUTED_VALUE"""),43854.64583333333)</f>
        <v>43854.64583</v>
      </c>
      <c r="C115" s="2">
        <f>IFERROR(__xludf.DUMMYFUNCTION("""COMPUTED_VALUE"""),275.0)</f>
        <v>275</v>
      </c>
    </row>
    <row r="116" ht="15.75" customHeight="1">
      <c r="B116" s="3">
        <f>IFERROR(__xludf.DUMMYFUNCTION("""COMPUTED_VALUE"""),43862.70833333333)</f>
        <v>43862.70833</v>
      </c>
      <c r="C116" s="2">
        <f>IFERROR(__xludf.DUMMYFUNCTION("""COMPUTED_VALUE"""),265.9)</f>
        <v>265.9</v>
      </c>
    </row>
    <row r="117" ht="15.75" customHeight="1">
      <c r="B117" s="3">
        <f>IFERROR(__xludf.DUMMYFUNCTION("""COMPUTED_VALUE"""),43868.64583333333)</f>
        <v>43868.64583</v>
      </c>
      <c r="C117" s="2">
        <f>IFERROR(__xludf.DUMMYFUNCTION("""COMPUTED_VALUE"""),280.0)</f>
        <v>280</v>
      </c>
    </row>
    <row r="118" ht="15.75" customHeight="1">
      <c r="B118" s="3">
        <f>IFERROR(__xludf.DUMMYFUNCTION("""COMPUTED_VALUE"""),43875.64583333333)</f>
        <v>43875.64583</v>
      </c>
      <c r="C118" s="2">
        <f>IFERROR(__xludf.DUMMYFUNCTION("""COMPUTED_VALUE"""),296.75)</f>
        <v>296.75</v>
      </c>
    </row>
    <row r="119" ht="15.75" customHeight="1">
      <c r="B119" s="3">
        <f>IFERROR(__xludf.DUMMYFUNCTION("""COMPUTED_VALUE"""),43881.64583333333)</f>
        <v>43881.64583</v>
      </c>
      <c r="C119" s="2">
        <f>IFERROR(__xludf.DUMMYFUNCTION("""COMPUTED_VALUE"""),290.9)</f>
        <v>290.9</v>
      </c>
    </row>
    <row r="120" ht="15.75" customHeight="1">
      <c r="B120" s="3">
        <f>IFERROR(__xludf.DUMMYFUNCTION("""COMPUTED_VALUE"""),43889.64583333333)</f>
        <v>43889.64583</v>
      </c>
      <c r="C120" s="2">
        <f>IFERROR(__xludf.DUMMYFUNCTION("""COMPUTED_VALUE"""),277.95)</f>
        <v>277.95</v>
      </c>
    </row>
    <row r="121" ht="15.75" customHeight="1">
      <c r="B121" s="3">
        <f>IFERROR(__xludf.DUMMYFUNCTION("""COMPUTED_VALUE"""),43896.64583333333)</f>
        <v>43896.64583</v>
      </c>
      <c r="C121" s="2">
        <f>IFERROR(__xludf.DUMMYFUNCTION("""COMPUTED_VALUE"""),252.75)</f>
        <v>252.75</v>
      </c>
    </row>
    <row r="122" ht="15.75" customHeight="1">
      <c r="B122" s="3">
        <f>IFERROR(__xludf.DUMMYFUNCTION("""COMPUTED_VALUE"""),43903.64583333333)</f>
        <v>43903.64583</v>
      </c>
      <c r="C122" s="2">
        <f>IFERROR(__xludf.DUMMYFUNCTION("""COMPUTED_VALUE"""),231.65)</f>
        <v>231.65</v>
      </c>
    </row>
    <row r="123" ht="15.75" customHeight="1">
      <c r="B123" s="3">
        <f>IFERROR(__xludf.DUMMYFUNCTION("""COMPUTED_VALUE"""),43910.64583333333)</f>
        <v>43910.64583</v>
      </c>
      <c r="C123" s="2">
        <f>IFERROR(__xludf.DUMMYFUNCTION("""COMPUTED_VALUE"""),207.15)</f>
        <v>207.15</v>
      </c>
    </row>
    <row r="124" ht="15.75" customHeight="1">
      <c r="B124" s="3">
        <f>IFERROR(__xludf.DUMMYFUNCTION("""COMPUTED_VALUE"""),43917.64583333333)</f>
        <v>43917.64583</v>
      </c>
      <c r="C124" s="2">
        <f>IFERROR(__xludf.DUMMYFUNCTION("""COMPUTED_VALUE"""),164.25)</f>
        <v>164.25</v>
      </c>
    </row>
    <row r="125" ht="15.75" customHeight="1">
      <c r="B125" s="3">
        <f>IFERROR(__xludf.DUMMYFUNCTION("""COMPUTED_VALUE"""),43924.64583333333)</f>
        <v>43924.64583</v>
      </c>
      <c r="C125" s="2">
        <f>IFERROR(__xludf.DUMMYFUNCTION("""COMPUTED_VALUE"""),152.4)</f>
        <v>152.4</v>
      </c>
    </row>
    <row r="126" ht="15.75" customHeight="1">
      <c r="B126" s="3">
        <f>IFERROR(__xludf.DUMMYFUNCTION("""COMPUTED_VALUE"""),43930.64583333333)</f>
        <v>43930.64583</v>
      </c>
      <c r="C126" s="2">
        <f>IFERROR(__xludf.DUMMYFUNCTION("""COMPUTED_VALUE"""),170.75)</f>
        <v>170.75</v>
      </c>
    </row>
    <row r="127" ht="15.75" customHeight="1">
      <c r="B127" s="3">
        <f>IFERROR(__xludf.DUMMYFUNCTION("""COMPUTED_VALUE"""),43938.64583333333)</f>
        <v>43938.64583</v>
      </c>
      <c r="C127" s="2">
        <f>IFERROR(__xludf.DUMMYFUNCTION("""COMPUTED_VALUE"""),179.85)</f>
        <v>179.85</v>
      </c>
    </row>
    <row r="128" ht="15.75" customHeight="1">
      <c r="B128" s="3">
        <f>IFERROR(__xludf.DUMMYFUNCTION("""COMPUTED_VALUE"""),43945.64583333333)</f>
        <v>43945.64583</v>
      </c>
      <c r="C128" s="2">
        <f>IFERROR(__xludf.DUMMYFUNCTION("""COMPUTED_VALUE"""),183.0)</f>
        <v>183</v>
      </c>
    </row>
    <row r="129" ht="15.75" customHeight="1">
      <c r="B129" s="3">
        <f>IFERROR(__xludf.DUMMYFUNCTION("""COMPUTED_VALUE"""),43951.64583333333)</f>
        <v>43951.64583</v>
      </c>
      <c r="C129" s="2">
        <f>IFERROR(__xludf.DUMMYFUNCTION("""COMPUTED_VALUE"""),188.7)</f>
        <v>188.7</v>
      </c>
    </row>
    <row r="130" ht="15.75" customHeight="1">
      <c r="B130" s="3">
        <f>IFERROR(__xludf.DUMMYFUNCTION("""COMPUTED_VALUE"""),43959.64583333333)</f>
        <v>43959.64583</v>
      </c>
      <c r="C130" s="2">
        <f>IFERROR(__xludf.DUMMYFUNCTION("""COMPUTED_VALUE"""),176.6)</f>
        <v>176.6</v>
      </c>
    </row>
    <row r="131" ht="15.75" customHeight="1">
      <c r="B131" s="3">
        <f>IFERROR(__xludf.DUMMYFUNCTION("""COMPUTED_VALUE"""),43966.64583333333)</f>
        <v>43966.64583</v>
      </c>
      <c r="C131" s="2">
        <f>IFERROR(__xludf.DUMMYFUNCTION("""COMPUTED_VALUE"""),189.0)</f>
        <v>189</v>
      </c>
    </row>
    <row r="132" ht="15.75" customHeight="1">
      <c r="B132" s="3">
        <f>IFERROR(__xludf.DUMMYFUNCTION("""COMPUTED_VALUE"""),43973.64583333333)</f>
        <v>43973.64583</v>
      </c>
      <c r="C132" s="2">
        <f>IFERROR(__xludf.DUMMYFUNCTION("""COMPUTED_VALUE"""),176.2)</f>
        <v>176.2</v>
      </c>
    </row>
    <row r="133" ht="15.75" customHeight="1">
      <c r="B133" s="3">
        <f>IFERROR(__xludf.DUMMYFUNCTION("""COMPUTED_VALUE"""),43980.64583333333)</f>
        <v>43980.64583</v>
      </c>
      <c r="C133" s="2">
        <f>IFERROR(__xludf.DUMMYFUNCTION("""COMPUTED_VALUE"""),189.0)</f>
        <v>189</v>
      </c>
    </row>
    <row r="134" ht="15.75" customHeight="1">
      <c r="B134" s="3">
        <f>IFERROR(__xludf.DUMMYFUNCTION("""COMPUTED_VALUE"""),43987.64583333333)</f>
        <v>43987.64583</v>
      </c>
      <c r="C134" s="2">
        <f>IFERROR(__xludf.DUMMYFUNCTION("""COMPUTED_VALUE"""),202.4)</f>
        <v>202.4</v>
      </c>
    </row>
    <row r="135" ht="15.75" customHeight="1">
      <c r="B135" s="3">
        <f>IFERROR(__xludf.DUMMYFUNCTION("""COMPUTED_VALUE"""),43994.64583333333)</f>
        <v>43994.64583</v>
      </c>
      <c r="C135" s="2">
        <f>IFERROR(__xludf.DUMMYFUNCTION("""COMPUTED_VALUE"""),202.0)</f>
        <v>202</v>
      </c>
    </row>
    <row r="136" ht="15.75" customHeight="1">
      <c r="B136" s="3">
        <f>IFERROR(__xludf.DUMMYFUNCTION("""COMPUTED_VALUE"""),44001.64583333333)</f>
        <v>44001.64583</v>
      </c>
      <c r="C136" s="2">
        <f>IFERROR(__xludf.DUMMYFUNCTION("""COMPUTED_VALUE"""),197.35)</f>
        <v>197.35</v>
      </c>
    </row>
    <row r="137" ht="15.75" customHeight="1">
      <c r="B137" s="3">
        <f>IFERROR(__xludf.DUMMYFUNCTION("""COMPUTED_VALUE"""),44008.64583333333)</f>
        <v>44008.64583</v>
      </c>
      <c r="C137" s="2">
        <f>IFERROR(__xludf.DUMMYFUNCTION("""COMPUTED_VALUE"""),207.75)</f>
        <v>207.75</v>
      </c>
    </row>
    <row r="138" ht="15.75" customHeight="1">
      <c r="B138" s="3">
        <f>IFERROR(__xludf.DUMMYFUNCTION("""COMPUTED_VALUE"""),44015.64583333333)</f>
        <v>44015.64583</v>
      </c>
      <c r="C138" s="2">
        <f>IFERROR(__xludf.DUMMYFUNCTION("""COMPUTED_VALUE"""),196.5)</f>
        <v>196.5</v>
      </c>
    </row>
    <row r="139" ht="15.75" customHeight="1">
      <c r="B139" s="3">
        <f>IFERROR(__xludf.DUMMYFUNCTION("""COMPUTED_VALUE"""),44022.64583333333)</f>
        <v>44022.64583</v>
      </c>
      <c r="C139" s="2">
        <f>IFERROR(__xludf.DUMMYFUNCTION("""COMPUTED_VALUE"""),202.75)</f>
        <v>202.75</v>
      </c>
    </row>
    <row r="140" ht="15.75" customHeight="1">
      <c r="B140" s="3">
        <f>IFERROR(__xludf.DUMMYFUNCTION("""COMPUTED_VALUE"""),44029.64583333333)</f>
        <v>44029.64583</v>
      </c>
      <c r="C140" s="2">
        <f>IFERROR(__xludf.DUMMYFUNCTION("""COMPUTED_VALUE"""),211.8)</f>
        <v>211.8</v>
      </c>
    </row>
    <row r="141" ht="15.75" customHeight="1">
      <c r="B141" s="3">
        <f>IFERROR(__xludf.DUMMYFUNCTION("""COMPUTED_VALUE"""),44036.64583333333)</f>
        <v>44036.64583</v>
      </c>
      <c r="C141" s="2">
        <f>IFERROR(__xludf.DUMMYFUNCTION("""COMPUTED_VALUE"""),214.0)</f>
        <v>214</v>
      </c>
    </row>
    <row r="142" ht="15.75" customHeight="1">
      <c r="B142" s="3">
        <f>IFERROR(__xludf.DUMMYFUNCTION("""COMPUTED_VALUE"""),44043.64583333333)</f>
        <v>44043.64583</v>
      </c>
      <c r="C142" s="2">
        <f>IFERROR(__xludf.DUMMYFUNCTION("""COMPUTED_VALUE"""),221.95)</f>
        <v>221.95</v>
      </c>
    </row>
    <row r="143" ht="15.75" customHeight="1">
      <c r="B143" s="3">
        <f>IFERROR(__xludf.DUMMYFUNCTION("""COMPUTED_VALUE"""),44050.64583333333)</f>
        <v>44050.64583</v>
      </c>
      <c r="C143" s="2">
        <f>IFERROR(__xludf.DUMMYFUNCTION("""COMPUTED_VALUE"""),241.0)</f>
        <v>241</v>
      </c>
    </row>
    <row r="144" ht="15.75" customHeight="1">
      <c r="B144" s="3">
        <f>IFERROR(__xludf.DUMMYFUNCTION("""COMPUTED_VALUE"""),44057.64583333333)</f>
        <v>44057.64583</v>
      </c>
      <c r="C144" s="2">
        <f>IFERROR(__xludf.DUMMYFUNCTION("""COMPUTED_VALUE"""),267.3)</f>
        <v>267.3</v>
      </c>
    </row>
    <row r="145" ht="15.75" customHeight="1">
      <c r="B145" s="3">
        <f>IFERROR(__xludf.DUMMYFUNCTION("""COMPUTED_VALUE"""),44064.64583333333)</f>
        <v>44064.64583</v>
      </c>
      <c r="C145" s="2">
        <f>IFERROR(__xludf.DUMMYFUNCTION("""COMPUTED_VALUE"""),288.0)</f>
        <v>288</v>
      </c>
    </row>
    <row r="146" ht="15.75" customHeight="1">
      <c r="B146" s="3">
        <f>IFERROR(__xludf.DUMMYFUNCTION("""COMPUTED_VALUE"""),44071.64583333333)</f>
        <v>44071.64583</v>
      </c>
      <c r="C146" s="2">
        <f>IFERROR(__xludf.DUMMYFUNCTION("""COMPUTED_VALUE"""),290.75)</f>
        <v>290.75</v>
      </c>
    </row>
    <row r="147" ht="15.75" customHeight="1">
      <c r="B147" s="3">
        <f>IFERROR(__xludf.DUMMYFUNCTION("""COMPUTED_VALUE"""),44078.64583333333)</f>
        <v>44078.64583</v>
      </c>
      <c r="C147" s="2">
        <f>IFERROR(__xludf.DUMMYFUNCTION("""COMPUTED_VALUE"""),295.85)</f>
        <v>295.85</v>
      </c>
    </row>
    <row r="148" ht="15.75" customHeight="1">
      <c r="B148" s="3">
        <f>IFERROR(__xludf.DUMMYFUNCTION("""COMPUTED_VALUE"""),44085.64583333333)</f>
        <v>44085.64583</v>
      </c>
      <c r="C148" s="2">
        <f>IFERROR(__xludf.DUMMYFUNCTION("""COMPUTED_VALUE"""),290.25)</f>
        <v>290.25</v>
      </c>
    </row>
    <row r="149" ht="15.75" customHeight="1">
      <c r="B149" s="3">
        <f>IFERROR(__xludf.DUMMYFUNCTION("""COMPUTED_VALUE"""),44092.64583333333)</f>
        <v>44092.64583</v>
      </c>
      <c r="C149" s="2">
        <f>IFERROR(__xludf.DUMMYFUNCTION("""COMPUTED_VALUE"""),294.55)</f>
        <v>294.55</v>
      </c>
    </row>
    <row r="150" ht="15.75" customHeight="1">
      <c r="B150" s="3">
        <f>IFERROR(__xludf.DUMMYFUNCTION("""COMPUTED_VALUE"""),44099.64583333333)</f>
        <v>44099.64583</v>
      </c>
      <c r="C150" s="2">
        <f>IFERROR(__xludf.DUMMYFUNCTION("""COMPUTED_VALUE"""),290.3)</f>
        <v>290.3</v>
      </c>
    </row>
    <row r="151" ht="15.75" customHeight="1">
      <c r="B151" s="3">
        <f>IFERROR(__xludf.DUMMYFUNCTION("""COMPUTED_VALUE"""),44105.64583333333)</f>
        <v>44105.64583</v>
      </c>
      <c r="C151" s="2">
        <f>IFERROR(__xludf.DUMMYFUNCTION("""COMPUTED_VALUE"""),286.8)</f>
        <v>286.8</v>
      </c>
    </row>
    <row r="152" ht="15.75" customHeight="1">
      <c r="B152" s="3">
        <f>IFERROR(__xludf.DUMMYFUNCTION("""COMPUTED_VALUE"""),44113.64583333333)</f>
        <v>44113.64583</v>
      </c>
      <c r="C152" s="2">
        <f>IFERROR(__xludf.DUMMYFUNCTION("""COMPUTED_VALUE"""),298.4)</f>
        <v>298.4</v>
      </c>
    </row>
    <row r="153" ht="15.75" customHeight="1">
      <c r="B153" s="3">
        <f>IFERROR(__xludf.DUMMYFUNCTION("""COMPUTED_VALUE"""),44120.64583333333)</f>
        <v>44120.64583</v>
      </c>
      <c r="C153" s="2">
        <f>IFERROR(__xludf.DUMMYFUNCTION("""COMPUTED_VALUE"""),312.45)</f>
        <v>312.45</v>
      </c>
    </row>
    <row r="154" ht="15.75" customHeight="1">
      <c r="B154" s="3">
        <f>IFERROR(__xludf.DUMMYFUNCTION("""COMPUTED_VALUE"""),44127.64583333333)</f>
        <v>44127.64583</v>
      </c>
      <c r="C154" s="2">
        <f>IFERROR(__xludf.DUMMYFUNCTION("""COMPUTED_VALUE"""),327.3)</f>
        <v>327.3</v>
      </c>
    </row>
    <row r="155" ht="15.75" customHeight="1">
      <c r="B155" s="3">
        <f>IFERROR(__xludf.DUMMYFUNCTION("""COMPUTED_VALUE"""),44134.64583333333)</f>
        <v>44134.64583</v>
      </c>
      <c r="C155" s="2">
        <f>IFERROR(__xludf.DUMMYFUNCTION("""COMPUTED_VALUE"""),315.8)</f>
        <v>315.8</v>
      </c>
    </row>
    <row r="156" ht="15.75" customHeight="1">
      <c r="B156" s="3">
        <f>IFERROR(__xludf.DUMMYFUNCTION("""COMPUTED_VALUE"""),44141.64583333333)</f>
        <v>44141.64583</v>
      </c>
      <c r="C156" s="2">
        <f>IFERROR(__xludf.DUMMYFUNCTION("""COMPUTED_VALUE"""),330.65)</f>
        <v>330.65</v>
      </c>
    </row>
    <row r="157" ht="15.75" customHeight="1">
      <c r="B157" s="3">
        <f>IFERROR(__xludf.DUMMYFUNCTION("""COMPUTED_VALUE"""),44155.64583333333)</f>
        <v>44155.64583</v>
      </c>
      <c r="C157" s="2">
        <f>IFERROR(__xludf.DUMMYFUNCTION("""COMPUTED_VALUE"""),350.5)</f>
        <v>350.5</v>
      </c>
    </row>
    <row r="158" ht="15.75" customHeight="1">
      <c r="B158" s="3">
        <f>IFERROR(__xludf.DUMMYFUNCTION("""COMPUTED_VALUE"""),44162.64583333333)</f>
        <v>44162.64583</v>
      </c>
      <c r="C158" s="2">
        <f>IFERROR(__xludf.DUMMYFUNCTION("""COMPUTED_VALUE"""),362.2)</f>
        <v>362.2</v>
      </c>
    </row>
    <row r="159" ht="15.75" customHeight="1">
      <c r="B159" s="3">
        <f>IFERROR(__xludf.DUMMYFUNCTION("""COMPUTED_VALUE"""),44169.64583333333)</f>
        <v>44169.64583</v>
      </c>
      <c r="C159" s="2">
        <f>IFERROR(__xludf.DUMMYFUNCTION("""COMPUTED_VALUE"""),376.2)</f>
        <v>376.2</v>
      </c>
    </row>
    <row r="160" ht="15.75" customHeight="1">
      <c r="B160" s="3">
        <f>IFERROR(__xludf.DUMMYFUNCTION("""COMPUTED_VALUE"""),44176.64583333333)</f>
        <v>44176.64583</v>
      </c>
      <c r="C160" s="2">
        <f>IFERROR(__xludf.DUMMYFUNCTION("""COMPUTED_VALUE"""),373.2)</f>
        <v>373.2</v>
      </c>
    </row>
    <row r="161" ht="15.75" customHeight="1">
      <c r="B161" s="3">
        <f>IFERROR(__xludf.DUMMYFUNCTION("""COMPUTED_VALUE"""),44183.64583333333)</f>
        <v>44183.64583</v>
      </c>
      <c r="C161" s="2">
        <f>IFERROR(__xludf.DUMMYFUNCTION("""COMPUTED_VALUE"""),373.35)</f>
        <v>373.35</v>
      </c>
    </row>
    <row r="162" ht="15.75" customHeight="1">
      <c r="B162" s="3">
        <f>IFERROR(__xludf.DUMMYFUNCTION("""COMPUTED_VALUE"""),44189.64583333333)</f>
        <v>44189.64583</v>
      </c>
      <c r="C162" s="2">
        <f>IFERROR(__xludf.DUMMYFUNCTION("""COMPUTED_VALUE"""),378.95)</f>
        <v>378.95</v>
      </c>
    </row>
    <row r="163" ht="15.75" customHeight="1">
      <c r="B163" s="3">
        <f>IFERROR(__xludf.DUMMYFUNCTION("""COMPUTED_VALUE"""),44197.64583333333)</f>
        <v>44197.64583</v>
      </c>
      <c r="C163" s="2">
        <f>IFERROR(__xludf.DUMMYFUNCTION("""COMPUTED_VALUE"""),393.9)</f>
        <v>393.9</v>
      </c>
    </row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IFERROR(__xludf.DUMMYFUNCTION("GOOGLEFINANCE(""NSE:TITAN"", ""high"",DATE(2018,1,1),DATE(2019,1,1),""weekly"")"),"Date")</f>
        <v>Date</v>
      </c>
      <c r="C1" s="2" t="str">
        <f>IFERROR(__xludf.DUMMYFUNCTION("""COMPUTED_VALUE"""),"High")</f>
        <v>High</v>
      </c>
    </row>
    <row r="2">
      <c r="A2" s="2" t="s">
        <v>17</v>
      </c>
      <c r="B2" s="3">
        <f>IFERROR(__xludf.DUMMYFUNCTION("""COMPUTED_VALUE"""),43105.64583333333)</f>
        <v>43105.64583</v>
      </c>
      <c r="C2" s="2">
        <f>IFERROR(__xludf.DUMMYFUNCTION("""COMPUTED_VALUE"""),913.95)</f>
        <v>913.95</v>
      </c>
    </row>
    <row r="3">
      <c r="A3" s="2" t="s">
        <v>18</v>
      </c>
      <c r="B3" s="3">
        <f>IFERROR(__xludf.DUMMYFUNCTION("""COMPUTED_VALUE"""),43112.64583333333)</f>
        <v>43112.64583</v>
      </c>
      <c r="C3" s="2">
        <f>IFERROR(__xludf.DUMMYFUNCTION("""COMPUTED_VALUE"""),938.5)</f>
        <v>938.5</v>
      </c>
    </row>
    <row r="4">
      <c r="A4" s="2" t="s">
        <v>19</v>
      </c>
      <c r="B4" s="3">
        <f>IFERROR(__xludf.DUMMYFUNCTION("""COMPUTED_VALUE"""),43119.64583333333)</f>
        <v>43119.64583</v>
      </c>
      <c r="C4" s="2">
        <f>IFERROR(__xludf.DUMMYFUNCTION("""COMPUTED_VALUE"""),927.5)</f>
        <v>927.5</v>
      </c>
    </row>
    <row r="5">
      <c r="B5" s="3">
        <f>IFERROR(__xludf.DUMMYFUNCTION("""COMPUTED_VALUE"""),43125.64583333333)</f>
        <v>43125.64583</v>
      </c>
      <c r="C5" s="2">
        <f>IFERROR(__xludf.DUMMYFUNCTION("""COMPUTED_VALUE"""),914.7)</f>
        <v>914.7</v>
      </c>
    </row>
    <row r="6">
      <c r="B6" s="3">
        <f>IFERROR(__xludf.DUMMYFUNCTION("""COMPUTED_VALUE"""),43133.64583333333)</f>
        <v>43133.64583</v>
      </c>
      <c r="C6" s="2">
        <f>IFERROR(__xludf.DUMMYFUNCTION("""COMPUTED_VALUE"""),911.6)</f>
        <v>911.6</v>
      </c>
    </row>
    <row r="7">
      <c r="B7" s="3">
        <f>IFERROR(__xludf.DUMMYFUNCTION("""COMPUTED_VALUE"""),43140.64583333333)</f>
        <v>43140.64583</v>
      </c>
      <c r="C7" s="2">
        <f>IFERROR(__xludf.DUMMYFUNCTION("""COMPUTED_VALUE"""),816.75)</f>
        <v>816.75</v>
      </c>
    </row>
    <row r="8">
      <c r="B8" s="3">
        <f>IFERROR(__xludf.DUMMYFUNCTION("""COMPUTED_VALUE"""),43147.64583333333)</f>
        <v>43147.64583</v>
      </c>
      <c r="C8" s="2">
        <f>IFERROR(__xludf.DUMMYFUNCTION("""COMPUTED_VALUE"""),826.9)</f>
        <v>826.9</v>
      </c>
    </row>
    <row r="9">
      <c r="B9" s="3">
        <f>IFERROR(__xludf.DUMMYFUNCTION("""COMPUTED_VALUE"""),43154.64583333333)</f>
        <v>43154.64583</v>
      </c>
      <c r="C9" s="2">
        <f>IFERROR(__xludf.DUMMYFUNCTION("""COMPUTED_VALUE"""),841.5)</f>
        <v>841.5</v>
      </c>
    </row>
    <row r="10">
      <c r="B10" s="3">
        <f>IFERROR(__xludf.DUMMYFUNCTION("""COMPUTED_VALUE"""),43160.64583333333)</f>
        <v>43160.64583</v>
      </c>
      <c r="C10" s="2">
        <f>IFERROR(__xludf.DUMMYFUNCTION("""COMPUTED_VALUE"""),835.7)</f>
        <v>835.7</v>
      </c>
    </row>
    <row r="11">
      <c r="B11" s="3">
        <f>IFERROR(__xludf.DUMMYFUNCTION("""COMPUTED_VALUE"""),43168.64583333333)</f>
        <v>43168.64583</v>
      </c>
      <c r="C11" s="2">
        <f>IFERROR(__xludf.DUMMYFUNCTION("""COMPUTED_VALUE"""),827.6)</f>
        <v>827.6</v>
      </c>
    </row>
    <row r="12">
      <c r="B12" s="3">
        <f>IFERROR(__xludf.DUMMYFUNCTION("""COMPUTED_VALUE"""),43175.64583333333)</f>
        <v>43175.64583</v>
      </c>
      <c r="C12" s="2">
        <f>IFERROR(__xludf.DUMMYFUNCTION("""COMPUTED_VALUE"""),883.4)</f>
        <v>883.4</v>
      </c>
    </row>
    <row r="13">
      <c r="B13" s="3">
        <f>IFERROR(__xludf.DUMMYFUNCTION("""COMPUTED_VALUE"""),43182.64583333333)</f>
        <v>43182.64583</v>
      </c>
      <c r="C13" s="2">
        <f>IFERROR(__xludf.DUMMYFUNCTION("""COMPUTED_VALUE"""),900.0)</f>
        <v>900</v>
      </c>
    </row>
    <row r="14">
      <c r="B14" s="3">
        <f>IFERROR(__xludf.DUMMYFUNCTION("""COMPUTED_VALUE"""),43187.64583333333)</f>
        <v>43187.64583</v>
      </c>
      <c r="C14" s="2">
        <f>IFERROR(__xludf.DUMMYFUNCTION("""COMPUTED_VALUE"""),964.0)</f>
        <v>964</v>
      </c>
    </row>
    <row r="15">
      <c r="B15" s="3">
        <f>IFERROR(__xludf.DUMMYFUNCTION("""COMPUTED_VALUE"""),43196.64583333333)</f>
        <v>43196.64583</v>
      </c>
      <c r="C15" s="2">
        <f>IFERROR(__xludf.DUMMYFUNCTION("""COMPUTED_VALUE"""),951.7)</f>
        <v>951.7</v>
      </c>
    </row>
    <row r="16">
      <c r="B16" s="3">
        <f>IFERROR(__xludf.DUMMYFUNCTION("""COMPUTED_VALUE"""),43203.64583333333)</f>
        <v>43203.64583</v>
      </c>
      <c r="C16" s="2">
        <f>IFERROR(__xludf.DUMMYFUNCTION("""COMPUTED_VALUE"""),994.8)</f>
        <v>994.8</v>
      </c>
    </row>
    <row r="17">
      <c r="B17" s="3">
        <f>IFERROR(__xludf.DUMMYFUNCTION("""COMPUTED_VALUE"""),43210.64583333333)</f>
        <v>43210.64583</v>
      </c>
      <c r="C17" s="2">
        <f>IFERROR(__xludf.DUMMYFUNCTION("""COMPUTED_VALUE"""),999.7)</f>
        <v>999.7</v>
      </c>
    </row>
    <row r="18">
      <c r="B18" s="3">
        <f>IFERROR(__xludf.DUMMYFUNCTION("""COMPUTED_VALUE"""),43217.64583333333)</f>
        <v>43217.64583</v>
      </c>
      <c r="C18" s="2">
        <f>IFERROR(__xludf.DUMMYFUNCTION("""COMPUTED_VALUE"""),978.0)</f>
        <v>978</v>
      </c>
    </row>
    <row r="19">
      <c r="B19" s="3">
        <f>IFERROR(__xludf.DUMMYFUNCTION("""COMPUTED_VALUE"""),43224.64583333333)</f>
        <v>43224.64583</v>
      </c>
      <c r="C19" s="2">
        <f>IFERROR(__xludf.DUMMYFUNCTION("""COMPUTED_VALUE"""),985.45)</f>
        <v>985.45</v>
      </c>
    </row>
    <row r="20">
      <c r="B20" s="3">
        <f>IFERROR(__xludf.DUMMYFUNCTION("""COMPUTED_VALUE"""),43231.64583333333)</f>
        <v>43231.64583</v>
      </c>
      <c r="C20" s="2">
        <f>IFERROR(__xludf.DUMMYFUNCTION("""COMPUTED_VALUE"""),995.6)</f>
        <v>995.6</v>
      </c>
    </row>
    <row r="21" ht="15.75" customHeight="1">
      <c r="B21" s="3">
        <f>IFERROR(__xludf.DUMMYFUNCTION("""COMPUTED_VALUE"""),43238.64583333333)</f>
        <v>43238.64583</v>
      </c>
      <c r="C21" s="2">
        <f>IFERROR(__xludf.DUMMYFUNCTION("""COMPUTED_VALUE"""),962.0)</f>
        <v>962</v>
      </c>
    </row>
    <row r="22" ht="15.75" customHeight="1">
      <c r="B22" s="3">
        <f>IFERROR(__xludf.DUMMYFUNCTION("""COMPUTED_VALUE"""),43245.64583333333)</f>
        <v>43245.64583</v>
      </c>
      <c r="C22" s="2">
        <f>IFERROR(__xludf.DUMMYFUNCTION("""COMPUTED_VALUE"""),944.5)</f>
        <v>944.5</v>
      </c>
    </row>
    <row r="23" ht="15.75" customHeight="1">
      <c r="B23" s="3">
        <f>IFERROR(__xludf.DUMMYFUNCTION("""COMPUTED_VALUE"""),43252.64583333333)</f>
        <v>43252.64583</v>
      </c>
      <c r="C23" s="2">
        <f>IFERROR(__xludf.DUMMYFUNCTION("""COMPUTED_VALUE"""),935.6)</f>
        <v>935.6</v>
      </c>
    </row>
    <row r="24" ht="15.75" customHeight="1">
      <c r="B24" s="3">
        <f>IFERROR(__xludf.DUMMYFUNCTION("""COMPUTED_VALUE"""),43259.64583333333)</f>
        <v>43259.64583</v>
      </c>
      <c r="C24" s="2">
        <f>IFERROR(__xludf.DUMMYFUNCTION("""COMPUTED_VALUE"""),907.95)</f>
        <v>907.95</v>
      </c>
    </row>
    <row r="25" ht="15.75" customHeight="1">
      <c r="B25" s="3">
        <f>IFERROR(__xludf.DUMMYFUNCTION("""COMPUTED_VALUE"""),43266.64583333333)</f>
        <v>43266.64583</v>
      </c>
      <c r="C25" s="2">
        <f>IFERROR(__xludf.DUMMYFUNCTION("""COMPUTED_VALUE"""),926.8)</f>
        <v>926.8</v>
      </c>
    </row>
    <row r="26" ht="15.75" customHeight="1">
      <c r="B26" s="3">
        <f>IFERROR(__xludf.DUMMYFUNCTION("""COMPUTED_VALUE"""),43273.64583333333)</f>
        <v>43273.64583</v>
      </c>
      <c r="C26" s="2">
        <f>IFERROR(__xludf.DUMMYFUNCTION("""COMPUTED_VALUE"""),905.25)</f>
        <v>905.25</v>
      </c>
    </row>
    <row r="27" ht="15.75" customHeight="1">
      <c r="B27" s="3">
        <f>IFERROR(__xludf.DUMMYFUNCTION("""COMPUTED_VALUE"""),43280.64583333333)</f>
        <v>43280.64583</v>
      </c>
      <c r="C27" s="2">
        <f>IFERROR(__xludf.DUMMYFUNCTION("""COMPUTED_VALUE"""),885.3)</f>
        <v>885.3</v>
      </c>
    </row>
    <row r="28" ht="15.75" customHeight="1">
      <c r="B28" s="3">
        <f>IFERROR(__xludf.DUMMYFUNCTION("""COMPUTED_VALUE"""),43287.64583333333)</f>
        <v>43287.64583</v>
      </c>
      <c r="C28" s="2">
        <f>IFERROR(__xludf.DUMMYFUNCTION("""COMPUTED_VALUE"""),906.9)</f>
        <v>906.9</v>
      </c>
    </row>
    <row r="29" ht="15.75" customHeight="1">
      <c r="B29" s="3">
        <f>IFERROR(__xludf.DUMMYFUNCTION("""COMPUTED_VALUE"""),43294.64583333333)</f>
        <v>43294.64583</v>
      </c>
      <c r="C29" s="2">
        <f>IFERROR(__xludf.DUMMYFUNCTION("""COMPUTED_VALUE"""),842.0)</f>
        <v>842</v>
      </c>
    </row>
    <row r="30" ht="15.75" customHeight="1">
      <c r="B30" s="3">
        <f>IFERROR(__xludf.DUMMYFUNCTION("""COMPUTED_VALUE"""),43301.64583333333)</f>
        <v>43301.64583</v>
      </c>
      <c r="C30" s="2">
        <f>IFERROR(__xludf.DUMMYFUNCTION("""COMPUTED_VALUE"""),876.6)</f>
        <v>876.6</v>
      </c>
    </row>
    <row r="31" ht="15.75" customHeight="1">
      <c r="B31" s="3">
        <f>IFERROR(__xludf.DUMMYFUNCTION("""COMPUTED_VALUE"""),43308.64583333333)</f>
        <v>43308.64583</v>
      </c>
      <c r="C31" s="2">
        <f>IFERROR(__xludf.DUMMYFUNCTION("""COMPUTED_VALUE"""),894.5)</f>
        <v>894.5</v>
      </c>
    </row>
    <row r="32" ht="15.75" customHeight="1">
      <c r="B32" s="3">
        <f>IFERROR(__xludf.DUMMYFUNCTION("""COMPUTED_VALUE"""),43315.64583333333)</f>
        <v>43315.64583</v>
      </c>
      <c r="C32" s="2">
        <f>IFERROR(__xludf.DUMMYFUNCTION("""COMPUTED_VALUE"""),942.0)</f>
        <v>942</v>
      </c>
    </row>
    <row r="33" ht="15.75" customHeight="1">
      <c r="B33" s="3">
        <f>IFERROR(__xludf.DUMMYFUNCTION("""COMPUTED_VALUE"""),43322.64583333333)</f>
        <v>43322.64583</v>
      </c>
      <c r="C33" s="2">
        <f>IFERROR(__xludf.DUMMYFUNCTION("""COMPUTED_VALUE"""),939.1)</f>
        <v>939.1</v>
      </c>
    </row>
    <row r="34" ht="15.75" customHeight="1">
      <c r="B34" s="3">
        <f>IFERROR(__xludf.DUMMYFUNCTION("""COMPUTED_VALUE"""),43329.64583333333)</f>
        <v>43329.64583</v>
      </c>
      <c r="C34" s="2">
        <f>IFERROR(__xludf.DUMMYFUNCTION("""COMPUTED_VALUE"""),945.0)</f>
        <v>945</v>
      </c>
    </row>
    <row r="35" ht="15.75" customHeight="1">
      <c r="B35" s="3">
        <f>IFERROR(__xludf.DUMMYFUNCTION("""COMPUTED_VALUE"""),43336.64583333333)</f>
        <v>43336.64583</v>
      </c>
      <c r="C35" s="2">
        <f>IFERROR(__xludf.DUMMYFUNCTION("""COMPUTED_VALUE"""),943.5)</f>
        <v>943.5</v>
      </c>
    </row>
    <row r="36" ht="15.75" customHeight="1">
      <c r="B36" s="3">
        <f>IFERROR(__xludf.DUMMYFUNCTION("""COMPUTED_VALUE"""),43343.64583333333)</f>
        <v>43343.64583</v>
      </c>
      <c r="C36" s="2">
        <f>IFERROR(__xludf.DUMMYFUNCTION("""COMPUTED_VALUE"""),900.0)</f>
        <v>900</v>
      </c>
    </row>
    <row r="37" ht="15.75" customHeight="1">
      <c r="B37" s="3">
        <f>IFERROR(__xludf.DUMMYFUNCTION("""COMPUTED_VALUE"""),43350.64583333333)</f>
        <v>43350.64583</v>
      </c>
      <c r="C37" s="2">
        <f>IFERROR(__xludf.DUMMYFUNCTION("""COMPUTED_VALUE"""),928.4)</f>
        <v>928.4</v>
      </c>
    </row>
    <row r="38" ht="15.75" customHeight="1">
      <c r="B38" s="3">
        <f>IFERROR(__xludf.DUMMYFUNCTION("""COMPUTED_VALUE"""),43357.64583333333)</f>
        <v>43357.64583</v>
      </c>
      <c r="C38" s="2">
        <f>IFERROR(__xludf.DUMMYFUNCTION("""COMPUTED_VALUE"""),868.0)</f>
        <v>868</v>
      </c>
    </row>
    <row r="39" ht="15.75" customHeight="1">
      <c r="B39" s="3">
        <f>IFERROR(__xludf.DUMMYFUNCTION("""COMPUTED_VALUE"""),43364.64583333333)</f>
        <v>43364.64583</v>
      </c>
      <c r="C39" s="2">
        <f>IFERROR(__xludf.DUMMYFUNCTION("""COMPUTED_VALUE"""),843.95)</f>
        <v>843.95</v>
      </c>
    </row>
    <row r="40" ht="15.75" customHeight="1">
      <c r="B40" s="3">
        <f>IFERROR(__xludf.DUMMYFUNCTION("""COMPUTED_VALUE"""),43371.64583333333)</f>
        <v>43371.64583</v>
      </c>
      <c r="C40" s="2">
        <f>IFERROR(__xludf.DUMMYFUNCTION("""COMPUTED_VALUE"""),843.65)</f>
        <v>843.65</v>
      </c>
    </row>
    <row r="41" ht="15.75" customHeight="1">
      <c r="B41" s="3">
        <f>IFERROR(__xludf.DUMMYFUNCTION("""COMPUTED_VALUE"""),43378.64583333333)</f>
        <v>43378.64583</v>
      </c>
      <c r="C41" s="2">
        <f>IFERROR(__xludf.DUMMYFUNCTION("""COMPUTED_VALUE"""),815.7)</f>
        <v>815.7</v>
      </c>
    </row>
    <row r="42" ht="15.75" customHeight="1">
      <c r="B42" s="3">
        <f>IFERROR(__xludf.DUMMYFUNCTION("""COMPUTED_VALUE"""),43385.64583333333)</f>
        <v>43385.64583</v>
      </c>
      <c r="C42" s="2">
        <f>IFERROR(__xludf.DUMMYFUNCTION("""COMPUTED_VALUE"""),820.95)</f>
        <v>820.95</v>
      </c>
    </row>
    <row r="43" ht="15.75" customHeight="1">
      <c r="B43" s="3">
        <f>IFERROR(__xludf.DUMMYFUNCTION("""COMPUTED_VALUE"""),43392.64583333333)</f>
        <v>43392.64583</v>
      </c>
      <c r="C43" s="2">
        <f>IFERROR(__xludf.DUMMYFUNCTION("""COMPUTED_VALUE"""),823.3)</f>
        <v>823.3</v>
      </c>
    </row>
    <row r="44" ht="15.75" customHeight="1">
      <c r="B44" s="3">
        <f>IFERROR(__xludf.DUMMYFUNCTION("""COMPUTED_VALUE"""),43399.64583333333)</f>
        <v>43399.64583</v>
      </c>
      <c r="C44" s="2">
        <f>IFERROR(__xludf.DUMMYFUNCTION("""COMPUTED_VALUE"""),820.0)</f>
        <v>820</v>
      </c>
    </row>
    <row r="45" ht="15.75" customHeight="1">
      <c r="B45" s="3">
        <f>IFERROR(__xludf.DUMMYFUNCTION("""COMPUTED_VALUE"""),43406.64583333333)</f>
        <v>43406.64583</v>
      </c>
      <c r="C45" s="2">
        <f>IFERROR(__xludf.DUMMYFUNCTION("""COMPUTED_VALUE"""),884.0)</f>
        <v>884</v>
      </c>
    </row>
    <row r="46" ht="15.75" customHeight="1">
      <c r="B46" s="3">
        <f>IFERROR(__xludf.DUMMYFUNCTION("""COMPUTED_VALUE"""),43413.64583333333)</f>
        <v>43413.64583</v>
      </c>
      <c r="C46" s="2">
        <f>IFERROR(__xludf.DUMMYFUNCTION("""COMPUTED_VALUE"""),877.6)</f>
        <v>877.6</v>
      </c>
    </row>
    <row r="47" ht="15.75" customHeight="1">
      <c r="B47" s="3">
        <f>IFERROR(__xludf.DUMMYFUNCTION("""COMPUTED_VALUE"""),43420.64583333333)</f>
        <v>43420.64583</v>
      </c>
      <c r="C47" s="2">
        <f>IFERROR(__xludf.DUMMYFUNCTION("""COMPUTED_VALUE"""),928.7)</f>
        <v>928.7</v>
      </c>
    </row>
    <row r="48" ht="15.75" customHeight="1">
      <c r="B48" s="3">
        <f>IFERROR(__xludf.DUMMYFUNCTION("""COMPUTED_VALUE"""),43426.64583333333)</f>
        <v>43426.64583</v>
      </c>
      <c r="C48" s="2">
        <f>IFERROR(__xludf.DUMMYFUNCTION("""COMPUTED_VALUE"""),933.4)</f>
        <v>933.4</v>
      </c>
    </row>
    <row r="49" ht="15.75" customHeight="1">
      <c r="B49" s="3">
        <f>IFERROR(__xludf.DUMMYFUNCTION("""COMPUTED_VALUE"""),43434.64583333333)</f>
        <v>43434.64583</v>
      </c>
      <c r="C49" s="2">
        <f>IFERROR(__xludf.DUMMYFUNCTION("""COMPUTED_VALUE"""),933.9)</f>
        <v>933.9</v>
      </c>
    </row>
    <row r="50" ht="15.75" customHeight="1">
      <c r="B50" s="3">
        <f>IFERROR(__xludf.DUMMYFUNCTION("""COMPUTED_VALUE"""),43441.64583333333)</f>
        <v>43441.64583</v>
      </c>
      <c r="C50" s="2">
        <f>IFERROR(__xludf.DUMMYFUNCTION("""COMPUTED_VALUE"""),940.15)</f>
        <v>940.15</v>
      </c>
    </row>
    <row r="51" ht="15.75" customHeight="1">
      <c r="B51" s="3">
        <f>IFERROR(__xludf.DUMMYFUNCTION("""COMPUTED_VALUE"""),43448.64583333333)</f>
        <v>43448.64583</v>
      </c>
      <c r="C51" s="2">
        <f>IFERROR(__xludf.DUMMYFUNCTION("""COMPUTED_VALUE"""),961.25)</f>
        <v>961.25</v>
      </c>
    </row>
    <row r="52" ht="15.75" customHeight="1">
      <c r="B52" s="3">
        <f>IFERROR(__xludf.DUMMYFUNCTION("""COMPUTED_VALUE"""),43455.64583333333)</f>
        <v>43455.64583</v>
      </c>
      <c r="C52" s="2">
        <f>IFERROR(__xludf.DUMMYFUNCTION("""COMPUTED_VALUE"""),941.55)</f>
        <v>941.55</v>
      </c>
    </row>
    <row r="53" ht="15.75" customHeight="1">
      <c r="B53" s="3">
        <f>IFERROR(__xludf.DUMMYFUNCTION("""COMPUTED_VALUE"""),43462.64583333333)</f>
        <v>43462.64583</v>
      </c>
      <c r="C53" s="2">
        <f>IFERROR(__xludf.DUMMYFUNCTION("""COMPUTED_VALUE"""),925.75)</f>
        <v>925.75</v>
      </c>
    </row>
    <row r="54" ht="15.75" customHeight="1"/>
    <row r="55" ht="15.75" customHeight="1"/>
    <row r="56" ht="15.75" customHeight="1">
      <c r="B56" s="2" t="str">
        <f>IFERROR(__xludf.DUMMYFUNCTION("GOOGLEFINANCE(""NSE:TITAN"", ""high"",DATE(2019,1,1),DATE(2020,1,1),""weekly"")"),"Date")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IFERROR(__xludf.DUMMYFUNCTION("""COMPUTED_VALUE"""),43469.64583333333)</f>
        <v>43469.64583</v>
      </c>
      <c r="C57" s="2">
        <f>IFERROR(__xludf.DUMMYFUNCTION("""COMPUTED_VALUE"""),944.95)</f>
        <v>944.95</v>
      </c>
    </row>
    <row r="58" ht="15.75" customHeight="1">
      <c r="B58" s="3">
        <f>IFERROR(__xludf.DUMMYFUNCTION("""COMPUTED_VALUE"""),43476.64583333333)</f>
        <v>43476.64583</v>
      </c>
      <c r="C58" s="2">
        <f>IFERROR(__xludf.DUMMYFUNCTION("""COMPUTED_VALUE"""),969.5)</f>
        <v>969.5</v>
      </c>
    </row>
    <row r="59" ht="15.75" customHeight="1">
      <c r="B59" s="3">
        <f>IFERROR(__xludf.DUMMYFUNCTION("""COMPUTED_VALUE"""),43483.64583333333)</f>
        <v>43483.64583</v>
      </c>
      <c r="C59" s="2">
        <f>IFERROR(__xludf.DUMMYFUNCTION("""COMPUTED_VALUE"""),970.7)</f>
        <v>970.7</v>
      </c>
    </row>
    <row r="60" ht="15.75" customHeight="1">
      <c r="B60" s="3">
        <f>IFERROR(__xludf.DUMMYFUNCTION("""COMPUTED_VALUE"""),43490.64583333333)</f>
        <v>43490.64583</v>
      </c>
      <c r="C60" s="2">
        <f>IFERROR(__xludf.DUMMYFUNCTION("""COMPUTED_VALUE"""),987.4)</f>
        <v>987.4</v>
      </c>
    </row>
    <row r="61" ht="15.75" customHeight="1">
      <c r="B61" s="3">
        <f>IFERROR(__xludf.DUMMYFUNCTION("""COMPUTED_VALUE"""),43497.64583333333)</f>
        <v>43497.64583</v>
      </c>
      <c r="C61" s="2">
        <f>IFERROR(__xludf.DUMMYFUNCTION("""COMPUTED_VALUE"""),1005.0)</f>
        <v>1005</v>
      </c>
    </row>
    <row r="62" ht="15.75" customHeight="1">
      <c r="B62" s="3">
        <f>IFERROR(__xludf.DUMMYFUNCTION("""COMPUTED_VALUE"""),43504.64583333333)</f>
        <v>43504.64583</v>
      </c>
      <c r="C62" s="2">
        <f>IFERROR(__xludf.DUMMYFUNCTION("""COMPUTED_VALUE"""),1076.85)</f>
        <v>1076.85</v>
      </c>
    </row>
    <row r="63" ht="15.75" customHeight="1">
      <c r="B63" s="3">
        <f>IFERROR(__xludf.DUMMYFUNCTION("""COMPUTED_VALUE"""),43511.64583333333)</f>
        <v>43511.64583</v>
      </c>
      <c r="C63" s="2">
        <f>IFERROR(__xludf.DUMMYFUNCTION("""COMPUTED_VALUE"""),1073.95)</f>
        <v>1073.95</v>
      </c>
    </row>
    <row r="64" ht="15.75" customHeight="1">
      <c r="B64" s="3">
        <f>IFERROR(__xludf.DUMMYFUNCTION("""COMPUTED_VALUE"""),43518.64583333333)</f>
        <v>43518.64583</v>
      </c>
      <c r="C64" s="2">
        <f>IFERROR(__xludf.DUMMYFUNCTION("""COMPUTED_VALUE"""),1049.8)</f>
        <v>1049.8</v>
      </c>
    </row>
    <row r="65" ht="15.75" customHeight="1">
      <c r="B65" s="3">
        <f>IFERROR(__xludf.DUMMYFUNCTION("""COMPUTED_VALUE"""),43525.64583333333)</f>
        <v>43525.64583</v>
      </c>
      <c r="C65" s="2">
        <f>IFERROR(__xludf.DUMMYFUNCTION("""COMPUTED_VALUE"""),1055.0)</f>
        <v>1055</v>
      </c>
    </row>
    <row r="66" ht="15.75" customHeight="1">
      <c r="B66" s="3">
        <f>IFERROR(__xludf.DUMMYFUNCTION("""COMPUTED_VALUE"""),43532.64583333333)</f>
        <v>43532.64583</v>
      </c>
      <c r="C66" s="2">
        <f>IFERROR(__xludf.DUMMYFUNCTION("""COMPUTED_VALUE"""),1069.0)</f>
        <v>1069</v>
      </c>
    </row>
    <row r="67" ht="15.75" customHeight="1">
      <c r="B67" s="3">
        <f>IFERROR(__xludf.DUMMYFUNCTION("""COMPUTED_VALUE"""),43539.64583333333)</f>
        <v>43539.64583</v>
      </c>
      <c r="C67" s="2">
        <f>IFERROR(__xludf.DUMMYFUNCTION("""COMPUTED_VALUE"""),1113.8)</f>
        <v>1113.8</v>
      </c>
    </row>
    <row r="68" ht="15.75" customHeight="1">
      <c r="B68" s="3">
        <f>IFERROR(__xludf.DUMMYFUNCTION("""COMPUTED_VALUE"""),43546.64583333333)</f>
        <v>43546.64583</v>
      </c>
      <c r="C68" s="2">
        <f>IFERROR(__xludf.DUMMYFUNCTION("""COMPUTED_VALUE"""),1124.4)</f>
        <v>1124.4</v>
      </c>
    </row>
    <row r="69" ht="15.75" customHeight="1">
      <c r="B69" s="3">
        <f>IFERROR(__xludf.DUMMYFUNCTION("""COMPUTED_VALUE"""),43553.64583333333)</f>
        <v>43553.64583</v>
      </c>
      <c r="C69" s="2">
        <f>IFERROR(__xludf.DUMMYFUNCTION("""COMPUTED_VALUE"""),1152.0)</f>
        <v>1152</v>
      </c>
    </row>
    <row r="70" ht="15.75" customHeight="1">
      <c r="B70" s="3">
        <f>IFERROR(__xludf.DUMMYFUNCTION("""COMPUTED_VALUE"""),43560.64583333333)</f>
        <v>43560.64583</v>
      </c>
      <c r="C70" s="2">
        <f>IFERROR(__xludf.DUMMYFUNCTION("""COMPUTED_VALUE"""),1148.0)</f>
        <v>1148</v>
      </c>
    </row>
    <row r="71" ht="15.75" customHeight="1">
      <c r="B71" s="3">
        <f>IFERROR(__xludf.DUMMYFUNCTION("""COMPUTED_VALUE"""),43567.64583333333)</f>
        <v>43567.64583</v>
      </c>
      <c r="C71" s="2">
        <f>IFERROR(__xludf.DUMMYFUNCTION("""COMPUTED_VALUE"""),1115.0)</f>
        <v>1115</v>
      </c>
    </row>
    <row r="72" ht="15.75" customHeight="1">
      <c r="B72" s="3">
        <f>IFERROR(__xludf.DUMMYFUNCTION("""COMPUTED_VALUE"""),43573.64583333333)</f>
        <v>43573.64583</v>
      </c>
      <c r="C72" s="2">
        <f>IFERROR(__xludf.DUMMYFUNCTION("""COMPUTED_VALUE"""),1129.5)</f>
        <v>1129.5</v>
      </c>
    </row>
    <row r="73" ht="15.75" customHeight="1">
      <c r="B73" s="3">
        <f>IFERROR(__xludf.DUMMYFUNCTION("""COMPUTED_VALUE"""),43581.64583333333)</f>
        <v>43581.64583</v>
      </c>
      <c r="C73" s="2">
        <f>IFERROR(__xludf.DUMMYFUNCTION("""COMPUTED_VALUE"""),1165.0)</f>
        <v>1165</v>
      </c>
    </row>
    <row r="74" ht="15.75" customHeight="1">
      <c r="B74" s="3">
        <f>IFERROR(__xludf.DUMMYFUNCTION("""COMPUTED_VALUE"""),43588.64583333333)</f>
        <v>43588.64583</v>
      </c>
      <c r="C74" s="2">
        <f>IFERROR(__xludf.DUMMYFUNCTION("""COMPUTED_VALUE"""),1161.75)</f>
        <v>1161.75</v>
      </c>
    </row>
    <row r="75" ht="15.75" customHeight="1">
      <c r="B75" s="3">
        <f>IFERROR(__xludf.DUMMYFUNCTION("""COMPUTED_VALUE"""),43595.64583333333)</f>
        <v>43595.64583</v>
      </c>
      <c r="C75" s="2">
        <f>IFERROR(__xludf.DUMMYFUNCTION("""COMPUTED_VALUE"""),1142.8)</f>
        <v>1142.8</v>
      </c>
    </row>
    <row r="76" ht="15.75" customHeight="1">
      <c r="B76" s="3">
        <f>IFERROR(__xludf.DUMMYFUNCTION("""COMPUTED_VALUE"""),43602.64583333333)</f>
        <v>43602.64583</v>
      </c>
      <c r="C76" s="2">
        <f>IFERROR(__xludf.DUMMYFUNCTION("""COMPUTED_VALUE"""),1203.0)</f>
        <v>1203</v>
      </c>
    </row>
    <row r="77" ht="15.75" customHeight="1">
      <c r="B77" s="3">
        <f>IFERROR(__xludf.DUMMYFUNCTION("""COMPUTED_VALUE"""),43609.64583333333)</f>
        <v>43609.64583</v>
      </c>
      <c r="C77" s="2">
        <f>IFERROR(__xludf.DUMMYFUNCTION("""COMPUTED_VALUE"""),1262.8)</f>
        <v>1262.8</v>
      </c>
    </row>
    <row r="78" ht="15.75" customHeight="1">
      <c r="B78" s="3">
        <f>IFERROR(__xludf.DUMMYFUNCTION("""COMPUTED_VALUE"""),43616.64583333333)</f>
        <v>43616.64583</v>
      </c>
      <c r="C78" s="2">
        <f>IFERROR(__xludf.DUMMYFUNCTION("""COMPUTED_VALUE"""),1250.65)</f>
        <v>1250.65</v>
      </c>
    </row>
    <row r="79" ht="15.75" customHeight="1">
      <c r="B79" s="3">
        <f>IFERROR(__xludf.DUMMYFUNCTION("""COMPUTED_VALUE"""),43623.64583333333)</f>
        <v>43623.64583</v>
      </c>
      <c r="C79" s="2">
        <f>IFERROR(__xludf.DUMMYFUNCTION("""COMPUTED_VALUE"""),1276.85)</f>
        <v>1276.85</v>
      </c>
    </row>
    <row r="80" ht="15.75" customHeight="1">
      <c r="B80" s="3">
        <f>IFERROR(__xludf.DUMMYFUNCTION("""COMPUTED_VALUE"""),43630.64583333333)</f>
        <v>43630.64583</v>
      </c>
      <c r="C80" s="2">
        <f>IFERROR(__xludf.DUMMYFUNCTION("""COMPUTED_VALUE"""),1298.25)</f>
        <v>1298.25</v>
      </c>
    </row>
    <row r="81" ht="15.75" customHeight="1">
      <c r="B81" s="3">
        <f>IFERROR(__xludf.DUMMYFUNCTION("""COMPUTED_VALUE"""),43637.64583333333)</f>
        <v>43637.64583</v>
      </c>
      <c r="C81" s="2">
        <f>IFERROR(__xludf.DUMMYFUNCTION("""COMPUTED_VALUE"""),1317.0)</f>
        <v>1317</v>
      </c>
    </row>
    <row r="82" ht="15.75" customHeight="1">
      <c r="B82" s="3">
        <f>IFERROR(__xludf.DUMMYFUNCTION("""COMPUTED_VALUE"""),43644.64583333333)</f>
        <v>43644.64583</v>
      </c>
      <c r="C82" s="2">
        <f>IFERROR(__xludf.DUMMYFUNCTION("""COMPUTED_VALUE"""),1337.05)</f>
        <v>1337.05</v>
      </c>
    </row>
    <row r="83" ht="15.75" customHeight="1">
      <c r="B83" s="3">
        <f>IFERROR(__xludf.DUMMYFUNCTION("""COMPUTED_VALUE"""),43651.64583333333)</f>
        <v>43651.64583</v>
      </c>
      <c r="C83" s="2">
        <f>IFERROR(__xludf.DUMMYFUNCTION("""COMPUTED_VALUE"""),1340.9)</f>
        <v>1340.9</v>
      </c>
    </row>
    <row r="84" ht="15.75" customHeight="1">
      <c r="B84" s="3">
        <f>IFERROR(__xludf.DUMMYFUNCTION("""COMPUTED_VALUE"""),43658.64583333333)</f>
        <v>43658.64583</v>
      </c>
      <c r="C84" s="2">
        <f>IFERROR(__xludf.DUMMYFUNCTION("""COMPUTED_VALUE"""),1270.9)</f>
        <v>1270.9</v>
      </c>
    </row>
    <row r="85" ht="15.75" customHeight="1">
      <c r="B85" s="3">
        <f>IFERROR(__xludf.DUMMYFUNCTION("""COMPUTED_VALUE"""),43665.64583333333)</f>
        <v>43665.64583</v>
      </c>
      <c r="C85" s="2">
        <f>IFERROR(__xludf.DUMMYFUNCTION("""COMPUTED_VALUE"""),1118.0)</f>
        <v>1118</v>
      </c>
    </row>
    <row r="86" ht="15.75" customHeight="1">
      <c r="B86" s="3">
        <f>IFERROR(__xludf.DUMMYFUNCTION("""COMPUTED_VALUE"""),43672.64583333333)</f>
        <v>43672.64583</v>
      </c>
      <c r="C86" s="2">
        <f>IFERROR(__xludf.DUMMYFUNCTION("""COMPUTED_VALUE"""),1112.2)</f>
        <v>1112.2</v>
      </c>
    </row>
    <row r="87" ht="15.75" customHeight="1">
      <c r="B87" s="3">
        <f>IFERROR(__xludf.DUMMYFUNCTION("""COMPUTED_VALUE"""),43679.64583333333)</f>
        <v>43679.64583</v>
      </c>
      <c r="C87" s="2">
        <f>IFERROR(__xludf.DUMMYFUNCTION("""COMPUTED_VALUE"""),1109.0)</f>
        <v>1109</v>
      </c>
    </row>
    <row r="88" ht="15.75" customHeight="1">
      <c r="B88" s="3">
        <f>IFERROR(__xludf.DUMMYFUNCTION("""COMPUTED_VALUE"""),43686.64583333333)</f>
        <v>43686.64583</v>
      </c>
      <c r="C88" s="2">
        <f>IFERROR(__xludf.DUMMYFUNCTION("""COMPUTED_VALUE"""),1077.0)</f>
        <v>1077</v>
      </c>
    </row>
    <row r="89" ht="15.75" customHeight="1">
      <c r="B89" s="3">
        <f>IFERROR(__xludf.DUMMYFUNCTION("""COMPUTED_VALUE"""),43693.64583333333)</f>
        <v>43693.64583</v>
      </c>
      <c r="C89" s="2">
        <f>IFERROR(__xludf.DUMMYFUNCTION("""COMPUTED_VALUE"""),1090.85)</f>
        <v>1090.85</v>
      </c>
    </row>
    <row r="90" ht="15.75" customHeight="1">
      <c r="B90" s="3">
        <f>IFERROR(__xludf.DUMMYFUNCTION("""COMPUTED_VALUE"""),43700.64583333333)</f>
        <v>43700.64583</v>
      </c>
      <c r="C90" s="2">
        <f>IFERROR(__xludf.DUMMYFUNCTION("""COMPUTED_VALUE"""),1104.7)</f>
        <v>1104.7</v>
      </c>
    </row>
    <row r="91" ht="15.75" customHeight="1">
      <c r="B91" s="3">
        <f>IFERROR(__xludf.DUMMYFUNCTION("""COMPUTED_VALUE"""),43707.64583333333)</f>
        <v>43707.64583</v>
      </c>
      <c r="C91" s="2">
        <f>IFERROR(__xludf.DUMMYFUNCTION("""COMPUTED_VALUE"""),1131.5)</f>
        <v>1131.5</v>
      </c>
    </row>
    <row r="92" ht="15.75" customHeight="1">
      <c r="B92" s="3">
        <f>IFERROR(__xludf.DUMMYFUNCTION("""COMPUTED_VALUE"""),43714.64583333333)</f>
        <v>43714.64583</v>
      </c>
      <c r="C92" s="2">
        <f>IFERROR(__xludf.DUMMYFUNCTION("""COMPUTED_VALUE"""),1098.3)</f>
        <v>1098.3</v>
      </c>
    </row>
    <row r="93" ht="15.75" customHeight="1">
      <c r="B93" s="3">
        <f>IFERROR(__xludf.DUMMYFUNCTION("""COMPUTED_VALUE"""),43721.64583333333)</f>
        <v>43721.64583</v>
      </c>
      <c r="C93" s="2">
        <f>IFERROR(__xludf.DUMMYFUNCTION("""COMPUTED_VALUE"""),1126.5)</f>
        <v>1126.5</v>
      </c>
    </row>
    <row r="94" ht="15.75" customHeight="1">
      <c r="B94" s="3">
        <f>IFERROR(__xludf.DUMMYFUNCTION("""COMPUTED_VALUE"""),43728.64583333333)</f>
        <v>43728.64583</v>
      </c>
      <c r="C94" s="2">
        <f>IFERROR(__xludf.DUMMYFUNCTION("""COMPUTED_VALUE"""),1334.4)</f>
        <v>1334.4</v>
      </c>
    </row>
    <row r="95" ht="15.75" customHeight="1">
      <c r="B95" s="3">
        <f>IFERROR(__xludf.DUMMYFUNCTION("""COMPUTED_VALUE"""),43735.64583333333)</f>
        <v>43735.64583</v>
      </c>
      <c r="C95" s="2">
        <f>IFERROR(__xludf.DUMMYFUNCTION("""COMPUTED_VALUE"""),1345.0)</f>
        <v>1345</v>
      </c>
    </row>
    <row r="96" ht="15.75" customHeight="1">
      <c r="B96" s="3">
        <f>IFERROR(__xludf.DUMMYFUNCTION("""COMPUTED_VALUE"""),43742.64583333333)</f>
        <v>43742.64583</v>
      </c>
      <c r="C96" s="2">
        <f>IFERROR(__xludf.DUMMYFUNCTION("""COMPUTED_VALUE"""),1306.7)</f>
        <v>1306.7</v>
      </c>
    </row>
    <row r="97" ht="15.75" customHeight="1">
      <c r="B97" s="3">
        <f>IFERROR(__xludf.DUMMYFUNCTION("""COMPUTED_VALUE"""),43749.64583333333)</f>
        <v>43749.64583</v>
      </c>
      <c r="C97" s="2">
        <f>IFERROR(__xludf.DUMMYFUNCTION("""COMPUTED_VALUE"""),1265.8)</f>
        <v>1265.8</v>
      </c>
    </row>
    <row r="98" ht="15.75" customHeight="1">
      <c r="B98" s="3">
        <f>IFERROR(__xludf.DUMMYFUNCTION("""COMPUTED_VALUE"""),43756.64583333333)</f>
        <v>43756.64583</v>
      </c>
      <c r="C98" s="2">
        <f>IFERROR(__xludf.DUMMYFUNCTION("""COMPUTED_VALUE"""),1305.0)</f>
        <v>1305</v>
      </c>
    </row>
    <row r="99" ht="15.75" customHeight="1">
      <c r="B99" s="3">
        <f>IFERROR(__xludf.DUMMYFUNCTION("""COMPUTED_VALUE"""),43763.79166666667)</f>
        <v>43763.79167</v>
      </c>
      <c r="C99" s="2">
        <f>IFERROR(__xludf.DUMMYFUNCTION("""COMPUTED_VALUE"""),1389.95)</f>
        <v>1389.95</v>
      </c>
    </row>
    <row r="100" ht="15.75" customHeight="1">
      <c r="B100" s="3">
        <f>IFERROR(__xludf.DUMMYFUNCTION("""COMPUTED_VALUE"""),43770.64583333333)</f>
        <v>43770.64583</v>
      </c>
      <c r="C100" s="2">
        <f>IFERROR(__xludf.DUMMYFUNCTION("""COMPUTED_VALUE"""),1347.0)</f>
        <v>1347</v>
      </c>
    </row>
    <row r="101" ht="15.75" customHeight="1">
      <c r="B101" s="3">
        <f>IFERROR(__xludf.DUMMYFUNCTION("""COMPUTED_VALUE"""),43777.64583333333)</f>
        <v>43777.64583</v>
      </c>
      <c r="C101" s="2">
        <f>IFERROR(__xludf.DUMMYFUNCTION("""COMPUTED_VALUE"""),1311.0)</f>
        <v>1311</v>
      </c>
    </row>
    <row r="102" ht="15.75" customHeight="1">
      <c r="B102" s="3">
        <f>IFERROR(__xludf.DUMMYFUNCTION("""COMPUTED_VALUE"""),43784.64583333333)</f>
        <v>43784.64583</v>
      </c>
      <c r="C102" s="2">
        <f>IFERROR(__xludf.DUMMYFUNCTION("""COMPUTED_VALUE"""),1176.3)</f>
        <v>1176.3</v>
      </c>
    </row>
    <row r="103" ht="15.75" customHeight="1">
      <c r="B103" s="3">
        <f>IFERROR(__xludf.DUMMYFUNCTION("""COMPUTED_VALUE"""),43791.64583333333)</f>
        <v>43791.64583</v>
      </c>
      <c r="C103" s="2">
        <f>IFERROR(__xludf.DUMMYFUNCTION("""COMPUTED_VALUE"""),1170.0)</f>
        <v>1170</v>
      </c>
    </row>
    <row r="104" ht="15.75" customHeight="1">
      <c r="B104" s="3">
        <f>IFERROR(__xludf.DUMMYFUNCTION("""COMPUTED_VALUE"""),43798.64583333333)</f>
        <v>43798.64583</v>
      </c>
      <c r="C104" s="2">
        <f>IFERROR(__xludf.DUMMYFUNCTION("""COMPUTED_VALUE"""),1184.75)</f>
        <v>1184.75</v>
      </c>
    </row>
    <row r="105" ht="15.75" customHeight="1">
      <c r="B105" s="3">
        <f>IFERROR(__xludf.DUMMYFUNCTION("""COMPUTED_VALUE"""),43805.64583333333)</f>
        <v>43805.64583</v>
      </c>
      <c r="C105" s="2">
        <f>IFERROR(__xludf.DUMMYFUNCTION("""COMPUTED_VALUE"""),1204.6)</f>
        <v>1204.6</v>
      </c>
    </row>
    <row r="106" ht="15.75" customHeight="1">
      <c r="B106" s="3">
        <f>IFERROR(__xludf.DUMMYFUNCTION("""COMPUTED_VALUE"""),43812.64583333333)</f>
        <v>43812.64583</v>
      </c>
      <c r="C106" s="2">
        <f>IFERROR(__xludf.DUMMYFUNCTION("""COMPUTED_VALUE"""),1203.5)</f>
        <v>1203.5</v>
      </c>
    </row>
    <row r="107" ht="15.75" customHeight="1">
      <c r="B107" s="3">
        <f>IFERROR(__xludf.DUMMYFUNCTION("""COMPUTED_VALUE"""),43819.64583333333)</f>
        <v>43819.64583</v>
      </c>
      <c r="C107" s="2">
        <f>IFERROR(__xludf.DUMMYFUNCTION("""COMPUTED_VALUE"""),1206.45)</f>
        <v>1206.45</v>
      </c>
    </row>
    <row r="108" ht="15.75" customHeight="1">
      <c r="B108" s="3">
        <f>IFERROR(__xludf.DUMMYFUNCTION("""COMPUTED_VALUE"""),43826.64583333333)</f>
        <v>43826.64583</v>
      </c>
      <c r="C108" s="2">
        <f>IFERROR(__xludf.DUMMYFUNCTION("""COMPUTED_VALUE"""),1229.0)</f>
        <v>1229</v>
      </c>
    </row>
    <row r="109" ht="15.75" customHeight="1"/>
    <row r="110" ht="15.75" customHeight="1"/>
    <row r="111" ht="15.75" customHeight="1">
      <c r="B111" s="2" t="str">
        <f>IFERROR(__xludf.DUMMYFUNCTION("GOOGLEFINANCE(""NSE:TITAN"", ""high"",DATE(2020,1,1),DATE(2021,1,1),""weekly"")"),"Date")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IFERROR(__xludf.DUMMYFUNCTION("""COMPUTED_VALUE"""),43833.64583333333)</f>
        <v>43833.64583</v>
      </c>
      <c r="C112" s="2">
        <f>IFERROR(__xludf.DUMMYFUNCTION("""COMPUTED_VALUE"""),1203.7)</f>
        <v>1203.7</v>
      </c>
    </row>
    <row r="113" ht="15.75" customHeight="1">
      <c r="B113" s="3">
        <f>IFERROR(__xludf.DUMMYFUNCTION("""COMPUTED_VALUE"""),43840.64583333333)</f>
        <v>43840.64583</v>
      </c>
      <c r="C113" s="2">
        <f>IFERROR(__xludf.DUMMYFUNCTION("""COMPUTED_VALUE"""),1173.85)</f>
        <v>1173.85</v>
      </c>
    </row>
    <row r="114" ht="15.75" customHeight="1">
      <c r="B114" s="3">
        <f>IFERROR(__xludf.DUMMYFUNCTION("""COMPUTED_VALUE"""),43847.64583333333)</f>
        <v>43847.64583</v>
      </c>
      <c r="C114" s="2">
        <f>IFERROR(__xludf.DUMMYFUNCTION("""COMPUTED_VALUE"""),1196.85)</f>
        <v>1196.85</v>
      </c>
    </row>
    <row r="115" ht="15.75" customHeight="1">
      <c r="B115" s="3">
        <f>IFERROR(__xludf.DUMMYFUNCTION("""COMPUTED_VALUE"""),43854.64583333333)</f>
        <v>43854.64583</v>
      </c>
      <c r="C115" s="2">
        <f>IFERROR(__xludf.DUMMYFUNCTION("""COMPUTED_VALUE"""),1230.0)</f>
        <v>1230</v>
      </c>
    </row>
    <row r="116" ht="15.75" customHeight="1">
      <c r="B116" s="3">
        <f>IFERROR(__xludf.DUMMYFUNCTION("""COMPUTED_VALUE"""),43862.70833333333)</f>
        <v>43862.70833</v>
      </c>
      <c r="C116" s="2">
        <f>IFERROR(__xludf.DUMMYFUNCTION("""COMPUTED_VALUE"""),1240.35)</f>
        <v>1240.35</v>
      </c>
    </row>
    <row r="117" ht="15.75" customHeight="1">
      <c r="B117" s="3">
        <f>IFERROR(__xludf.DUMMYFUNCTION("""COMPUTED_VALUE"""),43868.64583333333)</f>
        <v>43868.64583</v>
      </c>
      <c r="C117" s="2">
        <f>IFERROR(__xludf.DUMMYFUNCTION("""COMPUTED_VALUE"""),1297.7)</f>
        <v>1297.7</v>
      </c>
    </row>
    <row r="118" ht="15.75" customHeight="1">
      <c r="B118" s="3">
        <f>IFERROR(__xludf.DUMMYFUNCTION("""COMPUTED_VALUE"""),43875.64583333333)</f>
        <v>43875.64583</v>
      </c>
      <c r="C118" s="2">
        <f>IFERROR(__xludf.DUMMYFUNCTION("""COMPUTED_VALUE"""),1310.7)</f>
        <v>1310.7</v>
      </c>
    </row>
    <row r="119" ht="15.75" customHeight="1">
      <c r="B119" s="3">
        <f>IFERROR(__xludf.DUMMYFUNCTION("""COMPUTED_VALUE"""),43881.64583333333)</f>
        <v>43881.64583</v>
      </c>
      <c r="C119" s="2">
        <f>IFERROR(__xludf.DUMMYFUNCTION("""COMPUTED_VALUE"""),1341.05)</f>
        <v>1341.05</v>
      </c>
    </row>
    <row r="120" ht="15.75" customHeight="1">
      <c r="B120" s="3">
        <f>IFERROR(__xludf.DUMMYFUNCTION("""COMPUTED_VALUE"""),43889.64583333333)</f>
        <v>43889.64583</v>
      </c>
      <c r="C120" s="2">
        <f>IFERROR(__xludf.DUMMYFUNCTION("""COMPUTED_VALUE"""),1317.8)</f>
        <v>1317.8</v>
      </c>
    </row>
    <row r="121" ht="15.75" customHeight="1">
      <c r="B121" s="3">
        <f>IFERROR(__xludf.DUMMYFUNCTION("""COMPUTED_VALUE"""),43896.64583333333)</f>
        <v>43896.64583</v>
      </c>
      <c r="C121" s="2">
        <f>IFERROR(__xludf.DUMMYFUNCTION("""COMPUTED_VALUE"""),1294.0)</f>
        <v>1294</v>
      </c>
    </row>
    <row r="122" ht="15.75" customHeight="1">
      <c r="B122" s="3">
        <f>IFERROR(__xludf.DUMMYFUNCTION("""COMPUTED_VALUE"""),43903.64583333333)</f>
        <v>43903.64583</v>
      </c>
      <c r="C122" s="2">
        <f>IFERROR(__xludf.DUMMYFUNCTION("""COMPUTED_VALUE"""),1241.85)</f>
        <v>1241.85</v>
      </c>
    </row>
    <row r="123" ht="15.75" customHeight="1">
      <c r="B123" s="3">
        <f>IFERROR(__xludf.DUMMYFUNCTION("""COMPUTED_VALUE"""),43910.64583333333)</f>
        <v>43910.64583</v>
      </c>
      <c r="C123" s="2">
        <f>IFERROR(__xludf.DUMMYFUNCTION("""COMPUTED_VALUE"""),1049.95)</f>
        <v>1049.95</v>
      </c>
    </row>
    <row r="124" ht="15.75" customHeight="1">
      <c r="B124" s="3">
        <f>IFERROR(__xludf.DUMMYFUNCTION("""COMPUTED_VALUE"""),43917.64583333333)</f>
        <v>43917.64583</v>
      </c>
      <c r="C124" s="2">
        <f>IFERROR(__xludf.DUMMYFUNCTION("""COMPUTED_VALUE"""),965.0)</f>
        <v>965</v>
      </c>
    </row>
    <row r="125" ht="15.75" customHeight="1">
      <c r="B125" s="3">
        <f>IFERROR(__xludf.DUMMYFUNCTION("""COMPUTED_VALUE"""),43924.64583333333)</f>
        <v>43924.64583</v>
      </c>
      <c r="C125" s="2">
        <f>IFERROR(__xludf.DUMMYFUNCTION("""COMPUTED_VALUE"""),971.7)</f>
        <v>971.7</v>
      </c>
    </row>
    <row r="126" ht="15.75" customHeight="1">
      <c r="B126" s="3">
        <f>IFERROR(__xludf.DUMMYFUNCTION("""COMPUTED_VALUE"""),43930.64583333333)</f>
        <v>43930.64583</v>
      </c>
      <c r="C126" s="2">
        <f>IFERROR(__xludf.DUMMYFUNCTION("""COMPUTED_VALUE"""),1044.0)</f>
        <v>1044</v>
      </c>
    </row>
    <row r="127" ht="15.75" customHeight="1">
      <c r="B127" s="3">
        <f>IFERROR(__xludf.DUMMYFUNCTION("""COMPUTED_VALUE"""),43938.64583333333)</f>
        <v>43938.64583</v>
      </c>
      <c r="C127" s="2">
        <f>IFERROR(__xludf.DUMMYFUNCTION("""COMPUTED_VALUE"""),1017.7)</f>
        <v>1017.7</v>
      </c>
    </row>
    <row r="128" ht="15.75" customHeight="1">
      <c r="B128" s="3">
        <f>IFERROR(__xludf.DUMMYFUNCTION("""COMPUTED_VALUE"""),43945.64583333333)</f>
        <v>43945.64583</v>
      </c>
      <c r="C128" s="2">
        <f>IFERROR(__xludf.DUMMYFUNCTION("""COMPUTED_VALUE"""),982.2)</f>
        <v>982.2</v>
      </c>
    </row>
    <row r="129" ht="15.75" customHeight="1">
      <c r="B129" s="3">
        <f>IFERROR(__xludf.DUMMYFUNCTION("""COMPUTED_VALUE"""),43951.64583333333)</f>
        <v>43951.64583</v>
      </c>
      <c r="C129" s="2">
        <f>IFERROR(__xludf.DUMMYFUNCTION("""COMPUTED_VALUE"""),978.95)</f>
        <v>978.95</v>
      </c>
    </row>
    <row r="130" ht="15.75" customHeight="1">
      <c r="B130" s="3">
        <f>IFERROR(__xludf.DUMMYFUNCTION("""COMPUTED_VALUE"""),43959.64583333333)</f>
        <v>43959.64583</v>
      </c>
      <c r="C130" s="2">
        <f>IFERROR(__xludf.DUMMYFUNCTION("""COMPUTED_VALUE"""),929.0)</f>
        <v>929</v>
      </c>
    </row>
    <row r="131" ht="15.75" customHeight="1">
      <c r="B131" s="3">
        <f>IFERROR(__xludf.DUMMYFUNCTION("""COMPUTED_VALUE"""),43966.64583333333)</f>
        <v>43966.64583</v>
      </c>
      <c r="C131" s="2">
        <f>IFERROR(__xludf.DUMMYFUNCTION("""COMPUTED_VALUE"""),883.95)</f>
        <v>883.95</v>
      </c>
    </row>
    <row r="132" ht="15.75" customHeight="1">
      <c r="B132" s="3">
        <f>IFERROR(__xludf.DUMMYFUNCTION("""COMPUTED_VALUE"""),43973.64583333333)</f>
        <v>43973.64583</v>
      </c>
      <c r="C132" s="2">
        <f>IFERROR(__xludf.DUMMYFUNCTION("""COMPUTED_VALUE"""),860.0)</f>
        <v>860</v>
      </c>
    </row>
    <row r="133" ht="15.75" customHeight="1">
      <c r="B133" s="3">
        <f>IFERROR(__xludf.DUMMYFUNCTION("""COMPUTED_VALUE"""),43980.64583333333)</f>
        <v>43980.64583</v>
      </c>
      <c r="C133" s="2">
        <f>IFERROR(__xludf.DUMMYFUNCTION("""COMPUTED_VALUE"""),904.1)</f>
        <v>904.1</v>
      </c>
    </row>
    <row r="134" ht="15.75" customHeight="1">
      <c r="B134" s="3">
        <f>IFERROR(__xludf.DUMMYFUNCTION("""COMPUTED_VALUE"""),43987.64583333333)</f>
        <v>43987.64583</v>
      </c>
      <c r="C134" s="2">
        <f>IFERROR(__xludf.DUMMYFUNCTION("""COMPUTED_VALUE"""),1005.0)</f>
        <v>1005</v>
      </c>
    </row>
    <row r="135" ht="15.75" customHeight="1">
      <c r="B135" s="3">
        <f>IFERROR(__xludf.DUMMYFUNCTION("""COMPUTED_VALUE"""),43994.64583333333)</f>
        <v>43994.64583</v>
      </c>
      <c r="C135" s="2">
        <f>IFERROR(__xludf.DUMMYFUNCTION("""COMPUTED_VALUE"""),1050.0)</f>
        <v>1050</v>
      </c>
    </row>
    <row r="136" ht="15.75" customHeight="1">
      <c r="B136" s="3">
        <f>IFERROR(__xludf.DUMMYFUNCTION("""COMPUTED_VALUE"""),44001.64583333333)</f>
        <v>44001.64583</v>
      </c>
      <c r="C136" s="2">
        <f>IFERROR(__xludf.DUMMYFUNCTION("""COMPUTED_VALUE"""),994.95)</f>
        <v>994.95</v>
      </c>
    </row>
    <row r="137" ht="15.75" customHeight="1">
      <c r="B137" s="3">
        <f>IFERROR(__xludf.DUMMYFUNCTION("""COMPUTED_VALUE"""),44008.64583333333)</f>
        <v>44008.64583</v>
      </c>
      <c r="C137" s="2">
        <f>IFERROR(__xludf.DUMMYFUNCTION("""COMPUTED_VALUE"""),1026.0)</f>
        <v>1026</v>
      </c>
    </row>
    <row r="138" ht="15.75" customHeight="1">
      <c r="B138" s="3">
        <f>IFERROR(__xludf.DUMMYFUNCTION("""COMPUTED_VALUE"""),44015.64583333333)</f>
        <v>44015.64583</v>
      </c>
      <c r="C138" s="2">
        <f>IFERROR(__xludf.DUMMYFUNCTION("""COMPUTED_VALUE"""),1008.0)</f>
        <v>1008</v>
      </c>
    </row>
    <row r="139" ht="15.75" customHeight="1">
      <c r="B139" s="3">
        <f>IFERROR(__xludf.DUMMYFUNCTION("""COMPUTED_VALUE"""),44022.64583333333)</f>
        <v>44022.64583</v>
      </c>
      <c r="C139" s="2">
        <f>IFERROR(__xludf.DUMMYFUNCTION("""COMPUTED_VALUE"""),1029.0)</f>
        <v>1029</v>
      </c>
    </row>
    <row r="140" ht="15.75" customHeight="1">
      <c r="B140" s="3">
        <f>IFERROR(__xludf.DUMMYFUNCTION("""COMPUTED_VALUE"""),44029.64583333333)</f>
        <v>44029.64583</v>
      </c>
      <c r="C140" s="2">
        <f>IFERROR(__xludf.DUMMYFUNCTION("""COMPUTED_VALUE"""),1000.0)</f>
        <v>1000</v>
      </c>
    </row>
    <row r="141" ht="15.75" customHeight="1">
      <c r="B141" s="3">
        <f>IFERROR(__xludf.DUMMYFUNCTION("""COMPUTED_VALUE"""),44036.64583333333)</f>
        <v>44036.64583</v>
      </c>
      <c r="C141" s="2">
        <f>IFERROR(__xludf.DUMMYFUNCTION("""COMPUTED_VALUE"""),1083.0)</f>
        <v>1083</v>
      </c>
    </row>
    <row r="142" ht="15.75" customHeight="1">
      <c r="B142" s="3">
        <f>IFERROR(__xludf.DUMMYFUNCTION("""COMPUTED_VALUE"""),44043.64583333333)</f>
        <v>44043.64583</v>
      </c>
      <c r="C142" s="2">
        <f>IFERROR(__xludf.DUMMYFUNCTION("""COMPUTED_VALUE"""),1072.5)</f>
        <v>1072.5</v>
      </c>
    </row>
    <row r="143" ht="15.75" customHeight="1">
      <c r="B143" s="3">
        <f>IFERROR(__xludf.DUMMYFUNCTION("""COMPUTED_VALUE"""),44050.64583333333)</f>
        <v>44050.64583</v>
      </c>
      <c r="C143" s="2">
        <f>IFERROR(__xludf.DUMMYFUNCTION("""COMPUTED_VALUE"""),1131.4)</f>
        <v>1131.4</v>
      </c>
    </row>
    <row r="144" ht="15.75" customHeight="1">
      <c r="B144" s="3">
        <f>IFERROR(__xludf.DUMMYFUNCTION("""COMPUTED_VALUE"""),44057.64583333333)</f>
        <v>44057.64583</v>
      </c>
      <c r="C144" s="2">
        <f>IFERROR(__xludf.DUMMYFUNCTION("""COMPUTED_VALUE"""),1119.0)</f>
        <v>1119</v>
      </c>
    </row>
    <row r="145" ht="15.75" customHeight="1">
      <c r="B145" s="3">
        <f>IFERROR(__xludf.DUMMYFUNCTION("""COMPUTED_VALUE"""),44064.64583333333)</f>
        <v>44064.64583</v>
      </c>
      <c r="C145" s="2">
        <f>IFERROR(__xludf.DUMMYFUNCTION("""COMPUTED_VALUE"""),1159.0)</f>
        <v>1159</v>
      </c>
    </row>
    <row r="146" ht="15.75" customHeight="1">
      <c r="B146" s="3">
        <f>IFERROR(__xludf.DUMMYFUNCTION("""COMPUTED_VALUE"""),44071.64583333333)</f>
        <v>44071.64583</v>
      </c>
      <c r="C146" s="2">
        <f>IFERROR(__xludf.DUMMYFUNCTION("""COMPUTED_VALUE"""),1150.0)</f>
        <v>1150</v>
      </c>
    </row>
    <row r="147" ht="15.75" customHeight="1">
      <c r="B147" s="3">
        <f>IFERROR(__xludf.DUMMYFUNCTION("""COMPUTED_VALUE"""),44078.64583333333)</f>
        <v>44078.64583</v>
      </c>
      <c r="C147" s="2">
        <f>IFERROR(__xludf.DUMMYFUNCTION("""COMPUTED_VALUE"""),1198.05)</f>
        <v>1198.05</v>
      </c>
    </row>
    <row r="148" ht="15.75" customHeight="1">
      <c r="B148" s="3">
        <f>IFERROR(__xludf.DUMMYFUNCTION("""COMPUTED_VALUE"""),44085.64583333333)</f>
        <v>44085.64583</v>
      </c>
      <c r="C148" s="2">
        <f>IFERROR(__xludf.DUMMYFUNCTION("""COMPUTED_VALUE"""),1194.0)</f>
        <v>1194</v>
      </c>
    </row>
    <row r="149" ht="15.75" customHeight="1">
      <c r="B149" s="3">
        <f>IFERROR(__xludf.DUMMYFUNCTION("""COMPUTED_VALUE"""),44092.64583333333)</f>
        <v>44092.64583</v>
      </c>
      <c r="C149" s="2">
        <f>IFERROR(__xludf.DUMMYFUNCTION("""COMPUTED_VALUE"""),1220.0)</f>
        <v>1220</v>
      </c>
    </row>
    <row r="150" ht="15.75" customHeight="1">
      <c r="B150" s="3">
        <f>IFERROR(__xludf.DUMMYFUNCTION("""COMPUTED_VALUE"""),44099.64583333333)</f>
        <v>44099.64583</v>
      </c>
      <c r="C150" s="2">
        <f>IFERROR(__xludf.DUMMYFUNCTION("""COMPUTED_VALUE"""),1171.8)</f>
        <v>1171.8</v>
      </c>
    </row>
    <row r="151" ht="15.75" customHeight="1">
      <c r="B151" s="3">
        <f>IFERROR(__xludf.DUMMYFUNCTION("""COMPUTED_VALUE"""),44105.64583333333)</f>
        <v>44105.64583</v>
      </c>
      <c r="C151" s="2">
        <f>IFERROR(__xludf.DUMMYFUNCTION("""COMPUTED_VALUE"""),1211.0)</f>
        <v>1211</v>
      </c>
    </row>
    <row r="152" ht="15.75" customHeight="1">
      <c r="B152" s="3">
        <f>IFERROR(__xludf.DUMMYFUNCTION("""COMPUTED_VALUE"""),44113.64583333333)</f>
        <v>44113.64583</v>
      </c>
      <c r="C152" s="2">
        <f>IFERROR(__xludf.DUMMYFUNCTION("""COMPUTED_VALUE"""),1269.0)</f>
        <v>1269</v>
      </c>
    </row>
    <row r="153" ht="15.75" customHeight="1">
      <c r="B153" s="3">
        <f>IFERROR(__xludf.DUMMYFUNCTION("""COMPUTED_VALUE"""),44120.64583333333)</f>
        <v>44120.64583</v>
      </c>
      <c r="C153" s="2">
        <f>IFERROR(__xludf.DUMMYFUNCTION("""COMPUTED_VALUE"""),1281.9)</f>
        <v>1281.9</v>
      </c>
    </row>
    <row r="154" ht="15.75" customHeight="1">
      <c r="B154" s="3">
        <f>IFERROR(__xludf.DUMMYFUNCTION("""COMPUTED_VALUE"""),44127.64583333333)</f>
        <v>44127.64583</v>
      </c>
      <c r="C154" s="2">
        <f>IFERROR(__xludf.DUMMYFUNCTION("""COMPUTED_VALUE"""),1256.55)</f>
        <v>1256.55</v>
      </c>
    </row>
    <row r="155" ht="15.75" customHeight="1">
      <c r="B155" s="3">
        <f>IFERROR(__xludf.DUMMYFUNCTION("""COMPUTED_VALUE"""),44134.64583333333)</f>
        <v>44134.64583</v>
      </c>
      <c r="C155" s="2">
        <f>IFERROR(__xludf.DUMMYFUNCTION("""COMPUTED_VALUE"""),1250.0)</f>
        <v>1250</v>
      </c>
    </row>
    <row r="156" ht="15.75" customHeight="1">
      <c r="B156" s="3">
        <f>IFERROR(__xludf.DUMMYFUNCTION("""COMPUTED_VALUE"""),44141.64583333333)</f>
        <v>44141.64583</v>
      </c>
      <c r="C156" s="2">
        <f>IFERROR(__xludf.DUMMYFUNCTION("""COMPUTED_VALUE"""),1265.85)</f>
        <v>1265.85</v>
      </c>
    </row>
    <row r="157" ht="15.75" customHeight="1">
      <c r="B157" s="3">
        <f>IFERROR(__xludf.DUMMYFUNCTION("""COMPUTED_VALUE"""),44155.64583333333)</f>
        <v>44155.64583</v>
      </c>
      <c r="C157" s="2">
        <f>IFERROR(__xludf.DUMMYFUNCTION("""COMPUTED_VALUE"""),1371.3)</f>
        <v>1371.3</v>
      </c>
    </row>
    <row r="158" ht="15.75" customHeight="1">
      <c r="B158" s="3">
        <f>IFERROR(__xludf.DUMMYFUNCTION("""COMPUTED_VALUE"""),44162.64583333333)</f>
        <v>44162.64583</v>
      </c>
      <c r="C158" s="2">
        <f>IFERROR(__xludf.DUMMYFUNCTION("""COMPUTED_VALUE"""),1375.0)</f>
        <v>1375</v>
      </c>
    </row>
    <row r="159" ht="15.75" customHeight="1">
      <c r="B159" s="3">
        <f>IFERROR(__xludf.DUMMYFUNCTION("""COMPUTED_VALUE"""),44169.64583333333)</f>
        <v>44169.64583</v>
      </c>
      <c r="C159" s="2">
        <f>IFERROR(__xludf.DUMMYFUNCTION("""COMPUTED_VALUE"""),1440.55)</f>
        <v>1440.55</v>
      </c>
    </row>
    <row r="160" ht="15.75" customHeight="1">
      <c r="B160" s="3">
        <f>IFERROR(__xludf.DUMMYFUNCTION("""COMPUTED_VALUE"""),44176.64583333333)</f>
        <v>44176.64583</v>
      </c>
      <c r="C160" s="2">
        <f>IFERROR(__xludf.DUMMYFUNCTION("""COMPUTED_VALUE"""),1449.85)</f>
        <v>1449.85</v>
      </c>
    </row>
    <row r="161" ht="15.75" customHeight="1">
      <c r="B161" s="3">
        <f>IFERROR(__xludf.DUMMYFUNCTION("""COMPUTED_VALUE"""),44183.64583333333)</f>
        <v>44183.64583</v>
      </c>
      <c r="C161" s="2">
        <f>IFERROR(__xludf.DUMMYFUNCTION("""COMPUTED_VALUE"""),1525.0)</f>
        <v>1525</v>
      </c>
    </row>
    <row r="162" ht="15.75" customHeight="1">
      <c r="B162" s="3">
        <f>IFERROR(__xludf.DUMMYFUNCTION("""COMPUTED_VALUE"""),44189.64583333333)</f>
        <v>44189.64583</v>
      </c>
      <c r="C162" s="2">
        <f>IFERROR(__xludf.DUMMYFUNCTION("""COMPUTED_VALUE"""),1528.55)</f>
        <v>1528.55</v>
      </c>
    </row>
    <row r="163" ht="15.75" customHeight="1">
      <c r="B163" s="3">
        <f>IFERROR(__xludf.DUMMYFUNCTION("""COMPUTED_VALUE"""),44197.64583333333)</f>
        <v>44197.64583</v>
      </c>
      <c r="C163" s="2">
        <f>IFERROR(__xludf.DUMMYFUNCTION("""COMPUTED_VALUE"""),1573.0)</f>
        <v>1573</v>
      </c>
    </row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IFERROR(__xludf.DUMMYFUNCTION("GOOGLEFINANCE(""NSE:NESTLEIND"", ""high"",DATE(2019,1,1),DATE(2020,1,1),""weekly"")"),"Date")</f>
        <v>Date</v>
      </c>
      <c r="C1" s="2" t="str">
        <f>IFERROR(__xludf.DUMMYFUNCTION("""COMPUTED_VALUE"""),"High")</f>
        <v>High</v>
      </c>
    </row>
    <row r="2">
      <c r="A2" s="2" t="s">
        <v>18</v>
      </c>
      <c r="B2" s="3">
        <f>IFERROR(__xludf.DUMMYFUNCTION("""COMPUTED_VALUE"""),43469.64583333333)</f>
        <v>43469.64583</v>
      </c>
      <c r="C2" s="2">
        <f>IFERROR(__xludf.DUMMYFUNCTION("""COMPUTED_VALUE"""),11499.0)</f>
        <v>11499</v>
      </c>
    </row>
    <row r="3">
      <c r="A3" s="2" t="s">
        <v>19</v>
      </c>
      <c r="B3" s="3">
        <f>IFERROR(__xludf.DUMMYFUNCTION("""COMPUTED_VALUE"""),43476.64583333333)</f>
        <v>43476.64583</v>
      </c>
      <c r="C3" s="2">
        <f>IFERROR(__xludf.DUMMYFUNCTION("""COMPUTED_VALUE"""),11458.0)</f>
        <v>11458</v>
      </c>
    </row>
    <row r="4">
      <c r="B4" s="3">
        <f>IFERROR(__xludf.DUMMYFUNCTION("""COMPUTED_VALUE"""),43483.64583333333)</f>
        <v>43483.64583</v>
      </c>
      <c r="C4" s="2">
        <f>IFERROR(__xludf.DUMMYFUNCTION("""COMPUTED_VALUE"""),11385.7)</f>
        <v>11385.7</v>
      </c>
    </row>
    <row r="5">
      <c r="B5" s="3">
        <f>IFERROR(__xludf.DUMMYFUNCTION("""COMPUTED_VALUE"""),43490.64583333333)</f>
        <v>43490.64583</v>
      </c>
      <c r="C5" s="2">
        <f>IFERROR(__xludf.DUMMYFUNCTION("""COMPUTED_VALUE"""),11517.0)</f>
        <v>11517</v>
      </c>
    </row>
    <row r="6">
      <c r="B6" s="3">
        <f>IFERROR(__xludf.DUMMYFUNCTION("""COMPUTED_VALUE"""),43497.64583333333)</f>
        <v>43497.64583</v>
      </c>
      <c r="C6" s="2">
        <f>IFERROR(__xludf.DUMMYFUNCTION("""COMPUTED_VALUE"""),11622.0)</f>
        <v>11622</v>
      </c>
    </row>
    <row r="7">
      <c r="B7" s="3">
        <f>IFERROR(__xludf.DUMMYFUNCTION("""COMPUTED_VALUE"""),43504.64583333333)</f>
        <v>43504.64583</v>
      </c>
      <c r="C7" s="2">
        <f>IFERROR(__xludf.DUMMYFUNCTION("""COMPUTED_VALUE"""),11751.0)</f>
        <v>11751</v>
      </c>
    </row>
    <row r="8">
      <c r="B8" s="3">
        <f>IFERROR(__xludf.DUMMYFUNCTION("""COMPUTED_VALUE"""),43511.64583333333)</f>
        <v>43511.64583</v>
      </c>
      <c r="C8" s="2">
        <f>IFERROR(__xludf.DUMMYFUNCTION("""COMPUTED_VALUE"""),11300.0)</f>
        <v>11300</v>
      </c>
    </row>
    <row r="9">
      <c r="B9" s="3">
        <f>IFERROR(__xludf.DUMMYFUNCTION("""COMPUTED_VALUE"""),43518.64583333333)</f>
        <v>43518.64583</v>
      </c>
      <c r="C9" s="2">
        <f>IFERROR(__xludf.DUMMYFUNCTION("""COMPUTED_VALUE"""),10729.05)</f>
        <v>10729.05</v>
      </c>
    </row>
    <row r="10">
      <c r="B10" s="3">
        <f>IFERROR(__xludf.DUMMYFUNCTION("""COMPUTED_VALUE"""),43525.64583333333)</f>
        <v>43525.64583</v>
      </c>
      <c r="C10" s="2">
        <f>IFERROR(__xludf.DUMMYFUNCTION("""COMPUTED_VALUE"""),10870.0)</f>
        <v>10870</v>
      </c>
    </row>
    <row r="11">
      <c r="B11" s="3">
        <f>IFERROR(__xludf.DUMMYFUNCTION("""COMPUTED_VALUE"""),43532.64583333333)</f>
        <v>43532.64583</v>
      </c>
      <c r="C11" s="2">
        <f>IFERROR(__xludf.DUMMYFUNCTION("""COMPUTED_VALUE"""),10593.0)</f>
        <v>10593</v>
      </c>
    </row>
    <row r="12">
      <c r="B12" s="3">
        <f>IFERROR(__xludf.DUMMYFUNCTION("""COMPUTED_VALUE"""),43539.64583333333)</f>
        <v>43539.64583</v>
      </c>
      <c r="C12" s="2">
        <f>IFERROR(__xludf.DUMMYFUNCTION("""COMPUTED_VALUE"""),10770.0)</f>
        <v>10770</v>
      </c>
    </row>
    <row r="13">
      <c r="B13" s="3">
        <f>IFERROR(__xludf.DUMMYFUNCTION("""COMPUTED_VALUE"""),43546.64583333333)</f>
        <v>43546.64583</v>
      </c>
      <c r="C13" s="2">
        <f>IFERROR(__xludf.DUMMYFUNCTION("""COMPUTED_VALUE"""),10755.0)</f>
        <v>10755</v>
      </c>
    </row>
    <row r="14">
      <c r="B14" s="3">
        <f>IFERROR(__xludf.DUMMYFUNCTION("""COMPUTED_VALUE"""),43553.64583333333)</f>
        <v>43553.64583</v>
      </c>
      <c r="C14" s="2">
        <f>IFERROR(__xludf.DUMMYFUNCTION("""COMPUTED_VALUE"""),11239.0)</f>
        <v>11239</v>
      </c>
    </row>
    <row r="15">
      <c r="B15" s="3">
        <f>IFERROR(__xludf.DUMMYFUNCTION("""COMPUTED_VALUE"""),43560.64583333333)</f>
        <v>43560.64583</v>
      </c>
      <c r="C15" s="2">
        <f>IFERROR(__xludf.DUMMYFUNCTION("""COMPUTED_VALUE"""),11121.0)</f>
        <v>11121</v>
      </c>
    </row>
    <row r="16">
      <c r="B16" s="3">
        <f>IFERROR(__xludf.DUMMYFUNCTION("""COMPUTED_VALUE"""),43567.64583333333)</f>
        <v>43567.64583</v>
      </c>
      <c r="C16" s="2">
        <f>IFERROR(__xludf.DUMMYFUNCTION("""COMPUTED_VALUE"""),11050.0)</f>
        <v>11050</v>
      </c>
    </row>
    <row r="17">
      <c r="B17" s="3">
        <f>IFERROR(__xludf.DUMMYFUNCTION("""COMPUTED_VALUE"""),43573.64583333333)</f>
        <v>43573.64583</v>
      </c>
      <c r="C17" s="2">
        <f>IFERROR(__xludf.DUMMYFUNCTION("""COMPUTED_VALUE"""),11239.95)</f>
        <v>11239.95</v>
      </c>
    </row>
    <row r="18">
      <c r="B18" s="3">
        <f>IFERROR(__xludf.DUMMYFUNCTION("""COMPUTED_VALUE"""),43581.64583333333)</f>
        <v>43581.64583</v>
      </c>
      <c r="C18" s="2">
        <f>IFERROR(__xludf.DUMMYFUNCTION("""COMPUTED_VALUE"""),11125.0)</f>
        <v>11125</v>
      </c>
    </row>
    <row r="19">
      <c r="B19" s="3">
        <f>IFERROR(__xludf.DUMMYFUNCTION("""COMPUTED_VALUE"""),43588.64583333333)</f>
        <v>43588.64583</v>
      </c>
      <c r="C19" s="2">
        <f>IFERROR(__xludf.DUMMYFUNCTION("""COMPUTED_VALUE"""),10974.95)</f>
        <v>10974.95</v>
      </c>
    </row>
    <row r="20">
      <c r="B20" s="3">
        <f>IFERROR(__xludf.DUMMYFUNCTION("""COMPUTED_VALUE"""),43595.64583333333)</f>
        <v>43595.64583</v>
      </c>
      <c r="C20" s="2">
        <f>IFERROR(__xludf.DUMMYFUNCTION("""COMPUTED_VALUE"""),10589.95)</f>
        <v>10589.95</v>
      </c>
    </row>
    <row r="21" ht="15.75" customHeight="1">
      <c r="B21" s="3">
        <f>IFERROR(__xludf.DUMMYFUNCTION("""COMPUTED_VALUE"""),43602.64583333333)</f>
        <v>43602.64583</v>
      </c>
      <c r="C21" s="2">
        <f>IFERROR(__xludf.DUMMYFUNCTION("""COMPUTED_VALUE"""),10546.2)</f>
        <v>10546.2</v>
      </c>
    </row>
    <row r="22" ht="15.75" customHeight="1">
      <c r="B22" s="3">
        <f>IFERROR(__xludf.DUMMYFUNCTION("""COMPUTED_VALUE"""),43609.64583333333)</f>
        <v>43609.64583</v>
      </c>
      <c r="C22" s="2">
        <f>IFERROR(__xludf.DUMMYFUNCTION("""COMPUTED_VALUE"""),10989.0)</f>
        <v>10989</v>
      </c>
    </row>
    <row r="23" ht="15.75" customHeight="1">
      <c r="B23" s="3">
        <f>IFERROR(__xludf.DUMMYFUNCTION("""COMPUTED_VALUE"""),43616.64583333333)</f>
        <v>43616.64583</v>
      </c>
      <c r="C23" s="2">
        <f>IFERROR(__xludf.DUMMYFUNCTION("""COMPUTED_VALUE"""),11540.0)</f>
        <v>11540</v>
      </c>
    </row>
    <row r="24" ht="15.75" customHeight="1">
      <c r="B24" s="3">
        <f>IFERROR(__xludf.DUMMYFUNCTION("""COMPUTED_VALUE"""),43623.64583333333)</f>
        <v>43623.64583</v>
      </c>
      <c r="C24" s="2">
        <f>IFERROR(__xludf.DUMMYFUNCTION("""COMPUTED_VALUE"""),11700.0)</f>
        <v>11700</v>
      </c>
    </row>
    <row r="25" ht="15.75" customHeight="1">
      <c r="B25" s="3">
        <f>IFERROR(__xludf.DUMMYFUNCTION("""COMPUTED_VALUE"""),43630.64583333333)</f>
        <v>43630.64583</v>
      </c>
      <c r="C25" s="2">
        <f>IFERROR(__xludf.DUMMYFUNCTION("""COMPUTED_VALUE"""),11817.7)</f>
        <v>11817.7</v>
      </c>
    </row>
    <row r="26" ht="15.75" customHeight="1">
      <c r="B26" s="3">
        <f>IFERROR(__xludf.DUMMYFUNCTION("""COMPUTED_VALUE"""),43637.64583333333)</f>
        <v>43637.64583</v>
      </c>
      <c r="C26" s="2">
        <f>IFERROR(__xludf.DUMMYFUNCTION("""COMPUTED_VALUE"""),11790.0)</f>
        <v>11790</v>
      </c>
    </row>
    <row r="27" ht="15.75" customHeight="1">
      <c r="B27" s="3">
        <f>IFERROR(__xludf.DUMMYFUNCTION("""COMPUTED_VALUE"""),43644.64583333333)</f>
        <v>43644.64583</v>
      </c>
      <c r="C27" s="2">
        <f>IFERROR(__xludf.DUMMYFUNCTION("""COMPUTED_VALUE"""),11950.0)</f>
        <v>11950</v>
      </c>
    </row>
    <row r="28" ht="15.75" customHeight="1">
      <c r="B28" s="3">
        <f>IFERROR(__xludf.DUMMYFUNCTION("""COMPUTED_VALUE"""),43651.64583333333)</f>
        <v>43651.64583</v>
      </c>
      <c r="C28" s="2">
        <f>IFERROR(__xludf.DUMMYFUNCTION("""COMPUTED_VALUE"""),12023.25)</f>
        <v>12023.25</v>
      </c>
    </row>
    <row r="29" ht="15.75" customHeight="1">
      <c r="B29" s="3">
        <f>IFERROR(__xludf.DUMMYFUNCTION("""COMPUTED_VALUE"""),43658.64583333333)</f>
        <v>43658.64583</v>
      </c>
      <c r="C29" s="2">
        <f>IFERROR(__xludf.DUMMYFUNCTION("""COMPUTED_VALUE"""),11929.0)</f>
        <v>11929</v>
      </c>
    </row>
    <row r="30" ht="15.75" customHeight="1">
      <c r="B30" s="3">
        <f>IFERROR(__xludf.DUMMYFUNCTION("""COMPUTED_VALUE"""),43665.64583333333)</f>
        <v>43665.64583</v>
      </c>
      <c r="C30" s="2">
        <f>IFERROR(__xludf.DUMMYFUNCTION("""COMPUTED_VALUE"""),11749.8)</f>
        <v>11749.8</v>
      </c>
    </row>
    <row r="31" ht="15.75" customHeight="1">
      <c r="B31" s="3">
        <f>IFERROR(__xludf.DUMMYFUNCTION("""COMPUTED_VALUE"""),43672.64583333333)</f>
        <v>43672.64583</v>
      </c>
      <c r="C31" s="2">
        <f>IFERROR(__xludf.DUMMYFUNCTION("""COMPUTED_VALUE"""),11693.0)</f>
        <v>11693</v>
      </c>
    </row>
    <row r="32" ht="15.75" customHeight="1">
      <c r="B32" s="3">
        <f>IFERROR(__xludf.DUMMYFUNCTION("""COMPUTED_VALUE"""),43679.64583333333)</f>
        <v>43679.64583</v>
      </c>
      <c r="C32" s="2">
        <f>IFERROR(__xludf.DUMMYFUNCTION("""COMPUTED_VALUE"""),11740.0)</f>
        <v>11740</v>
      </c>
    </row>
    <row r="33" ht="15.75" customHeight="1">
      <c r="B33" s="3">
        <f>IFERROR(__xludf.DUMMYFUNCTION("""COMPUTED_VALUE"""),43686.64583333333)</f>
        <v>43686.64583</v>
      </c>
      <c r="C33" s="2">
        <f>IFERROR(__xludf.DUMMYFUNCTION("""COMPUTED_VALUE"""),12268.5)</f>
        <v>12268.5</v>
      </c>
    </row>
    <row r="34" ht="15.75" customHeight="1">
      <c r="B34" s="3">
        <f>IFERROR(__xludf.DUMMYFUNCTION("""COMPUTED_VALUE"""),43693.64583333333)</f>
        <v>43693.64583</v>
      </c>
      <c r="C34" s="2">
        <f>IFERROR(__xludf.DUMMYFUNCTION("""COMPUTED_VALUE"""),12192.95)</f>
        <v>12192.95</v>
      </c>
    </row>
    <row r="35" ht="15.75" customHeight="1">
      <c r="B35" s="3">
        <f>IFERROR(__xludf.DUMMYFUNCTION("""COMPUTED_VALUE"""),43700.64583333333)</f>
        <v>43700.64583</v>
      </c>
      <c r="C35" s="2">
        <f>IFERROR(__xludf.DUMMYFUNCTION("""COMPUTED_VALUE"""),12799.0)</f>
        <v>12799</v>
      </c>
    </row>
    <row r="36" ht="15.75" customHeight="1">
      <c r="B36" s="3">
        <f>IFERROR(__xludf.DUMMYFUNCTION("""COMPUTED_VALUE"""),43707.64583333333)</f>
        <v>43707.64583</v>
      </c>
      <c r="C36" s="2">
        <f>IFERROR(__xludf.DUMMYFUNCTION("""COMPUTED_VALUE"""),12948.8)</f>
        <v>12948.8</v>
      </c>
    </row>
    <row r="37" ht="15.75" customHeight="1">
      <c r="B37" s="3">
        <f>IFERROR(__xludf.DUMMYFUNCTION("""COMPUTED_VALUE"""),43714.64583333333)</f>
        <v>43714.64583</v>
      </c>
      <c r="C37" s="2">
        <f>IFERROR(__xludf.DUMMYFUNCTION("""COMPUTED_VALUE"""),12899.0)</f>
        <v>12899</v>
      </c>
    </row>
    <row r="38" ht="15.75" customHeight="1">
      <c r="B38" s="3">
        <f>IFERROR(__xludf.DUMMYFUNCTION("""COMPUTED_VALUE"""),43721.64583333333)</f>
        <v>43721.64583</v>
      </c>
      <c r="C38" s="2">
        <f>IFERROR(__xludf.DUMMYFUNCTION("""COMPUTED_VALUE"""),12900.0)</f>
        <v>12900</v>
      </c>
    </row>
    <row r="39" ht="15.75" customHeight="1">
      <c r="B39" s="3">
        <f>IFERROR(__xludf.DUMMYFUNCTION("""COMPUTED_VALUE"""),43728.64583333333)</f>
        <v>43728.64583</v>
      </c>
      <c r="C39" s="2">
        <f>IFERROR(__xludf.DUMMYFUNCTION("""COMPUTED_VALUE"""),13629.45)</f>
        <v>13629.45</v>
      </c>
    </row>
    <row r="40" ht="15.75" customHeight="1">
      <c r="B40" s="3">
        <f>IFERROR(__xludf.DUMMYFUNCTION("""COMPUTED_VALUE"""),43735.64583333333)</f>
        <v>43735.64583</v>
      </c>
      <c r="C40" s="2">
        <f>IFERROR(__xludf.DUMMYFUNCTION("""COMPUTED_VALUE"""),14144.0)</f>
        <v>14144</v>
      </c>
    </row>
    <row r="41" ht="15.75" customHeight="1">
      <c r="B41" s="3">
        <f>IFERROR(__xludf.DUMMYFUNCTION("""COMPUTED_VALUE"""),43742.64583333333)</f>
        <v>43742.64583</v>
      </c>
      <c r="C41" s="2">
        <f>IFERROR(__xludf.DUMMYFUNCTION("""COMPUTED_VALUE"""),13992.0)</f>
        <v>13992</v>
      </c>
    </row>
    <row r="42" ht="15.75" customHeight="1">
      <c r="B42" s="3">
        <f>IFERROR(__xludf.DUMMYFUNCTION("""COMPUTED_VALUE"""),43749.64583333333)</f>
        <v>43749.64583</v>
      </c>
      <c r="C42" s="2">
        <f>IFERROR(__xludf.DUMMYFUNCTION("""COMPUTED_VALUE"""),14075.0)</f>
        <v>14075</v>
      </c>
    </row>
    <row r="43" ht="15.75" customHeight="1">
      <c r="B43" s="3">
        <f>IFERROR(__xludf.DUMMYFUNCTION("""COMPUTED_VALUE"""),43756.64583333333)</f>
        <v>43756.64583</v>
      </c>
      <c r="C43" s="2">
        <f>IFERROR(__xludf.DUMMYFUNCTION("""COMPUTED_VALUE"""),14943.35)</f>
        <v>14943.35</v>
      </c>
    </row>
    <row r="44" ht="15.75" customHeight="1">
      <c r="B44" s="3">
        <f>IFERROR(__xludf.DUMMYFUNCTION("""COMPUTED_VALUE"""),43763.79166666667)</f>
        <v>43763.79167</v>
      </c>
      <c r="C44" s="2">
        <f>IFERROR(__xludf.DUMMYFUNCTION("""COMPUTED_VALUE"""),15125.85)</f>
        <v>15125.85</v>
      </c>
    </row>
    <row r="45" ht="15.75" customHeight="1">
      <c r="B45" s="3">
        <f>IFERROR(__xludf.DUMMYFUNCTION("""COMPUTED_VALUE"""),43770.64583333333)</f>
        <v>43770.64583</v>
      </c>
      <c r="C45" s="2">
        <f>IFERROR(__xludf.DUMMYFUNCTION("""COMPUTED_VALUE"""),15146.9)</f>
        <v>15146.9</v>
      </c>
    </row>
    <row r="46" ht="15.75" customHeight="1">
      <c r="B46" s="3">
        <f>IFERROR(__xludf.DUMMYFUNCTION("""COMPUTED_VALUE"""),43777.64583333333)</f>
        <v>43777.64583</v>
      </c>
      <c r="C46" s="2">
        <f>IFERROR(__xludf.DUMMYFUNCTION("""COMPUTED_VALUE"""),15091.7)</f>
        <v>15091.7</v>
      </c>
    </row>
    <row r="47" ht="15.75" customHeight="1">
      <c r="B47" s="3">
        <f>IFERROR(__xludf.DUMMYFUNCTION("""COMPUTED_VALUE"""),43784.64583333333)</f>
        <v>43784.64583</v>
      </c>
      <c r="C47" s="2">
        <f>IFERROR(__xludf.DUMMYFUNCTION("""COMPUTED_VALUE"""),14599.9)</f>
        <v>14599.9</v>
      </c>
    </row>
    <row r="48" ht="15.75" customHeight="1">
      <c r="B48" s="3">
        <f>IFERROR(__xludf.DUMMYFUNCTION("""COMPUTED_VALUE"""),43791.64583333333)</f>
        <v>43791.64583</v>
      </c>
      <c r="C48" s="2">
        <f>IFERROR(__xludf.DUMMYFUNCTION("""COMPUTED_VALUE"""),14349.9)</f>
        <v>14349.9</v>
      </c>
    </row>
    <row r="49" ht="15.75" customHeight="1">
      <c r="B49" s="3">
        <f>IFERROR(__xludf.DUMMYFUNCTION("""COMPUTED_VALUE"""),43798.64583333333)</f>
        <v>43798.64583</v>
      </c>
      <c r="C49" s="2">
        <f>IFERROR(__xludf.DUMMYFUNCTION("""COMPUTED_VALUE"""),14700.0)</f>
        <v>14700</v>
      </c>
    </row>
    <row r="50" ht="15.75" customHeight="1">
      <c r="B50" s="3">
        <f>IFERROR(__xludf.DUMMYFUNCTION("""COMPUTED_VALUE"""),43805.64583333333)</f>
        <v>43805.64583</v>
      </c>
      <c r="C50" s="2">
        <f>IFERROR(__xludf.DUMMYFUNCTION("""COMPUTED_VALUE"""),14553.3)</f>
        <v>14553.3</v>
      </c>
    </row>
    <row r="51" ht="15.75" customHeight="1">
      <c r="B51" s="3">
        <f>IFERROR(__xludf.DUMMYFUNCTION("""COMPUTED_VALUE"""),43812.64583333333)</f>
        <v>43812.64583</v>
      </c>
      <c r="C51" s="2">
        <f>IFERROR(__xludf.DUMMYFUNCTION("""COMPUTED_VALUE"""),14389.5)</f>
        <v>14389.5</v>
      </c>
    </row>
    <row r="52" ht="15.75" customHeight="1">
      <c r="B52" s="3">
        <f>IFERROR(__xludf.DUMMYFUNCTION("""COMPUTED_VALUE"""),43819.64583333333)</f>
        <v>43819.64583</v>
      </c>
      <c r="C52" s="2">
        <f>IFERROR(__xludf.DUMMYFUNCTION("""COMPUTED_VALUE"""),14978.0)</f>
        <v>14978</v>
      </c>
    </row>
    <row r="53" ht="15.75" customHeight="1">
      <c r="B53" s="3">
        <f>IFERROR(__xludf.DUMMYFUNCTION("""COMPUTED_VALUE"""),43826.64583333333)</f>
        <v>43826.64583</v>
      </c>
      <c r="C53" s="2">
        <f>IFERROR(__xludf.DUMMYFUNCTION("""COMPUTED_VALUE"""),14993.35)</f>
        <v>14993.35</v>
      </c>
    </row>
    <row r="54" ht="15.75" customHeight="1"/>
    <row r="55" ht="15.75" customHeight="1"/>
    <row r="56" ht="15.75" customHeight="1">
      <c r="B56" s="2" t="str">
        <f>IFERROR(__xludf.DUMMYFUNCTION("GOOGLEFINANCE(""NSE:NESTLEIND"", ""high"",DATE(2020,1,1),DATE(2021,1,1),""weekly"")"),"Date")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IFERROR(__xludf.DUMMYFUNCTION("""COMPUTED_VALUE"""),43833.64583333333)</f>
        <v>43833.64583</v>
      </c>
      <c r="C57" s="2">
        <f>IFERROR(__xludf.DUMMYFUNCTION("""COMPUTED_VALUE"""),14924.3)</f>
        <v>14924.3</v>
      </c>
    </row>
    <row r="58" ht="15.75" customHeight="1">
      <c r="B58" s="3">
        <f>IFERROR(__xludf.DUMMYFUNCTION("""COMPUTED_VALUE"""),43840.64583333333)</f>
        <v>43840.64583</v>
      </c>
      <c r="C58" s="2">
        <f>IFERROR(__xludf.DUMMYFUNCTION("""COMPUTED_VALUE"""),14718.9)</f>
        <v>14718.9</v>
      </c>
    </row>
    <row r="59" ht="15.75" customHeight="1">
      <c r="B59" s="3">
        <f>IFERROR(__xludf.DUMMYFUNCTION("""COMPUTED_VALUE"""),43847.64583333333)</f>
        <v>43847.64583</v>
      </c>
      <c r="C59" s="2">
        <f>IFERROR(__xludf.DUMMYFUNCTION("""COMPUTED_VALUE"""),15600.0)</f>
        <v>15600</v>
      </c>
    </row>
    <row r="60" ht="15.75" customHeight="1">
      <c r="B60" s="3">
        <f>IFERROR(__xludf.DUMMYFUNCTION("""COMPUTED_VALUE"""),43854.64583333333)</f>
        <v>43854.64583</v>
      </c>
      <c r="C60" s="2">
        <f>IFERROR(__xludf.DUMMYFUNCTION("""COMPUTED_VALUE"""),15850.0)</f>
        <v>15850</v>
      </c>
    </row>
    <row r="61" ht="15.75" customHeight="1">
      <c r="B61" s="3">
        <f>IFERROR(__xludf.DUMMYFUNCTION("""COMPUTED_VALUE"""),43862.70833333333)</f>
        <v>43862.70833</v>
      </c>
      <c r="C61" s="2">
        <f>IFERROR(__xludf.DUMMYFUNCTION("""COMPUTED_VALUE"""),15899.95)</f>
        <v>15899.95</v>
      </c>
    </row>
    <row r="62" ht="15.75" customHeight="1">
      <c r="B62" s="3">
        <f>IFERROR(__xludf.DUMMYFUNCTION("""COMPUTED_VALUE"""),43868.64583333333)</f>
        <v>43868.64583</v>
      </c>
      <c r="C62" s="2">
        <f>IFERROR(__xludf.DUMMYFUNCTION("""COMPUTED_VALUE"""),16549.45)</f>
        <v>16549.45</v>
      </c>
    </row>
    <row r="63" ht="15.75" customHeight="1">
      <c r="B63" s="3">
        <f>IFERROR(__xludf.DUMMYFUNCTION("""COMPUTED_VALUE"""),43875.64583333333)</f>
        <v>43875.64583</v>
      </c>
      <c r="C63" s="2">
        <f>IFERROR(__xludf.DUMMYFUNCTION("""COMPUTED_VALUE"""),16782.4)</f>
        <v>16782.4</v>
      </c>
    </row>
    <row r="64" ht="15.75" customHeight="1">
      <c r="B64" s="3">
        <f>IFERROR(__xludf.DUMMYFUNCTION("""COMPUTED_VALUE"""),43881.64583333333)</f>
        <v>43881.64583</v>
      </c>
      <c r="C64" s="2">
        <f>IFERROR(__xludf.DUMMYFUNCTION("""COMPUTED_VALUE"""),16831.5)</f>
        <v>16831.5</v>
      </c>
    </row>
    <row r="65" ht="15.75" customHeight="1">
      <c r="B65" s="3">
        <f>IFERROR(__xludf.DUMMYFUNCTION("""COMPUTED_VALUE"""),43889.64583333333)</f>
        <v>43889.64583</v>
      </c>
      <c r="C65" s="2">
        <f>IFERROR(__xludf.DUMMYFUNCTION("""COMPUTED_VALUE"""),16576.75)</f>
        <v>16576.75</v>
      </c>
    </row>
    <row r="66" ht="15.75" customHeight="1">
      <c r="B66" s="3">
        <f>IFERROR(__xludf.DUMMYFUNCTION("""COMPUTED_VALUE"""),43896.64583333333)</f>
        <v>43896.64583</v>
      </c>
      <c r="C66" s="2">
        <f>IFERROR(__xludf.DUMMYFUNCTION("""COMPUTED_VALUE"""),16835.15)</f>
        <v>16835.15</v>
      </c>
    </row>
    <row r="67" ht="15.75" customHeight="1">
      <c r="B67" s="3">
        <f>IFERROR(__xludf.DUMMYFUNCTION("""COMPUTED_VALUE"""),43903.64583333333)</f>
        <v>43903.64583</v>
      </c>
      <c r="C67" s="2">
        <f>IFERROR(__xludf.DUMMYFUNCTION("""COMPUTED_VALUE"""),16350.0)</f>
        <v>16350</v>
      </c>
    </row>
    <row r="68" ht="15.75" customHeight="1">
      <c r="B68" s="3">
        <f>IFERROR(__xludf.DUMMYFUNCTION("""COMPUTED_VALUE"""),43910.64583333333)</f>
        <v>43910.64583</v>
      </c>
      <c r="C68" s="2">
        <f>IFERROR(__xludf.DUMMYFUNCTION("""COMPUTED_VALUE"""),14931.05)</f>
        <v>14931.05</v>
      </c>
    </row>
    <row r="69" ht="15.75" customHeight="1">
      <c r="B69" s="3">
        <f>IFERROR(__xludf.DUMMYFUNCTION("""COMPUTED_VALUE"""),43917.64583333333)</f>
        <v>43917.64583</v>
      </c>
      <c r="C69" s="2">
        <f>IFERROR(__xludf.DUMMYFUNCTION("""COMPUTED_VALUE"""),15534.0)</f>
        <v>15534</v>
      </c>
    </row>
    <row r="70" ht="15.75" customHeight="1">
      <c r="B70" s="3">
        <f>IFERROR(__xludf.DUMMYFUNCTION("""COMPUTED_VALUE"""),43924.64583333333)</f>
        <v>43924.64583</v>
      </c>
      <c r="C70" s="2">
        <f>IFERROR(__xludf.DUMMYFUNCTION("""COMPUTED_VALUE"""),16456.0)</f>
        <v>16456</v>
      </c>
    </row>
    <row r="71" ht="15.75" customHeight="1">
      <c r="B71" s="3">
        <f>IFERROR(__xludf.DUMMYFUNCTION("""COMPUTED_VALUE"""),43930.64583333333)</f>
        <v>43930.64583</v>
      </c>
      <c r="C71" s="2">
        <f>IFERROR(__xludf.DUMMYFUNCTION("""COMPUTED_VALUE"""),17544.05)</f>
        <v>17544.05</v>
      </c>
    </row>
    <row r="72" ht="15.75" customHeight="1">
      <c r="B72" s="3">
        <f>IFERROR(__xludf.DUMMYFUNCTION("""COMPUTED_VALUE"""),43938.64583333333)</f>
        <v>43938.64583</v>
      </c>
      <c r="C72" s="2">
        <f>IFERROR(__xludf.DUMMYFUNCTION("""COMPUTED_VALUE"""),18369.95)</f>
        <v>18369.95</v>
      </c>
    </row>
    <row r="73" ht="15.75" customHeight="1">
      <c r="B73" s="3">
        <f>IFERROR(__xludf.DUMMYFUNCTION("""COMPUTED_VALUE"""),43945.64583333333)</f>
        <v>43945.64583</v>
      </c>
      <c r="C73" s="2">
        <f>IFERROR(__xludf.DUMMYFUNCTION("""COMPUTED_VALUE"""),17800.0)</f>
        <v>17800</v>
      </c>
    </row>
    <row r="74" ht="15.75" customHeight="1">
      <c r="B74" s="3">
        <f>IFERROR(__xludf.DUMMYFUNCTION("""COMPUTED_VALUE"""),43951.64583333333)</f>
        <v>43951.64583</v>
      </c>
      <c r="C74" s="2">
        <f>IFERROR(__xludf.DUMMYFUNCTION("""COMPUTED_VALUE"""),18022.95)</f>
        <v>18022.95</v>
      </c>
    </row>
    <row r="75" ht="15.75" customHeight="1">
      <c r="B75" s="3">
        <f>IFERROR(__xludf.DUMMYFUNCTION("""COMPUTED_VALUE"""),43959.64583333333)</f>
        <v>43959.64583</v>
      </c>
      <c r="C75" s="2">
        <f>IFERROR(__xludf.DUMMYFUNCTION("""COMPUTED_VALUE"""),17820.0)</f>
        <v>17820</v>
      </c>
    </row>
    <row r="76" ht="15.75" customHeight="1">
      <c r="B76" s="3">
        <f>IFERROR(__xludf.DUMMYFUNCTION("""COMPUTED_VALUE"""),43966.64583333333)</f>
        <v>43966.64583</v>
      </c>
      <c r="C76" s="2">
        <f>IFERROR(__xludf.DUMMYFUNCTION("""COMPUTED_VALUE"""),17920.0)</f>
        <v>17920</v>
      </c>
    </row>
    <row r="77" ht="15.75" customHeight="1">
      <c r="B77" s="3">
        <f>IFERROR(__xludf.DUMMYFUNCTION("""COMPUTED_VALUE"""),43973.64583333333)</f>
        <v>43973.64583</v>
      </c>
      <c r="C77" s="2">
        <f>IFERROR(__xludf.DUMMYFUNCTION("""COMPUTED_VALUE"""),16594.95)</f>
        <v>16594.95</v>
      </c>
    </row>
    <row r="78" ht="15.75" customHeight="1">
      <c r="B78" s="3">
        <f>IFERROR(__xludf.DUMMYFUNCTION("""COMPUTED_VALUE"""),43980.64583333333)</f>
        <v>43980.64583</v>
      </c>
      <c r="C78" s="2">
        <f>IFERROR(__xludf.DUMMYFUNCTION("""COMPUTED_VALUE"""),17600.0)</f>
        <v>17600</v>
      </c>
    </row>
    <row r="79" ht="15.75" customHeight="1">
      <c r="B79" s="3">
        <f>IFERROR(__xludf.DUMMYFUNCTION("""COMPUTED_VALUE"""),43987.64583333333)</f>
        <v>43987.64583</v>
      </c>
      <c r="C79" s="2">
        <f>IFERROR(__xludf.DUMMYFUNCTION("""COMPUTED_VALUE"""),17749.0)</f>
        <v>17749</v>
      </c>
    </row>
    <row r="80" ht="15.75" customHeight="1">
      <c r="B80" s="3">
        <f>IFERROR(__xludf.DUMMYFUNCTION("""COMPUTED_VALUE"""),43994.64583333333)</f>
        <v>43994.64583</v>
      </c>
      <c r="C80" s="2">
        <f>IFERROR(__xludf.DUMMYFUNCTION("""COMPUTED_VALUE"""),17250.0)</f>
        <v>17250</v>
      </c>
    </row>
    <row r="81" ht="15.75" customHeight="1">
      <c r="B81" s="3">
        <f>IFERROR(__xludf.DUMMYFUNCTION("""COMPUTED_VALUE"""),44001.64583333333)</f>
        <v>44001.64583</v>
      </c>
      <c r="C81" s="2">
        <f>IFERROR(__xludf.DUMMYFUNCTION("""COMPUTED_VALUE"""),16650.0)</f>
        <v>16650</v>
      </c>
    </row>
    <row r="82" ht="15.75" customHeight="1">
      <c r="B82" s="3">
        <f>IFERROR(__xludf.DUMMYFUNCTION("""COMPUTED_VALUE"""),44008.64583333333)</f>
        <v>44008.64583</v>
      </c>
      <c r="C82" s="2">
        <f>IFERROR(__xludf.DUMMYFUNCTION("""COMPUTED_VALUE"""),16930.0)</f>
        <v>16930</v>
      </c>
    </row>
    <row r="83" ht="15.75" customHeight="1">
      <c r="B83" s="3">
        <f>IFERROR(__xludf.DUMMYFUNCTION("""COMPUTED_VALUE"""),44015.64583333333)</f>
        <v>44015.64583</v>
      </c>
      <c r="C83" s="2">
        <f>IFERROR(__xludf.DUMMYFUNCTION("""COMPUTED_VALUE"""),17298.0)</f>
        <v>17298</v>
      </c>
    </row>
    <row r="84" ht="15.75" customHeight="1">
      <c r="B84" s="3">
        <f>IFERROR(__xludf.DUMMYFUNCTION("""COMPUTED_VALUE"""),44022.64583333333)</f>
        <v>44022.64583</v>
      </c>
      <c r="C84" s="2">
        <f>IFERROR(__xludf.DUMMYFUNCTION("""COMPUTED_VALUE"""),17150.0)</f>
        <v>17150</v>
      </c>
    </row>
    <row r="85" ht="15.75" customHeight="1">
      <c r="B85" s="3">
        <f>IFERROR(__xludf.DUMMYFUNCTION("""COMPUTED_VALUE"""),44029.64583333333)</f>
        <v>44029.64583</v>
      </c>
      <c r="C85" s="2">
        <f>IFERROR(__xludf.DUMMYFUNCTION("""COMPUTED_VALUE"""),17764.6)</f>
        <v>17764.6</v>
      </c>
    </row>
    <row r="86" ht="15.75" customHeight="1">
      <c r="B86" s="3">
        <f>IFERROR(__xludf.DUMMYFUNCTION("""COMPUTED_VALUE"""),44036.64583333333)</f>
        <v>44036.64583</v>
      </c>
      <c r="C86" s="2">
        <f>IFERROR(__xludf.DUMMYFUNCTION("""COMPUTED_VALUE"""),17494.95)</f>
        <v>17494.95</v>
      </c>
    </row>
    <row r="87" ht="15.75" customHeight="1">
      <c r="B87" s="3">
        <f>IFERROR(__xludf.DUMMYFUNCTION("""COMPUTED_VALUE"""),44043.64583333333)</f>
        <v>44043.64583</v>
      </c>
      <c r="C87" s="2">
        <f>IFERROR(__xludf.DUMMYFUNCTION("""COMPUTED_VALUE"""),17474.65)</f>
        <v>17474.65</v>
      </c>
    </row>
    <row r="88" ht="15.75" customHeight="1">
      <c r="B88" s="3">
        <f>IFERROR(__xludf.DUMMYFUNCTION("""COMPUTED_VALUE"""),44050.64583333333)</f>
        <v>44050.64583</v>
      </c>
      <c r="C88" s="2">
        <f>IFERROR(__xludf.DUMMYFUNCTION("""COMPUTED_VALUE"""),16899.0)</f>
        <v>16899</v>
      </c>
    </row>
    <row r="89" ht="15.75" customHeight="1">
      <c r="B89" s="3">
        <f>IFERROR(__xludf.DUMMYFUNCTION("""COMPUTED_VALUE"""),44057.64583333333)</f>
        <v>44057.64583</v>
      </c>
      <c r="C89" s="2">
        <f>IFERROR(__xludf.DUMMYFUNCTION("""COMPUTED_VALUE"""),16859.95)</f>
        <v>16859.95</v>
      </c>
    </row>
    <row r="90" ht="15.75" customHeight="1">
      <c r="B90" s="3">
        <f>IFERROR(__xludf.DUMMYFUNCTION("""COMPUTED_VALUE"""),44064.64583333333)</f>
        <v>44064.64583</v>
      </c>
      <c r="C90" s="2">
        <f>IFERROR(__xludf.DUMMYFUNCTION("""COMPUTED_VALUE"""),16690.0)</f>
        <v>16690</v>
      </c>
    </row>
    <row r="91" ht="15.75" customHeight="1">
      <c r="B91" s="3">
        <f>IFERROR(__xludf.DUMMYFUNCTION("""COMPUTED_VALUE"""),44071.64583333333)</f>
        <v>44071.64583</v>
      </c>
      <c r="C91" s="2">
        <f>IFERROR(__xludf.DUMMYFUNCTION("""COMPUTED_VALUE"""),16707.9)</f>
        <v>16707.9</v>
      </c>
    </row>
    <row r="92" ht="15.75" customHeight="1">
      <c r="B92" s="3">
        <f>IFERROR(__xludf.DUMMYFUNCTION("""COMPUTED_VALUE"""),44078.64583333333)</f>
        <v>44078.64583</v>
      </c>
      <c r="C92" s="2">
        <f>IFERROR(__xludf.DUMMYFUNCTION("""COMPUTED_VALUE"""),16439.6)</f>
        <v>16439.6</v>
      </c>
    </row>
    <row r="93" ht="15.75" customHeight="1">
      <c r="B93" s="3">
        <f>IFERROR(__xludf.DUMMYFUNCTION("""COMPUTED_VALUE"""),44085.64583333333)</f>
        <v>44085.64583</v>
      </c>
      <c r="C93" s="2">
        <f>IFERROR(__xludf.DUMMYFUNCTION("""COMPUTED_VALUE"""),16515.0)</f>
        <v>16515</v>
      </c>
    </row>
    <row r="94" ht="15.75" customHeight="1">
      <c r="B94" s="3">
        <f>IFERROR(__xludf.DUMMYFUNCTION("""COMPUTED_VALUE"""),44092.64583333333)</f>
        <v>44092.64583</v>
      </c>
      <c r="C94" s="2">
        <f>IFERROR(__xludf.DUMMYFUNCTION("""COMPUTED_VALUE"""),16400.0)</f>
        <v>16400</v>
      </c>
    </row>
    <row r="95" ht="15.75" customHeight="1">
      <c r="B95" s="3">
        <f>IFERROR(__xludf.DUMMYFUNCTION("""COMPUTED_VALUE"""),44099.64583333333)</f>
        <v>44099.64583</v>
      </c>
      <c r="C95" s="2">
        <f>IFERROR(__xludf.DUMMYFUNCTION("""COMPUTED_VALUE"""),16049.5)</f>
        <v>16049.5</v>
      </c>
    </row>
    <row r="96" ht="15.75" customHeight="1">
      <c r="B96" s="3">
        <f>IFERROR(__xludf.DUMMYFUNCTION("""COMPUTED_VALUE"""),44105.64583333333)</f>
        <v>44105.64583</v>
      </c>
      <c r="C96" s="2">
        <f>IFERROR(__xludf.DUMMYFUNCTION("""COMPUTED_VALUE"""),16050.0)</f>
        <v>16050</v>
      </c>
    </row>
    <row r="97" ht="15.75" customHeight="1">
      <c r="B97" s="3">
        <f>IFERROR(__xludf.DUMMYFUNCTION("""COMPUTED_VALUE"""),44113.64583333333)</f>
        <v>44113.64583</v>
      </c>
      <c r="C97" s="2">
        <f>IFERROR(__xludf.DUMMYFUNCTION("""COMPUTED_VALUE"""),16350.0)</f>
        <v>16350</v>
      </c>
    </row>
    <row r="98" ht="15.75" customHeight="1">
      <c r="B98" s="3">
        <f>IFERROR(__xludf.DUMMYFUNCTION("""COMPUTED_VALUE"""),44120.64583333333)</f>
        <v>44120.64583</v>
      </c>
      <c r="C98" s="2">
        <f>IFERROR(__xludf.DUMMYFUNCTION("""COMPUTED_VALUE"""),16149.6)</f>
        <v>16149.6</v>
      </c>
    </row>
    <row r="99" ht="15.75" customHeight="1">
      <c r="B99" s="3">
        <f>IFERROR(__xludf.DUMMYFUNCTION("""COMPUTED_VALUE"""),44127.64583333333)</f>
        <v>44127.64583</v>
      </c>
      <c r="C99" s="2">
        <f>IFERROR(__xludf.DUMMYFUNCTION("""COMPUTED_VALUE"""),16410.0)</f>
        <v>16410</v>
      </c>
    </row>
    <row r="100" ht="15.75" customHeight="1">
      <c r="B100" s="3">
        <f>IFERROR(__xludf.DUMMYFUNCTION("""COMPUTED_VALUE"""),44134.64583333333)</f>
        <v>44134.64583</v>
      </c>
      <c r="C100" s="2">
        <f>IFERROR(__xludf.DUMMYFUNCTION("""COMPUTED_VALUE"""),17360.0)</f>
        <v>17360</v>
      </c>
    </row>
    <row r="101" ht="15.75" customHeight="1">
      <c r="B101" s="3">
        <f>IFERROR(__xludf.DUMMYFUNCTION("""COMPUTED_VALUE"""),44141.64583333333)</f>
        <v>44141.64583</v>
      </c>
      <c r="C101" s="2">
        <f>IFERROR(__xludf.DUMMYFUNCTION("""COMPUTED_VALUE"""),17399.0)</f>
        <v>17399</v>
      </c>
    </row>
    <row r="102" ht="15.75" customHeight="1">
      <c r="B102" s="3">
        <f>IFERROR(__xludf.DUMMYFUNCTION("""COMPUTED_VALUE"""),44155.64583333333)</f>
        <v>44155.64583</v>
      </c>
      <c r="C102" s="2">
        <f>IFERROR(__xludf.DUMMYFUNCTION("""COMPUTED_VALUE"""),17500.0)</f>
        <v>17500</v>
      </c>
    </row>
    <row r="103" ht="15.75" customHeight="1">
      <c r="B103" s="3">
        <f>IFERROR(__xludf.DUMMYFUNCTION("""COMPUTED_VALUE"""),44162.64583333333)</f>
        <v>44162.64583</v>
      </c>
      <c r="C103" s="2">
        <f>IFERROR(__xludf.DUMMYFUNCTION("""COMPUTED_VALUE"""),18068.9)</f>
        <v>18068.9</v>
      </c>
    </row>
    <row r="104" ht="15.75" customHeight="1">
      <c r="B104" s="3">
        <f>IFERROR(__xludf.DUMMYFUNCTION("""COMPUTED_VALUE"""),44169.64583333333)</f>
        <v>44169.64583</v>
      </c>
      <c r="C104" s="2">
        <f>IFERROR(__xludf.DUMMYFUNCTION("""COMPUTED_VALUE"""),18067.9)</f>
        <v>18067.9</v>
      </c>
    </row>
    <row r="105" ht="15.75" customHeight="1">
      <c r="B105" s="3">
        <f>IFERROR(__xludf.DUMMYFUNCTION("""COMPUTED_VALUE"""),44176.64583333333)</f>
        <v>44176.64583</v>
      </c>
      <c r="C105" s="2">
        <f>IFERROR(__xludf.DUMMYFUNCTION("""COMPUTED_VALUE"""),18460.0)</f>
        <v>18460</v>
      </c>
    </row>
    <row r="106" ht="15.75" customHeight="1">
      <c r="B106" s="3">
        <f>IFERROR(__xludf.DUMMYFUNCTION("""COMPUTED_VALUE"""),44183.64583333333)</f>
        <v>44183.64583</v>
      </c>
      <c r="C106" s="2">
        <f>IFERROR(__xludf.DUMMYFUNCTION("""COMPUTED_VALUE"""),18734.95)</f>
        <v>18734.95</v>
      </c>
    </row>
    <row r="107" ht="15.75" customHeight="1">
      <c r="B107" s="3">
        <f>IFERROR(__xludf.DUMMYFUNCTION("""COMPUTED_VALUE"""),44189.64583333333)</f>
        <v>44189.64583</v>
      </c>
      <c r="C107" s="2">
        <f>IFERROR(__xludf.DUMMYFUNCTION("""COMPUTED_VALUE"""),18830.0)</f>
        <v>18830</v>
      </c>
    </row>
    <row r="108" ht="15.75" customHeight="1">
      <c r="B108" s="3">
        <f>IFERROR(__xludf.DUMMYFUNCTION("""COMPUTED_VALUE"""),44197.64583333333)</f>
        <v>44197.64583</v>
      </c>
      <c r="C108" s="2">
        <f>IFERROR(__xludf.DUMMYFUNCTION("""COMPUTED_VALUE"""),18844.0)</f>
        <v>18844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IFERROR(__xludf.DUMMYFUNCTION("GOOGLEFINANCE(""NSE:SHREECEM"", ""high"",DATE(2020,1,1),DATE(2021,1,1),""weekly"")"),"Date")</f>
        <v>Date</v>
      </c>
      <c r="C1" s="2" t="str">
        <f>IFERROR(__xludf.DUMMYFUNCTION("""COMPUTED_VALUE"""),"High")</f>
        <v>High</v>
      </c>
    </row>
    <row r="2">
      <c r="A2" s="2" t="s">
        <v>19</v>
      </c>
      <c r="B2" s="3">
        <f>IFERROR(__xludf.DUMMYFUNCTION("""COMPUTED_VALUE"""),43833.64583333333)</f>
        <v>43833.64583</v>
      </c>
      <c r="C2" s="2">
        <f>IFERROR(__xludf.DUMMYFUNCTION("""COMPUTED_VALUE"""),21398.95)</f>
        <v>21398.95</v>
      </c>
    </row>
    <row r="3">
      <c r="B3" s="3">
        <f>IFERROR(__xludf.DUMMYFUNCTION("""COMPUTED_VALUE"""),43840.64583333333)</f>
        <v>43840.64583</v>
      </c>
      <c r="C3" s="2">
        <f>IFERROR(__xludf.DUMMYFUNCTION("""COMPUTED_VALUE"""),23409.5)</f>
        <v>23409.5</v>
      </c>
    </row>
    <row r="4">
      <c r="B4" s="3">
        <f>IFERROR(__xludf.DUMMYFUNCTION("""COMPUTED_VALUE"""),43847.64583333333)</f>
        <v>43847.64583</v>
      </c>
      <c r="C4" s="2">
        <f>IFERROR(__xludf.DUMMYFUNCTION("""COMPUTED_VALUE"""),24263.05)</f>
        <v>24263.05</v>
      </c>
    </row>
    <row r="5">
      <c r="B5" s="3">
        <f>IFERROR(__xludf.DUMMYFUNCTION("""COMPUTED_VALUE"""),43854.64583333333)</f>
        <v>43854.64583</v>
      </c>
      <c r="C5" s="2">
        <f>IFERROR(__xludf.DUMMYFUNCTION("""COMPUTED_VALUE"""),23508.8)</f>
        <v>23508.8</v>
      </c>
    </row>
    <row r="6">
      <c r="B6" s="3">
        <f>IFERROR(__xludf.DUMMYFUNCTION("""COMPUTED_VALUE"""),43862.70833333333)</f>
        <v>43862.70833</v>
      </c>
      <c r="C6" s="2">
        <f>IFERROR(__xludf.DUMMYFUNCTION("""COMPUTED_VALUE"""),23990.0)</f>
        <v>23990</v>
      </c>
    </row>
    <row r="7">
      <c r="B7" s="3">
        <f>IFERROR(__xludf.DUMMYFUNCTION("""COMPUTED_VALUE"""),43868.64583333333)</f>
        <v>43868.64583</v>
      </c>
      <c r="C7" s="2">
        <f>IFERROR(__xludf.DUMMYFUNCTION("""COMPUTED_VALUE"""),25355.0)</f>
        <v>25355</v>
      </c>
    </row>
    <row r="8">
      <c r="B8" s="3">
        <f>IFERROR(__xludf.DUMMYFUNCTION("""COMPUTED_VALUE"""),43875.64583333333)</f>
        <v>43875.64583</v>
      </c>
      <c r="C8" s="2">
        <f>IFERROR(__xludf.DUMMYFUNCTION("""COMPUTED_VALUE"""),25240.45)</f>
        <v>25240.45</v>
      </c>
    </row>
    <row r="9">
      <c r="B9" s="3">
        <f>IFERROR(__xludf.DUMMYFUNCTION("""COMPUTED_VALUE"""),43881.64583333333)</f>
        <v>43881.64583</v>
      </c>
      <c r="C9" s="2">
        <f>IFERROR(__xludf.DUMMYFUNCTION("""COMPUTED_VALUE"""),25199.9)</f>
        <v>25199.9</v>
      </c>
    </row>
    <row r="10">
      <c r="B10" s="3">
        <f>IFERROR(__xludf.DUMMYFUNCTION("""COMPUTED_VALUE"""),43889.64583333333)</f>
        <v>43889.64583</v>
      </c>
      <c r="C10" s="2">
        <f>IFERROR(__xludf.DUMMYFUNCTION("""COMPUTED_VALUE"""),24576.1)</f>
        <v>24576.1</v>
      </c>
    </row>
    <row r="11">
      <c r="B11" s="3">
        <f>IFERROR(__xludf.DUMMYFUNCTION("""COMPUTED_VALUE"""),43896.64583333333)</f>
        <v>43896.64583</v>
      </c>
      <c r="C11" s="2">
        <f>IFERROR(__xludf.DUMMYFUNCTION("""COMPUTED_VALUE"""),23896.5)</f>
        <v>23896.5</v>
      </c>
    </row>
    <row r="12">
      <c r="B12" s="3">
        <f>IFERROR(__xludf.DUMMYFUNCTION("""COMPUTED_VALUE"""),43903.64583333333)</f>
        <v>43903.64583</v>
      </c>
      <c r="C12" s="2">
        <f>IFERROR(__xludf.DUMMYFUNCTION("""COMPUTED_VALUE"""),23000.95)</f>
        <v>23000.95</v>
      </c>
    </row>
    <row r="13">
      <c r="B13" s="3">
        <f>IFERROR(__xludf.DUMMYFUNCTION("""COMPUTED_VALUE"""),43910.64583333333)</f>
        <v>43910.64583</v>
      </c>
      <c r="C13" s="2">
        <f>IFERROR(__xludf.DUMMYFUNCTION("""COMPUTED_VALUE"""),21388.0)</f>
        <v>21388</v>
      </c>
    </row>
    <row r="14">
      <c r="B14" s="3">
        <f>IFERROR(__xludf.DUMMYFUNCTION("""COMPUTED_VALUE"""),43917.64583333333)</f>
        <v>43917.64583</v>
      </c>
      <c r="C14" s="2">
        <f>IFERROR(__xludf.DUMMYFUNCTION("""COMPUTED_VALUE"""),18569.6)</f>
        <v>18569.6</v>
      </c>
    </row>
    <row r="15">
      <c r="B15" s="3">
        <f>IFERROR(__xludf.DUMMYFUNCTION("""COMPUTED_VALUE"""),43924.64583333333)</f>
        <v>43924.64583</v>
      </c>
      <c r="C15" s="2">
        <f>IFERROR(__xludf.DUMMYFUNCTION("""COMPUTED_VALUE"""),17716.9)</f>
        <v>17716.9</v>
      </c>
    </row>
    <row r="16">
      <c r="B16" s="3">
        <f>IFERROR(__xludf.DUMMYFUNCTION("""COMPUTED_VALUE"""),43930.64583333333)</f>
        <v>43930.64583</v>
      </c>
      <c r="C16" s="2">
        <f>IFERROR(__xludf.DUMMYFUNCTION("""COMPUTED_VALUE"""),17031.0)</f>
        <v>17031</v>
      </c>
    </row>
    <row r="17">
      <c r="B17" s="3">
        <f>IFERROR(__xludf.DUMMYFUNCTION("""COMPUTED_VALUE"""),43938.64583333333)</f>
        <v>43938.64583</v>
      </c>
      <c r="C17" s="2">
        <f>IFERROR(__xludf.DUMMYFUNCTION("""COMPUTED_VALUE"""),19731.7)</f>
        <v>19731.7</v>
      </c>
    </row>
    <row r="18">
      <c r="B18" s="3">
        <f>IFERROR(__xludf.DUMMYFUNCTION("""COMPUTED_VALUE"""),43945.64583333333)</f>
        <v>43945.64583</v>
      </c>
      <c r="C18" s="2">
        <f>IFERROR(__xludf.DUMMYFUNCTION("""COMPUTED_VALUE"""),19620.0)</f>
        <v>19620</v>
      </c>
    </row>
    <row r="19">
      <c r="B19" s="3">
        <f>IFERROR(__xludf.DUMMYFUNCTION("""COMPUTED_VALUE"""),43951.64583333333)</f>
        <v>43951.64583</v>
      </c>
      <c r="C19" s="2">
        <f>IFERROR(__xludf.DUMMYFUNCTION("""COMPUTED_VALUE"""),19890.0)</f>
        <v>19890</v>
      </c>
    </row>
    <row r="20">
      <c r="B20" s="3">
        <f>IFERROR(__xludf.DUMMYFUNCTION("""COMPUTED_VALUE"""),43959.64583333333)</f>
        <v>43959.64583</v>
      </c>
      <c r="C20" s="2">
        <f>IFERROR(__xludf.DUMMYFUNCTION("""COMPUTED_VALUE"""),19304.65)</f>
        <v>19304.65</v>
      </c>
    </row>
    <row r="21" ht="15.75" customHeight="1">
      <c r="B21" s="3">
        <f>IFERROR(__xludf.DUMMYFUNCTION("""COMPUTED_VALUE"""),43966.64583333333)</f>
        <v>43966.64583</v>
      </c>
      <c r="C21" s="2">
        <f>IFERROR(__xludf.DUMMYFUNCTION("""COMPUTED_VALUE"""),20309.95)</f>
        <v>20309.95</v>
      </c>
    </row>
    <row r="22" ht="15.75" customHeight="1">
      <c r="B22" s="3">
        <f>IFERROR(__xludf.DUMMYFUNCTION("""COMPUTED_VALUE"""),43973.64583333333)</f>
        <v>43973.64583</v>
      </c>
      <c r="C22" s="2">
        <f>IFERROR(__xludf.DUMMYFUNCTION("""COMPUTED_VALUE"""),20150.45)</f>
        <v>20150.45</v>
      </c>
    </row>
    <row r="23" ht="15.75" customHeight="1">
      <c r="B23" s="3">
        <f>IFERROR(__xludf.DUMMYFUNCTION("""COMPUTED_VALUE"""),43980.64583333333)</f>
        <v>43980.64583</v>
      </c>
      <c r="C23" s="2">
        <f>IFERROR(__xludf.DUMMYFUNCTION("""COMPUTED_VALUE"""),21163.35)</f>
        <v>21163.35</v>
      </c>
    </row>
    <row r="24" ht="15.75" customHeight="1">
      <c r="B24" s="3">
        <f>IFERROR(__xludf.DUMMYFUNCTION("""COMPUTED_VALUE"""),43987.64583333333)</f>
        <v>43987.64583</v>
      </c>
      <c r="C24" s="2">
        <f>IFERROR(__xludf.DUMMYFUNCTION("""COMPUTED_VALUE"""),22430.0)</f>
        <v>22430</v>
      </c>
    </row>
    <row r="25" ht="15.75" customHeight="1">
      <c r="B25" s="3">
        <f>IFERROR(__xludf.DUMMYFUNCTION("""COMPUTED_VALUE"""),43994.64583333333)</f>
        <v>43994.64583</v>
      </c>
      <c r="C25" s="2">
        <f>IFERROR(__xludf.DUMMYFUNCTION("""COMPUTED_VALUE"""),23137.25)</f>
        <v>23137.25</v>
      </c>
    </row>
    <row r="26" ht="15.75" customHeight="1">
      <c r="B26" s="3">
        <f>IFERROR(__xludf.DUMMYFUNCTION("""COMPUTED_VALUE"""),44001.64583333333)</f>
        <v>44001.64583</v>
      </c>
      <c r="C26" s="2">
        <f>IFERROR(__xludf.DUMMYFUNCTION("""COMPUTED_VALUE"""),22539.95)</f>
        <v>22539.95</v>
      </c>
    </row>
    <row r="27" ht="15.75" customHeight="1">
      <c r="B27" s="3">
        <f>IFERROR(__xludf.DUMMYFUNCTION("""COMPUTED_VALUE"""),44008.64583333333)</f>
        <v>44008.64583</v>
      </c>
      <c r="C27" s="2">
        <f>IFERROR(__xludf.DUMMYFUNCTION("""COMPUTED_VALUE"""),23068.0)</f>
        <v>23068</v>
      </c>
    </row>
    <row r="28" ht="15.75" customHeight="1">
      <c r="B28" s="3">
        <f>IFERROR(__xludf.DUMMYFUNCTION("""COMPUTED_VALUE"""),44015.64583333333)</f>
        <v>44015.64583</v>
      </c>
      <c r="C28" s="2">
        <f>IFERROR(__xludf.DUMMYFUNCTION("""COMPUTED_VALUE"""),23330.0)</f>
        <v>23330</v>
      </c>
    </row>
    <row r="29" ht="15.75" customHeight="1">
      <c r="B29" s="3">
        <f>IFERROR(__xludf.DUMMYFUNCTION("""COMPUTED_VALUE"""),44022.64583333333)</f>
        <v>44022.64583</v>
      </c>
      <c r="C29" s="2">
        <f>IFERROR(__xludf.DUMMYFUNCTION("""COMPUTED_VALUE"""),23215.0)</f>
        <v>23215</v>
      </c>
    </row>
    <row r="30" ht="15.75" customHeight="1">
      <c r="B30" s="3">
        <f>IFERROR(__xludf.DUMMYFUNCTION("""COMPUTED_VALUE"""),44029.64583333333)</f>
        <v>44029.64583</v>
      </c>
      <c r="C30" s="2">
        <f>IFERROR(__xludf.DUMMYFUNCTION("""COMPUTED_VALUE"""),22627.85)</f>
        <v>22627.85</v>
      </c>
    </row>
    <row r="31" ht="15.75" customHeight="1">
      <c r="B31" s="3">
        <f>IFERROR(__xludf.DUMMYFUNCTION("""COMPUTED_VALUE"""),44036.64583333333)</f>
        <v>44036.64583</v>
      </c>
      <c r="C31" s="2">
        <f>IFERROR(__xludf.DUMMYFUNCTION("""COMPUTED_VALUE"""),22810.0)</f>
        <v>22810</v>
      </c>
    </row>
    <row r="32" ht="15.75" customHeight="1">
      <c r="B32" s="3">
        <f>IFERROR(__xludf.DUMMYFUNCTION("""COMPUTED_VALUE"""),44043.64583333333)</f>
        <v>44043.64583</v>
      </c>
      <c r="C32" s="2">
        <f>IFERROR(__xludf.DUMMYFUNCTION("""COMPUTED_VALUE"""),22200.0)</f>
        <v>22200</v>
      </c>
    </row>
    <row r="33" ht="15.75" customHeight="1">
      <c r="B33" s="3">
        <f>IFERROR(__xludf.DUMMYFUNCTION("""COMPUTED_VALUE"""),44050.64583333333)</f>
        <v>44050.64583</v>
      </c>
      <c r="C33" s="2">
        <f>IFERROR(__xludf.DUMMYFUNCTION("""COMPUTED_VALUE"""),22165.0)</f>
        <v>22165</v>
      </c>
    </row>
    <row r="34" ht="15.75" customHeight="1">
      <c r="B34" s="3">
        <f>IFERROR(__xludf.DUMMYFUNCTION("""COMPUTED_VALUE"""),44057.64583333333)</f>
        <v>44057.64583</v>
      </c>
      <c r="C34" s="2">
        <f>IFERROR(__xludf.DUMMYFUNCTION("""COMPUTED_VALUE"""),22550.0)</f>
        <v>22550</v>
      </c>
    </row>
    <row r="35" ht="15.75" customHeight="1">
      <c r="B35" s="3">
        <f>IFERROR(__xludf.DUMMYFUNCTION("""COMPUTED_VALUE"""),44064.64583333333)</f>
        <v>44064.64583</v>
      </c>
      <c r="C35" s="2">
        <f>IFERROR(__xludf.DUMMYFUNCTION("""COMPUTED_VALUE"""),22467.8)</f>
        <v>22467.8</v>
      </c>
    </row>
    <row r="36" ht="15.75" customHeight="1">
      <c r="B36" s="3">
        <f>IFERROR(__xludf.DUMMYFUNCTION("""COMPUTED_VALUE"""),44071.64583333333)</f>
        <v>44071.64583</v>
      </c>
      <c r="C36" s="2">
        <f>IFERROR(__xludf.DUMMYFUNCTION("""COMPUTED_VALUE"""),22543.0)</f>
        <v>22543</v>
      </c>
    </row>
    <row r="37" ht="15.75" customHeight="1">
      <c r="B37" s="3">
        <f>IFERROR(__xludf.DUMMYFUNCTION("""COMPUTED_VALUE"""),44078.64583333333)</f>
        <v>44078.64583</v>
      </c>
      <c r="C37" s="2">
        <f>IFERROR(__xludf.DUMMYFUNCTION("""COMPUTED_VALUE"""),21550.0)</f>
        <v>21550</v>
      </c>
    </row>
    <row r="38" ht="15.75" customHeight="1">
      <c r="B38" s="3">
        <f>IFERROR(__xludf.DUMMYFUNCTION("""COMPUTED_VALUE"""),44085.64583333333)</f>
        <v>44085.64583</v>
      </c>
      <c r="C38" s="2">
        <f>IFERROR(__xludf.DUMMYFUNCTION("""COMPUTED_VALUE"""),20199.0)</f>
        <v>20199</v>
      </c>
    </row>
    <row r="39" ht="15.75" customHeight="1">
      <c r="B39" s="3">
        <f>IFERROR(__xludf.DUMMYFUNCTION("""COMPUTED_VALUE"""),44092.64583333333)</f>
        <v>44092.64583</v>
      </c>
      <c r="C39" s="2">
        <f>IFERROR(__xludf.DUMMYFUNCTION("""COMPUTED_VALUE"""),20492.55)</f>
        <v>20492.55</v>
      </c>
    </row>
    <row r="40" ht="15.75" customHeight="1">
      <c r="B40" s="3">
        <f>IFERROR(__xludf.DUMMYFUNCTION("""COMPUTED_VALUE"""),44099.64583333333)</f>
        <v>44099.64583</v>
      </c>
      <c r="C40" s="2">
        <f>IFERROR(__xludf.DUMMYFUNCTION("""COMPUTED_VALUE"""),19600.0)</f>
        <v>19600</v>
      </c>
    </row>
    <row r="41" ht="15.75" customHeight="1">
      <c r="B41" s="3">
        <f>IFERROR(__xludf.DUMMYFUNCTION("""COMPUTED_VALUE"""),44105.64583333333)</f>
        <v>44105.64583</v>
      </c>
      <c r="C41" s="2">
        <f>IFERROR(__xludf.DUMMYFUNCTION("""COMPUTED_VALUE"""),20659.95)</f>
        <v>20659.95</v>
      </c>
    </row>
    <row r="42" ht="15.75" customHeight="1">
      <c r="B42" s="3">
        <f>IFERROR(__xludf.DUMMYFUNCTION("""COMPUTED_VALUE"""),44113.64583333333)</f>
        <v>44113.64583</v>
      </c>
      <c r="C42" s="2">
        <f>IFERROR(__xludf.DUMMYFUNCTION("""COMPUTED_VALUE"""),21250.0)</f>
        <v>21250</v>
      </c>
    </row>
    <row r="43" ht="15.75" customHeight="1">
      <c r="B43" s="3">
        <f>IFERROR(__xludf.DUMMYFUNCTION("""COMPUTED_VALUE"""),44120.64583333333)</f>
        <v>44120.64583</v>
      </c>
      <c r="C43" s="2">
        <f>IFERROR(__xludf.DUMMYFUNCTION("""COMPUTED_VALUE"""),21700.0)</f>
        <v>21700</v>
      </c>
    </row>
    <row r="44" ht="15.75" customHeight="1">
      <c r="B44" s="3">
        <f>IFERROR(__xludf.DUMMYFUNCTION("""COMPUTED_VALUE"""),44127.64583333333)</f>
        <v>44127.64583</v>
      </c>
      <c r="C44" s="2">
        <f>IFERROR(__xludf.DUMMYFUNCTION("""COMPUTED_VALUE"""),21550.0)</f>
        <v>21550</v>
      </c>
    </row>
    <row r="45" ht="15.75" customHeight="1">
      <c r="B45" s="3">
        <f>IFERROR(__xludf.DUMMYFUNCTION("""COMPUTED_VALUE"""),44134.64583333333)</f>
        <v>44134.64583</v>
      </c>
      <c r="C45" s="2">
        <f>IFERROR(__xludf.DUMMYFUNCTION("""COMPUTED_VALUE"""),22100.0)</f>
        <v>22100</v>
      </c>
    </row>
    <row r="46" ht="15.75" customHeight="1">
      <c r="B46" s="3">
        <f>IFERROR(__xludf.DUMMYFUNCTION("""COMPUTED_VALUE"""),44141.64583333333)</f>
        <v>44141.64583</v>
      </c>
      <c r="C46" s="2">
        <f>IFERROR(__xludf.DUMMYFUNCTION("""COMPUTED_VALUE"""),22378.9)</f>
        <v>22378.9</v>
      </c>
    </row>
    <row r="47" ht="15.75" customHeight="1">
      <c r="B47" s="3">
        <f>IFERROR(__xludf.DUMMYFUNCTION("""COMPUTED_VALUE"""),44155.64583333333)</f>
        <v>44155.64583</v>
      </c>
      <c r="C47" s="2">
        <f>IFERROR(__xludf.DUMMYFUNCTION("""COMPUTED_VALUE"""),24287.0)</f>
        <v>24287</v>
      </c>
    </row>
    <row r="48" ht="15.75" customHeight="1">
      <c r="B48" s="3">
        <f>IFERROR(__xludf.DUMMYFUNCTION("""COMPUTED_VALUE"""),44162.64583333333)</f>
        <v>44162.64583</v>
      </c>
      <c r="C48" s="2">
        <f>IFERROR(__xludf.DUMMYFUNCTION("""COMPUTED_VALUE"""),24695.95)</f>
        <v>24695.95</v>
      </c>
    </row>
    <row r="49" ht="15.75" customHeight="1">
      <c r="B49" s="3">
        <f>IFERROR(__xludf.DUMMYFUNCTION("""COMPUTED_VALUE"""),44169.64583333333)</f>
        <v>44169.64583</v>
      </c>
      <c r="C49" s="2">
        <f>IFERROR(__xludf.DUMMYFUNCTION("""COMPUTED_VALUE"""),25655.5)</f>
        <v>25655.5</v>
      </c>
    </row>
    <row r="50" ht="15.75" customHeight="1">
      <c r="B50" s="3">
        <f>IFERROR(__xludf.DUMMYFUNCTION("""COMPUTED_VALUE"""),44176.64583333333)</f>
        <v>44176.64583</v>
      </c>
      <c r="C50" s="2">
        <f>IFERROR(__xludf.DUMMYFUNCTION("""COMPUTED_VALUE"""),25289.95)</f>
        <v>25289.95</v>
      </c>
    </row>
    <row r="51" ht="15.75" customHeight="1">
      <c r="B51" s="3">
        <f>IFERROR(__xludf.DUMMYFUNCTION("""COMPUTED_VALUE"""),44183.64583333333)</f>
        <v>44183.64583</v>
      </c>
      <c r="C51" s="2">
        <f>IFERROR(__xludf.DUMMYFUNCTION("""COMPUTED_VALUE"""),24899.0)</f>
        <v>24899</v>
      </c>
    </row>
    <row r="52" ht="15.75" customHeight="1">
      <c r="B52" s="3">
        <f>IFERROR(__xludf.DUMMYFUNCTION("""COMPUTED_VALUE"""),44189.64583333333)</f>
        <v>44189.64583</v>
      </c>
      <c r="C52" s="2">
        <f>IFERROR(__xludf.DUMMYFUNCTION("""COMPUTED_VALUE"""),24550.0)</f>
        <v>24550</v>
      </c>
    </row>
    <row r="53" ht="15.75" customHeight="1">
      <c r="B53" s="3">
        <f>IFERROR(__xludf.DUMMYFUNCTION("""COMPUTED_VALUE"""),44197.64583333333)</f>
        <v>44197.64583</v>
      </c>
      <c r="C53" s="2">
        <f>IFERROR(__xludf.DUMMYFUNCTION("""COMPUTED_VALUE"""),24701.6)</f>
        <v>24701.6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tr">
        <f>IFERROR(__xludf.DUMMYFUNCTION("GOOGLEFINANCE(""NSE:TATACHEM"", ""high"",DATE(2002,1,1),DATE(2003,1,1),""weekly"")"),"Date")</f>
        <v>Date</v>
      </c>
      <c r="C1" s="2" t="str">
        <f>IFERROR(__xludf.DUMMYFUNCTION("""COMPUTED_VALUE"""),"High")</f>
        <v>High</v>
      </c>
    </row>
    <row r="2">
      <c r="A2" s="2" t="s">
        <v>1</v>
      </c>
      <c r="B2" s="3">
        <f>IFERROR(__xludf.DUMMYFUNCTION("""COMPUTED_VALUE"""),37260.645833333336)</f>
        <v>37260.64583</v>
      </c>
      <c r="C2" s="2">
        <f>IFERROR(__xludf.DUMMYFUNCTION("""COMPUTED_VALUE"""),40.28)</f>
        <v>40.28</v>
      </c>
    </row>
    <row r="3">
      <c r="A3" s="2" t="s">
        <v>2</v>
      </c>
      <c r="B3" s="3">
        <f>IFERROR(__xludf.DUMMYFUNCTION("""COMPUTED_VALUE"""),37267.645833333336)</f>
        <v>37267.64583</v>
      </c>
      <c r="C3" s="2">
        <f>IFERROR(__xludf.DUMMYFUNCTION("""COMPUTED_VALUE"""),40.47)</f>
        <v>40.47</v>
      </c>
    </row>
    <row r="4">
      <c r="A4" s="2" t="s">
        <v>3</v>
      </c>
      <c r="B4" s="3">
        <f>IFERROR(__xludf.DUMMYFUNCTION("""COMPUTED_VALUE"""),37274.645833333336)</f>
        <v>37274.64583</v>
      </c>
      <c r="C4" s="2">
        <f>IFERROR(__xludf.DUMMYFUNCTION("""COMPUTED_VALUE"""),43.96)</f>
        <v>43.96</v>
      </c>
    </row>
    <row r="5">
      <c r="A5" s="2" t="s">
        <v>4</v>
      </c>
      <c r="B5" s="3">
        <f>IFERROR(__xludf.DUMMYFUNCTION("""COMPUTED_VALUE"""),37281.645833333336)</f>
        <v>37281.64583</v>
      </c>
      <c r="C5" s="2">
        <f>IFERROR(__xludf.DUMMYFUNCTION("""COMPUTED_VALUE"""),44.5)</f>
        <v>44.5</v>
      </c>
    </row>
    <row r="6">
      <c r="B6" s="3">
        <f>IFERROR(__xludf.DUMMYFUNCTION("""COMPUTED_VALUE"""),37288.645833333336)</f>
        <v>37288.64583</v>
      </c>
      <c r="C6" s="2">
        <f>IFERROR(__xludf.DUMMYFUNCTION("""COMPUTED_VALUE"""),41.27)</f>
        <v>41.27</v>
      </c>
    </row>
    <row r="7">
      <c r="B7" s="3">
        <f>IFERROR(__xludf.DUMMYFUNCTION("""COMPUTED_VALUE"""),37295.645833333336)</f>
        <v>37295.64583</v>
      </c>
      <c r="C7" s="2">
        <f>IFERROR(__xludf.DUMMYFUNCTION("""COMPUTED_VALUE"""),44.2)</f>
        <v>44.2</v>
      </c>
    </row>
    <row r="8">
      <c r="B8" s="3">
        <f>IFERROR(__xludf.DUMMYFUNCTION("""COMPUTED_VALUE"""),37302.645833333336)</f>
        <v>37302.64583</v>
      </c>
      <c r="C8" s="2">
        <f>IFERROR(__xludf.DUMMYFUNCTION("""COMPUTED_VALUE"""),44.01)</f>
        <v>44.01</v>
      </c>
    </row>
    <row r="9">
      <c r="B9" s="3">
        <f>IFERROR(__xludf.DUMMYFUNCTION("""COMPUTED_VALUE"""),37309.645833333336)</f>
        <v>37309.64583</v>
      </c>
      <c r="C9" s="2">
        <f>IFERROR(__xludf.DUMMYFUNCTION("""COMPUTED_VALUE"""),45.75)</f>
        <v>45.75</v>
      </c>
    </row>
    <row r="10">
      <c r="B10" s="3">
        <f>IFERROR(__xludf.DUMMYFUNCTION("""COMPUTED_VALUE"""),37316.645833333336)</f>
        <v>37316.64583</v>
      </c>
      <c r="C10" s="2">
        <f>IFERROR(__xludf.DUMMYFUNCTION("""COMPUTED_VALUE"""),45.7)</f>
        <v>45.7</v>
      </c>
    </row>
    <row r="11">
      <c r="B11" s="3">
        <f>IFERROR(__xludf.DUMMYFUNCTION("""COMPUTED_VALUE"""),37323.645833333336)</f>
        <v>37323.64583</v>
      </c>
      <c r="C11" s="2">
        <f>IFERROR(__xludf.DUMMYFUNCTION("""COMPUTED_VALUE"""),48.08)</f>
        <v>48.08</v>
      </c>
    </row>
    <row r="12">
      <c r="B12" s="3">
        <f>IFERROR(__xludf.DUMMYFUNCTION("""COMPUTED_VALUE"""),37330.645833333336)</f>
        <v>37330.64583</v>
      </c>
      <c r="C12" s="2">
        <f>IFERROR(__xludf.DUMMYFUNCTION("""COMPUTED_VALUE"""),44.35)</f>
        <v>44.35</v>
      </c>
    </row>
    <row r="13">
      <c r="B13" s="3">
        <f>IFERROR(__xludf.DUMMYFUNCTION("""COMPUTED_VALUE"""),37337.645833333336)</f>
        <v>37337.64583</v>
      </c>
      <c r="C13" s="2">
        <f>IFERROR(__xludf.DUMMYFUNCTION("""COMPUTED_VALUE"""),44.7)</f>
        <v>44.7</v>
      </c>
    </row>
    <row r="14">
      <c r="B14" s="3">
        <f>IFERROR(__xludf.DUMMYFUNCTION("""COMPUTED_VALUE"""),37343.645833333336)</f>
        <v>37343.64583</v>
      </c>
      <c r="C14" s="2">
        <f>IFERROR(__xludf.DUMMYFUNCTION("""COMPUTED_VALUE"""),46.74)</f>
        <v>46.74</v>
      </c>
    </row>
    <row r="15">
      <c r="B15" s="3">
        <f>IFERROR(__xludf.DUMMYFUNCTION("""COMPUTED_VALUE"""),37351.645833333336)</f>
        <v>37351.64583</v>
      </c>
      <c r="C15" s="2">
        <f>IFERROR(__xludf.DUMMYFUNCTION("""COMPUTED_VALUE"""),45.55)</f>
        <v>45.55</v>
      </c>
    </row>
    <row r="16">
      <c r="B16" s="3">
        <f>IFERROR(__xludf.DUMMYFUNCTION("""COMPUTED_VALUE"""),37358.645833333336)</f>
        <v>37358.64583</v>
      </c>
      <c r="C16" s="2">
        <f>IFERROR(__xludf.DUMMYFUNCTION("""COMPUTED_VALUE"""),46.24)</f>
        <v>46.24</v>
      </c>
    </row>
    <row r="17">
      <c r="B17" s="3">
        <f>IFERROR(__xludf.DUMMYFUNCTION("""COMPUTED_VALUE"""),37365.645833333336)</f>
        <v>37365.64583</v>
      </c>
      <c r="C17" s="2">
        <f>IFERROR(__xludf.DUMMYFUNCTION("""COMPUTED_VALUE"""),47.49)</f>
        <v>47.49</v>
      </c>
    </row>
    <row r="18">
      <c r="B18" s="3">
        <f>IFERROR(__xludf.DUMMYFUNCTION("""COMPUTED_VALUE"""),37372.645833333336)</f>
        <v>37372.64583</v>
      </c>
      <c r="C18" s="2">
        <f>IFERROR(__xludf.DUMMYFUNCTION("""COMPUTED_VALUE"""),46.64)</f>
        <v>46.64</v>
      </c>
    </row>
    <row r="19">
      <c r="B19" s="3">
        <f>IFERROR(__xludf.DUMMYFUNCTION("""COMPUTED_VALUE"""),37379.645833333336)</f>
        <v>37379.64583</v>
      </c>
      <c r="C19" s="2">
        <f>IFERROR(__xludf.DUMMYFUNCTION("""COMPUTED_VALUE"""),49.72)</f>
        <v>49.72</v>
      </c>
    </row>
    <row r="20">
      <c r="B20" s="3">
        <f>IFERROR(__xludf.DUMMYFUNCTION("""COMPUTED_VALUE"""),37386.645833333336)</f>
        <v>37386.64583</v>
      </c>
      <c r="C20" s="2">
        <f>IFERROR(__xludf.DUMMYFUNCTION("""COMPUTED_VALUE"""),49.72)</f>
        <v>49.72</v>
      </c>
    </row>
    <row r="21" ht="15.75" customHeight="1">
      <c r="B21" s="3">
        <f>IFERROR(__xludf.DUMMYFUNCTION("""COMPUTED_VALUE"""),37393.645833333336)</f>
        <v>37393.64583</v>
      </c>
      <c r="C21" s="2">
        <f>IFERROR(__xludf.DUMMYFUNCTION("""COMPUTED_VALUE"""),51.71)</f>
        <v>51.71</v>
      </c>
    </row>
    <row r="22" ht="15.75" customHeight="1">
      <c r="B22" s="3">
        <f>IFERROR(__xludf.DUMMYFUNCTION("""COMPUTED_VALUE"""),37400.645833333336)</f>
        <v>37400.64583</v>
      </c>
      <c r="C22" s="2">
        <f>IFERROR(__xludf.DUMMYFUNCTION("""COMPUTED_VALUE"""),50.02)</f>
        <v>50.02</v>
      </c>
    </row>
    <row r="23" ht="15.75" customHeight="1">
      <c r="B23" s="3">
        <f>IFERROR(__xludf.DUMMYFUNCTION("""COMPUTED_VALUE"""),37407.645833333336)</f>
        <v>37407.64583</v>
      </c>
      <c r="C23" s="2">
        <f>IFERROR(__xludf.DUMMYFUNCTION("""COMPUTED_VALUE"""),53.2)</f>
        <v>53.2</v>
      </c>
    </row>
    <row r="24" ht="15.75" customHeight="1">
      <c r="B24" s="3">
        <f>IFERROR(__xludf.DUMMYFUNCTION("""COMPUTED_VALUE"""),37414.645833333336)</f>
        <v>37414.64583</v>
      </c>
      <c r="C24" s="2">
        <f>IFERROR(__xludf.DUMMYFUNCTION("""COMPUTED_VALUE"""),51.71)</f>
        <v>51.71</v>
      </c>
    </row>
    <row r="25" ht="15.75" customHeight="1">
      <c r="B25" s="3">
        <f>IFERROR(__xludf.DUMMYFUNCTION("""COMPUTED_VALUE"""),37421.645833333336)</f>
        <v>37421.64583</v>
      </c>
      <c r="C25" s="2">
        <f>IFERROR(__xludf.DUMMYFUNCTION("""COMPUTED_VALUE"""),57.38)</f>
        <v>57.38</v>
      </c>
    </row>
    <row r="26" ht="15.75" customHeight="1">
      <c r="B26" s="3">
        <f>IFERROR(__xludf.DUMMYFUNCTION("""COMPUTED_VALUE"""),37428.645833333336)</f>
        <v>37428.64583</v>
      </c>
      <c r="C26" s="2">
        <f>IFERROR(__xludf.DUMMYFUNCTION("""COMPUTED_VALUE"""),65.14)</f>
        <v>65.14</v>
      </c>
    </row>
    <row r="27" ht="15.75" customHeight="1">
      <c r="B27" s="3">
        <f>IFERROR(__xludf.DUMMYFUNCTION("""COMPUTED_VALUE"""),37435.645833333336)</f>
        <v>37435.64583</v>
      </c>
      <c r="C27" s="2">
        <f>IFERROR(__xludf.DUMMYFUNCTION("""COMPUTED_VALUE"""),62.45)</f>
        <v>62.45</v>
      </c>
    </row>
    <row r="28" ht="15.75" customHeight="1">
      <c r="B28" s="3">
        <f>IFERROR(__xludf.DUMMYFUNCTION("""COMPUTED_VALUE"""),37442.645833333336)</f>
        <v>37442.64583</v>
      </c>
      <c r="C28" s="2">
        <f>IFERROR(__xludf.DUMMYFUNCTION("""COMPUTED_VALUE"""),63.55)</f>
        <v>63.55</v>
      </c>
    </row>
    <row r="29" ht="15.75" customHeight="1">
      <c r="B29" s="3">
        <f>IFERROR(__xludf.DUMMYFUNCTION("""COMPUTED_VALUE"""),37449.645833333336)</f>
        <v>37449.64583</v>
      </c>
      <c r="C29" s="2">
        <f>IFERROR(__xludf.DUMMYFUNCTION("""COMPUTED_VALUE"""),69.61)</f>
        <v>69.61</v>
      </c>
    </row>
    <row r="30" ht="15.75" customHeight="1">
      <c r="B30" s="3">
        <f>IFERROR(__xludf.DUMMYFUNCTION("""COMPUTED_VALUE"""),37456.645833333336)</f>
        <v>37456.64583</v>
      </c>
      <c r="C30" s="2">
        <f>IFERROR(__xludf.DUMMYFUNCTION("""COMPUTED_VALUE"""),68.22)</f>
        <v>68.22</v>
      </c>
    </row>
    <row r="31" ht="15.75" customHeight="1">
      <c r="B31" s="3">
        <f>IFERROR(__xludf.DUMMYFUNCTION("""COMPUTED_VALUE"""),37463.645833333336)</f>
        <v>37463.64583</v>
      </c>
      <c r="C31" s="2">
        <f>IFERROR(__xludf.DUMMYFUNCTION("""COMPUTED_VALUE"""),62.9)</f>
        <v>62.9</v>
      </c>
    </row>
    <row r="32" ht="15.75" customHeight="1">
      <c r="B32" s="3">
        <f>IFERROR(__xludf.DUMMYFUNCTION("""COMPUTED_VALUE"""),37470.645833333336)</f>
        <v>37470.64583</v>
      </c>
      <c r="C32" s="2">
        <f>IFERROR(__xludf.DUMMYFUNCTION("""COMPUTED_VALUE"""),61.36)</f>
        <v>61.36</v>
      </c>
    </row>
    <row r="33" ht="15.75" customHeight="1">
      <c r="B33" s="3">
        <f>IFERROR(__xludf.DUMMYFUNCTION("""COMPUTED_VALUE"""),37477.645833333336)</f>
        <v>37477.64583</v>
      </c>
      <c r="C33" s="2">
        <f>IFERROR(__xludf.DUMMYFUNCTION("""COMPUTED_VALUE"""),59.67)</f>
        <v>59.67</v>
      </c>
    </row>
    <row r="34" ht="15.75" customHeight="1">
      <c r="B34" s="3">
        <f>IFERROR(__xludf.DUMMYFUNCTION("""COMPUTED_VALUE"""),37484.645833333336)</f>
        <v>37484.64583</v>
      </c>
      <c r="C34" s="2">
        <f>IFERROR(__xludf.DUMMYFUNCTION("""COMPUTED_VALUE"""),57.78)</f>
        <v>57.78</v>
      </c>
    </row>
    <row r="35" ht="15.75" customHeight="1">
      <c r="B35" s="3">
        <f>IFERROR(__xludf.DUMMYFUNCTION("""COMPUTED_VALUE"""),37491.645833333336)</f>
        <v>37491.64583</v>
      </c>
      <c r="C35" s="2">
        <f>IFERROR(__xludf.DUMMYFUNCTION("""COMPUTED_VALUE"""),56.93)</f>
        <v>56.93</v>
      </c>
    </row>
    <row r="36" ht="15.75" customHeight="1">
      <c r="B36" s="3">
        <f>IFERROR(__xludf.DUMMYFUNCTION("""COMPUTED_VALUE"""),37498.645833333336)</f>
        <v>37498.64583</v>
      </c>
      <c r="C36" s="2">
        <f>IFERROR(__xludf.DUMMYFUNCTION("""COMPUTED_VALUE"""),56.59)</f>
        <v>56.59</v>
      </c>
    </row>
    <row r="37" ht="15.75" customHeight="1">
      <c r="B37" s="3">
        <f>IFERROR(__xludf.DUMMYFUNCTION("""COMPUTED_VALUE"""),37505.645833333336)</f>
        <v>37505.64583</v>
      </c>
      <c r="C37" s="2">
        <f>IFERROR(__xludf.DUMMYFUNCTION("""COMPUTED_VALUE"""),59.67)</f>
        <v>59.67</v>
      </c>
    </row>
    <row r="38" ht="15.75" customHeight="1">
      <c r="B38" s="3">
        <f>IFERROR(__xludf.DUMMYFUNCTION("""COMPUTED_VALUE"""),37512.645833333336)</f>
        <v>37512.64583</v>
      </c>
      <c r="C38" s="2">
        <f>IFERROR(__xludf.DUMMYFUNCTION("""COMPUTED_VALUE"""),55.49)</f>
        <v>55.49</v>
      </c>
    </row>
    <row r="39" ht="15.75" customHeight="1">
      <c r="B39" s="3">
        <f>IFERROR(__xludf.DUMMYFUNCTION("""COMPUTED_VALUE"""),37519.645833333336)</f>
        <v>37519.64583</v>
      </c>
      <c r="C39" s="2">
        <f>IFERROR(__xludf.DUMMYFUNCTION("""COMPUTED_VALUE"""),54.7)</f>
        <v>54.7</v>
      </c>
    </row>
    <row r="40" ht="15.75" customHeight="1">
      <c r="B40" s="3">
        <f>IFERROR(__xludf.DUMMYFUNCTION("""COMPUTED_VALUE"""),37526.645833333336)</f>
        <v>37526.64583</v>
      </c>
      <c r="C40" s="2">
        <f>IFERROR(__xludf.DUMMYFUNCTION("""COMPUTED_VALUE"""),53.95)</f>
        <v>53.95</v>
      </c>
    </row>
    <row r="41" ht="15.75" customHeight="1">
      <c r="B41" s="3">
        <f>IFERROR(__xludf.DUMMYFUNCTION("""COMPUTED_VALUE"""),37533.645833333336)</f>
        <v>37533.64583</v>
      </c>
      <c r="C41" s="2">
        <f>IFERROR(__xludf.DUMMYFUNCTION("""COMPUTED_VALUE"""),53.75)</f>
        <v>53.75</v>
      </c>
    </row>
    <row r="42" ht="15.75" customHeight="1">
      <c r="B42" s="3">
        <f>IFERROR(__xludf.DUMMYFUNCTION("""COMPUTED_VALUE"""),37540.645833333336)</f>
        <v>37540.64583</v>
      </c>
      <c r="C42" s="2">
        <f>IFERROR(__xludf.DUMMYFUNCTION("""COMPUTED_VALUE"""),54.65)</f>
        <v>54.65</v>
      </c>
    </row>
    <row r="43" ht="15.75" customHeight="1">
      <c r="B43" s="3">
        <f>IFERROR(__xludf.DUMMYFUNCTION("""COMPUTED_VALUE"""),37547.645833333336)</f>
        <v>37547.64583</v>
      </c>
      <c r="C43" s="2">
        <f>IFERROR(__xludf.DUMMYFUNCTION("""COMPUTED_VALUE"""),51.46)</f>
        <v>51.46</v>
      </c>
    </row>
    <row r="44" ht="15.75" customHeight="1">
      <c r="B44" s="3">
        <f>IFERROR(__xludf.DUMMYFUNCTION("""COMPUTED_VALUE"""),37554.645833333336)</f>
        <v>37554.64583</v>
      </c>
      <c r="C44" s="2">
        <f>IFERROR(__xludf.DUMMYFUNCTION("""COMPUTED_VALUE"""),54.7)</f>
        <v>54.7</v>
      </c>
    </row>
    <row r="45" ht="15.75" customHeight="1">
      <c r="B45" s="3">
        <f>IFERROR(__xludf.DUMMYFUNCTION("""COMPUTED_VALUE"""),37561.645833333336)</f>
        <v>37561.64583</v>
      </c>
      <c r="C45" s="2">
        <f>IFERROR(__xludf.DUMMYFUNCTION("""COMPUTED_VALUE"""),51.41)</f>
        <v>51.41</v>
      </c>
    </row>
    <row r="46" ht="15.75" customHeight="1">
      <c r="B46" s="3">
        <f>IFERROR(__xludf.DUMMYFUNCTION("""COMPUTED_VALUE"""),37568.645833333336)</f>
        <v>37568.64583</v>
      </c>
      <c r="C46" s="2">
        <f>IFERROR(__xludf.DUMMYFUNCTION("""COMPUTED_VALUE"""),49.67)</f>
        <v>49.67</v>
      </c>
    </row>
    <row r="47" ht="15.75" customHeight="1">
      <c r="B47" s="3">
        <f>IFERROR(__xludf.DUMMYFUNCTION("""COMPUTED_VALUE"""),37575.645833333336)</f>
        <v>37575.64583</v>
      </c>
      <c r="C47" s="2">
        <f>IFERROR(__xludf.DUMMYFUNCTION("""COMPUTED_VALUE"""),48.48)</f>
        <v>48.48</v>
      </c>
    </row>
    <row r="48" ht="15.75" customHeight="1">
      <c r="B48" s="3">
        <f>IFERROR(__xludf.DUMMYFUNCTION("""COMPUTED_VALUE"""),37582.645833333336)</f>
        <v>37582.64583</v>
      </c>
      <c r="C48" s="2">
        <f>IFERROR(__xludf.DUMMYFUNCTION("""COMPUTED_VALUE"""),51.71)</f>
        <v>51.71</v>
      </c>
    </row>
    <row r="49" ht="15.75" customHeight="1">
      <c r="B49" s="3">
        <f>IFERROR(__xludf.DUMMYFUNCTION("""COMPUTED_VALUE"""),37589.645833333336)</f>
        <v>37589.64583</v>
      </c>
      <c r="C49" s="2">
        <f>IFERROR(__xludf.DUMMYFUNCTION("""COMPUTED_VALUE"""),54.2)</f>
        <v>54.2</v>
      </c>
    </row>
    <row r="50" ht="15.75" customHeight="1">
      <c r="B50" s="3">
        <f>IFERROR(__xludf.DUMMYFUNCTION("""COMPUTED_VALUE"""),37596.645833333336)</f>
        <v>37596.64583</v>
      </c>
      <c r="C50" s="2">
        <f>IFERROR(__xludf.DUMMYFUNCTION("""COMPUTED_VALUE"""),55.59)</f>
        <v>55.59</v>
      </c>
    </row>
    <row r="51" ht="15.75" customHeight="1">
      <c r="B51" s="3">
        <f>IFERROR(__xludf.DUMMYFUNCTION("""COMPUTED_VALUE"""),37603.645833333336)</f>
        <v>37603.64583</v>
      </c>
      <c r="C51" s="2">
        <f>IFERROR(__xludf.DUMMYFUNCTION("""COMPUTED_VALUE"""),63.45)</f>
        <v>63.45</v>
      </c>
    </row>
    <row r="52" ht="15.75" customHeight="1">
      <c r="B52" s="3">
        <f>IFERROR(__xludf.DUMMYFUNCTION("""COMPUTED_VALUE"""),37610.645833333336)</f>
        <v>37610.64583</v>
      </c>
      <c r="C52" s="2">
        <f>IFERROR(__xludf.DUMMYFUNCTION("""COMPUTED_VALUE"""),57.63)</f>
        <v>57.63</v>
      </c>
    </row>
    <row r="53" ht="15.75" customHeight="1">
      <c r="B53" s="3">
        <f>IFERROR(__xludf.DUMMYFUNCTION("""COMPUTED_VALUE"""),37617.645833333336)</f>
        <v>37617.64583</v>
      </c>
      <c r="C53" s="2">
        <f>IFERROR(__xludf.DUMMYFUNCTION("""COMPUTED_VALUE"""),57.68)</f>
        <v>57.68</v>
      </c>
    </row>
    <row r="54" ht="15.75" customHeight="1"/>
    <row r="55" ht="15.75" customHeight="1"/>
    <row r="56" ht="15.75" customHeight="1">
      <c r="B56" s="2" t="str">
        <f>IFERROR(__xludf.DUMMYFUNCTION("GOOGLEFINANCE(""NSE:TATACHEM"", ""high"",DATE(2003,1,1),DATE(2004,1,1),""weekly"")"),"Date")</f>
        <v>Date</v>
      </c>
      <c r="C56" s="2" t="str">
        <f>IFERROR(__xludf.DUMMYFUNCTION("""COMPUTED_VALUE"""),"High")</f>
        <v>High</v>
      </c>
    </row>
    <row r="57" ht="15.75" customHeight="1">
      <c r="B57" s="3">
        <f>IFERROR(__xludf.DUMMYFUNCTION("""COMPUTED_VALUE"""),37624.645833333336)</f>
        <v>37624.64583</v>
      </c>
      <c r="C57" s="2">
        <f>IFERROR(__xludf.DUMMYFUNCTION("""COMPUTED_VALUE"""),58.92)</f>
        <v>58.92</v>
      </c>
    </row>
    <row r="58" ht="15.75" customHeight="1">
      <c r="B58" s="3">
        <f>IFERROR(__xludf.DUMMYFUNCTION("""COMPUTED_VALUE"""),37631.645833333336)</f>
        <v>37631.64583</v>
      </c>
      <c r="C58" s="2">
        <f>IFERROR(__xludf.DUMMYFUNCTION("""COMPUTED_VALUE"""),58.43)</f>
        <v>58.43</v>
      </c>
    </row>
    <row r="59" ht="15.75" customHeight="1">
      <c r="B59" s="3">
        <f>IFERROR(__xludf.DUMMYFUNCTION("""COMPUTED_VALUE"""),37638.645833333336)</f>
        <v>37638.64583</v>
      </c>
      <c r="C59" s="2">
        <f>IFERROR(__xludf.DUMMYFUNCTION("""COMPUTED_VALUE"""),62.45)</f>
        <v>62.45</v>
      </c>
    </row>
    <row r="60" ht="15.75" customHeight="1">
      <c r="B60" s="3">
        <f>IFERROR(__xludf.DUMMYFUNCTION("""COMPUTED_VALUE"""),37645.645833333336)</f>
        <v>37645.64583</v>
      </c>
      <c r="C60" s="2">
        <f>IFERROR(__xludf.DUMMYFUNCTION("""COMPUTED_VALUE"""),68.02)</f>
        <v>68.02</v>
      </c>
    </row>
    <row r="61" ht="15.75" customHeight="1">
      <c r="B61" s="3">
        <f>IFERROR(__xludf.DUMMYFUNCTION("""COMPUTED_VALUE"""),37652.645833333336)</f>
        <v>37652.64583</v>
      </c>
      <c r="C61" s="2">
        <f>IFERROR(__xludf.DUMMYFUNCTION("""COMPUTED_VALUE"""),61.46)</f>
        <v>61.46</v>
      </c>
    </row>
    <row r="62" ht="15.75" customHeight="1">
      <c r="B62" s="3">
        <f>IFERROR(__xludf.DUMMYFUNCTION("""COMPUTED_VALUE"""),37659.645833333336)</f>
        <v>37659.64583</v>
      </c>
      <c r="C62" s="2">
        <f>IFERROR(__xludf.DUMMYFUNCTION("""COMPUTED_VALUE"""),62.15)</f>
        <v>62.15</v>
      </c>
    </row>
    <row r="63" ht="15.75" customHeight="1">
      <c r="B63" s="3">
        <f>IFERROR(__xludf.DUMMYFUNCTION("""COMPUTED_VALUE"""),37666.645833333336)</f>
        <v>37666.64583</v>
      </c>
      <c r="C63" s="2">
        <f>IFERROR(__xludf.DUMMYFUNCTION("""COMPUTED_VALUE"""),59.87)</f>
        <v>59.87</v>
      </c>
    </row>
    <row r="64" ht="15.75" customHeight="1">
      <c r="B64" s="3">
        <f>IFERROR(__xludf.DUMMYFUNCTION("""COMPUTED_VALUE"""),37673.645833333336)</f>
        <v>37673.64583</v>
      </c>
      <c r="C64" s="2">
        <f>IFERROR(__xludf.DUMMYFUNCTION("""COMPUTED_VALUE"""),62.3)</f>
        <v>62.3</v>
      </c>
    </row>
    <row r="65" ht="15.75" customHeight="1">
      <c r="B65" s="3">
        <f>IFERROR(__xludf.DUMMYFUNCTION("""COMPUTED_VALUE"""),37680.645833333336)</f>
        <v>37680.64583</v>
      </c>
      <c r="C65" s="2">
        <f>IFERROR(__xludf.DUMMYFUNCTION("""COMPUTED_VALUE"""),67.43)</f>
        <v>67.43</v>
      </c>
    </row>
    <row r="66" ht="15.75" customHeight="1">
      <c r="B66" s="3">
        <f>IFERROR(__xludf.DUMMYFUNCTION("""COMPUTED_VALUE"""),37687.645833333336)</f>
        <v>37687.64583</v>
      </c>
      <c r="C66" s="2">
        <f>IFERROR(__xludf.DUMMYFUNCTION("""COMPUTED_VALUE"""),64.89)</f>
        <v>64.89</v>
      </c>
    </row>
    <row r="67" ht="15.75" customHeight="1">
      <c r="B67" s="3">
        <f>IFERROR(__xludf.DUMMYFUNCTION("""COMPUTED_VALUE"""),37693.645833333336)</f>
        <v>37693.64583</v>
      </c>
      <c r="C67" s="2">
        <f>IFERROR(__xludf.DUMMYFUNCTION("""COMPUTED_VALUE"""),62.45)</f>
        <v>62.45</v>
      </c>
    </row>
    <row r="68" ht="15.75" customHeight="1">
      <c r="B68" s="3">
        <f>IFERROR(__xludf.DUMMYFUNCTION("""COMPUTED_VALUE"""),37708.645833333336)</f>
        <v>37708.64583</v>
      </c>
      <c r="C68" s="2">
        <f>IFERROR(__xludf.DUMMYFUNCTION("""COMPUTED_VALUE"""),63.35)</f>
        <v>63.35</v>
      </c>
    </row>
    <row r="69" ht="15.75" customHeight="1">
      <c r="B69" s="3">
        <f>IFERROR(__xludf.DUMMYFUNCTION("""COMPUTED_VALUE"""),37715.645833333336)</f>
        <v>37715.64583</v>
      </c>
      <c r="C69" s="2">
        <f>IFERROR(__xludf.DUMMYFUNCTION("""COMPUTED_VALUE"""),70.11)</f>
        <v>70.11</v>
      </c>
    </row>
    <row r="70" ht="15.75" customHeight="1">
      <c r="B70" s="3">
        <f>IFERROR(__xludf.DUMMYFUNCTION("""COMPUTED_VALUE"""),37722.645833333336)</f>
        <v>37722.64583</v>
      </c>
      <c r="C70" s="2">
        <f>IFERROR(__xludf.DUMMYFUNCTION("""COMPUTED_VALUE"""),72.0)</f>
        <v>72</v>
      </c>
    </row>
    <row r="71" ht="15.75" customHeight="1">
      <c r="B71" s="3">
        <f>IFERROR(__xludf.DUMMYFUNCTION("""COMPUTED_VALUE"""),37728.645833333336)</f>
        <v>37728.64583</v>
      </c>
      <c r="C71" s="2">
        <f>IFERROR(__xludf.DUMMYFUNCTION("""COMPUTED_VALUE"""),69.71)</f>
        <v>69.71</v>
      </c>
    </row>
    <row r="72" ht="15.75" customHeight="1">
      <c r="B72" s="3">
        <f>IFERROR(__xludf.DUMMYFUNCTION("""COMPUTED_VALUE"""),37736.645833333336)</f>
        <v>37736.64583</v>
      </c>
      <c r="C72" s="2">
        <f>IFERROR(__xludf.DUMMYFUNCTION("""COMPUTED_VALUE"""),68.92)</f>
        <v>68.92</v>
      </c>
    </row>
    <row r="73" ht="15.75" customHeight="1">
      <c r="B73" s="3">
        <f>IFERROR(__xludf.DUMMYFUNCTION("""COMPUTED_VALUE"""),37743.645833333336)</f>
        <v>37743.64583</v>
      </c>
      <c r="C73" s="2">
        <f>IFERROR(__xludf.DUMMYFUNCTION("""COMPUTED_VALUE"""),71.06)</f>
        <v>71.06</v>
      </c>
    </row>
    <row r="74" ht="15.75" customHeight="1">
      <c r="B74" s="3">
        <f>IFERROR(__xludf.DUMMYFUNCTION("""COMPUTED_VALUE"""),37750.645833333336)</f>
        <v>37750.64583</v>
      </c>
      <c r="C74" s="2">
        <f>IFERROR(__xludf.DUMMYFUNCTION("""COMPUTED_VALUE"""),70.26)</f>
        <v>70.26</v>
      </c>
    </row>
    <row r="75" ht="15.75" customHeight="1">
      <c r="B75" s="3">
        <f>IFERROR(__xludf.DUMMYFUNCTION("""COMPUTED_VALUE"""),37757.645833333336)</f>
        <v>37757.64583</v>
      </c>
      <c r="C75" s="2">
        <f>IFERROR(__xludf.DUMMYFUNCTION("""COMPUTED_VALUE"""),72.55)</f>
        <v>72.55</v>
      </c>
    </row>
    <row r="76" ht="15.75" customHeight="1">
      <c r="B76" s="3">
        <f>IFERROR(__xludf.DUMMYFUNCTION("""COMPUTED_VALUE"""),37764.645833333336)</f>
        <v>37764.64583</v>
      </c>
      <c r="C76" s="2">
        <f>IFERROR(__xludf.DUMMYFUNCTION("""COMPUTED_VALUE"""),75.48)</f>
        <v>75.48</v>
      </c>
    </row>
    <row r="77" ht="15.75" customHeight="1">
      <c r="B77" s="3">
        <f>IFERROR(__xludf.DUMMYFUNCTION("""COMPUTED_VALUE"""),37771.645833333336)</f>
        <v>37771.64583</v>
      </c>
      <c r="C77" s="2">
        <f>IFERROR(__xludf.DUMMYFUNCTION("""COMPUTED_VALUE"""),79.46)</f>
        <v>79.46</v>
      </c>
    </row>
    <row r="78" ht="15.75" customHeight="1">
      <c r="B78" s="3">
        <f>IFERROR(__xludf.DUMMYFUNCTION("""COMPUTED_VALUE"""),37778.645833333336)</f>
        <v>37778.64583</v>
      </c>
      <c r="C78" s="2">
        <f>IFERROR(__xludf.DUMMYFUNCTION("""COMPUTED_VALUE"""),70.11)</f>
        <v>70.11</v>
      </c>
    </row>
    <row r="79" ht="15.75" customHeight="1">
      <c r="B79" s="3">
        <f>IFERROR(__xludf.DUMMYFUNCTION("""COMPUTED_VALUE"""),37785.645833333336)</f>
        <v>37785.64583</v>
      </c>
      <c r="C79" s="2">
        <f>IFERROR(__xludf.DUMMYFUNCTION("""COMPUTED_VALUE"""),68.77)</f>
        <v>68.77</v>
      </c>
    </row>
    <row r="80" ht="15.75" customHeight="1">
      <c r="B80" s="3">
        <f>IFERROR(__xludf.DUMMYFUNCTION("""COMPUTED_VALUE"""),37792.645833333336)</f>
        <v>37792.64583</v>
      </c>
      <c r="C80" s="2">
        <f>IFERROR(__xludf.DUMMYFUNCTION("""COMPUTED_VALUE"""),72.4)</f>
        <v>72.4</v>
      </c>
    </row>
    <row r="81" ht="15.75" customHeight="1">
      <c r="B81" s="3">
        <f>IFERROR(__xludf.DUMMYFUNCTION("""COMPUTED_VALUE"""),37799.645833333336)</f>
        <v>37799.64583</v>
      </c>
      <c r="C81" s="2">
        <f>IFERROR(__xludf.DUMMYFUNCTION("""COMPUTED_VALUE"""),77.37)</f>
        <v>77.37</v>
      </c>
    </row>
    <row r="82" ht="15.75" customHeight="1">
      <c r="B82" s="3">
        <f>IFERROR(__xludf.DUMMYFUNCTION("""COMPUTED_VALUE"""),37806.645833333336)</f>
        <v>37806.64583</v>
      </c>
      <c r="C82" s="2">
        <f>IFERROR(__xludf.DUMMYFUNCTION("""COMPUTED_VALUE"""),82.04)</f>
        <v>82.04</v>
      </c>
    </row>
    <row r="83" ht="15.75" customHeight="1">
      <c r="B83" s="3">
        <f>IFERROR(__xludf.DUMMYFUNCTION("""COMPUTED_VALUE"""),37813.645833333336)</f>
        <v>37813.64583</v>
      </c>
      <c r="C83" s="2">
        <f>IFERROR(__xludf.DUMMYFUNCTION("""COMPUTED_VALUE"""),86.52)</f>
        <v>86.52</v>
      </c>
    </row>
    <row r="84" ht="15.75" customHeight="1">
      <c r="B84" s="3">
        <f>IFERROR(__xludf.DUMMYFUNCTION("""COMPUTED_VALUE"""),37820.645833333336)</f>
        <v>37820.64583</v>
      </c>
      <c r="C84" s="2">
        <f>IFERROR(__xludf.DUMMYFUNCTION("""COMPUTED_VALUE"""),78.31)</f>
        <v>78.31</v>
      </c>
    </row>
    <row r="85" ht="15.75" customHeight="1">
      <c r="B85" s="3">
        <f>IFERROR(__xludf.DUMMYFUNCTION("""COMPUTED_VALUE"""),37827.645833333336)</f>
        <v>37827.64583</v>
      </c>
      <c r="C85" s="2">
        <f>IFERROR(__xludf.DUMMYFUNCTION("""COMPUTED_VALUE"""),76.47)</f>
        <v>76.47</v>
      </c>
    </row>
    <row r="86" ht="15.75" customHeight="1">
      <c r="B86" s="3">
        <f>IFERROR(__xludf.DUMMYFUNCTION("""COMPUTED_VALUE"""),37834.645833333336)</f>
        <v>37834.64583</v>
      </c>
      <c r="C86" s="2">
        <f>IFERROR(__xludf.DUMMYFUNCTION("""COMPUTED_VALUE"""),80.05)</f>
        <v>80.05</v>
      </c>
    </row>
    <row r="87" ht="15.75" customHeight="1">
      <c r="B87" s="3">
        <f>IFERROR(__xludf.DUMMYFUNCTION("""COMPUTED_VALUE"""),37841.645833333336)</f>
        <v>37841.64583</v>
      </c>
      <c r="C87" s="2">
        <f>IFERROR(__xludf.DUMMYFUNCTION("""COMPUTED_VALUE"""),89.5)</f>
        <v>89.5</v>
      </c>
    </row>
    <row r="88" ht="15.75" customHeight="1">
      <c r="B88" s="3">
        <f>IFERROR(__xludf.DUMMYFUNCTION("""COMPUTED_VALUE"""),37847.645833333336)</f>
        <v>37847.64583</v>
      </c>
      <c r="C88" s="2">
        <f>IFERROR(__xludf.DUMMYFUNCTION("""COMPUTED_VALUE"""),95.82)</f>
        <v>95.82</v>
      </c>
    </row>
    <row r="89" ht="15.75" customHeight="1">
      <c r="B89" s="3">
        <f>IFERROR(__xludf.DUMMYFUNCTION("""COMPUTED_VALUE"""),37855.645833333336)</f>
        <v>37855.64583</v>
      </c>
      <c r="C89" s="2">
        <f>IFERROR(__xludf.DUMMYFUNCTION("""COMPUTED_VALUE"""),98.45)</f>
        <v>98.45</v>
      </c>
    </row>
    <row r="90" ht="15.75" customHeight="1">
      <c r="B90" s="3">
        <f>IFERROR(__xludf.DUMMYFUNCTION("""COMPUTED_VALUE"""),37862.645833333336)</f>
        <v>37862.64583</v>
      </c>
      <c r="C90" s="2">
        <f>IFERROR(__xludf.DUMMYFUNCTION("""COMPUTED_VALUE"""),94.47)</f>
        <v>94.47</v>
      </c>
    </row>
    <row r="91" ht="15.75" customHeight="1">
      <c r="B91" s="3">
        <f>IFERROR(__xludf.DUMMYFUNCTION("""COMPUTED_VALUE"""),37869.645833333336)</f>
        <v>37869.64583</v>
      </c>
      <c r="C91" s="2">
        <f>IFERROR(__xludf.DUMMYFUNCTION("""COMPUTED_VALUE"""),98.65)</f>
        <v>98.65</v>
      </c>
    </row>
    <row r="92" ht="15.75" customHeight="1">
      <c r="B92" s="3">
        <f>IFERROR(__xludf.DUMMYFUNCTION("""COMPUTED_VALUE"""),37876.645833333336)</f>
        <v>37876.64583</v>
      </c>
      <c r="C92" s="2">
        <f>IFERROR(__xludf.DUMMYFUNCTION("""COMPUTED_VALUE"""),96.36)</f>
        <v>96.36</v>
      </c>
    </row>
    <row r="93" ht="15.75" customHeight="1">
      <c r="B93" s="3">
        <f>IFERROR(__xludf.DUMMYFUNCTION("""COMPUTED_VALUE"""),37883.645833333336)</f>
        <v>37883.64583</v>
      </c>
      <c r="C93" s="2">
        <f>IFERROR(__xludf.DUMMYFUNCTION("""COMPUTED_VALUE"""),91.29)</f>
        <v>91.29</v>
      </c>
    </row>
    <row r="94" ht="15.75" customHeight="1">
      <c r="B94" s="3">
        <f>IFERROR(__xludf.DUMMYFUNCTION("""COMPUTED_VALUE"""),37890.645833333336)</f>
        <v>37890.64583</v>
      </c>
      <c r="C94" s="2">
        <f>IFERROR(__xludf.DUMMYFUNCTION("""COMPUTED_VALUE"""),91.49)</f>
        <v>91.49</v>
      </c>
    </row>
    <row r="95" ht="15.75" customHeight="1">
      <c r="B95" s="3">
        <f>IFERROR(__xludf.DUMMYFUNCTION("""COMPUTED_VALUE"""),37897.645833333336)</f>
        <v>37897.64583</v>
      </c>
      <c r="C95" s="2">
        <f>IFERROR(__xludf.DUMMYFUNCTION("""COMPUTED_VALUE"""),94.08)</f>
        <v>94.08</v>
      </c>
    </row>
    <row r="96" ht="15.75" customHeight="1">
      <c r="B96" s="3">
        <f>IFERROR(__xludf.DUMMYFUNCTION("""COMPUTED_VALUE"""),37904.645833333336)</f>
        <v>37904.64583</v>
      </c>
      <c r="C96" s="2">
        <f>IFERROR(__xludf.DUMMYFUNCTION("""COMPUTED_VALUE"""),118.34)</f>
        <v>118.34</v>
      </c>
    </row>
    <row r="97" ht="15.75" customHeight="1">
      <c r="B97" s="3">
        <f>IFERROR(__xludf.DUMMYFUNCTION("""COMPUTED_VALUE"""),37911.645833333336)</f>
        <v>37911.64583</v>
      </c>
      <c r="C97" s="2">
        <f>IFERROR(__xludf.DUMMYFUNCTION("""COMPUTED_VALUE"""),121.03)</f>
        <v>121.03</v>
      </c>
    </row>
    <row r="98" ht="15.75" customHeight="1">
      <c r="B98" s="3">
        <f>IFERROR(__xludf.DUMMYFUNCTION("""COMPUTED_VALUE"""),37925.645833333336)</f>
        <v>37925.64583</v>
      </c>
      <c r="C98" s="2">
        <f>IFERROR(__xludf.DUMMYFUNCTION("""COMPUTED_VALUE"""),125.3)</f>
        <v>125.3</v>
      </c>
    </row>
    <row r="99" ht="15.75" customHeight="1">
      <c r="B99" s="3">
        <f>IFERROR(__xludf.DUMMYFUNCTION("""COMPUTED_VALUE"""),37932.645833333336)</f>
        <v>37932.64583</v>
      </c>
      <c r="C99" s="2">
        <f>IFERROR(__xludf.DUMMYFUNCTION("""COMPUTED_VALUE"""),129.98)</f>
        <v>129.98</v>
      </c>
    </row>
    <row r="100" ht="15.75" customHeight="1">
      <c r="B100" s="3">
        <f>IFERROR(__xludf.DUMMYFUNCTION("""COMPUTED_VALUE"""),37946.645833333336)</f>
        <v>37946.64583</v>
      </c>
      <c r="C100" s="2">
        <f>IFERROR(__xludf.DUMMYFUNCTION("""COMPUTED_VALUE"""),133.61)</f>
        <v>133.61</v>
      </c>
    </row>
    <row r="101" ht="15.75" customHeight="1">
      <c r="B101" s="3">
        <f>IFERROR(__xludf.DUMMYFUNCTION("""COMPUTED_VALUE"""),37953.645833333336)</f>
        <v>37953.64583</v>
      </c>
      <c r="C101" s="2">
        <f>IFERROR(__xludf.DUMMYFUNCTION("""COMPUTED_VALUE"""),128.93)</f>
        <v>128.93</v>
      </c>
    </row>
    <row r="102" ht="15.75" customHeight="1">
      <c r="B102" s="3">
        <f>IFERROR(__xludf.DUMMYFUNCTION("""COMPUTED_VALUE"""),37960.645833333336)</f>
        <v>37960.64583</v>
      </c>
      <c r="C102" s="2">
        <f>IFERROR(__xludf.DUMMYFUNCTION("""COMPUTED_VALUE"""),136.14)</f>
        <v>136.14</v>
      </c>
    </row>
    <row r="103" ht="15.75" customHeight="1">
      <c r="B103" s="3">
        <f>IFERROR(__xludf.DUMMYFUNCTION("""COMPUTED_VALUE"""),37967.645833333336)</f>
        <v>37967.64583</v>
      </c>
      <c r="C103" s="2">
        <f>IFERROR(__xludf.DUMMYFUNCTION("""COMPUTED_VALUE"""),139.72)</f>
        <v>139.72</v>
      </c>
    </row>
    <row r="104" ht="15.75" customHeight="1">
      <c r="B104" s="3">
        <f>IFERROR(__xludf.DUMMYFUNCTION("""COMPUTED_VALUE"""),37974.645833333336)</f>
        <v>37974.64583</v>
      </c>
      <c r="C104" s="2">
        <f>IFERROR(__xludf.DUMMYFUNCTION("""COMPUTED_VALUE"""),145.09)</f>
        <v>145.09</v>
      </c>
    </row>
    <row r="105" ht="15.75" customHeight="1">
      <c r="B105" s="3">
        <f>IFERROR(__xludf.DUMMYFUNCTION("""COMPUTED_VALUE"""),37981.645833333336)</f>
        <v>37981.64583</v>
      </c>
      <c r="C105" s="2">
        <f>IFERROR(__xludf.DUMMYFUNCTION("""COMPUTED_VALUE"""),162.6)</f>
        <v>162.6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B111" s="2" t="str">
        <f>IFERROR(__xludf.DUMMYFUNCTION("GOOGLEFINANCE(""NSE:TATACHEM"", ""high"",DATE(2004,1,1),DATE(2005,1,1),""weekly"")"),"Date")</f>
        <v>Date</v>
      </c>
      <c r="C111" s="2" t="str">
        <f>IFERROR(__xludf.DUMMYFUNCTION("""COMPUTED_VALUE"""),"High")</f>
        <v>High</v>
      </c>
    </row>
    <row r="112" ht="15.75" customHeight="1">
      <c r="B112" s="3">
        <f>IFERROR(__xludf.DUMMYFUNCTION("""COMPUTED_VALUE"""),37988.645833333336)</f>
        <v>37988.64583</v>
      </c>
      <c r="C112" s="2">
        <f>IFERROR(__xludf.DUMMYFUNCTION("""COMPUTED_VALUE"""),187.76)</f>
        <v>187.76</v>
      </c>
    </row>
    <row r="113" ht="15.75" customHeight="1">
      <c r="B113" s="3">
        <f>IFERROR(__xludf.DUMMYFUNCTION("""COMPUTED_VALUE"""),37995.645833333336)</f>
        <v>37995.64583</v>
      </c>
      <c r="C113" s="2">
        <f>IFERROR(__xludf.DUMMYFUNCTION("""COMPUTED_VALUE"""),170.05)</f>
        <v>170.05</v>
      </c>
    </row>
    <row r="114" ht="15.75" customHeight="1">
      <c r="B114" s="3">
        <f>IFERROR(__xludf.DUMMYFUNCTION("""COMPUTED_VALUE"""),38002.645833333336)</f>
        <v>38002.64583</v>
      </c>
      <c r="C114" s="2">
        <f>IFERROR(__xludf.DUMMYFUNCTION("""COMPUTED_VALUE"""),170.85)</f>
        <v>170.85</v>
      </c>
    </row>
    <row r="115" ht="15.75" customHeight="1">
      <c r="B115" s="3">
        <f>IFERROR(__xludf.DUMMYFUNCTION("""COMPUTED_VALUE"""),38009.645833333336)</f>
        <v>38009.64583</v>
      </c>
      <c r="C115" s="2">
        <f>IFERROR(__xludf.DUMMYFUNCTION("""COMPUTED_VALUE"""),168.76)</f>
        <v>168.76</v>
      </c>
    </row>
    <row r="116" ht="15.75" customHeight="1">
      <c r="B116" s="3">
        <f>IFERROR(__xludf.DUMMYFUNCTION("""COMPUTED_VALUE"""),38016.645833333336)</f>
        <v>38016.64583</v>
      </c>
      <c r="C116" s="2">
        <f>IFERROR(__xludf.DUMMYFUNCTION("""COMPUTED_VALUE"""),133.76)</f>
        <v>133.76</v>
      </c>
    </row>
    <row r="117" ht="15.75" customHeight="1">
      <c r="B117" s="3">
        <f>IFERROR(__xludf.DUMMYFUNCTION("""COMPUTED_VALUE"""),38023.645833333336)</f>
        <v>38023.64583</v>
      </c>
      <c r="C117" s="2">
        <f>IFERROR(__xludf.DUMMYFUNCTION("""COMPUTED_VALUE"""),125.3)</f>
        <v>125.3</v>
      </c>
    </row>
    <row r="118" ht="15.75" customHeight="1">
      <c r="B118" s="3">
        <f>IFERROR(__xludf.DUMMYFUNCTION("""COMPUTED_VALUE"""),38030.645833333336)</f>
        <v>38030.64583</v>
      </c>
      <c r="C118" s="2">
        <f>IFERROR(__xludf.DUMMYFUNCTION("""COMPUTED_VALUE"""),132.66)</f>
        <v>132.66</v>
      </c>
    </row>
    <row r="119" ht="15.75" customHeight="1">
      <c r="B119" s="3">
        <f>IFERROR(__xludf.DUMMYFUNCTION("""COMPUTED_VALUE"""),38037.645833333336)</f>
        <v>38037.64583</v>
      </c>
      <c r="C119" s="2">
        <f>IFERROR(__xludf.DUMMYFUNCTION("""COMPUTED_VALUE"""),132.22)</f>
        <v>132.22</v>
      </c>
    </row>
    <row r="120" ht="15.75" customHeight="1">
      <c r="B120" s="3">
        <f>IFERROR(__xludf.DUMMYFUNCTION("""COMPUTED_VALUE"""),38044.645833333336)</f>
        <v>38044.64583</v>
      </c>
      <c r="C120" s="2">
        <f>IFERROR(__xludf.DUMMYFUNCTION("""COMPUTED_VALUE"""),123.31)</f>
        <v>123.31</v>
      </c>
    </row>
    <row r="121" ht="15.75" customHeight="1">
      <c r="B121" s="3">
        <f>IFERROR(__xludf.DUMMYFUNCTION("""COMPUTED_VALUE"""),38051.645833333336)</f>
        <v>38051.64583</v>
      </c>
      <c r="C121" s="2">
        <f>IFERROR(__xludf.DUMMYFUNCTION("""COMPUTED_VALUE"""),120.33)</f>
        <v>120.33</v>
      </c>
    </row>
    <row r="122" ht="15.75" customHeight="1">
      <c r="B122" s="3">
        <f>IFERROR(__xludf.DUMMYFUNCTION("""COMPUTED_VALUE"""),38058.645833333336)</f>
        <v>38058.64583</v>
      </c>
      <c r="C122" s="2">
        <f>IFERROR(__xludf.DUMMYFUNCTION("""COMPUTED_VALUE"""),125.3)</f>
        <v>125.3</v>
      </c>
    </row>
    <row r="123" ht="15.75" customHeight="1">
      <c r="B123" s="3">
        <f>IFERROR(__xludf.DUMMYFUNCTION("""COMPUTED_VALUE"""),38065.645833333336)</f>
        <v>38065.64583</v>
      </c>
      <c r="C123" s="2">
        <f>IFERROR(__xludf.DUMMYFUNCTION("""COMPUTED_VALUE"""),119.34)</f>
        <v>119.34</v>
      </c>
    </row>
    <row r="124" ht="15.75" customHeight="1">
      <c r="B124" s="3">
        <f>IFERROR(__xludf.DUMMYFUNCTION("""COMPUTED_VALUE"""),38072.645833333336)</f>
        <v>38072.64583</v>
      </c>
      <c r="C124" s="2">
        <f>IFERROR(__xludf.DUMMYFUNCTION("""COMPUTED_VALUE"""),121.33)</f>
        <v>121.33</v>
      </c>
    </row>
    <row r="125" ht="15.75" customHeight="1">
      <c r="B125" s="3">
        <f>IFERROR(__xludf.DUMMYFUNCTION("""COMPUTED_VALUE"""),38079.645833333336)</f>
        <v>38079.64583</v>
      </c>
      <c r="C125" s="2">
        <f>IFERROR(__xludf.DUMMYFUNCTION("""COMPUTED_VALUE"""),129.13)</f>
        <v>129.13</v>
      </c>
    </row>
    <row r="126" ht="15.75" customHeight="1">
      <c r="B126" s="3">
        <f>IFERROR(__xludf.DUMMYFUNCTION("""COMPUTED_VALUE"""),38085.645833333336)</f>
        <v>38085.64583</v>
      </c>
      <c r="C126" s="2">
        <f>IFERROR(__xludf.DUMMYFUNCTION("""COMPUTED_VALUE"""),133.11)</f>
        <v>133.11</v>
      </c>
    </row>
    <row r="127" ht="15.75" customHeight="1">
      <c r="B127" s="3">
        <f>IFERROR(__xludf.DUMMYFUNCTION("""COMPUTED_VALUE"""),38100.645833333336)</f>
        <v>38100.64583</v>
      </c>
      <c r="C127" s="2">
        <f>IFERROR(__xludf.DUMMYFUNCTION("""COMPUTED_VALUE"""),147.78)</f>
        <v>147.78</v>
      </c>
    </row>
    <row r="128" ht="15.75" customHeight="1">
      <c r="B128" s="3">
        <f>IFERROR(__xludf.DUMMYFUNCTION("""COMPUTED_VALUE"""),38107.645833333336)</f>
        <v>38107.64583</v>
      </c>
      <c r="C128" s="2">
        <f>IFERROR(__xludf.DUMMYFUNCTION("""COMPUTED_VALUE"""),143.5)</f>
        <v>143.5</v>
      </c>
    </row>
    <row r="129" ht="15.75" customHeight="1">
      <c r="B129" s="3">
        <f>IFERROR(__xludf.DUMMYFUNCTION("""COMPUTED_VALUE"""),38114.645833333336)</f>
        <v>38114.64583</v>
      </c>
      <c r="C129" s="2">
        <f>IFERROR(__xludf.DUMMYFUNCTION("""COMPUTED_VALUE"""),146.19)</f>
        <v>146.19</v>
      </c>
    </row>
    <row r="130" ht="15.75" customHeight="1">
      <c r="B130" s="3">
        <f>IFERROR(__xludf.DUMMYFUNCTION("""COMPUTED_VALUE"""),38121.645833333336)</f>
        <v>38121.64583</v>
      </c>
      <c r="C130" s="2">
        <f>IFERROR(__xludf.DUMMYFUNCTION("""COMPUTED_VALUE"""),141.21)</f>
        <v>141.21</v>
      </c>
    </row>
    <row r="131" ht="15.75" customHeight="1">
      <c r="B131" s="3">
        <f>IFERROR(__xludf.DUMMYFUNCTION("""COMPUTED_VALUE"""),38128.645833333336)</f>
        <v>38128.64583</v>
      </c>
      <c r="C131" s="2">
        <f>IFERROR(__xludf.DUMMYFUNCTION("""COMPUTED_VALUE"""),130.92)</f>
        <v>130.92</v>
      </c>
    </row>
    <row r="132" ht="15.75" customHeight="1">
      <c r="B132" s="3">
        <f>IFERROR(__xludf.DUMMYFUNCTION("""COMPUTED_VALUE"""),38135.645833333336)</f>
        <v>38135.64583</v>
      </c>
      <c r="C132" s="2">
        <f>IFERROR(__xludf.DUMMYFUNCTION("""COMPUTED_VALUE"""),135.75)</f>
        <v>135.75</v>
      </c>
    </row>
    <row r="133" ht="15.75" customHeight="1">
      <c r="B133" s="3">
        <f>IFERROR(__xludf.DUMMYFUNCTION("""COMPUTED_VALUE"""),38142.645833333336)</f>
        <v>38142.64583</v>
      </c>
      <c r="C133" s="2">
        <f>IFERROR(__xludf.DUMMYFUNCTION("""COMPUTED_VALUE"""),134.05)</f>
        <v>134.05</v>
      </c>
    </row>
    <row r="134" ht="15.75" customHeight="1">
      <c r="B134" s="3">
        <f>IFERROR(__xludf.DUMMYFUNCTION("""COMPUTED_VALUE"""),38149.645833333336)</f>
        <v>38149.64583</v>
      </c>
      <c r="C134" s="2">
        <f>IFERROR(__xludf.DUMMYFUNCTION("""COMPUTED_VALUE"""),142.11)</f>
        <v>142.11</v>
      </c>
    </row>
    <row r="135" ht="15.75" customHeight="1">
      <c r="B135" s="3">
        <f>IFERROR(__xludf.DUMMYFUNCTION("""COMPUTED_VALUE"""),38156.645833333336)</f>
        <v>38156.64583</v>
      </c>
      <c r="C135" s="2">
        <f>IFERROR(__xludf.DUMMYFUNCTION("""COMPUTED_VALUE"""),133.16)</f>
        <v>133.16</v>
      </c>
    </row>
    <row r="136" ht="15.75" customHeight="1">
      <c r="B136" s="3">
        <f>IFERROR(__xludf.DUMMYFUNCTION("""COMPUTED_VALUE"""),38163.645833333336)</f>
        <v>38163.64583</v>
      </c>
      <c r="C136" s="2">
        <f>IFERROR(__xludf.DUMMYFUNCTION("""COMPUTED_VALUE"""),126.89)</f>
        <v>126.89</v>
      </c>
    </row>
    <row r="137" ht="15.75" customHeight="1">
      <c r="B137" s="3">
        <f>IFERROR(__xludf.DUMMYFUNCTION("""COMPUTED_VALUE"""),38170.645833333336)</f>
        <v>38170.64583</v>
      </c>
      <c r="C137" s="2">
        <f>IFERROR(__xludf.DUMMYFUNCTION("""COMPUTED_VALUE"""),121.72)</f>
        <v>121.72</v>
      </c>
    </row>
    <row r="138" ht="15.75" customHeight="1">
      <c r="B138" s="3">
        <f>IFERROR(__xludf.DUMMYFUNCTION("""COMPUTED_VALUE"""),38177.645833333336)</f>
        <v>38177.64583</v>
      </c>
      <c r="C138" s="2">
        <f>IFERROR(__xludf.DUMMYFUNCTION("""COMPUTED_VALUE"""),125.7)</f>
        <v>125.7</v>
      </c>
    </row>
    <row r="139" ht="15.75" customHeight="1">
      <c r="B139" s="3">
        <f>IFERROR(__xludf.DUMMYFUNCTION("""COMPUTED_VALUE"""),38184.645833333336)</f>
        <v>38184.64583</v>
      </c>
      <c r="C139" s="2">
        <f>IFERROR(__xludf.DUMMYFUNCTION("""COMPUTED_VALUE"""),128.29)</f>
        <v>128.29</v>
      </c>
    </row>
    <row r="140" ht="15.75" customHeight="1">
      <c r="B140" s="3">
        <f>IFERROR(__xludf.DUMMYFUNCTION("""COMPUTED_VALUE"""),38191.645833333336)</f>
        <v>38191.64583</v>
      </c>
      <c r="C140" s="2">
        <f>IFERROR(__xludf.DUMMYFUNCTION("""COMPUTED_VALUE"""),123.81)</f>
        <v>123.81</v>
      </c>
    </row>
    <row r="141" ht="15.75" customHeight="1">
      <c r="B141" s="3">
        <f>IFERROR(__xludf.DUMMYFUNCTION("""COMPUTED_VALUE"""),38198.645833333336)</f>
        <v>38198.64583</v>
      </c>
      <c r="C141" s="2">
        <f>IFERROR(__xludf.DUMMYFUNCTION("""COMPUTED_VALUE"""),119.59)</f>
        <v>119.59</v>
      </c>
    </row>
    <row r="142" ht="15.75" customHeight="1">
      <c r="B142" s="3">
        <f>IFERROR(__xludf.DUMMYFUNCTION("""COMPUTED_VALUE"""),38205.645833333336)</f>
        <v>38205.64583</v>
      </c>
      <c r="C142" s="2">
        <f>IFERROR(__xludf.DUMMYFUNCTION("""COMPUTED_VALUE"""),124.26)</f>
        <v>124.26</v>
      </c>
    </row>
    <row r="143" ht="15.75" customHeight="1">
      <c r="B143" s="3">
        <f>IFERROR(__xludf.DUMMYFUNCTION("""COMPUTED_VALUE"""),38212.645833333336)</f>
        <v>38212.64583</v>
      </c>
      <c r="C143" s="2">
        <f>IFERROR(__xludf.DUMMYFUNCTION("""COMPUTED_VALUE"""),123.22)</f>
        <v>123.22</v>
      </c>
    </row>
    <row r="144" ht="15.75" customHeight="1">
      <c r="B144" s="3">
        <f>IFERROR(__xludf.DUMMYFUNCTION("""COMPUTED_VALUE"""),38219.645833333336)</f>
        <v>38219.64583</v>
      </c>
      <c r="C144" s="2">
        <f>IFERROR(__xludf.DUMMYFUNCTION("""COMPUTED_VALUE"""),127.44)</f>
        <v>127.44</v>
      </c>
    </row>
    <row r="145" ht="15.75" customHeight="1">
      <c r="B145" s="3">
        <f>IFERROR(__xludf.DUMMYFUNCTION("""COMPUTED_VALUE"""),38226.645833333336)</f>
        <v>38226.64583</v>
      </c>
      <c r="C145" s="2">
        <f>IFERROR(__xludf.DUMMYFUNCTION("""COMPUTED_VALUE"""),130.28)</f>
        <v>130.28</v>
      </c>
    </row>
    <row r="146" ht="15.75" customHeight="1">
      <c r="B146" s="3">
        <f>IFERROR(__xludf.DUMMYFUNCTION("""COMPUTED_VALUE"""),38233.645833333336)</f>
        <v>38233.64583</v>
      </c>
      <c r="C146" s="2">
        <f>IFERROR(__xludf.DUMMYFUNCTION("""COMPUTED_VALUE"""),126.94)</f>
        <v>126.94</v>
      </c>
    </row>
    <row r="147" ht="15.75" customHeight="1">
      <c r="B147" s="3">
        <f>IFERROR(__xludf.DUMMYFUNCTION("""COMPUTED_VALUE"""),38240.645833333336)</f>
        <v>38240.64583</v>
      </c>
      <c r="C147" s="2">
        <f>IFERROR(__xludf.DUMMYFUNCTION("""COMPUTED_VALUE"""),126.94)</f>
        <v>126.94</v>
      </c>
    </row>
    <row r="148" ht="15.75" customHeight="1">
      <c r="B148" s="3">
        <f>IFERROR(__xludf.DUMMYFUNCTION("""COMPUTED_VALUE"""),38247.645833333336)</f>
        <v>38247.64583</v>
      </c>
      <c r="C148" s="2">
        <f>IFERROR(__xludf.DUMMYFUNCTION("""COMPUTED_VALUE"""),127.19)</f>
        <v>127.19</v>
      </c>
    </row>
    <row r="149" ht="15.75" customHeight="1">
      <c r="B149" s="3">
        <f>IFERROR(__xludf.DUMMYFUNCTION("""COMPUTED_VALUE"""),38254.645833333336)</f>
        <v>38254.64583</v>
      </c>
      <c r="C149" s="2">
        <f>IFERROR(__xludf.DUMMYFUNCTION("""COMPUTED_VALUE"""),128.09)</f>
        <v>128.09</v>
      </c>
    </row>
    <row r="150" ht="15.75" customHeight="1">
      <c r="B150" s="3">
        <f>IFERROR(__xludf.DUMMYFUNCTION("""COMPUTED_VALUE"""),38261.645833333336)</f>
        <v>38261.64583</v>
      </c>
      <c r="C150" s="2">
        <f>IFERROR(__xludf.DUMMYFUNCTION("""COMPUTED_VALUE"""),132.22)</f>
        <v>132.22</v>
      </c>
    </row>
    <row r="151" ht="15.75" customHeight="1">
      <c r="B151" s="3">
        <f>IFERROR(__xludf.DUMMYFUNCTION("""COMPUTED_VALUE"""),38275.645833333336)</f>
        <v>38275.64583</v>
      </c>
      <c r="C151" s="2">
        <f>IFERROR(__xludf.DUMMYFUNCTION("""COMPUTED_VALUE"""),139.03)</f>
        <v>139.03</v>
      </c>
    </row>
    <row r="152" ht="15.75" customHeight="1">
      <c r="B152" s="3">
        <f>IFERROR(__xludf.DUMMYFUNCTION("""COMPUTED_VALUE"""),38281.645833333336)</f>
        <v>38281.64583</v>
      </c>
      <c r="C152" s="2">
        <f>IFERROR(__xludf.DUMMYFUNCTION("""COMPUTED_VALUE"""),131.72)</f>
        <v>131.72</v>
      </c>
    </row>
    <row r="153" ht="15.75" customHeight="1">
      <c r="B153" s="3">
        <f>IFERROR(__xludf.DUMMYFUNCTION("""COMPUTED_VALUE"""),38289.645833333336)</f>
        <v>38289.64583</v>
      </c>
      <c r="C153" s="2">
        <f>IFERROR(__xludf.DUMMYFUNCTION("""COMPUTED_VALUE"""),129.28)</f>
        <v>129.28</v>
      </c>
    </row>
    <row r="154" ht="15.75" customHeight="1">
      <c r="B154" s="3">
        <f>IFERROR(__xludf.DUMMYFUNCTION("""COMPUTED_VALUE"""),38296.645833333336)</f>
        <v>38296.64583</v>
      </c>
      <c r="C154" s="2">
        <f>IFERROR(__xludf.DUMMYFUNCTION("""COMPUTED_VALUE"""),129.78)</f>
        <v>129.78</v>
      </c>
    </row>
    <row r="155" ht="15.75" customHeight="1">
      <c r="B155" s="3">
        <f>IFERROR(__xludf.DUMMYFUNCTION("""COMPUTED_VALUE"""),38303.645833333336)</f>
        <v>38303.64583</v>
      </c>
      <c r="C155" s="2">
        <f>IFERROR(__xludf.DUMMYFUNCTION("""COMPUTED_VALUE"""),131.17)</f>
        <v>131.17</v>
      </c>
    </row>
    <row r="156" ht="15.75" customHeight="1">
      <c r="B156" s="3">
        <f>IFERROR(__xludf.DUMMYFUNCTION("""COMPUTED_VALUE"""),38310.645833333336)</f>
        <v>38310.64583</v>
      </c>
      <c r="C156" s="2">
        <f>IFERROR(__xludf.DUMMYFUNCTION("""COMPUTED_VALUE"""),157.13)</f>
        <v>157.13</v>
      </c>
    </row>
    <row r="157" ht="15.75" customHeight="1">
      <c r="B157" s="3">
        <f>IFERROR(__xludf.DUMMYFUNCTION("""COMPUTED_VALUE"""),38316.645833333336)</f>
        <v>38316.64583</v>
      </c>
      <c r="C157" s="2">
        <f>IFERROR(__xludf.DUMMYFUNCTION("""COMPUTED_VALUE"""),148.97)</f>
        <v>148.97</v>
      </c>
    </row>
    <row r="158" ht="15.75" customHeight="1">
      <c r="B158" s="3">
        <f>IFERROR(__xludf.DUMMYFUNCTION("""COMPUTED_VALUE"""),38324.645833333336)</f>
        <v>38324.64583</v>
      </c>
      <c r="C158" s="2">
        <f>IFERROR(__xludf.DUMMYFUNCTION("""COMPUTED_VALUE"""),152.95)</f>
        <v>152.95</v>
      </c>
    </row>
    <row r="159" ht="15.75" customHeight="1">
      <c r="B159" s="3">
        <f>IFERROR(__xludf.DUMMYFUNCTION("""COMPUTED_VALUE"""),38331.645833333336)</f>
        <v>38331.64583</v>
      </c>
      <c r="C159" s="2">
        <f>IFERROR(__xludf.DUMMYFUNCTION("""COMPUTED_VALUE"""),167.07)</f>
        <v>167.07</v>
      </c>
    </row>
    <row r="160" ht="15.75" customHeight="1">
      <c r="B160" s="3">
        <f>IFERROR(__xludf.DUMMYFUNCTION("""COMPUTED_VALUE"""),38338.645833333336)</f>
        <v>38338.64583</v>
      </c>
      <c r="C160" s="2">
        <f>IFERROR(__xludf.DUMMYFUNCTION("""COMPUTED_VALUE"""),166.87)</f>
        <v>166.87</v>
      </c>
    </row>
    <row r="161" ht="15.75" customHeight="1">
      <c r="B161" s="3">
        <f>IFERROR(__xludf.DUMMYFUNCTION("""COMPUTED_VALUE"""),38345.645833333336)</f>
        <v>38345.64583</v>
      </c>
      <c r="C161" s="2">
        <f>IFERROR(__xludf.DUMMYFUNCTION("""COMPUTED_VALUE"""),168.07)</f>
        <v>168.07</v>
      </c>
    </row>
    <row r="162" ht="15.75" customHeight="1">
      <c r="B162" s="3">
        <f>IFERROR(__xludf.DUMMYFUNCTION("""COMPUTED_VALUE"""),38352.645833333336)</f>
        <v>38352.64583</v>
      </c>
      <c r="C162" s="2">
        <f>IFERROR(__xludf.DUMMYFUNCTION("""COMPUTED_VALUE"""),174.03)</f>
        <v>174.03</v>
      </c>
    </row>
    <row r="163" ht="15.75" customHeight="1"/>
    <row r="164" ht="15.75" customHeight="1"/>
    <row r="165" ht="15.75" customHeight="1"/>
    <row r="166" ht="15.75" customHeight="1">
      <c r="B166" s="2" t="str">
        <f>IFERROR(__xludf.DUMMYFUNCTION("GOOGLEFINANCE(""NSE:TATACHEM"", ""high"",DATE(2005,1,1),DATE(2006,1,1),""weekly"")"),"Date")</f>
        <v>Date</v>
      </c>
      <c r="C166" s="2" t="str">
        <f>IFERROR(__xludf.DUMMYFUNCTION("""COMPUTED_VALUE"""),"High")</f>
        <v>High</v>
      </c>
    </row>
    <row r="167" ht="15.75" customHeight="1">
      <c r="B167" s="3">
        <f>IFERROR(__xludf.DUMMYFUNCTION("""COMPUTED_VALUE"""),38359.645833333336)</f>
        <v>38359.64583</v>
      </c>
      <c r="C167" s="2">
        <f>IFERROR(__xludf.DUMMYFUNCTION("""COMPUTED_VALUE"""),167.57)</f>
        <v>167.57</v>
      </c>
    </row>
    <row r="168" ht="15.75" customHeight="1">
      <c r="B168" s="3">
        <f>IFERROR(__xludf.DUMMYFUNCTION("""COMPUTED_VALUE"""),38366.645833333336)</f>
        <v>38366.64583</v>
      </c>
      <c r="C168" s="2">
        <f>IFERROR(__xludf.DUMMYFUNCTION("""COMPUTED_VALUE"""),161.55)</f>
        <v>161.55</v>
      </c>
    </row>
    <row r="169" ht="15.75" customHeight="1">
      <c r="B169" s="3">
        <f>IFERROR(__xludf.DUMMYFUNCTION("""COMPUTED_VALUE"""),38372.645833333336)</f>
        <v>38372.64583</v>
      </c>
      <c r="C169" s="2">
        <f>IFERROR(__xludf.DUMMYFUNCTION("""COMPUTED_VALUE"""),156.13)</f>
        <v>156.13</v>
      </c>
    </row>
    <row r="170" ht="15.75" customHeight="1">
      <c r="B170" s="3">
        <f>IFERROR(__xludf.DUMMYFUNCTION("""COMPUTED_VALUE"""),38380.645833333336)</f>
        <v>38380.64583</v>
      </c>
      <c r="C170" s="2">
        <f>IFERROR(__xludf.DUMMYFUNCTION("""COMPUTED_VALUE"""),160.01)</f>
        <v>160.01</v>
      </c>
    </row>
    <row r="171" ht="15.75" customHeight="1">
      <c r="B171" s="3">
        <f>IFERROR(__xludf.DUMMYFUNCTION("""COMPUTED_VALUE"""),38387.645833333336)</f>
        <v>38387.64583</v>
      </c>
      <c r="C171" s="2">
        <f>IFERROR(__xludf.DUMMYFUNCTION("""COMPUTED_VALUE"""),166.08)</f>
        <v>166.08</v>
      </c>
    </row>
    <row r="172" ht="15.75" customHeight="1">
      <c r="B172" s="3">
        <f>IFERROR(__xludf.DUMMYFUNCTION("""COMPUTED_VALUE"""),38394.645833333336)</f>
        <v>38394.64583</v>
      </c>
      <c r="C172" s="2">
        <f>IFERROR(__xludf.DUMMYFUNCTION("""COMPUTED_VALUE"""),173.93)</f>
        <v>173.93</v>
      </c>
    </row>
    <row r="173" ht="15.75" customHeight="1">
      <c r="B173" s="3">
        <f>IFERROR(__xludf.DUMMYFUNCTION("""COMPUTED_VALUE"""),38401.645833333336)</f>
        <v>38401.64583</v>
      </c>
      <c r="C173" s="2">
        <f>IFERROR(__xludf.DUMMYFUNCTION("""COMPUTED_VALUE"""),173.44)</f>
        <v>173.44</v>
      </c>
    </row>
    <row r="174" ht="15.75" customHeight="1">
      <c r="B174" s="3">
        <f>IFERROR(__xludf.DUMMYFUNCTION("""COMPUTED_VALUE"""),38408.645833333336)</f>
        <v>38408.64583</v>
      </c>
      <c r="C174" s="2">
        <f>IFERROR(__xludf.DUMMYFUNCTION("""COMPUTED_VALUE"""),165.43)</f>
        <v>165.43</v>
      </c>
    </row>
    <row r="175" ht="15.75" customHeight="1">
      <c r="B175" s="3">
        <f>IFERROR(__xludf.DUMMYFUNCTION("""COMPUTED_VALUE"""),38415.645833333336)</f>
        <v>38415.64583</v>
      </c>
      <c r="C175" s="2">
        <f>IFERROR(__xludf.DUMMYFUNCTION("""COMPUTED_VALUE"""),167.02)</f>
        <v>167.02</v>
      </c>
    </row>
    <row r="176" ht="15.75" customHeight="1">
      <c r="B176" s="3">
        <f>IFERROR(__xludf.DUMMYFUNCTION("""COMPUTED_VALUE"""),38422.645833333336)</f>
        <v>38422.64583</v>
      </c>
      <c r="C176" s="2">
        <f>IFERROR(__xludf.DUMMYFUNCTION("""COMPUTED_VALUE"""),163.84)</f>
        <v>163.84</v>
      </c>
    </row>
    <row r="177" ht="15.75" customHeight="1">
      <c r="B177" s="3">
        <f>IFERROR(__xludf.DUMMYFUNCTION("""COMPUTED_VALUE"""),38429.645833333336)</f>
        <v>38429.64583</v>
      </c>
      <c r="C177" s="2">
        <f>IFERROR(__xludf.DUMMYFUNCTION("""COMPUTED_VALUE"""),156.43)</f>
        <v>156.43</v>
      </c>
    </row>
    <row r="178" ht="15.75" customHeight="1">
      <c r="B178" s="3">
        <f>IFERROR(__xludf.DUMMYFUNCTION("""COMPUTED_VALUE"""),38435.645833333336)</f>
        <v>38435.64583</v>
      </c>
      <c r="C178" s="2">
        <f>IFERROR(__xludf.DUMMYFUNCTION("""COMPUTED_VALUE"""),154.14)</f>
        <v>154.14</v>
      </c>
    </row>
    <row r="179" ht="15.75" customHeight="1">
      <c r="B179" s="3">
        <f>IFERROR(__xludf.DUMMYFUNCTION("""COMPUTED_VALUE"""),38443.645833333336)</f>
        <v>38443.64583</v>
      </c>
      <c r="C179" s="2">
        <f>IFERROR(__xludf.DUMMYFUNCTION("""COMPUTED_VALUE"""),154.99)</f>
        <v>154.99</v>
      </c>
    </row>
    <row r="180" ht="15.75" customHeight="1">
      <c r="B180" s="3">
        <f>IFERROR(__xludf.DUMMYFUNCTION("""COMPUTED_VALUE"""),38450.645833333336)</f>
        <v>38450.64583</v>
      </c>
      <c r="C180" s="2">
        <f>IFERROR(__xludf.DUMMYFUNCTION("""COMPUTED_VALUE"""),160.01)</f>
        <v>160.01</v>
      </c>
    </row>
    <row r="181" ht="15.75" customHeight="1">
      <c r="B181" s="3">
        <f>IFERROR(__xludf.DUMMYFUNCTION("""COMPUTED_VALUE"""),38457.645833333336)</f>
        <v>38457.64583</v>
      </c>
      <c r="C181" s="2">
        <f>IFERROR(__xludf.DUMMYFUNCTION("""COMPUTED_VALUE"""),156.03)</f>
        <v>156.03</v>
      </c>
    </row>
    <row r="182" ht="15.75" customHeight="1">
      <c r="B182" s="3">
        <f>IFERROR(__xludf.DUMMYFUNCTION("""COMPUTED_VALUE"""),38464.645833333336)</f>
        <v>38464.64583</v>
      </c>
      <c r="C182" s="2">
        <f>IFERROR(__xludf.DUMMYFUNCTION("""COMPUTED_VALUE"""),156.13)</f>
        <v>156.13</v>
      </c>
    </row>
    <row r="183" ht="15.75" customHeight="1">
      <c r="B183" s="3">
        <f>IFERROR(__xludf.DUMMYFUNCTION("""COMPUTED_VALUE"""),38471.645833333336)</f>
        <v>38471.64583</v>
      </c>
      <c r="C183" s="2">
        <f>IFERROR(__xludf.DUMMYFUNCTION("""COMPUTED_VALUE"""),155.14)</f>
        <v>155.14</v>
      </c>
    </row>
    <row r="184" ht="15.75" customHeight="1">
      <c r="B184" s="3">
        <f>IFERROR(__xludf.DUMMYFUNCTION("""COMPUTED_VALUE"""),38478.645833333336)</f>
        <v>38478.64583</v>
      </c>
      <c r="C184" s="2">
        <f>IFERROR(__xludf.DUMMYFUNCTION("""COMPUTED_VALUE"""),160.61)</f>
        <v>160.61</v>
      </c>
    </row>
    <row r="185" ht="15.75" customHeight="1">
      <c r="B185" s="3">
        <f>IFERROR(__xludf.DUMMYFUNCTION("""COMPUTED_VALUE"""),38485.645833333336)</f>
        <v>38485.64583</v>
      </c>
      <c r="C185" s="2">
        <f>IFERROR(__xludf.DUMMYFUNCTION("""COMPUTED_VALUE"""),162.05)</f>
        <v>162.05</v>
      </c>
    </row>
    <row r="186" ht="15.75" customHeight="1">
      <c r="B186" s="3">
        <f>IFERROR(__xludf.DUMMYFUNCTION("""COMPUTED_VALUE"""),38492.645833333336)</f>
        <v>38492.64583</v>
      </c>
      <c r="C186" s="2">
        <f>IFERROR(__xludf.DUMMYFUNCTION("""COMPUTED_VALUE"""),166.38)</f>
        <v>166.38</v>
      </c>
    </row>
    <row r="187" ht="15.75" customHeight="1">
      <c r="B187" s="3">
        <f>IFERROR(__xludf.DUMMYFUNCTION("""COMPUTED_VALUE"""),38499.645833333336)</f>
        <v>38499.64583</v>
      </c>
      <c r="C187" s="2">
        <f>IFERROR(__xludf.DUMMYFUNCTION("""COMPUTED_VALUE"""),180.4)</f>
        <v>180.4</v>
      </c>
    </row>
    <row r="188" ht="15.75" customHeight="1">
      <c r="B188" s="3">
        <f>IFERROR(__xludf.DUMMYFUNCTION("""COMPUTED_VALUE"""),38513.645833333336)</f>
        <v>38513.64583</v>
      </c>
      <c r="C188" s="2">
        <f>IFERROR(__xludf.DUMMYFUNCTION("""COMPUTED_VALUE"""),184.87)</f>
        <v>184.87</v>
      </c>
    </row>
    <row r="189" ht="15.75" customHeight="1">
      <c r="B189" s="3">
        <f>IFERROR(__xludf.DUMMYFUNCTION("""COMPUTED_VALUE"""),38520.645833333336)</f>
        <v>38520.64583</v>
      </c>
      <c r="C189" s="2">
        <f>IFERROR(__xludf.DUMMYFUNCTION("""COMPUTED_VALUE"""),182.88)</f>
        <v>182.88</v>
      </c>
    </row>
    <row r="190" ht="15.75" customHeight="1">
      <c r="B190" s="3">
        <f>IFERROR(__xludf.DUMMYFUNCTION("""COMPUTED_VALUE"""),38527.645833333336)</f>
        <v>38527.64583</v>
      </c>
      <c r="C190" s="2">
        <f>IFERROR(__xludf.DUMMYFUNCTION("""COMPUTED_VALUE"""),174.83)</f>
        <v>174.83</v>
      </c>
    </row>
    <row r="191" ht="15.75" customHeight="1">
      <c r="B191" s="3">
        <f>IFERROR(__xludf.DUMMYFUNCTION("""COMPUTED_VALUE"""),38534.645833333336)</f>
        <v>38534.64583</v>
      </c>
      <c r="C191" s="2">
        <f>IFERROR(__xludf.DUMMYFUNCTION("""COMPUTED_VALUE"""),176.52)</f>
        <v>176.52</v>
      </c>
    </row>
    <row r="192" ht="15.75" customHeight="1">
      <c r="B192" s="3">
        <f>IFERROR(__xludf.DUMMYFUNCTION("""COMPUTED_VALUE"""),38541.645833333336)</f>
        <v>38541.64583</v>
      </c>
      <c r="C192" s="2">
        <f>IFERROR(__xludf.DUMMYFUNCTION("""COMPUTED_VALUE"""),175.82)</f>
        <v>175.82</v>
      </c>
    </row>
    <row r="193" ht="15.75" customHeight="1">
      <c r="B193" s="3">
        <f>IFERROR(__xludf.DUMMYFUNCTION("""COMPUTED_VALUE"""),38548.645833333336)</f>
        <v>38548.64583</v>
      </c>
      <c r="C193" s="2">
        <f>IFERROR(__xludf.DUMMYFUNCTION("""COMPUTED_VALUE"""),190.64)</f>
        <v>190.64</v>
      </c>
    </row>
    <row r="194" ht="15.75" customHeight="1">
      <c r="B194" s="3">
        <f>IFERROR(__xludf.DUMMYFUNCTION("""COMPUTED_VALUE"""),38555.645833333336)</f>
        <v>38555.64583</v>
      </c>
      <c r="C194" s="2">
        <f>IFERROR(__xludf.DUMMYFUNCTION("""COMPUTED_VALUE"""),201.38)</f>
        <v>201.38</v>
      </c>
    </row>
    <row r="195" ht="15.75" customHeight="1">
      <c r="B195" s="3">
        <f>IFERROR(__xludf.DUMMYFUNCTION("""COMPUTED_VALUE"""),38562.645833333336)</f>
        <v>38562.64583</v>
      </c>
      <c r="C195" s="2">
        <f>IFERROR(__xludf.DUMMYFUNCTION("""COMPUTED_VALUE"""),192.18)</f>
        <v>192.18</v>
      </c>
    </row>
    <row r="196" ht="15.75" customHeight="1">
      <c r="B196" s="3">
        <f>IFERROR(__xludf.DUMMYFUNCTION("""COMPUTED_VALUE"""),38569.645833333336)</f>
        <v>38569.64583</v>
      </c>
      <c r="C196" s="2">
        <f>IFERROR(__xludf.DUMMYFUNCTION("""COMPUTED_VALUE"""),193.42)</f>
        <v>193.42</v>
      </c>
    </row>
    <row r="197" ht="15.75" customHeight="1">
      <c r="B197" s="3">
        <f>IFERROR(__xludf.DUMMYFUNCTION("""COMPUTED_VALUE"""),38576.645833333336)</f>
        <v>38576.64583</v>
      </c>
      <c r="C197" s="2">
        <f>IFERROR(__xludf.DUMMYFUNCTION("""COMPUTED_VALUE"""),191.73)</f>
        <v>191.73</v>
      </c>
    </row>
    <row r="198" ht="15.75" customHeight="1">
      <c r="B198" s="3">
        <f>IFERROR(__xludf.DUMMYFUNCTION("""COMPUTED_VALUE"""),38583.645833333336)</f>
        <v>38583.64583</v>
      </c>
      <c r="C198" s="2">
        <f>IFERROR(__xludf.DUMMYFUNCTION("""COMPUTED_VALUE"""),193.82)</f>
        <v>193.82</v>
      </c>
    </row>
    <row r="199" ht="15.75" customHeight="1">
      <c r="B199" s="3">
        <f>IFERROR(__xludf.DUMMYFUNCTION("""COMPUTED_VALUE"""),38590.645833333336)</f>
        <v>38590.64583</v>
      </c>
      <c r="C199" s="2">
        <f>IFERROR(__xludf.DUMMYFUNCTION("""COMPUTED_VALUE"""),188.45)</f>
        <v>188.45</v>
      </c>
    </row>
    <row r="200" ht="15.75" customHeight="1">
      <c r="B200" s="3">
        <f>IFERROR(__xludf.DUMMYFUNCTION("""COMPUTED_VALUE"""),38597.645833333336)</f>
        <v>38597.64583</v>
      </c>
      <c r="C200" s="2">
        <f>IFERROR(__xludf.DUMMYFUNCTION("""COMPUTED_VALUE"""),190.74)</f>
        <v>190.74</v>
      </c>
    </row>
    <row r="201" ht="15.75" customHeight="1">
      <c r="B201" s="3">
        <f>IFERROR(__xludf.DUMMYFUNCTION("""COMPUTED_VALUE"""),38604.645833333336)</f>
        <v>38604.64583</v>
      </c>
      <c r="C201" s="2">
        <f>IFERROR(__xludf.DUMMYFUNCTION("""COMPUTED_VALUE"""),198.4)</f>
        <v>198.4</v>
      </c>
    </row>
    <row r="202" ht="15.75" customHeight="1">
      <c r="B202" s="3">
        <f>IFERROR(__xludf.DUMMYFUNCTION("""COMPUTED_VALUE"""),38611.645833333336)</f>
        <v>38611.64583</v>
      </c>
      <c r="C202" s="2">
        <f>IFERROR(__xludf.DUMMYFUNCTION("""COMPUTED_VALUE"""),209.68)</f>
        <v>209.68</v>
      </c>
    </row>
    <row r="203" ht="15.75" customHeight="1">
      <c r="B203" s="3">
        <f>IFERROR(__xludf.DUMMYFUNCTION("""COMPUTED_VALUE"""),38618.645833333336)</f>
        <v>38618.64583</v>
      </c>
      <c r="C203" s="2">
        <f>IFERROR(__xludf.DUMMYFUNCTION("""COMPUTED_VALUE"""),208.84)</f>
        <v>208.84</v>
      </c>
    </row>
    <row r="204" ht="15.75" customHeight="1">
      <c r="B204" s="3">
        <f>IFERROR(__xludf.DUMMYFUNCTION("""COMPUTED_VALUE"""),38625.645833333336)</f>
        <v>38625.64583</v>
      </c>
      <c r="C204" s="2">
        <f>IFERROR(__xludf.DUMMYFUNCTION("""COMPUTED_VALUE"""),196.86)</f>
        <v>196.86</v>
      </c>
    </row>
    <row r="205" ht="15.75" customHeight="1">
      <c r="B205" s="3">
        <f>IFERROR(__xludf.DUMMYFUNCTION("""COMPUTED_VALUE"""),38632.645833333336)</f>
        <v>38632.64583</v>
      </c>
      <c r="C205" s="2">
        <f>IFERROR(__xludf.DUMMYFUNCTION("""COMPUTED_VALUE"""),204.41)</f>
        <v>204.41</v>
      </c>
    </row>
    <row r="206" ht="15.75" customHeight="1">
      <c r="B206" s="3">
        <f>IFERROR(__xludf.DUMMYFUNCTION("""COMPUTED_VALUE"""),38639.645833333336)</f>
        <v>38639.64583</v>
      </c>
      <c r="C206" s="2">
        <f>IFERROR(__xludf.DUMMYFUNCTION("""COMPUTED_VALUE"""),195.61)</f>
        <v>195.61</v>
      </c>
    </row>
    <row r="207" ht="15.75" customHeight="1">
      <c r="B207" s="3">
        <f>IFERROR(__xludf.DUMMYFUNCTION("""COMPUTED_VALUE"""),38646.645833333336)</f>
        <v>38646.64583</v>
      </c>
      <c r="C207" s="2">
        <f>IFERROR(__xludf.DUMMYFUNCTION("""COMPUTED_VALUE"""),191.83)</f>
        <v>191.83</v>
      </c>
    </row>
    <row r="208" ht="15.75" customHeight="1">
      <c r="B208" s="3">
        <f>IFERROR(__xludf.DUMMYFUNCTION("""COMPUTED_VALUE"""),38653.645833333336)</f>
        <v>38653.64583</v>
      </c>
      <c r="C208" s="2">
        <f>IFERROR(__xludf.DUMMYFUNCTION("""COMPUTED_VALUE"""),183.68)</f>
        <v>183.68</v>
      </c>
    </row>
    <row r="209" ht="15.75" customHeight="1">
      <c r="B209" s="3">
        <f>IFERROR(__xludf.DUMMYFUNCTION("""COMPUTED_VALUE"""),38658.645833333336)</f>
        <v>38658.64583</v>
      </c>
      <c r="C209" s="2">
        <f>IFERROR(__xludf.DUMMYFUNCTION("""COMPUTED_VALUE"""),195.91)</f>
        <v>195.91</v>
      </c>
    </row>
    <row r="210" ht="15.75" customHeight="1">
      <c r="B210" s="3">
        <f>IFERROR(__xludf.DUMMYFUNCTION("""COMPUTED_VALUE"""),38667.645833333336)</f>
        <v>38667.64583</v>
      </c>
      <c r="C210" s="2">
        <f>IFERROR(__xludf.DUMMYFUNCTION("""COMPUTED_VALUE"""),201.73)</f>
        <v>201.73</v>
      </c>
    </row>
    <row r="211" ht="15.75" customHeight="1">
      <c r="B211" s="3">
        <f>IFERROR(__xludf.DUMMYFUNCTION("""COMPUTED_VALUE"""),38674.645833333336)</f>
        <v>38674.64583</v>
      </c>
      <c r="C211" s="2">
        <f>IFERROR(__xludf.DUMMYFUNCTION("""COMPUTED_VALUE"""),203.42)</f>
        <v>203.42</v>
      </c>
    </row>
    <row r="212" ht="15.75" customHeight="1">
      <c r="B212" s="3">
        <f>IFERROR(__xludf.DUMMYFUNCTION("""COMPUTED_VALUE"""),38688.645833333336)</f>
        <v>38688.64583</v>
      </c>
      <c r="C212" s="2">
        <f>IFERROR(__xludf.DUMMYFUNCTION("""COMPUTED_VALUE"""),221.27)</f>
        <v>221.27</v>
      </c>
    </row>
    <row r="213" ht="15.75" customHeight="1">
      <c r="B213" s="3">
        <f>IFERROR(__xludf.DUMMYFUNCTION("""COMPUTED_VALUE"""),38695.645833333336)</f>
        <v>38695.64583</v>
      </c>
      <c r="C213" s="2">
        <f>IFERROR(__xludf.DUMMYFUNCTION("""COMPUTED_VALUE"""),223.66)</f>
        <v>223.66</v>
      </c>
    </row>
    <row r="214" ht="15.75" customHeight="1">
      <c r="B214" s="3">
        <f>IFERROR(__xludf.DUMMYFUNCTION("""COMPUTED_VALUE"""),38702.645833333336)</f>
        <v>38702.64583</v>
      </c>
      <c r="C214" s="2">
        <f>IFERROR(__xludf.DUMMYFUNCTION("""COMPUTED_VALUE"""),227.73)</f>
        <v>227.73</v>
      </c>
    </row>
    <row r="215" ht="15.75" customHeight="1">
      <c r="B215" s="3">
        <f>IFERROR(__xludf.DUMMYFUNCTION("""COMPUTED_VALUE"""),38709.645833333336)</f>
        <v>38709.64583</v>
      </c>
      <c r="C215" s="2">
        <f>IFERROR(__xludf.DUMMYFUNCTION("""COMPUTED_VALUE"""),228.68)</f>
        <v>228.68</v>
      </c>
    </row>
    <row r="216" ht="15.75" customHeight="1">
      <c r="B216" s="3">
        <f>IFERROR(__xludf.DUMMYFUNCTION("""COMPUTED_VALUE"""),38716.645833333336)</f>
        <v>38716.64583</v>
      </c>
      <c r="C216" s="2">
        <f>IFERROR(__xludf.DUMMYFUNCTION("""COMPUTED_VALUE"""),234.7)</f>
        <v>234.7</v>
      </c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